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liamcollier/Desktop/"/>
    </mc:Choice>
  </mc:AlternateContent>
  <xr:revisionPtr revIDLastSave="0" documentId="13_ncr:1_{A12F1FBF-4E4C-AC4C-851A-A8BDA84A792C}" xr6:coauthVersionLast="47" xr6:coauthVersionMax="47" xr10:uidLastSave="{00000000-0000-0000-0000-000000000000}"/>
  <bookViews>
    <workbookView xWindow="51200" yWindow="620" windowWidth="51200" windowHeight="26700" xr2:uid="{00000000-000D-0000-FFFF-FFFF00000000}"/>
  </bookViews>
  <sheets>
    <sheet name="Read Me" sheetId="1" r:id="rId1"/>
    <sheet name="Cashflow" sheetId="2" r:id="rId2"/>
    <sheet name="Inputs" sheetId="3" r:id="rId3"/>
    <sheet name="Sample Cashflow" sheetId="7" r:id="rId4"/>
    <sheet name="Sample Inputs" sheetId="6" r:id="rId5"/>
  </sheets>
  <definedNames>
    <definedName name="CashDrv_AR_Active" localSheetId="3">IF('Sample Cashflow'!CashScn_Active="Downside",'Sample Cashflow'!CashDrv_AR_Down,IF('Sample Cashflow'!CashScn_Active="Upside",'Sample Cashflow'!CashDrv_AR_Up,0))</definedName>
    <definedName name="CashDrv_AR_Active">IF(CashScn_Active="Downside",CashDrv_AR_Down,IF(CashScn_Active="Upside",CashDrv_AR_Up,0))</definedName>
    <definedName name="CashDrv_AR_Down" localSheetId="3">'Sample Cashflow'!$E$6</definedName>
    <definedName name="CashDrv_AR_Down">Cashflow!$E$6</definedName>
    <definedName name="CashDrv_AR_Up" localSheetId="3">'Sample Cashflow'!$G$6</definedName>
    <definedName name="CashDrv_AR_Up">Cashflow!$G$6</definedName>
    <definedName name="CashDrv_Capex_Active" localSheetId="3">IF('Sample Cashflow'!CashScn_Active="Downside",'Sample Cashflow'!CashDrv_Capex_Down,IF('Sample Cashflow'!CashScn_Active="Upside",'Sample Cashflow'!CashDrv_Capex_Up,0))</definedName>
    <definedName name="CashDrv_Capex_Active">IF(CashScn_Active="Downside",CashDrv_Capex_Down,IF(CashScn_Active="Upside",CashDrv_Capex_Up,0))</definedName>
    <definedName name="CashDrv_Capex_Down" localSheetId="3">'Sample Cashflow'!$E$8</definedName>
    <definedName name="CashDrv_Capex_Down">Cashflow!$E$8</definedName>
    <definedName name="CashDrv_Capex_Up" localSheetId="3">'Sample Cashflow'!$G$8</definedName>
    <definedName name="CashDrv_Capex_Up">Cashflow!$G$8</definedName>
    <definedName name="CashDrv_Disc_Active" localSheetId="3">IF('Sample Cashflow'!CashScn_Active="Downside",'Sample Cashflow'!CashDrv_Disc_Down,IF('Sample Cashflow'!CashScn_Active="Upside",'Sample Cashflow'!CashDrv_Disc_Up,0))</definedName>
    <definedName name="CashDrv_Disc_Active">IF(CashScn_Active="Downside",CashDrv_Disc_Down,IF(CashScn_Active="Upside",CashDrv_Disc_Up,0))</definedName>
    <definedName name="CashDrv_Disc_Down" localSheetId="3">'Sample Cashflow'!$E$9</definedName>
    <definedName name="CashDrv_Disc_Down">Cashflow!$E$9</definedName>
    <definedName name="CashDrv_Disc_Up" localSheetId="3">'Sample Cashflow'!$G$9</definedName>
    <definedName name="CashDrv_Disc_Up">Cashflow!$G$9</definedName>
    <definedName name="CashDrv_Rev_Active" localSheetId="3">IF('Sample Cashflow'!CashScn_Active="Downside",'Sample Cashflow'!CashDrv_Rev_Down,IF('Sample Cashflow'!CashScn_Active="Upside",'Sample Cashflow'!CashDrv_Rev_Up,0))</definedName>
    <definedName name="CashDrv_Rev_Active">IF(CashScn_Active="Downside",CashDrv_Rev_Down,IF(CashScn_Active="Upside",CashDrv_Rev_Up,0))</definedName>
    <definedName name="CashDrv_Rev_Down" localSheetId="3">'Sample Cashflow'!$E$7</definedName>
    <definedName name="CashDrv_Rev_Down">Cashflow!$E$7</definedName>
    <definedName name="CashDrv_Rev_Up" localSheetId="3">'Sample Cashflow'!$G$7</definedName>
    <definedName name="CashDrv_Rev_Up">Cashflow!$G$7</definedName>
    <definedName name="CashScn_Active" localSheetId="3">'Sample Cashflow'!$C$5</definedName>
    <definedName name="CashScn_Active">Cashflow!$C$5</definedName>
    <definedName name="In_AP_Days" localSheetId="3">'Sample Inputs'!$C$131</definedName>
    <definedName name="In_AP_Days" localSheetId="4">'Sample Inputs'!$C$131</definedName>
    <definedName name="In_AP_Days">Inputs!$C$131</definedName>
    <definedName name="In_AR_Days" localSheetId="3">'Sample Inputs'!$C$43</definedName>
    <definedName name="In_AR_Days" localSheetId="4">'Sample Inputs'!$C$43</definedName>
    <definedName name="In_AR_Days">Inputs!$C$43</definedName>
    <definedName name="In_AsOfDate" localSheetId="3">'Sample Inputs'!$C$10</definedName>
    <definedName name="In_AsOfDate" localSheetId="4">'Sample Inputs'!$C$10</definedName>
    <definedName name="In_AsOfDate">Inputs!$C$10</definedName>
    <definedName name="In_Cash_Ar" localSheetId="3">'Sample Inputs'!$C$139:$O$139</definedName>
    <definedName name="In_Cash_Ar" localSheetId="4">'Sample Inputs'!$C$139:$O$139</definedName>
    <definedName name="In_Cash_Ar">Inputs!$C$139:$O$139</definedName>
    <definedName name="In_Cash_Bank" localSheetId="3">'Sample Inputs'!$C$147:$O$147</definedName>
    <definedName name="In_Cash_Bank" localSheetId="4">'Sample Inputs'!$C$147:$O$147</definedName>
    <definedName name="In_Cash_Bank">Inputs!$C$147:$O$147</definedName>
    <definedName name="In_Cash_Capex" localSheetId="3">'Sample Inputs'!$C$146:$O$146</definedName>
    <definedName name="In_Cash_Capex" localSheetId="4">'Sample Inputs'!$C$146:$O$146</definedName>
    <definedName name="In_Cash_Capex">Inputs!$C$146:$O$146</definedName>
    <definedName name="In_Cash_Debt" localSheetId="3">'Sample Inputs'!$C$144:$O$144</definedName>
    <definedName name="In_Cash_Debt" localSheetId="4">'Sample Inputs'!$C$144:$O$144</definedName>
    <definedName name="In_Cash_Debt">Inputs!$C$144:$O$144</definedName>
    <definedName name="In_Cash_Opening" localSheetId="3">'Sample Inputs'!$C$138:$O$138</definedName>
    <definedName name="In_Cash_Opening" localSheetId="4">'Sample Inputs'!$C$138:$O$138</definedName>
    <definedName name="In_Cash_Opening">Inputs!$C$138:$O$138</definedName>
    <definedName name="In_Cash_OpeningW1" localSheetId="3">'Sample Inputs'!$C$138</definedName>
    <definedName name="In_Cash_OpeningW1" localSheetId="4">'Sample Inputs'!$C$138</definedName>
    <definedName name="In_Cash_OpeningW1">Inputs!$C$138</definedName>
    <definedName name="In_Cash_Other" localSheetId="3">'Sample Inputs'!$C$140:$O$140</definedName>
    <definedName name="In_Cash_Other" localSheetId="4">'Sample Inputs'!$C$140:$O$140</definedName>
    <definedName name="In_Cash_Other">Inputs!$C$140:$O$140</definedName>
    <definedName name="In_Cash_Payroll" localSheetId="3">'Sample Inputs'!$C$141:$O$141</definedName>
    <definedName name="In_Cash_Payroll" localSheetId="4">'Sample Inputs'!$C$141:$O$141</definedName>
    <definedName name="In_Cash_Payroll">Inputs!$C$141:$O$141</definedName>
    <definedName name="In_Cash_Recurring" localSheetId="3">'Sample Inputs'!$C$145:$O$145</definedName>
    <definedName name="In_Cash_Recurring" localSheetId="4">'Sample Inputs'!$C$145:$O$145</definedName>
    <definedName name="In_Cash_Recurring">Inputs!$C$145:$O$145</definedName>
    <definedName name="In_Cash_Suppliers" localSheetId="3">'Sample Inputs'!$C$142:$O$142</definedName>
    <definedName name="In_Cash_Suppliers" localSheetId="4">'Sample Inputs'!$C$142:$O$142</definedName>
    <definedName name="In_Cash_Suppliers">Inputs!$C$142:$O$142</definedName>
    <definedName name="In_Cash_Tax" localSheetId="3">'Sample Inputs'!$C$143:$O$143</definedName>
    <definedName name="In_Cash_Tax" localSheetId="4">'Sample Inputs'!$C$143:$O$143</definedName>
    <definedName name="In_Cash_Tax">Inputs!$C$143:$O$143</definedName>
    <definedName name="In_Debt_Cyc" localSheetId="3">'Sample Inputs'!$C$119</definedName>
    <definedName name="In_Debt_Cyc" localSheetId="4">'Sample Inputs'!$C$119</definedName>
    <definedName name="In_Debt_Cyc">Inputs!$C$119</definedName>
    <definedName name="In_IllusPill" localSheetId="3">""</definedName>
    <definedName name="In_IllusPill" localSheetId="4">'Sample Inputs'!$C$151</definedName>
    <definedName name="In_IllusPill">""</definedName>
    <definedName name="In_MinCashFloor" localSheetId="3">'Sample Inputs'!$C$12</definedName>
    <definedName name="In_MinCashFloor" localSheetId="4">'Sample Inputs'!$C$12</definedName>
    <definedName name="In_MinCashFloor">Inputs!$C$12</definedName>
    <definedName name="In_OpeningCashW1" localSheetId="3">'Sample Inputs'!$C$11</definedName>
    <definedName name="In_OpeningCashW1" localSheetId="4">'Sample Inputs'!$C$11</definedName>
    <definedName name="In_OpeningCashW1">Inputs!$C$11</definedName>
    <definedName name="In_PackFilename" localSheetId="3">"13_Week_Cash_Flow.xlsx"</definedName>
    <definedName name="In_PackFilename" localSheetId="4">'Sample Inputs'!$C$152</definedName>
    <definedName name="In_PackFilename">"13_Week_Cash_Flow.xlsx"</definedName>
    <definedName name="In_PackTitle" localSheetId="3">"13-Week Cash Flow"</definedName>
    <definedName name="In_PackTitle" localSheetId="4">'Sample Inputs'!$C$150</definedName>
    <definedName name="In_PackTitle">"13-Week Cash Flow"</definedName>
    <definedName name="In_Payroll_Bi" localSheetId="3">'Sample Inputs'!$C$104</definedName>
    <definedName name="In_Payroll_Bi" localSheetId="4">'Sample Inputs'!$C$104</definedName>
    <definedName name="In_Payroll_Bi">Inputs!$C$104</definedName>
    <definedName name="In_Tax_Q" localSheetId="3">'Sample Inputs'!$C$133</definedName>
    <definedName name="In_Tax_Q" localSheetId="4">'Sample Inputs'!$C$133</definedName>
    <definedName name="In_Tax_Q">Inputs!$C$133</definedName>
    <definedName name="_xlnm.Print_Area" localSheetId="1">Cashflow!$A$1:$O$55</definedName>
    <definedName name="_xlnm.Print_Area" localSheetId="3">'Sample Cashflow'!$A$1:$O$55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7" l="1"/>
  <c r="N41" i="7"/>
  <c r="M41" i="7"/>
  <c r="L41" i="7"/>
  <c r="K41" i="7"/>
  <c r="J41" i="7"/>
  <c r="I41" i="7"/>
  <c r="H41" i="7"/>
  <c r="G41" i="7"/>
  <c r="F41" i="7"/>
  <c r="E41" i="7"/>
  <c r="D41" i="7"/>
  <c r="O41" i="2"/>
  <c r="N41" i="2"/>
  <c r="M41" i="2"/>
  <c r="L41" i="2"/>
  <c r="K41" i="2"/>
  <c r="J41" i="2"/>
  <c r="I41" i="2"/>
  <c r="H41" i="2"/>
  <c r="G41" i="2"/>
  <c r="F41" i="2"/>
  <c r="E41" i="2"/>
  <c r="D41" i="2"/>
  <c r="C41" i="7"/>
  <c r="C41" i="2"/>
  <c r="L1" i="7"/>
  <c r="D141" i="6"/>
  <c r="E141" i="6"/>
  <c r="F141" i="6"/>
  <c r="G141" i="6"/>
  <c r="H141" i="6"/>
  <c r="I141" i="6"/>
  <c r="J141" i="6"/>
  <c r="K141" i="6"/>
  <c r="L141" i="6"/>
  <c r="M141" i="6"/>
  <c r="N141" i="6"/>
  <c r="O141" i="6"/>
  <c r="C141" i="6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O151" i="7"/>
  <c r="N151" i="7"/>
  <c r="M151" i="7"/>
  <c r="L151" i="7"/>
  <c r="K151" i="7"/>
  <c r="J151" i="7"/>
  <c r="I151" i="7"/>
  <c r="H151" i="7"/>
  <c r="G151" i="7"/>
  <c r="F151" i="7"/>
  <c r="E151" i="7"/>
  <c r="D151" i="7"/>
  <c r="C151" i="7"/>
  <c r="O150" i="7"/>
  <c r="N150" i="7"/>
  <c r="M150" i="7"/>
  <c r="L150" i="7"/>
  <c r="K150" i="7"/>
  <c r="J150" i="7"/>
  <c r="I150" i="7"/>
  <c r="H150" i="7"/>
  <c r="G150" i="7"/>
  <c r="F150" i="7"/>
  <c r="E150" i="7"/>
  <c r="D150" i="7"/>
  <c r="C150" i="7"/>
  <c r="O149" i="7"/>
  <c r="N149" i="7"/>
  <c r="M149" i="7"/>
  <c r="L149" i="7"/>
  <c r="K149" i="7"/>
  <c r="J149" i="7"/>
  <c r="I149" i="7"/>
  <c r="H149" i="7"/>
  <c r="G149" i="7"/>
  <c r="F149" i="7"/>
  <c r="E149" i="7"/>
  <c r="D149" i="7"/>
  <c r="C149" i="7"/>
  <c r="O148" i="7"/>
  <c r="N148" i="7"/>
  <c r="M148" i="7"/>
  <c r="L148" i="7"/>
  <c r="K148" i="7"/>
  <c r="J148" i="7"/>
  <c r="I148" i="7"/>
  <c r="H148" i="7"/>
  <c r="G148" i="7"/>
  <c r="F148" i="7"/>
  <c r="E148" i="7"/>
  <c r="D148" i="7"/>
  <c r="C148" i="7"/>
  <c r="O147" i="7"/>
  <c r="N147" i="7"/>
  <c r="M147" i="7"/>
  <c r="L147" i="7"/>
  <c r="K147" i="7"/>
  <c r="J147" i="7"/>
  <c r="I147" i="7"/>
  <c r="H147" i="7"/>
  <c r="G147" i="7"/>
  <c r="F147" i="7"/>
  <c r="E147" i="7"/>
  <c r="D147" i="7"/>
  <c r="C147" i="7"/>
  <c r="O146" i="7"/>
  <c r="N146" i="7"/>
  <c r="M146" i="7"/>
  <c r="L146" i="7"/>
  <c r="K146" i="7"/>
  <c r="J146" i="7"/>
  <c r="I146" i="7"/>
  <c r="H146" i="7"/>
  <c r="G146" i="7"/>
  <c r="F146" i="7"/>
  <c r="E146" i="7"/>
  <c r="D146" i="7"/>
  <c r="C146" i="7"/>
  <c r="O145" i="7"/>
  <c r="N145" i="7"/>
  <c r="M145" i="7"/>
  <c r="L145" i="7"/>
  <c r="K145" i="7"/>
  <c r="J145" i="7"/>
  <c r="I145" i="7"/>
  <c r="H145" i="7"/>
  <c r="G145" i="7"/>
  <c r="F145" i="7"/>
  <c r="E145" i="7"/>
  <c r="D145" i="7"/>
  <c r="C145" i="7"/>
  <c r="O144" i="7"/>
  <c r="N144" i="7"/>
  <c r="M144" i="7"/>
  <c r="L144" i="7"/>
  <c r="K144" i="7"/>
  <c r="J144" i="7"/>
  <c r="I144" i="7"/>
  <c r="H144" i="7"/>
  <c r="G144" i="7"/>
  <c r="F144" i="7"/>
  <c r="E144" i="7"/>
  <c r="D144" i="7"/>
  <c r="C144" i="7"/>
  <c r="O105" i="7"/>
  <c r="N105" i="7"/>
  <c r="M105" i="7"/>
  <c r="L105" i="7"/>
  <c r="K105" i="7"/>
  <c r="J105" i="7"/>
  <c r="I105" i="7"/>
  <c r="H105" i="7"/>
  <c r="G105" i="7"/>
  <c r="F105" i="7"/>
  <c r="E105" i="7"/>
  <c r="D105" i="7"/>
  <c r="C105" i="7"/>
  <c r="O104" i="7"/>
  <c r="N104" i="7"/>
  <c r="M104" i="7"/>
  <c r="L104" i="7"/>
  <c r="K104" i="7"/>
  <c r="J104" i="7"/>
  <c r="I104" i="7"/>
  <c r="H104" i="7"/>
  <c r="G104" i="7"/>
  <c r="F104" i="7"/>
  <c r="E104" i="7"/>
  <c r="D104" i="7"/>
  <c r="C104" i="7"/>
  <c r="C51" i="7"/>
  <c r="C50" i="7"/>
  <c r="C49" i="7"/>
  <c r="C48" i="7"/>
  <c r="C47" i="7"/>
  <c r="C46" i="7"/>
  <c r="B45" i="7"/>
  <c r="C28" i="7"/>
  <c r="C2" i="7"/>
  <c r="O146" i="6"/>
  <c r="N146" i="6"/>
  <c r="M146" i="6"/>
  <c r="L146" i="6"/>
  <c r="K146" i="6"/>
  <c r="J146" i="6"/>
  <c r="I146" i="6"/>
  <c r="H146" i="6"/>
  <c r="G146" i="6"/>
  <c r="F146" i="6"/>
  <c r="E146" i="6"/>
  <c r="D146" i="6"/>
  <c r="C146" i="6"/>
  <c r="O144" i="6"/>
  <c r="N144" i="6"/>
  <c r="M144" i="6"/>
  <c r="L144" i="6"/>
  <c r="K144" i="6"/>
  <c r="J144" i="6"/>
  <c r="I144" i="6"/>
  <c r="H144" i="6"/>
  <c r="G144" i="6"/>
  <c r="F144" i="6"/>
  <c r="E144" i="6"/>
  <c r="D144" i="6"/>
  <c r="C144" i="6"/>
  <c r="O143" i="6"/>
  <c r="N143" i="6"/>
  <c r="M143" i="6"/>
  <c r="L143" i="6"/>
  <c r="K143" i="6"/>
  <c r="J143" i="6"/>
  <c r="I143" i="6"/>
  <c r="H143" i="6"/>
  <c r="G143" i="6"/>
  <c r="F143" i="6"/>
  <c r="E143" i="6"/>
  <c r="D143" i="6"/>
  <c r="C143" i="6"/>
  <c r="O140" i="6"/>
  <c r="N140" i="6"/>
  <c r="M140" i="6"/>
  <c r="L140" i="6"/>
  <c r="K140" i="6"/>
  <c r="J140" i="6"/>
  <c r="I140" i="6"/>
  <c r="H140" i="6"/>
  <c r="G140" i="6"/>
  <c r="F140" i="6"/>
  <c r="E140" i="6"/>
  <c r="D140" i="6"/>
  <c r="C140" i="6"/>
  <c r="O139" i="6"/>
  <c r="N139" i="6"/>
  <c r="M139" i="6"/>
  <c r="L139" i="6"/>
  <c r="K139" i="6"/>
  <c r="J139" i="6"/>
  <c r="I139" i="6"/>
  <c r="H139" i="6"/>
  <c r="G139" i="6"/>
  <c r="F139" i="6"/>
  <c r="E139" i="6"/>
  <c r="D139" i="6"/>
  <c r="C139" i="6"/>
  <c r="C138" i="6"/>
  <c r="O137" i="6"/>
  <c r="N137" i="6"/>
  <c r="M137" i="6"/>
  <c r="L137" i="6"/>
  <c r="K137" i="6"/>
  <c r="J137" i="6"/>
  <c r="I137" i="6"/>
  <c r="H137" i="6"/>
  <c r="G137" i="6"/>
  <c r="F137" i="6"/>
  <c r="E137" i="6"/>
  <c r="D137" i="6"/>
  <c r="C137" i="6"/>
  <c r="C134" i="6"/>
  <c r="C132" i="6"/>
  <c r="C130" i="6"/>
  <c r="O124" i="6"/>
  <c r="N124" i="6"/>
  <c r="M124" i="6"/>
  <c r="L124" i="6"/>
  <c r="K124" i="6"/>
  <c r="J124" i="6"/>
  <c r="I124" i="6"/>
  <c r="H124" i="6"/>
  <c r="G124" i="6"/>
  <c r="F124" i="6"/>
  <c r="E124" i="6"/>
  <c r="D124" i="6"/>
  <c r="C124" i="6"/>
  <c r="O101" i="6"/>
  <c r="N101" i="6"/>
  <c r="M101" i="6"/>
  <c r="L101" i="6"/>
  <c r="E84" i="6"/>
  <c r="E83" i="6"/>
  <c r="E82" i="6"/>
  <c r="E81" i="6"/>
  <c r="E80" i="6"/>
  <c r="E79" i="6"/>
  <c r="E78" i="6"/>
  <c r="E77" i="6"/>
  <c r="E76" i="6"/>
  <c r="E75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O101" i="3"/>
  <c r="N101" i="3"/>
  <c r="M101" i="3"/>
  <c r="L101" i="3"/>
  <c r="E84" i="3"/>
  <c r="E83" i="3"/>
  <c r="E82" i="3"/>
  <c r="E81" i="3"/>
  <c r="E80" i="3"/>
  <c r="E79" i="3"/>
  <c r="E78" i="3"/>
  <c r="E77" i="3"/>
  <c r="E7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C138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C134" i="3"/>
  <c r="C132" i="3"/>
  <c r="C130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C51" i="2"/>
  <c r="C50" i="2"/>
  <c r="C49" i="2"/>
  <c r="C48" i="2"/>
  <c r="C47" i="2"/>
  <c r="C46" i="2"/>
  <c r="B45" i="2"/>
  <c r="C28" i="2"/>
  <c r="C2" i="2"/>
  <c r="K136" i="7" l="1" a="1"/>
  <c r="K136" i="7" s="1"/>
  <c r="K38" i="7" s="1"/>
  <c r="J136" i="7" a="1"/>
  <c r="I136" i="7" a="1"/>
  <c r="H136" i="7" a="1"/>
  <c r="H136" i="7" s="1"/>
  <c r="H38" i="7" s="1"/>
  <c r="G136" i="7" a="1"/>
  <c r="F136" i="7" a="1"/>
  <c r="E136" i="7" a="1"/>
  <c r="E136" i="7" s="1"/>
  <c r="E38" i="7" s="1"/>
  <c r="D136" i="7" a="1"/>
  <c r="C136" i="7" a="1"/>
  <c r="O134" i="7" a="1"/>
  <c r="N134" i="7" a="1"/>
  <c r="N134" i="7" s="1"/>
  <c r="N36" i="7" s="1"/>
  <c r="M134" i="7" a="1"/>
  <c r="L134" i="7" a="1"/>
  <c r="L134" i="7" s="1"/>
  <c r="L36" i="7" s="1"/>
  <c r="K134" i="7" a="1"/>
  <c r="J134" i="7" a="1"/>
  <c r="J134" i="7" s="1"/>
  <c r="J36" i="7" s="1"/>
  <c r="I134" i="7" a="1"/>
  <c r="I134" i="7" s="1"/>
  <c r="I36" i="7" s="1"/>
  <c r="H134" i="7" a="1"/>
  <c r="H134" i="7" s="1"/>
  <c r="H36" i="7" s="1"/>
  <c r="G134" i="7" a="1"/>
  <c r="G134" i="7" s="1"/>
  <c r="G36" i="7" s="1"/>
  <c r="F134" i="7" a="1"/>
  <c r="E134" i="7" a="1"/>
  <c r="E134" i="7" s="1"/>
  <c r="E36" i="7" s="1"/>
  <c r="D134" i="7" a="1"/>
  <c r="D134" i="7" s="1"/>
  <c r="D36" i="7" s="1"/>
  <c r="C134" i="7" a="1"/>
  <c r="C134" i="7" s="1"/>
  <c r="C36" i="7" s="1"/>
  <c r="O133" i="7" a="1"/>
  <c r="O133" i="7" s="1"/>
  <c r="O35" i="7" s="1"/>
  <c r="E75" i="3"/>
  <c r="O136" i="7" a="1"/>
  <c r="O136" i="7" s="1"/>
  <c r="O38" i="7" s="1"/>
  <c r="N136" i="7" a="1"/>
  <c r="N136" i="7" s="1"/>
  <c r="N38" i="7" s="1"/>
  <c r="M136" i="7" a="1"/>
  <c r="M136" i="7" s="1"/>
  <c r="M38" i="7" s="1"/>
  <c r="L136" i="7" a="1"/>
  <c r="L136" i="7" s="1"/>
  <c r="L38" i="7" s="1"/>
  <c r="N133" i="7" a="1"/>
  <c r="N133" i="7" s="1"/>
  <c r="N35" i="7" s="1"/>
  <c r="M133" i="7" a="1"/>
  <c r="M133" i="7" s="1"/>
  <c r="M35" i="7" s="1"/>
  <c r="L133" i="7" a="1"/>
  <c r="L133" i="7" s="1"/>
  <c r="L35" i="7" s="1"/>
  <c r="K133" i="7" a="1"/>
  <c r="K133" i="7" s="1"/>
  <c r="K35" i="7" s="1"/>
  <c r="J133" i="7" a="1"/>
  <c r="J133" i="7" s="1"/>
  <c r="J35" i="7" s="1"/>
  <c r="I133" i="7" a="1"/>
  <c r="I133" i="7" s="1"/>
  <c r="I35" i="7" s="1"/>
  <c r="H133" i="7" a="1"/>
  <c r="H133" i="7" s="1"/>
  <c r="H35" i="7" s="1"/>
  <c r="G133" i="7" a="1"/>
  <c r="G133" i="7" s="1"/>
  <c r="G35" i="7" s="1"/>
  <c r="F133" i="7" a="1"/>
  <c r="F133" i="7" s="1"/>
  <c r="F35" i="7" s="1"/>
  <c r="E133" i="7" a="1"/>
  <c r="E133" i="7" s="1"/>
  <c r="E35" i="7" s="1"/>
  <c r="D133" i="7" a="1"/>
  <c r="D133" i="7" s="1"/>
  <c r="D35" i="7" s="1"/>
  <c r="C133" i="7" a="1"/>
  <c r="C133" i="7" s="1"/>
  <c r="C35" i="7" s="1"/>
  <c r="O131" i="7" a="1"/>
  <c r="O131" i="7" s="1"/>
  <c r="O33" i="7" s="1"/>
  <c r="N131" i="7" a="1"/>
  <c r="N131" i="7" s="1"/>
  <c r="N33" i="7" s="1"/>
  <c r="M131" i="7" a="1"/>
  <c r="M131" i="7" s="1"/>
  <c r="M33" i="7" s="1"/>
  <c r="L131" i="7" a="1"/>
  <c r="L131" i="7" s="1"/>
  <c r="L33" i="7" s="1"/>
  <c r="K131" i="7" a="1"/>
  <c r="K131" i="7" s="1"/>
  <c r="K33" i="7" s="1"/>
  <c r="J131" i="7" a="1"/>
  <c r="J131" i="7" s="1"/>
  <c r="J33" i="7" s="1"/>
  <c r="I131" i="7" a="1"/>
  <c r="I131" i="7" s="1"/>
  <c r="I33" i="7" s="1"/>
  <c r="H131" i="7" a="1"/>
  <c r="H131" i="7" s="1"/>
  <c r="H33" i="7" s="1"/>
  <c r="G131" i="7" a="1"/>
  <c r="G131" i="7" s="1"/>
  <c r="G33" i="7" s="1"/>
  <c r="F131" i="7" a="1"/>
  <c r="F131" i="7" s="1"/>
  <c r="F33" i="7" s="1"/>
  <c r="E131" i="7" a="1"/>
  <c r="E131" i="7" s="1"/>
  <c r="E33" i="7" s="1"/>
  <c r="D131" i="7" a="1"/>
  <c r="D131" i="7" s="1"/>
  <c r="D33" i="7" s="1"/>
  <c r="C131" i="7" a="1"/>
  <c r="C131" i="7" s="1"/>
  <c r="C33" i="7" s="1"/>
  <c r="O130" i="7" a="1"/>
  <c r="O130" i="7" s="1"/>
  <c r="O31" i="7" s="1"/>
  <c r="N130" i="7" a="1"/>
  <c r="N130" i="7" s="1"/>
  <c r="N31" i="7" s="1"/>
  <c r="M130" i="7" a="1"/>
  <c r="M130" i="7" s="1"/>
  <c r="M31" i="7" s="1"/>
  <c r="L130" i="7" a="1"/>
  <c r="L130" i="7" s="1"/>
  <c r="L31" i="7" s="1"/>
  <c r="K130" i="7" a="1"/>
  <c r="K130" i="7" s="1"/>
  <c r="K31" i="7" s="1"/>
  <c r="J130" i="7" a="1"/>
  <c r="J130" i="7" s="1"/>
  <c r="J31" i="7" s="1"/>
  <c r="I130" i="7" a="1"/>
  <c r="I130" i="7" s="1"/>
  <c r="I31" i="7" s="1"/>
  <c r="H130" i="7" a="1"/>
  <c r="H130" i="7" s="1"/>
  <c r="H31" i="7" s="1"/>
  <c r="G130" i="7" a="1"/>
  <c r="G130" i="7" s="1"/>
  <c r="G31" i="7" s="1"/>
  <c r="F130" i="7" a="1"/>
  <c r="F130" i="7" s="1"/>
  <c r="F31" i="7" s="1"/>
  <c r="E130" i="7" a="1"/>
  <c r="E130" i="7" s="1"/>
  <c r="E31" i="7" s="1"/>
  <c r="D130" i="7" a="1"/>
  <c r="D130" i="7" s="1"/>
  <c r="D31" i="7" s="1"/>
  <c r="C130" i="7" a="1"/>
  <c r="C130" i="7" s="1"/>
  <c r="C31" i="7" s="1"/>
  <c r="O129" i="7" a="1"/>
  <c r="O129" i="7" s="1"/>
  <c r="O30" i="7" s="1"/>
  <c r="N129" i="7" a="1"/>
  <c r="N129" i="7" s="1"/>
  <c r="N30" i="7" s="1"/>
  <c r="M129" i="7" a="1"/>
  <c r="M129" i="7" s="1"/>
  <c r="M30" i="7" s="1"/>
  <c r="L129" i="7" a="1"/>
  <c r="L129" i="7" s="1"/>
  <c r="L30" i="7" s="1"/>
  <c r="K129" i="7" a="1"/>
  <c r="K129" i="7" s="1"/>
  <c r="K30" i="7" s="1"/>
  <c r="J129" i="7" a="1"/>
  <c r="J129" i="7" s="1"/>
  <c r="J30" i="7" s="1"/>
  <c r="I129" i="7" a="1"/>
  <c r="I129" i="7" s="1"/>
  <c r="I30" i="7" s="1"/>
  <c r="H129" i="7" a="1"/>
  <c r="H129" i="7" s="1"/>
  <c r="H30" i="7" s="1"/>
  <c r="G129" i="7" a="1"/>
  <c r="G129" i="7" s="1"/>
  <c r="G30" i="7" s="1"/>
  <c r="F129" i="7" a="1"/>
  <c r="F129" i="7" s="1"/>
  <c r="F30" i="7" s="1"/>
  <c r="E129" i="7" a="1"/>
  <c r="E129" i="7" s="1"/>
  <c r="E30" i="7" s="1"/>
  <c r="D129" i="7" a="1"/>
  <c r="D129" i="7" s="1"/>
  <c r="D30" i="7" s="1"/>
  <c r="C129" i="7" a="1"/>
  <c r="C129" i="7" s="1"/>
  <c r="C30" i="7" s="1"/>
  <c r="I136" i="7"/>
  <c r="I38" i="7" s="1"/>
  <c r="F136" i="7"/>
  <c r="F38" i="7" s="1"/>
  <c r="O145" i="6" a="1"/>
  <c r="O135" i="7" s="1" a="1"/>
  <c r="O135" i="7" s="1"/>
  <c r="O37" i="7" s="1"/>
  <c r="N145" i="6" a="1"/>
  <c r="N135" i="7" s="1" a="1"/>
  <c r="N135" i="7" s="1"/>
  <c r="N37" i="7" s="1"/>
  <c r="M145" i="6" a="1"/>
  <c r="M135" i="7" s="1" a="1"/>
  <c r="M135" i="7" s="1"/>
  <c r="M37" i="7" s="1"/>
  <c r="L145" i="6" a="1"/>
  <c r="L135" i="7" s="1" a="1"/>
  <c r="L135" i="7" s="1"/>
  <c r="L37" i="7" s="1"/>
  <c r="K145" i="6" a="1"/>
  <c r="K135" i="7" s="1" a="1"/>
  <c r="K135" i="7" s="1"/>
  <c r="K37" i="7" s="1"/>
  <c r="J145" i="6" a="1"/>
  <c r="J135" i="7" s="1" a="1"/>
  <c r="J135" i="7" s="1"/>
  <c r="J37" i="7" s="1"/>
  <c r="I145" i="6" a="1"/>
  <c r="I135" i="7" s="1" a="1"/>
  <c r="I135" i="7" s="1"/>
  <c r="I37" i="7" s="1"/>
  <c r="H145" i="6" a="1"/>
  <c r="H135" i="7" s="1" a="1"/>
  <c r="H135" i="7" s="1"/>
  <c r="H37" i="7" s="1"/>
  <c r="G145" i="6" a="1"/>
  <c r="G135" i="7" s="1" a="1"/>
  <c r="G135" i="7" s="1"/>
  <c r="G37" i="7" s="1"/>
  <c r="F145" i="6" a="1"/>
  <c r="F135" i="7" s="1" a="1"/>
  <c r="F135" i="7" s="1"/>
  <c r="F37" i="7" s="1"/>
  <c r="E145" i="6" a="1"/>
  <c r="E135" i="7" s="1" a="1"/>
  <c r="E135" i="7" s="1"/>
  <c r="E37" i="7" s="1"/>
  <c r="D145" i="6" a="1"/>
  <c r="D135" i="7" s="1" a="1"/>
  <c r="D135" i="7" s="1"/>
  <c r="D37" i="7" s="1"/>
  <c r="C145" i="6" a="1"/>
  <c r="C135" i="7" s="1" a="1"/>
  <c r="C135" i="7" s="1"/>
  <c r="C37" i="7" s="1"/>
  <c r="O142" i="6" a="1"/>
  <c r="N142" i="6" a="1"/>
  <c r="M142" i="6" a="1"/>
  <c r="M132" i="7" s="1" a="1"/>
  <c r="M132" i="7" s="1"/>
  <c r="M34" i="7" s="1"/>
  <c r="D135" i="2" s="1" a="1"/>
  <c r="C135" i="2" s="1" a="1"/>
  <c r="L142" i="6" a="1"/>
  <c r="K142" i="6" a="1"/>
  <c r="J142" i="6" a="1"/>
  <c r="I142" i="6" a="1"/>
  <c r="H142" i="6" a="1"/>
  <c r="G142" i="6" a="1"/>
  <c r="F142" i="6" a="1"/>
  <c r="E142" i="6" a="1"/>
  <c r="D142" i="6" a="1"/>
  <c r="C142" i="6" a="1"/>
  <c r="O145" i="3" a="1"/>
  <c r="O135" i="2" s="1" a="1"/>
  <c r="N145" i="3" a="1"/>
  <c r="N135" i="2" s="1" a="1"/>
  <c r="M145" i="3" a="1"/>
  <c r="L145" i="3" a="1"/>
  <c r="K145" i="3" a="1"/>
  <c r="J145" i="3" a="1"/>
  <c r="I145" i="3" a="1"/>
  <c r="H145" i="3" a="1"/>
  <c r="G145" i="3" a="1"/>
  <c r="F145" i="3" a="1"/>
  <c r="E145" i="3" a="1"/>
  <c r="D145" i="3" a="1"/>
  <c r="C145" i="3" a="1"/>
  <c r="F136" i="2" a="1"/>
  <c r="F136" i="2" s="1"/>
  <c r="E136" i="2" a="1"/>
  <c r="E136" i="2" s="1"/>
  <c r="D136" i="2" a="1"/>
  <c r="D136" i="2" s="1"/>
  <c r="D38" i="2" s="1"/>
  <c r="C136" i="2" a="1"/>
  <c r="C136" i="2" s="1"/>
  <c r="C38" i="2" s="1"/>
  <c r="O136" i="2" a="1"/>
  <c r="O136" i="2" s="1"/>
  <c r="N136" i="2" a="1"/>
  <c r="N136" i="2" s="1"/>
  <c r="M136" i="2" a="1"/>
  <c r="M136" i="2" s="1"/>
  <c r="L136" i="2" a="1"/>
  <c r="L136" i="2" s="1"/>
  <c r="K136" i="2" a="1"/>
  <c r="K136" i="2" s="1"/>
  <c r="J136" i="2" a="1"/>
  <c r="J136" i="2" s="1"/>
  <c r="I136" i="2" a="1"/>
  <c r="I136" i="2" s="1"/>
  <c r="H136" i="2" a="1"/>
  <c r="H136" i="2" s="1"/>
  <c r="H38" i="2" s="1"/>
  <c r="G136" i="2" a="1"/>
  <c r="G136" i="2" s="1"/>
  <c r="G38" i="2" s="1"/>
  <c r="O134" i="2" a="1"/>
  <c r="O134" i="2" s="1"/>
  <c r="O36" i="2" s="1"/>
  <c r="N134" i="2" a="1"/>
  <c r="N134" i="2" s="1"/>
  <c r="N36" i="2" s="1"/>
  <c r="M134" i="2" a="1"/>
  <c r="M134" i="2" s="1"/>
  <c r="M36" i="2" s="1"/>
  <c r="L134" i="2" a="1"/>
  <c r="L134" i="2" s="1"/>
  <c r="L36" i="2" s="1"/>
  <c r="K134" i="2" a="1"/>
  <c r="K134" i="2" s="1"/>
  <c r="K36" i="2" s="1"/>
  <c r="J134" i="2" a="1"/>
  <c r="J134" i="2" s="1"/>
  <c r="J36" i="2" s="1"/>
  <c r="I134" i="2" a="1"/>
  <c r="I134" i="2" s="1"/>
  <c r="I36" i="2" s="1"/>
  <c r="H134" i="2" a="1"/>
  <c r="H134" i="2" s="1"/>
  <c r="H36" i="2" s="1"/>
  <c r="G134" i="2" a="1"/>
  <c r="G134" i="2" s="1"/>
  <c r="G36" i="2" s="1"/>
  <c r="F134" i="2" a="1"/>
  <c r="F134" i="2" s="1"/>
  <c r="F36" i="2" s="1"/>
  <c r="E134" i="2" a="1"/>
  <c r="E134" i="2" s="1"/>
  <c r="E36" i="2" s="1"/>
  <c r="O129" i="2" a="1"/>
  <c r="O129" i="2" s="1"/>
  <c r="O30" i="2" s="1"/>
  <c r="N129" i="2" a="1"/>
  <c r="N129" i="2" s="1"/>
  <c r="N30" i="2" s="1"/>
  <c r="M129" i="2" a="1"/>
  <c r="M129" i="2" s="1"/>
  <c r="L129" i="2" a="1"/>
  <c r="L129" i="2" s="1"/>
  <c r="K129" i="2" a="1"/>
  <c r="K129" i="2" s="1"/>
  <c r="J129" i="2" a="1"/>
  <c r="J129" i="2" s="1"/>
  <c r="I129" i="2" a="1"/>
  <c r="I129" i="2" s="1"/>
  <c r="I30" i="2" s="1"/>
  <c r="H129" i="2" a="1"/>
  <c r="H129" i="2" s="1"/>
  <c r="G129" i="2" a="1"/>
  <c r="G129" i="2" s="1"/>
  <c r="F129" i="2" a="1"/>
  <c r="F129" i="2" s="1"/>
  <c r="F30" i="2" s="1"/>
  <c r="E129" i="2" a="1"/>
  <c r="E129" i="2" s="1"/>
  <c r="D129" i="2" a="1"/>
  <c r="D129" i="2" s="1"/>
  <c r="C129" i="2" a="1"/>
  <c r="C129" i="2" s="1"/>
  <c r="C30" i="2" s="1"/>
  <c r="D134" i="2" a="1"/>
  <c r="D134" i="2" s="1"/>
  <c r="D36" i="2" s="1"/>
  <c r="C134" i="2" a="1"/>
  <c r="C134" i="2" s="1"/>
  <c r="C36" i="2" s="1"/>
  <c r="O133" i="2" a="1"/>
  <c r="O133" i="2" s="1"/>
  <c r="O35" i="2" s="1"/>
  <c r="N133" i="2" a="1"/>
  <c r="N133" i="2" s="1"/>
  <c r="N35" i="2" s="1"/>
  <c r="M133" i="2" a="1"/>
  <c r="M133" i="2" s="1"/>
  <c r="M35" i="2" s="1"/>
  <c r="L133" i="2" a="1"/>
  <c r="L133" i="2" s="1"/>
  <c r="L35" i="2" s="1"/>
  <c r="K133" i="2" a="1"/>
  <c r="K133" i="2" s="1"/>
  <c r="K35" i="2" s="1"/>
  <c r="J133" i="2" a="1"/>
  <c r="J133" i="2" s="1"/>
  <c r="J35" i="2" s="1"/>
  <c r="I133" i="2" a="1"/>
  <c r="I133" i="2" s="1"/>
  <c r="I35" i="2" s="1"/>
  <c r="H133" i="2" a="1"/>
  <c r="H133" i="2" s="1"/>
  <c r="H35" i="2" s="1"/>
  <c r="G133" i="2" a="1"/>
  <c r="G133" i="2" s="1"/>
  <c r="G35" i="2" s="1"/>
  <c r="F133" i="2" a="1"/>
  <c r="F133" i="2" s="1"/>
  <c r="F35" i="2" s="1"/>
  <c r="E133" i="2" a="1"/>
  <c r="E133" i="2" s="1"/>
  <c r="E35" i="2" s="1"/>
  <c r="D133" i="2" a="1"/>
  <c r="D133" i="2" s="1"/>
  <c r="D35" i="2" s="1"/>
  <c r="C133" i="2" a="1"/>
  <c r="C133" i="2" s="1"/>
  <c r="C35" i="2" s="1"/>
  <c r="O131" i="2" a="1"/>
  <c r="O131" i="2" s="1"/>
  <c r="O33" i="2" s="1"/>
  <c r="N131" i="2" a="1"/>
  <c r="N131" i="2" s="1"/>
  <c r="N33" i="2" s="1"/>
  <c r="M131" i="2" a="1"/>
  <c r="M131" i="2" s="1"/>
  <c r="M33" i="2" s="1"/>
  <c r="L131" i="2" a="1"/>
  <c r="L131" i="2" s="1"/>
  <c r="L33" i="2" s="1"/>
  <c r="K131" i="2" a="1"/>
  <c r="K131" i="2" s="1"/>
  <c r="K33" i="2" s="1"/>
  <c r="J131" i="2" a="1"/>
  <c r="J131" i="2" s="1"/>
  <c r="J33" i="2" s="1"/>
  <c r="I131" i="2" a="1"/>
  <c r="I131" i="2" s="1"/>
  <c r="I33" i="2" s="1"/>
  <c r="H131" i="2" a="1"/>
  <c r="H131" i="2" s="1"/>
  <c r="H33" i="2" s="1"/>
  <c r="G131" i="2" a="1"/>
  <c r="G131" i="2" s="1"/>
  <c r="G33" i="2" s="1"/>
  <c r="F131" i="2" a="1"/>
  <c r="F131" i="2" s="1"/>
  <c r="F33" i="2" s="1"/>
  <c r="E131" i="2" a="1"/>
  <c r="E131" i="2" s="1"/>
  <c r="E33" i="2" s="1"/>
  <c r="D131" i="2" a="1"/>
  <c r="D131" i="2" s="1"/>
  <c r="D33" i="2" s="1"/>
  <c r="C131" i="2" a="1"/>
  <c r="C131" i="2" s="1"/>
  <c r="C33" i="2" s="1"/>
  <c r="O130" i="2" a="1"/>
  <c r="O130" i="2" s="1"/>
  <c r="O31" i="2" s="1"/>
  <c r="N130" i="2" a="1"/>
  <c r="N130" i="2" s="1"/>
  <c r="N31" i="2" s="1"/>
  <c r="M130" i="2" a="1"/>
  <c r="M130" i="2" s="1"/>
  <c r="M31" i="2" s="1"/>
  <c r="L130" i="2" a="1"/>
  <c r="L130" i="2" s="1"/>
  <c r="L31" i="2" s="1"/>
  <c r="K130" i="2" a="1"/>
  <c r="K130" i="2" s="1"/>
  <c r="K31" i="2" s="1"/>
  <c r="J130" i="2" a="1"/>
  <c r="J130" i="2" s="1"/>
  <c r="J31" i="2" s="1"/>
  <c r="I130" i="2" a="1"/>
  <c r="I130" i="2" s="1"/>
  <c r="I31" i="2" s="1"/>
  <c r="H130" i="2" a="1"/>
  <c r="H130" i="2" s="1"/>
  <c r="H31" i="2" s="1"/>
  <c r="G130" i="2" a="1"/>
  <c r="G130" i="2" s="1"/>
  <c r="G31" i="2" s="1"/>
  <c r="F130" i="2" a="1"/>
  <c r="F130" i="2" s="1"/>
  <c r="F31" i="2" s="1"/>
  <c r="E130" i="2" a="1"/>
  <c r="E130" i="2" s="1"/>
  <c r="E31" i="2" s="1"/>
  <c r="D130" i="2" a="1"/>
  <c r="D130" i="2" s="1"/>
  <c r="D31" i="2" s="1"/>
  <c r="C130" i="2" a="1"/>
  <c r="C130" i="2" s="1"/>
  <c r="C31" i="2" s="1"/>
  <c r="C136" i="7"/>
  <c r="C38" i="7" s="1"/>
  <c r="F134" i="7"/>
  <c r="F36" i="7" s="1"/>
  <c r="J136" i="7"/>
  <c r="J38" i="7" s="1"/>
  <c r="G136" i="7"/>
  <c r="G38" i="7" s="1"/>
  <c r="D136" i="7"/>
  <c r="D38" i="7" s="1"/>
  <c r="O134" i="7"/>
  <c r="O36" i="7" s="1"/>
  <c r="M134" i="7"/>
  <c r="M36" i="7" s="1"/>
  <c r="F142" i="3" a="1"/>
  <c r="G142" i="3" a="1"/>
  <c r="K134" i="7"/>
  <c r="K36" i="7" s="1"/>
  <c r="N142" i="3" a="1"/>
  <c r="L142" i="3" a="1"/>
  <c r="K142" i="3" a="1"/>
  <c r="M142" i="3" l="1" a="1"/>
  <c r="I142" i="3" a="1"/>
  <c r="H142" i="3" a="1"/>
  <c r="D142" i="3" a="1"/>
  <c r="C142" i="3" a="1"/>
  <c r="J142" i="3" a="1"/>
  <c r="E142" i="3" a="1"/>
  <c r="O142" i="3" a="1"/>
  <c r="I135" i="2" a="1"/>
  <c r="K135" i="2" a="1"/>
  <c r="J135" i="2" a="1"/>
  <c r="F132" i="7" s="1" a="1"/>
  <c r="F132" i="7" s="1"/>
  <c r="F34" i="7" s="1"/>
  <c r="I132" i="7" s="1" a="1"/>
  <c r="I132" i="7" s="1"/>
  <c r="I34" i="7" s="1"/>
  <c r="N132" i="7" s="1" a="1"/>
  <c r="N132" i="7" s="1"/>
  <c r="N34" i="7" s="1"/>
  <c r="K132" i="7" s="1" a="1"/>
  <c r="K132" i="7" s="1"/>
  <c r="K34" i="7" s="1"/>
  <c r="L132" i="7" s="1" a="1"/>
  <c r="L132" i="7" s="1"/>
  <c r="L34" i="7" s="1"/>
  <c r="J132" i="7" s="1" a="1"/>
  <c r="J132" i="7" s="1"/>
  <c r="J34" i="7" s="1"/>
  <c r="C132" i="7" s="1" a="1"/>
  <c r="C132" i="7" s="1"/>
  <c r="C34" i="7" s="1"/>
  <c r="G132" i="7" s="1" a="1"/>
  <c r="G132" i="7" s="1"/>
  <c r="G34" i="7" s="1"/>
  <c r="D132" i="7" s="1" a="1"/>
  <c r="D132" i="7" s="1"/>
  <c r="D34" i="7" s="1"/>
  <c r="H135" i="2" a="1"/>
  <c r="M135" i="2" a="1"/>
  <c r="G135" i="2" a="1"/>
  <c r="M39" i="7"/>
  <c r="M132" i="2" s="1" a="1"/>
  <c r="M132" i="2" s="1"/>
  <c r="M34" i="2" s="1"/>
  <c r="O132" i="7" s="1" a="1"/>
  <c r="O132" i="7" s="1"/>
  <c r="O34" i="7" s="1"/>
  <c r="E132" i="7" s="1" a="1"/>
  <c r="E132" i="7" s="1"/>
  <c r="E34" i="7" s="1"/>
  <c r="E39" i="7" s="1"/>
  <c r="L135" i="2" a="1"/>
  <c r="F135" i="2" a="1"/>
  <c r="E135" i="2" a="1"/>
  <c r="D135" i="2"/>
  <c r="D37" i="2" s="1"/>
  <c r="C135" i="2"/>
  <c r="C37" i="2" s="1"/>
  <c r="H132" i="7" a="1"/>
  <c r="H132" i="7" s="1"/>
  <c r="H34" i="7" s="1"/>
  <c r="H39" i="7" s="1"/>
  <c r="O135" i="2"/>
  <c r="O37" i="2" s="1"/>
  <c r="N135" i="2"/>
  <c r="N37" i="2" s="1"/>
  <c r="O38" i="2"/>
  <c r="N38" i="2"/>
  <c r="M38" i="2"/>
  <c r="E38" i="2"/>
  <c r="L38" i="2"/>
  <c r="J38" i="2"/>
  <c r="M30" i="2"/>
  <c r="K30" i="2"/>
  <c r="G30" i="2"/>
  <c r="D30" i="2"/>
  <c r="J30" i="2"/>
  <c r="K38" i="2"/>
  <c r="I38" i="2"/>
  <c r="F38" i="2"/>
  <c r="H30" i="2"/>
  <c r="E30" i="2"/>
  <c r="L30" i="2"/>
  <c r="I135" i="2" l="1"/>
  <c r="I37" i="2" s="1"/>
  <c r="C39" i="7"/>
  <c r="K135" i="2"/>
  <c r="J135" i="2"/>
  <c r="J37" i="2" s="1"/>
  <c r="J39" i="7"/>
  <c r="H132" i="2" a="1"/>
  <c r="H132" i="2" s="1"/>
  <c r="H34" i="2" s="1"/>
  <c r="L39" i="7"/>
  <c r="G132" i="2" a="1"/>
  <c r="G132" i="2" s="1"/>
  <c r="G34" i="2" s="1"/>
  <c r="G39" i="7"/>
  <c r="D39" i="7"/>
  <c r="D132" i="2" a="1"/>
  <c r="D132" i="2" s="1"/>
  <c r="D34" i="2" s="1"/>
  <c r="J132" i="2" a="1"/>
  <c r="J132" i="2" s="1"/>
  <c r="J34" i="2" s="1"/>
  <c r="C132" i="2" a="1"/>
  <c r="C132" i="2" s="1"/>
  <c r="C34" i="2" s="1"/>
  <c r="L132" i="2" a="1"/>
  <c r="L132" i="2" s="1"/>
  <c r="L34" i="2" s="1"/>
  <c r="N39" i="7"/>
  <c r="K132" i="2" a="1"/>
  <c r="K132" i="2" s="1"/>
  <c r="K34" i="2" s="1"/>
  <c r="K39" i="7"/>
  <c r="I39" i="7"/>
  <c r="N132" i="2" a="1"/>
  <c r="N132" i="2" s="1"/>
  <c r="N34" i="2" s="1"/>
  <c r="F132" i="2" a="1"/>
  <c r="F132" i="2" s="1"/>
  <c r="F34" i="2" s="1"/>
  <c r="F39" i="7"/>
  <c r="I132" i="2" a="1"/>
  <c r="I132" i="2" s="1"/>
  <c r="I34" i="2" s="1"/>
  <c r="H135" i="2"/>
  <c r="H37" i="2" s="1"/>
  <c r="M135" i="2"/>
  <c r="M37" i="2" s="1"/>
  <c r="G135" i="2"/>
  <c r="G37" i="2" s="1"/>
  <c r="O39" i="7"/>
  <c r="L135" i="2"/>
  <c r="F135" i="2"/>
  <c r="F37" i="2" s="1"/>
  <c r="O132" i="2" a="1"/>
  <c r="O132" i="2" s="1"/>
  <c r="O34" i="2" s="1"/>
  <c r="E132" i="2" a="1"/>
  <c r="E132" i="2" s="1"/>
  <c r="E34" i="2" s="1"/>
  <c r="E135" i="2"/>
  <c r="E37" i="2" s="1"/>
  <c r="C40" i="7" l="1"/>
  <c r="H68" i="7"/>
  <c r="K37" i="2"/>
  <c r="D39" i="2"/>
  <c r="J39" i="2"/>
  <c r="C39" i="2"/>
  <c r="N39" i="2"/>
  <c r="I39" i="2"/>
  <c r="H39" i="2"/>
  <c r="M39" i="2"/>
  <c r="G39" i="2"/>
  <c r="L37" i="2"/>
  <c r="F39" i="2"/>
  <c r="O39" i="2"/>
  <c r="E39" i="2"/>
  <c r="D28" i="7" l="1"/>
  <c r="I68" i="7"/>
  <c r="J68" i="7" s="1"/>
  <c r="C107" i="7"/>
  <c r="C106" i="7"/>
  <c r="K39" i="2"/>
  <c r="C40" i="2"/>
  <c r="H68" i="2"/>
  <c r="L39" i="2"/>
  <c r="D40" i="7" l="1"/>
  <c r="H69" i="7"/>
  <c r="C106" i="2"/>
  <c r="C107" i="2"/>
  <c r="I68" i="2"/>
  <c r="D28" i="2"/>
  <c r="I69" i="7" l="1"/>
  <c r="J69" i="7" s="1"/>
  <c r="D106" i="7"/>
  <c r="D107" i="7"/>
  <c r="E28" i="7"/>
  <c r="E40" i="7" s="1"/>
  <c r="H69" i="2"/>
  <c r="J68" i="2"/>
  <c r="D40" i="2"/>
  <c r="I70" i="7"/>
  <c r="F28" i="7"/>
  <c r="E107" i="7" l="1"/>
  <c r="H70" i="7"/>
  <c r="J70" i="7" s="1"/>
  <c r="E106" i="7"/>
  <c r="D106" i="2"/>
  <c r="D107" i="2"/>
  <c r="E28" i="2"/>
  <c r="I69" i="2"/>
  <c r="J69" i="2" s="1"/>
  <c r="F40" i="7"/>
  <c r="H71" i="7"/>
  <c r="E40" i="2" l="1"/>
  <c r="H70" i="2"/>
  <c r="I71" i="7"/>
  <c r="J71" i="7" s="1"/>
  <c r="F106" i="7"/>
  <c r="F107" i="7"/>
  <c r="G28" i="7"/>
  <c r="E106" i="2" l="1"/>
  <c r="E107" i="2"/>
  <c r="F28" i="2"/>
  <c r="I70" i="2"/>
  <c r="J70" i="2" s="1"/>
  <c r="G40" i="7"/>
  <c r="H72" i="7"/>
  <c r="H71" i="2" l="1"/>
  <c r="F40" i="2"/>
  <c r="I72" i="7"/>
  <c r="J72" i="7" s="1"/>
  <c r="G106" i="7"/>
  <c r="G107" i="7"/>
  <c r="H28" i="7"/>
  <c r="F107" i="2" l="1"/>
  <c r="F106" i="2"/>
  <c r="G28" i="2"/>
  <c r="I71" i="2"/>
  <c r="J71" i="2" s="1"/>
  <c r="H40" i="7"/>
  <c r="H73" i="7"/>
  <c r="H72" i="2" l="1"/>
  <c r="G40" i="2"/>
  <c r="H106" i="7"/>
  <c r="H107" i="7"/>
  <c r="I73" i="7"/>
  <c r="J73" i="7" s="1"/>
  <c r="I28" i="7"/>
  <c r="G106" i="2" l="1"/>
  <c r="G107" i="2"/>
  <c r="H28" i="2"/>
  <c r="I72" i="2"/>
  <c r="J72" i="2" s="1"/>
  <c r="I40" i="7"/>
  <c r="H74" i="7"/>
  <c r="H73" i="2" l="1"/>
  <c r="H40" i="2"/>
  <c r="C112" i="7" a="1"/>
  <c r="C112" i="7" s="1"/>
  <c r="I106" i="7"/>
  <c r="I107" i="7"/>
  <c r="I74" i="7"/>
  <c r="J74" i="7" s="1"/>
  <c r="J28" i="7"/>
  <c r="H106" i="2" l="1"/>
  <c r="H107" i="2"/>
  <c r="I28" i="2"/>
  <c r="I73" i="2"/>
  <c r="J73" i="2" s="1"/>
  <c r="J40" i="7"/>
  <c r="H75" i="7"/>
  <c r="H74" i="2" l="1"/>
  <c r="I40" i="2"/>
  <c r="I75" i="7"/>
  <c r="J75" i="7" s="1"/>
  <c r="J106" i="7"/>
  <c r="J107" i="7"/>
  <c r="K28" i="7"/>
  <c r="I106" i="2" l="1"/>
  <c r="I107" i="2"/>
  <c r="J28" i="2"/>
  <c r="I74" i="2"/>
  <c r="J74" i="2" s="1"/>
  <c r="K40" i="7"/>
  <c r="H76" i="7"/>
  <c r="H75" i="2" l="1"/>
  <c r="J40" i="2"/>
  <c r="L28" i="7"/>
  <c r="I76" i="7"/>
  <c r="J76" i="7" s="1"/>
  <c r="K106" i="7"/>
  <c r="K107" i="7"/>
  <c r="J106" i="2" l="1"/>
  <c r="J107" i="2"/>
  <c r="K28" i="2"/>
  <c r="I75" i="2"/>
  <c r="J75" i="2" s="1"/>
  <c r="H77" i="7"/>
  <c r="L40" i="7"/>
  <c r="H76" i="2" l="1"/>
  <c r="K40" i="2"/>
  <c r="I77" i="7"/>
  <c r="J77" i="7" s="1"/>
  <c r="M28" i="7"/>
  <c r="L106" i="7"/>
  <c r="L107" i="7"/>
  <c r="K106" i="2" l="1"/>
  <c r="K107" i="2"/>
  <c r="L28" i="2"/>
  <c r="I76" i="2"/>
  <c r="J76" i="2" s="1"/>
  <c r="M40" i="7"/>
  <c r="H78" i="7"/>
  <c r="H77" i="2" l="1"/>
  <c r="L40" i="2"/>
  <c r="N28" i="7"/>
  <c r="I78" i="7"/>
  <c r="J78" i="7" s="1"/>
  <c r="M106" i="7"/>
  <c r="M107" i="7"/>
  <c r="L106" i="2" l="1"/>
  <c r="L107" i="2"/>
  <c r="M28" i="2"/>
  <c r="I77" i="2"/>
  <c r="J77" i="2" s="1"/>
  <c r="N40" i="7"/>
  <c r="H79" i="7"/>
  <c r="H78" i="2" l="1"/>
  <c r="M40" i="2"/>
  <c r="O28" i="7"/>
  <c r="I79" i="7"/>
  <c r="J79" i="7" s="1"/>
  <c r="N106" i="7"/>
  <c r="N107" i="7"/>
  <c r="M107" i="2" l="1"/>
  <c r="M106" i="2"/>
  <c r="N28" i="2"/>
  <c r="I78" i="2"/>
  <c r="J78" i="2" s="1"/>
  <c r="O40" i="7"/>
  <c r="H80" i="7"/>
  <c r="H79" i="2" l="1"/>
  <c r="N40" i="2"/>
  <c r="C111" i="7"/>
  <c r="C109" i="7"/>
  <c r="C110" i="7" s="1"/>
  <c r="O106" i="7"/>
  <c r="O107" i="7"/>
  <c r="I80" i="7"/>
  <c r="J80" i="7" s="1"/>
  <c r="J66" i="7" s="1"/>
  <c r="N106" i="2" l="1"/>
  <c r="N107" i="2"/>
  <c r="O28" i="2"/>
  <c r="I79" i="2"/>
  <c r="J79" i="2" s="1"/>
  <c r="C113" i="7" a="1"/>
  <c r="C113" i="7" s="1"/>
  <c r="H80" i="2" l="1"/>
  <c r="O40" i="2"/>
  <c r="C114" i="7"/>
  <c r="C115" i="7" s="1"/>
  <c r="B43" i="7" s="1"/>
  <c r="O106" i="2" l="1"/>
  <c r="C109" i="2"/>
  <c r="C110" i="2" s="1"/>
  <c r="C112" i="2" a="1"/>
  <c r="C112" i="2" s="1"/>
  <c r="O107" i="2"/>
  <c r="C111" i="2"/>
  <c r="I80" i="2"/>
  <c r="J80" i="2" s="1"/>
  <c r="J66" i="2" s="1"/>
  <c r="C113" i="2" l="1" a="1"/>
  <c r="C113" i="2" s="1"/>
  <c r="C114" i="2" l="1"/>
  <c r="C115" i="2" s="1"/>
  <c r="B4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Liam Collier</author>
  </authors>
  <commentList>
    <comment ref="C5" authorId="0" shapeId="0" xr:uid="{00000000-0006-0000-0100-000001000000}">
      <text>
        <r>
          <rPr>
            <sz val="11"/>
            <color rgb="FF000000"/>
            <rFont val="Calibri"/>
            <family val="2"/>
          </rPr>
          <t xml:space="preserve">Liam Collier:
</t>
        </r>
        <r>
          <rPr>
            <sz val="11"/>
            <color rgb="FF000000"/>
            <rFont val="Calibri"/>
            <family val="2"/>
          </rPr>
          <t>Toggle: Base / Downside / Upside. Base = source of truth (no transformation). Downside/Upside apply driver overrides from columns F and H.</t>
        </r>
      </text>
    </comment>
    <comment ref="H54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Liam Collier:
Must exact-match a row label in the Cash table above (e.g. "Payroll", "Suppliers", "Equipment &amp; capital"). Case- and space-sensitive. A mismatch produces a silent zero — the override won't apply.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Liam Collier</author>
  </authors>
  <commentList>
    <comment ref="B59" authorId="0" shapeId="0" xr:uid="{4DB8B099-1294-674F-8A1A-0A7FB4ECCF51}">
      <text>
        <r>
          <rPr>
            <sz val="10"/>
            <color rgb="FF000000"/>
            <rFont val="Tahoma"/>
            <family val="2"/>
          </rPr>
          <t>Enter actual closing bank balances as weeks complete, for forecast vs actual reconciliation.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Liam Collier</author>
  </authors>
  <commentList>
    <comment ref="C5" authorId="0" shapeId="0" xr:uid="{39B84C44-DACC-764B-B070-B7F5B36C2630}">
      <text>
        <r>
          <rPr>
            <sz val="11"/>
            <color theme="1"/>
            <rFont val="Calibri"/>
            <family val="2"/>
            <scheme val="minor"/>
          </rPr>
          <t>Liam Collier:
Toggle: Base / Downside / Upside. Base = source of truth (no transformation). Downside/Upside apply driver overrides from columns F and H.</t>
        </r>
      </text>
    </comment>
    <comment ref="H54" authorId="0" shapeId="0" xr:uid="{239B130A-757F-2541-A0E0-45898C101060}">
      <text>
        <r>
          <rPr>
            <sz val="11"/>
            <color theme="1"/>
            <rFont val="Calibri"/>
            <family val="2"/>
            <scheme val="minor"/>
          </rPr>
          <t>Liam Collier:
Must exact-match a row label in the Cash table above (e.g. "Payroll", "Suppliers", "Equipment &amp; capital"). Case- and space-sensitive. A mismatch produces a silent zero — the override won't apply.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Liam Collier</author>
  </authors>
  <commentList>
    <comment ref="B59" authorId="0" shapeId="0" xr:uid="{3E17CAE4-C74E-9E46-A2E7-E4B01F36A869}">
      <text>
        <r>
          <rPr>
            <b/>
            <sz val="10"/>
            <color rgb="FF000000"/>
            <rFont val="Tahoma"/>
            <family val="2"/>
          </rPr>
          <t>Liam Collier:</t>
        </r>
        <r>
          <rPr>
            <sz val="10"/>
            <color rgb="FF000000"/>
            <rFont val="Tahoma"/>
            <family val="2"/>
          </rPr>
          <t xml:space="preserve">
Enter actual closing bank balances as weeks complete, for forecast vs actual reconciliation.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<sst xmlns="http://schemas.openxmlformats.org/spreadsheetml/2006/main" count="603" uniqueCount="246">
  <si>
    <t>SCENARIO</t>
  </si>
  <si>
    <t>Base</t>
  </si>
  <si>
    <t>DOWNSIDE</t>
  </si>
  <si>
    <t>UPSIDE</t>
  </si>
  <si>
    <t>AR collection delay (days)</t>
  </si>
  <si>
    <t>Revenue haircut (%)</t>
  </si>
  <si>
    <t>Capex deferral (weeks)</t>
  </si>
  <si>
    <t>Discretionary spend cut (%)</t>
  </si>
  <si>
    <t>13-WEEK CASH · WEEKLY FORECAST · APR 2026 → JUN 2026</t>
  </si>
  <si>
    <t>Category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</si>
  <si>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</si>
  <si>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</si>
  <si>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</si>
  <si>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</si>
  <si>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</si>
  <si>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</si>
  <si>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</si>
  <si>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</si>
  <si>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</si>
  <si>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</si>
  <si>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</si>
  <si>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</si>
  <si>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</si>
  <si>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Opening cash</t>
  </si>
  <si>
    <t>INFLOWS</t>
  </si>
  <si>
    <t>AR collections</t>
  </si>
  <si>
    <t>Other inflows</t>
  </si>
  <si>
    <t>OUTFLOWS</t>
  </si>
  <si>
    <t>Payroll</t>
  </si>
  <si>
    <t>Suppliers</t>
  </si>
  <si>
    <t>Tax</t>
  </si>
  <si>
    <t>Debt service</t>
  </si>
  <si>
    <t>Recurring</t>
  </si>
  <si>
    <t>Equipment &amp; capital</t>
  </si>
  <si>
    <t>Net flow</t>
  </si>
  <si>
    <t>Closing cash</t>
  </si>
  <si>
    <t>Bank balance · per feed</t>
  </si>
  <si>
    <t>AR collection days</t>
  </si>
  <si>
    <t>6-month trailing average from AR aging</t>
  </si>
  <si>
    <t>Supplier terms</t>
  </si>
  <si>
    <t>AP aging report · 6-month trailing</t>
  </si>
  <si>
    <t>Payroll cycle ($)</t>
  </si>
  <si>
    <t>Bi-weekly · W1,W3,W5,W7,W9,W11,W13</t>
  </si>
  <si>
    <t>Tax · PAYG instalment ($)</t>
  </si>
  <si>
    <t>Quarterly · next due 21 May 2026 (W6)</t>
  </si>
  <si>
    <t>Debt service · 4-weekly ($)</t>
  </si>
  <si>
    <t>$8.5K principal + interest on WC line</t>
  </si>
  <si>
    <t>Min cash threshold</t>
  </si>
  <si>
    <t>Owner-set · drives trough alert (3 weeks payroll buffer)</t>
  </si>
  <si>
    <t>OVERRIDES · NAMED EVENTS · APPLIED ON TOP OF SCENARIO</t>
  </si>
  <si>
    <t>Event</t>
  </si>
  <si>
    <t>Week</t>
  </si>
  <si>
    <t>Line Item</t>
  </si>
  <si>
    <t>Impact ($)</t>
  </si>
  <si>
    <t>Note</t>
  </si>
  <si>
    <t>off</t>
  </si>
  <si>
    <t>Floor</t>
  </si>
  <si>
    <t>Safe cash</t>
  </si>
  <si>
    <t>Below floor</t>
  </si>
  <si>
    <t>Trough value</t>
  </si>
  <si>
    <t>Trough week</t>
  </si>
  <si>
    <t>Breach count</t>
  </si>
  <si>
    <t>First breach</t>
  </si>
  <si>
    <t>Last breach</t>
  </si>
  <si>
    <t>Contiguous?</t>
  </si>
  <si>
    <t>Breach label</t>
  </si>
  <si>
    <t>Row</t>
  </si>
  <si>
    <t>Row →</t>
  </si>
  <si>
    <t>Read Me · 13-Week Cash Flow</t>
  </si>
  <si>
    <t>How to use this template · what the colours mean · what to do if something looks wrong</t>
  </si>
  <si>
    <t>01</t>
  </si>
  <si>
    <t>What this is</t>
  </si>
  <si>
    <t>02</t>
  </si>
  <si>
    <t>How to use it</t>
  </si>
  <si>
    <t>03</t>
  </si>
  <si>
    <t>What the scenario toggle does</t>
  </si>
  <si>
    <t>04</t>
  </si>
  <si>
    <t>What the colours mean</t>
  </si>
  <si>
    <t>05</t>
  </si>
  <si>
    <t>What to do if something looks wrong</t>
  </si>
  <si>
    <t>06</t>
  </si>
  <si>
    <t>Free version vs the Control Pack</t>
  </si>
  <si>
    <t>13_Week_Cash_Flow.xlsx</t>
  </si>
  <si>
    <t>LEGEND</t>
  </si>
  <si>
    <t>123</t>
  </si>
  <si>
    <t>Input</t>
  </si>
  <si>
    <t>Formula</t>
  </si>
  <si>
    <t>Override</t>
  </si>
  <si>
    <t>Reference</t>
  </si>
  <si>
    <t>1 · BUSINESS CONTEXT</t>
  </si>
  <si>
    <t>Business name</t>
  </si>
  <si>
    <t>Northwind Digital Pty Ltd</t>
  </si>
  <si>
    <t>Region (AU / NZ / US)</t>
  </si>
  <si>
    <t>AU</t>
  </si>
  <si>
    <t>Forecast start · Monday of W1</t>
  </si>
  <si>
    <t>Opening cash · start of W1</t>
  </si>
  <si>
    <t>Minimum cash buffer (floor)</t>
  </si>
  <si>
    <t>2 · RECEIVABLES</t>
  </si>
  <si>
    <t>place each expected receipt in the week you'll bank it</t>
  </si>
  <si>
    <t>Debtor / invoice</t>
  </si>
  <si>
    <t>3 · FORWARD BILLINGS</t>
  </si>
  <si>
    <t>revenue you'll bill but haven't yet — collected after the lag</t>
  </si>
  <si>
    <t>AR collection days (lag)</t>
  </si>
  <si>
    <t>Billed revenue</t>
  </si>
  <si>
    <t>4 · AR TAIL ESTIMATOR</t>
  </si>
  <si>
    <t>fallback for small receivables you don't track by line</t>
  </si>
  <si>
    <t>Bucket</t>
  </si>
  <si>
    <t>Outstanding ($)</t>
  </si>
  <si>
    <t>Collection prob.</t>
  </si>
  <si>
    <t>Expected week</t>
  </si>
  <si>
    <t>0–30 days (untracked)</t>
  </si>
  <si>
    <t>31–60 days</t>
  </si>
  <si>
    <t>61–90 days</t>
  </si>
  <si>
    <t>90+ days</t>
  </si>
  <si>
    <t>5 · OTHER INFLOWS</t>
  </si>
  <si>
    <t>one-offs — grants, refunds, asset sales</t>
  </si>
  <si>
    <t>Other inflow</t>
  </si>
  <si>
    <t>R&amp;D tax incentive</t>
  </si>
  <si>
    <t>Equipment resale</t>
  </si>
  <si>
    <t>6 · PAYABLES</t>
  </si>
  <si>
    <t>place each expected payment in the week it leaves the account</t>
  </si>
  <si>
    <t>Creditor / item</t>
  </si>
  <si>
    <t>7 · RECURRING OPERATING COSTS</t>
  </si>
  <si>
    <t>Line item</t>
  </si>
  <si>
    <t>Amount ($/period)</t>
  </si>
  <si>
    <t>Cadence</t>
  </si>
  <si>
    <t>Software &amp; SaaS</t>
  </si>
  <si>
    <t>Monthly</t>
  </si>
  <si>
    <t>Insurance (PI + cyber)</t>
  </si>
  <si>
    <t>Professional fees</t>
  </si>
  <si>
    <t>Utilities &amp; internet</t>
  </si>
  <si>
    <t>Marketing (always-on)</t>
  </si>
  <si>
    <t>Fortnightly</t>
  </si>
  <si>
    <t>Office consumables</t>
  </si>
  <si>
    <t>Weekly</t>
  </si>
  <si>
    <t>8 · PAYROLL</t>
  </si>
  <si>
    <t>Payroll cycle</t>
  </si>
  <si>
    <t>Gross per pay run ($, incl on-costs)</t>
  </si>
  <si>
    <t>First payday week (1–13)</t>
  </si>
  <si>
    <t>9 · TAX / STATUTORY CALENDAR</t>
  </si>
  <si>
    <t>region-filtered · real legal due dates</t>
  </si>
  <si>
    <t>Label</t>
  </si>
  <si>
    <t>Region</t>
  </si>
  <si>
    <t>Date</t>
  </si>
  <si>
    <t>Amount ($)</t>
  </si>
  <si>
    <t>PAYG instalment Q</t>
  </si>
  <si>
    <t>Payroll tax · Jun</t>
  </si>
  <si>
    <t>Payroll tax · Jul</t>
  </si>
  <si>
    <t>BAS Q4</t>
  </si>
  <si>
    <t>10 · DEBT SERVICE</t>
  </si>
  <si>
    <t>Amount per payment ($)</t>
  </si>
  <si>
    <t>Cycle (weeks between payments)</t>
  </si>
  <si>
    <t>First payment week (1–13)</t>
  </si>
  <si>
    <t>11 · CAPEX / EQUIPMENT</t>
  </si>
  <si>
    <t>one-offs — place in the week paid</t>
  </si>
  <si>
    <t>Capex item</t>
  </si>
  <si>
    <t>Server &amp; workstation refresh</t>
  </si>
  <si>
    <t>12 · KEY ASSUMPTIONS</t>
  </si>
  <si>
    <t>reference</t>
  </si>
  <si>
    <t>Supplier / AP terms (days)</t>
  </si>
  <si>
    <t>Payroll per run ($)</t>
  </si>
  <si>
    <t>Tax · next instalment ($)</t>
  </si>
  <si>
    <t>Debt service per cycle ($)</t>
  </si>
  <si>
    <t>13 · WEEKLY ENGINE FEED</t>
  </si>
  <si>
    <t>auto-calculated from the sections above · do not edit</t>
  </si>
  <si>
    <t>Opening cash · per feed</t>
  </si>
  <si>
    <t>R13</t>
  </si>
  <si>
    <t>R12</t>
  </si>
  <si>
    <t>R11</t>
  </si>
  <si>
    <t>R10</t>
  </si>
  <si>
    <t>R09</t>
  </si>
  <si>
    <t>R08</t>
  </si>
  <si>
    <t>R07</t>
  </si>
  <si>
    <t>R06</t>
  </si>
  <si>
    <t>R05</t>
  </si>
  <si>
    <t>R04</t>
  </si>
  <si>
    <t>R03</t>
  </si>
  <si>
    <t>R02</t>
  </si>
  <si>
    <t>R01</t>
  </si>
  <si>
    <t>Result</t>
  </si>
  <si>
    <t>Actual</t>
  </si>
  <si>
    <t>Expected</t>
  </si>
  <si>
    <t>Check</t>
  </si>
  <si>
    <t>ID</t>
  </si>
  <si>
    <t>MASTER</t>
  </si>
  <si>
    <t>RECONCILIATION · every check must hold</t>
  </si>
  <si>
    <t>Undated — paid at AP terms</t>
  </si>
  <si>
    <t>Invoice date</t>
  </si>
  <si>
    <t>Pays wk</t>
  </si>
  <si>
    <t>enter invoice date + amount and the engine pays it at AP terms (C130); items placed in a week column above always win</t>
  </si>
  <si>
    <t>W1 closing = opening + net flow</t>
  </si>
  <si>
    <t>W2 closing = opening + net flow</t>
  </si>
  <si>
    <t>W3 closing = opening + net flow</t>
  </si>
  <si>
    <t>W4 closing = opening + net flow</t>
  </si>
  <si>
    <t>W5 closing = opening + net flow</t>
  </si>
  <si>
    <t>W6 closing = opening + net flow</t>
  </si>
  <si>
    <t>W7 closing = opening + net flow</t>
  </si>
  <si>
    <t>W8 closing = opening + net flow</t>
  </si>
  <si>
    <t>W9 closing = opening + net flow</t>
  </si>
  <si>
    <t>W10 closing = opening + net flow</t>
  </si>
  <si>
    <t>W11 closing = opening + net flow</t>
  </si>
  <si>
    <t>W12 closing = opening + net flow</t>
  </si>
  <si>
    <t>W13 closing = opening + net flow</t>
  </si>
  <si>
    <t>Monthly anchor weeks (auto · from forecast start)</t>
  </si>
  <si>
    <t>by cadence · Weekly / Fortnightly / Monthly (Monthly = calendar-anchored to forecast start)</t>
  </si>
  <si>
    <t xml:space="preserve">
A free Excel template that projects your operating cash week-by-week over the next 13 weeks, the standard near-term liquidity horizon.
Enter your figures on the Inputs tab and the Forecast builds automatically: opening cash, weekly receipts and disbursements, closing cash, the trough, and any week you fall below your minimum buffer.</t>
  </si>
  <si>
    <t xml:space="preserve">
1. Open the Inputs tab. Set Region and the Forecast start (Monday of week 1), then fill Business Context.
2. Enter opening AR by aging bucket and your collection assumptions; add forward billings, recurring costs by cadence, payroll cycle, tax dates, and any one-off events.
3. Switch to the Forecast tab to read the 13-week trajectory, trough and buffer breaches.
4. Use the Scenario toggle to stress the plan.</t>
  </si>
  <si>
    <t xml:space="preserve">
Base is the neutral case (no adjustment).
Downside and Upside apply operational shifts on top of your inputs: collection delay, revenue haircut, capex deferral and a discretionary-spend cut, so you can see how resilient your cash position is before committing.
Tune the Downside / Upside levers to match your own stress assumptions.</t>
  </si>
  <si>
    <t xml:space="preserve">
BLUE TEXT  Input, a cell you are meant to edit.
OFF-WHITE TEXT  Formula, a calculated cell, leave it alone.
GREEN TEXT  Override, an optional manual override of a default.
SLATE TEXT  Reference / label, context, not an input.</t>
  </si>
  <si>
    <t xml:space="preserve">
• If a reconciliation check reads FAIL, a weekly closing balance doesn't tie to opening + net flow. Re-check the inputs feeding that week.
• If the trough looks too deep, confirm your AR collection timing and payroll/tax weeks are dated correctly.
• Every figure on the Forecast traces back to a cell on Inputs; nothing is hard-coded in the model.</t>
  </si>
  <si>
    <t xml:space="preserve">
This template answers one question, will my cash hold over the next 13 weeks, from figures you enter and maintain.
The Control Pack answers the full picture: an integrated P&amp;L, cash flow and balance sheet with actuals reconciliation, a rolling 12-month forecast and an executive read.
If keeping this current each week is the painful part, that's exactly what the paid engine and our operator-finance work remove.</t>
  </si>
  <si>
    <t>Customer 1, invoice</t>
  </si>
  <si>
    <t>Customer 2, invoice</t>
  </si>
  <si>
    <t>Customer 3, invoice</t>
  </si>
  <si>
    <t>Customer 4, invoice</t>
  </si>
  <si>
    <t>Customer 5, invoice</t>
  </si>
  <si>
    <t>Customer 6, invoice</t>
  </si>
  <si>
    <t>Customer 7, invoice</t>
  </si>
  <si>
    <t>Customer 8, invoice</t>
  </si>
  <si>
    <t>Customer 9, invoice</t>
  </si>
  <si>
    <t>Customer 10, invoice</t>
  </si>
  <si>
    <t>Customer 11, invoice</t>
  </si>
  <si>
    <t>Customer 12, invoice</t>
  </si>
  <si>
    <t>Supplier 1, payment</t>
  </si>
  <si>
    <t>Supplier 2, payment</t>
  </si>
  <si>
    <t>Supplier 3, payment</t>
  </si>
  <si>
    <t>Supplier 4, payment</t>
  </si>
  <si>
    <t>Supplier 5, payment</t>
  </si>
  <si>
    <t>Supplier 6, payment</t>
  </si>
  <si>
    <t>Supplier 7, payment</t>
  </si>
  <si>
    <t>Supplier 8, payment</t>
  </si>
  <si>
    <t>Supplier 9, payment</t>
  </si>
  <si>
    <t>Supplier 10, payment</t>
  </si>
  <si>
    <t>Example event, rename me</t>
  </si>
  <si>
    <t>DRIVER-ADJUSTED LAYER (working), base values shifted/scaled by active scenario</t>
  </si>
  <si>
    <t>OVERRIDE LOOKUP LAYER (working), per-row, per-week sum of override impacts</t>
  </si>
  <si>
    <t>revenue you'll bill but haven't yet, collected after the lag</t>
  </si>
  <si>
    <t>one-offs, grants, refunds, asset sales</t>
  </si>
  <si>
    <t>Undated, paid at AP terms</t>
  </si>
  <si>
    <t>one-offs, place in the week paid</t>
  </si>
  <si>
    <t>Built by Infraxus, operator finance · infraxus.com</t>
  </si>
  <si>
    <t>Project your cash 13 weeks out · free to use · no attribution required</t>
  </si>
  <si>
    <t>Blue cells are inputs you edit · receivables &amp; payables are placed in the week you expect them · free to use · no attribution required</t>
  </si>
  <si>
    <t>Want this run on your real numbers, not a sample? Book a fit call →</t>
  </si>
  <si>
    <t>13-Week Cash Flow · Inputs</t>
  </si>
  <si>
    <t>Bank balance · per statement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</si>
</sst>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00"/>
    <numFmt numFmtId="165" formatCode="&quot;+$&quot;#,##0;[Red]&quot;-$&quot;#,##0;&quot;$0&quot;;@"/>
    <numFmt numFmtId="166" formatCode="&quot;$&quot;#,##0;[Red]\(&quot;$&quot;#,##0\);&quot;–&quot;;@"/>
    <numFmt numFmtId="167" formatCode="0.0%;[Red]\(0.0%\);&quot;–&quot;;@"/>
    <numFmt numFmtId="168" formatCode="0&quot; days&quot;"/>
    <numFmt numFmtId="169" formatCode="0.0&quot;×&quot;"/>
    <numFmt numFmtId="170" formatCode="\+0&quot; days&quot;;\-0&quot; days&quot;;&quot;0 days&quot;"/>
    <numFmt numFmtId="171" formatCode="\+0.0%;\-0.0%;&quot;0.0%&quot;"/>
    <numFmt numFmtId="172" formatCode="\+0&quot; wks&quot;;\-0&quot; wks&quot;;&quot;0 wks&quot;"/>
    <numFmt numFmtId="173" formatCode="yyyy\-mm\-dd"/>
    <numFmt numFmtId="174" formatCode="d\ mmm"/>
    <numFmt numFmtId="175" formatCode="0;;&quot;–&quot;;@"/>
  </numFmts>
  <fonts count="56" x14ac:knownFonts="1">
    <font>
      <sz val="11"/>
      <color theme="1"/>
      <name val="Calibri"/>
      <family val="2"/>
      <scheme val="minor"/>
    </font>
    <font>
      <sz val="9"/>
      <color rgb="FF8896B3"/>
      <name val="Consolas"/>
      <family val="2"/>
    </font>
    <font>
      <b/>
      <sz val="9"/>
      <color rgb="FF1E50FF"/>
      <name val="Consolas"/>
      <family val="2"/>
    </font>
    <font>
      <sz val="11"/>
      <color rgb="FFF2F2F2"/>
      <name val="Calibri"/>
      <family val="2"/>
    </font>
    <font>
      <sz val="11"/>
      <color rgb="FF1E50FF"/>
      <name val="Consolas"/>
      <family val="2"/>
    </font>
    <font>
      <sz val="11"/>
      <color rgb="FF8896B3"/>
      <name val="Calibri"/>
      <family val="2"/>
    </font>
    <font>
      <sz val="11"/>
      <color rgb="FF8896B3"/>
      <name val="Consolas"/>
      <family val="2"/>
    </font>
    <font>
      <sz val="11"/>
      <color rgb="FFF2F2F2"/>
      <name val="Consolas"/>
      <family val="2"/>
    </font>
    <font>
      <b/>
      <sz val="11"/>
      <color rgb="FFF2F2F2"/>
      <name val="Calibri"/>
      <family val="2"/>
    </font>
    <font>
      <b/>
      <sz val="11"/>
      <color rgb="FFF2F2F2"/>
      <name val="Consolas"/>
      <family val="2"/>
    </font>
    <font>
      <b/>
      <sz val="9"/>
      <color rgb="FFFFB04D"/>
      <name val="Consolas"/>
      <family val="2"/>
    </font>
    <font>
      <sz val="22"/>
      <color rgb="FFF2F2F2"/>
      <name val="Calibri Light"/>
      <family val="2"/>
    </font>
    <font>
      <b/>
      <sz val="18"/>
      <color rgb="FFF2F2F2"/>
      <name val="Calibri Light"/>
      <family val="2"/>
    </font>
    <font>
      <b/>
      <sz val="9"/>
      <color rgb="FFE5484D"/>
      <name val="Consolas"/>
      <family val="2"/>
    </font>
    <font>
      <b/>
      <sz val="11"/>
      <color rgb="FF10B981"/>
      <name val="Consolas"/>
      <family val="2"/>
    </font>
    <font>
      <b/>
      <sz val="14"/>
      <color rgb="FF1E50FF"/>
      <name val="Calibri Light"/>
      <family val="2"/>
    </font>
    <font>
      <sz val="11"/>
      <color theme="0"/>
      <name val="Calibri"/>
      <family val="2"/>
      <scheme val="minor"/>
    </font>
    <font>
      <b/>
      <sz val="9"/>
      <color rgb="FF10B981"/>
      <name val="Consolas"/>
      <family val="2"/>
    </font>
    <font>
      <sz val="11"/>
      <color rgb="FF8896B3"/>
      <name val="Calibri"/>
      <family val="2"/>
      <scheme val="minor"/>
    </font>
    <font>
      <sz val="9"/>
      <color rgb="FF3A3D42"/>
      <name val="Consolas"/>
      <family val="2"/>
    </font>
    <font>
      <sz val="11"/>
      <color rgb="FF3A3D42"/>
      <name val="Calibri"/>
      <family val="2"/>
      <scheme val="minor"/>
    </font>
    <font>
      <sz val="11"/>
      <color rgb="FF3A3D42"/>
      <name val="Consolas"/>
      <family val="2"/>
    </font>
    <font>
      <b/>
      <sz val="9"/>
      <color rgb="FF8896B3"/>
      <name val="Consolas"/>
      <family val="2"/>
    </font>
    <font>
      <sz val="10"/>
      <color rgb="FF8896B3"/>
      <name val="Calibri"/>
      <family val="2"/>
      <scheme val="minor"/>
    </font>
    <font>
      <sz val="10"/>
      <color rgb="FFF2F2F2"/>
      <name val="Calibri"/>
      <family val="2"/>
      <scheme val="minor"/>
    </font>
    <font>
      <sz val="10"/>
      <color rgb="FFF2F2F2"/>
      <name val="Consolas"/>
      <family val="2"/>
    </font>
    <font>
      <b/>
      <sz val="9"/>
      <color rgb="FF8896B3"/>
      <name val="Consolas"/>
      <family val="2"/>
    </font>
    <font>
      <sz val="9"/>
      <color rgb="FF8896B3"/>
      <name val="Consolas"/>
      <family val="2"/>
    </font>
    <font>
      <b/>
      <sz val="10"/>
      <color rgb="FF1E50FF"/>
      <name val="Consolas"/>
      <family val="2"/>
    </font>
    <font>
      <sz val="11"/>
      <color rgb="FF8896B3"/>
      <name val="Calibri"/>
      <family val="2"/>
    </font>
    <font>
      <sz val="11"/>
      <color rgb="FF1E50FF"/>
      <name val="Consolas"/>
      <family val="2"/>
    </font>
    <font>
      <b/>
      <sz val="11"/>
      <color rgb="FF1E50FF"/>
      <name val="Consolas"/>
      <family val="2"/>
    </font>
    <font>
      <sz val="11"/>
      <color rgb="FFF2F2F2"/>
      <name val="Calibri"/>
      <family val="2"/>
    </font>
    <font>
      <sz val="11"/>
      <color rgb="FFF2F2F2"/>
      <name val="Consolas"/>
      <family val="2"/>
    </font>
    <font>
      <sz val="11"/>
      <color rgb="FFFFC857"/>
      <name val="Consolas"/>
      <family val="2"/>
    </font>
    <font>
      <sz val="11"/>
      <color rgb="FF8896B3"/>
      <name val="Consolas"/>
      <family val="2"/>
    </font>
    <font>
      <b/>
      <sz val="18"/>
      <color rgb="FFF2F2F2"/>
      <name val="Calibri Light"/>
      <family val="2"/>
    </font>
    <font>
      <sz val="10"/>
      <color rgb="FF8896B3"/>
      <name val="Calibri"/>
      <family val="2"/>
    </font>
    <font>
      <b/>
      <sz val="10"/>
      <color rgb="FF8896B3"/>
      <name val="Consolas"/>
      <family val="2"/>
    </font>
    <font>
      <sz val="10"/>
      <color rgb="FF8896B3"/>
      <name val="Consolas"/>
      <family val="2"/>
    </font>
    <font>
      <b/>
      <sz val="11"/>
      <color rgb="FFF2F2F2"/>
      <name val="Consolas"/>
      <family val="2"/>
    </font>
    <font>
      <b/>
      <sz val="11"/>
      <color rgb="FF10B981"/>
      <name val="Consolas"/>
      <family val="2"/>
    </font>
    <font>
      <b/>
      <sz val="11"/>
      <color rgb="FF8896B3"/>
      <name val="Consolas"/>
      <family val="2"/>
    </font>
    <font>
      <b/>
      <sz val="9"/>
      <color rgb="FF1E50FF"/>
      <name val="Consolas"/>
      <family val="2"/>
    </font>
    <font>
      <sz val="11"/>
      <color theme="1"/>
      <name val="Calibri"/>
      <family val="2"/>
      <scheme val="minor"/>
    </font>
    <font>
      <sz val="9"/>
      <color rgb="FFEF4444"/>
      <name val="Consolas"/>
      <family val="2"/>
    </font>
    <font>
      <b/>
      <sz val="16"/>
      <color rgb="FFF2F2F2"/>
      <name val="Calibri Light"/>
      <family val="2"/>
    </font>
    <font>
      <b/>
      <sz val="12"/>
      <color rgb="FF1E50FF"/>
      <name val="Consolas"/>
      <family val="2"/>
    </font>
    <font>
      <b/>
      <sz val="12"/>
      <color rgb="FF10B981"/>
      <name val="Consolas"/>
      <family val="2"/>
    </font>
    <font>
      <u/>
      <sz val="11"/>
      <color theme="10"/>
      <name val="Calibri"/>
      <family val="2"/>
      <scheme val="minor"/>
    </font>
    <font>
      <b/>
      <sz val="10"/>
      <color rgb="FF10B981"/>
      <name val="Consolas"/>
      <family val="2"/>
    </font>
    <font>
      <sz val="9"/>
      <color rgb="FF8896B3"/>
      <name val="Calibri"/>
      <family val="2"/>
    </font>
    <font>
      <b/>
      <u/>
      <sz val="10"/>
      <color rgb="FF5B86FF"/>
      <name val="Consolas"/>
      <family val="2"/>
    </font>
    <font>
      <sz val="11"/>
      <color rgb="FF00000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rgb="FF0D0D0D"/>
        <bgColor rgb="FF0D0D0D"/>
      </patternFill>
    </fill>
    <fill>
      <patternFill patternType="solid">
        <fgColor rgb="FF1C1C1E"/>
        <bgColor rgb="FF1C1C1E"/>
      </patternFill>
    </fill>
    <fill>
      <patternFill patternType="solid">
        <fgColor rgb="FF26282B"/>
        <bgColor rgb="FF26282B"/>
      </patternFill>
    </fill>
    <fill>
      <patternFill patternType="solid">
        <fgColor rgb="FF1A2A4A"/>
        <bgColor rgb="FF1A2A4A"/>
      </patternFill>
    </fill>
    <fill>
      <patternFill patternType="solid">
        <fgColor rgb="FF0D0D0D"/>
        <bgColor indexed="64"/>
      </patternFill>
    </fill>
    <fill>
      <patternFill patternType="solid">
        <fgColor rgb="FF11203A"/>
        <bgColor indexed="64"/>
      </patternFill>
    </fill>
    <fill>
      <patternFill patternType="solid">
        <fgColor rgb="FF1C1C1E"/>
        <bgColor indexed="64"/>
      </patternFill>
    </fill>
    <fill>
      <patternFill patternType="solid">
        <fgColor rgb="FF26282B"/>
        <bgColor indexed="64"/>
      </patternFill>
    </fill>
    <fill>
      <patternFill patternType="solid">
        <fgColor rgb="FF202022"/>
        <bgColor indexed="64"/>
      </patternFill>
    </fill>
    <fill>
      <patternFill patternType="solid">
        <fgColor rgb="FF0D0D0D"/>
      </patternFill>
    </fill>
    <fill>
      <patternFill patternType="solid">
        <fgColor rgb="FF26282B"/>
      </patternFill>
    </fill>
    <fill>
      <patternFill patternType="solid">
        <fgColor rgb="FF1C1C1E"/>
      </patternFill>
    </fill>
    <fill>
      <patternFill patternType="solid">
        <fgColor rgb="FF2A0F12"/>
        <bgColor indexed="64"/>
      </patternFill>
    </fill>
    <fill>
      <patternFill patternType="solid">
        <fgColor rgb="FF1A2A4A"/>
        <bgColor indexed="64"/>
      </patternFill>
    </fill>
    <fill>
      <patternFill patternType="solid">
        <fgColor rgb="FF1C1C1E"/>
        <bgColor rgb="FF0D0D0D"/>
      </patternFill>
    </fill>
  </fills>
  <borders count="9">
    <border>
      <left/>
      <right/>
      <top/>
      <bottom/>
      <diagonal/>
    </border>
    <border>
      <left/>
      <right/>
      <top style="thin">
        <color rgb="FF3A3A3C"/>
      </top>
      <bottom/>
      <diagonal/>
    </border>
    <border>
      <left/>
      <right/>
      <top style="double">
        <color rgb="FF1E50FF"/>
      </top>
      <bottom/>
      <diagonal/>
    </border>
    <border>
      <left style="thin">
        <color rgb="FF3A3A3C"/>
      </left>
      <right style="thin">
        <color rgb="FF3A3A3C"/>
      </right>
      <top style="thin">
        <color rgb="FF3A3A3C"/>
      </top>
      <bottom style="thin">
        <color rgb="FF3A3A3C"/>
      </bottom>
      <diagonal/>
    </border>
    <border>
      <left/>
      <right/>
      <top/>
      <bottom style="thin">
        <color rgb="FF3A3A3C"/>
      </bottom>
      <diagonal/>
    </border>
    <border>
      <left/>
      <right/>
      <top style="thin">
        <color rgb="FF3A3A3C"/>
      </top>
      <bottom style="thin">
        <color rgb="FF3A3A3C"/>
      </bottom>
      <diagonal/>
    </border>
    <border>
      <left/>
      <right style="thin">
        <color rgb="FF3A3A3C"/>
      </right>
      <top style="thin">
        <color rgb="FF3A3A3C"/>
      </top>
      <bottom style="thin">
        <color rgb="FF3A3A3C"/>
      </bottom>
      <diagonal/>
    </border>
    <border>
      <left/>
      <right style="thin">
        <color rgb="FF3A3A3C"/>
      </right>
      <top/>
      <bottom/>
      <diagonal/>
    </border>
    <border>
      <left style="thin">
        <color rgb="FF3A3A3C"/>
      </left>
      <right style="thin">
        <color rgb="FF3A3A3C"/>
      </right>
      <top style="thin">
        <color rgb="FF3A3A3C"/>
      </top>
      <bottom/>
      <diagonal/>
    </border>
  </borders>
  <cellStyleXfs count="3">
    <xf numFmtId="0" fontId="0" fillId="0" borderId="0"/>
    <xf numFmtId="0" fontId="49" fillId="0" borderId="0" applyNumberFormat="0" applyFill="0" applyBorder="0" applyAlignment="0" applyProtection="0"/>
    <xf numFmtId="43" fontId="44" fillId="0" borderId="0"/>
  </cellStyleXfs>
  <cellXfs count="229">
    <xf numFmtId="0" fontId="0" fillId="0" borderId="0" xfId="0"/>
    <xf numFmtId="0" fontId="0" fillId="2" borderId="0" xfId="0" applyFill="1"/>
    <xf numFmtId="0" fontId="1" fillId="4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indent="2"/>
    </xf>
    <xf numFmtId="0" fontId="1" fillId="4" borderId="0" xfId="0" applyFont="1" applyFill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166" fontId="9" fillId="4" borderId="1" xfId="0" applyNumberFormat="1" applyFont="1" applyFill="1" applyBorder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66" fontId="9" fillId="5" borderId="2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Alignment="1">
      <alignment horizontal="right" vertical="center"/>
    </xf>
    <xf numFmtId="166" fontId="9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0" fontId="0" fillId="6" borderId="0" xfId="0" applyFill="1"/>
    <xf numFmtId="0" fontId="16" fillId="2" borderId="0" xfId="0" applyFont="1" applyFill="1"/>
    <xf numFmtId="0" fontId="2" fillId="6" borderId="0" xfId="0" applyFont="1" applyFill="1" applyAlignment="1">
      <alignment horizontal="left"/>
    </xf>
    <xf numFmtId="0" fontId="15" fillId="7" borderId="0" xfId="0" applyFont="1" applyFill="1" applyAlignment="1">
      <alignment horizontal="center"/>
    </xf>
    <xf numFmtId="0" fontId="13" fillId="6" borderId="0" xfId="0" applyFont="1" applyFill="1" applyAlignment="1">
      <alignment horizontal="right"/>
    </xf>
    <xf numFmtId="0" fontId="17" fillId="6" borderId="0" xfId="0" applyFont="1" applyFill="1" applyAlignment="1">
      <alignment horizontal="right"/>
    </xf>
    <xf numFmtId="0" fontId="18" fillId="6" borderId="0" xfId="0" applyFont="1" applyFill="1" applyAlignment="1">
      <alignment horizontal="left"/>
    </xf>
    <xf numFmtId="170" fontId="9" fillId="8" borderId="0" xfId="0" applyNumberFormat="1" applyFont="1" applyFill="1" applyAlignment="1">
      <alignment horizontal="right"/>
    </xf>
    <xf numFmtId="171" fontId="9" fillId="8" borderId="0" xfId="0" applyNumberFormat="1" applyFont="1" applyFill="1" applyAlignment="1">
      <alignment horizontal="right"/>
    </xf>
    <xf numFmtId="172" fontId="9" fillId="8" borderId="0" xfId="0" applyNumberFormat="1" applyFont="1" applyFill="1" applyAlignment="1">
      <alignment horizontal="right"/>
    </xf>
    <xf numFmtId="0" fontId="1" fillId="6" borderId="0" xfId="0" applyFont="1" applyFill="1"/>
    <xf numFmtId="0" fontId="7" fillId="8" borderId="0" xfId="0" applyFont="1" applyFill="1" applyAlignment="1">
      <alignment horizontal="right"/>
    </xf>
    <xf numFmtId="0" fontId="18" fillId="8" borderId="0" xfId="0" applyFont="1" applyFill="1" applyAlignment="1">
      <alignment horizontal="left"/>
    </xf>
    <xf numFmtId="0" fontId="19" fillId="8" borderId="0" xfId="0" applyFont="1" applyFill="1" applyAlignment="1">
      <alignment horizontal="center"/>
    </xf>
    <xf numFmtId="0" fontId="0" fillId="8" borderId="0" xfId="0" applyFill="1"/>
    <xf numFmtId="0" fontId="20" fillId="8" borderId="0" xfId="0" applyFont="1" applyFill="1" applyAlignment="1">
      <alignment horizontal="left"/>
    </xf>
    <xf numFmtId="0" fontId="19" fillId="10" borderId="0" xfId="0" applyFont="1" applyFill="1" applyAlignment="1">
      <alignment horizontal="center"/>
    </xf>
    <xf numFmtId="0" fontId="0" fillId="10" borderId="0" xfId="0" applyFill="1"/>
    <xf numFmtId="0" fontId="20" fillId="10" borderId="0" xfId="0" applyFont="1" applyFill="1" applyAlignment="1">
      <alignment horizontal="left"/>
    </xf>
    <xf numFmtId="0" fontId="7" fillId="10" borderId="0" xfId="0" applyFont="1" applyFill="1" applyAlignment="1">
      <alignment horizontal="right"/>
    </xf>
    <xf numFmtId="0" fontId="18" fillId="10" borderId="0" xfId="0" applyFont="1" applyFill="1" applyAlignment="1">
      <alignment horizontal="left"/>
    </xf>
    <xf numFmtId="165" fontId="14" fillId="10" borderId="0" xfId="0" applyNumberFormat="1" applyFont="1" applyFill="1" applyAlignment="1">
      <alignment horizontal="right"/>
    </xf>
    <xf numFmtId="0" fontId="1" fillId="9" borderId="0" xfId="0" applyFont="1" applyFill="1"/>
    <xf numFmtId="0" fontId="1" fillId="9" borderId="0" xfId="0" applyFont="1" applyFill="1" applyAlignment="1">
      <alignment horizontal="left"/>
    </xf>
    <xf numFmtId="0" fontId="1" fillId="9" borderId="0" xfId="0" applyFont="1" applyFill="1" applyAlignment="1">
      <alignment horizontal="center"/>
    </xf>
    <xf numFmtId="0" fontId="1" fillId="9" borderId="0" xfId="0" applyFont="1" applyFill="1" applyAlignment="1">
      <alignment horizontal="right"/>
    </xf>
    <xf numFmtId="165" fontId="14" fillId="8" borderId="0" xfId="0" applyNumberFormat="1" applyFont="1" applyFill="1" applyAlignment="1">
      <alignment horizontal="right"/>
    </xf>
    <xf numFmtId="165" fontId="21" fillId="8" borderId="0" xfId="0" applyNumberFormat="1" applyFont="1" applyFill="1" applyAlignment="1">
      <alignment horizontal="right"/>
    </xf>
    <xf numFmtId="165" fontId="21" fillId="10" borderId="0" xfId="0" applyNumberFormat="1" applyFont="1" applyFill="1" applyAlignment="1">
      <alignment horizontal="right"/>
    </xf>
    <xf numFmtId="0" fontId="21" fillId="8" borderId="0" xfId="0" applyFont="1" applyFill="1" applyAlignment="1">
      <alignment horizontal="right"/>
    </xf>
    <xf numFmtId="0" fontId="21" fillId="10" borderId="0" xfId="0" applyFont="1" applyFill="1" applyAlignment="1">
      <alignment horizontal="right"/>
    </xf>
    <xf numFmtId="0" fontId="7" fillId="8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0" fillId="11" borderId="0" xfId="0" applyFill="1"/>
    <xf numFmtId="0" fontId="1" fillId="11" borderId="0" xfId="0" applyFont="1" applyFill="1" applyAlignment="1">
      <alignment horizontal="left" vertical="center"/>
    </xf>
    <xf numFmtId="0" fontId="29" fillId="11" borderId="0" xfId="0" applyFont="1" applyFill="1" applyAlignment="1">
      <alignment vertical="center"/>
    </xf>
    <xf numFmtId="166" fontId="30" fillId="11" borderId="0" xfId="0" applyNumberFormat="1" applyFont="1" applyFill="1" applyAlignment="1">
      <alignment horizontal="left"/>
    </xf>
    <xf numFmtId="0" fontId="5" fillId="11" borderId="0" xfId="0" applyFont="1" applyFill="1" applyAlignment="1">
      <alignment horizontal="left" vertical="top" wrapText="1"/>
    </xf>
    <xf numFmtId="173" fontId="30" fillId="11" borderId="0" xfId="0" applyNumberFormat="1" applyFont="1" applyFill="1" applyAlignment="1">
      <alignment horizontal="right"/>
    </xf>
    <xf numFmtId="166" fontId="30" fillId="11" borderId="0" xfId="0" applyNumberFormat="1" applyFont="1" applyFill="1" applyAlignment="1">
      <alignment horizontal="right"/>
    </xf>
    <xf numFmtId="166" fontId="4" fillId="11" borderId="0" xfId="0" applyNumberFormat="1" applyFont="1" applyFill="1" applyAlignment="1">
      <alignment horizontal="right" vertical="center"/>
    </xf>
    <xf numFmtId="0" fontId="26" fillId="11" borderId="0" xfId="0" applyFont="1" applyFill="1" applyAlignment="1">
      <alignment horizontal="left"/>
    </xf>
    <xf numFmtId="0" fontId="26" fillId="11" borderId="0" xfId="0" applyFont="1" applyFill="1" applyAlignment="1">
      <alignment horizontal="right"/>
    </xf>
    <xf numFmtId="9" fontId="30" fillId="11" borderId="0" xfId="0" applyNumberFormat="1" applyFont="1" applyFill="1" applyAlignment="1">
      <alignment horizontal="right"/>
    </xf>
    <xf numFmtId="0" fontId="23" fillId="11" borderId="0" xfId="0" applyFont="1" applyFill="1"/>
    <xf numFmtId="166" fontId="33" fillId="11" borderId="0" xfId="0" applyNumberFormat="1" applyFont="1" applyFill="1" applyAlignment="1">
      <alignment horizontal="right"/>
    </xf>
    <xf numFmtId="168" fontId="30" fillId="11" borderId="0" xfId="0" applyNumberFormat="1" applyFont="1" applyFill="1" applyAlignment="1">
      <alignment horizontal="right"/>
    </xf>
    <xf numFmtId="166" fontId="26" fillId="11" borderId="0" xfId="0" applyNumberFormat="1" applyFont="1" applyFill="1" applyAlignment="1">
      <alignment horizontal="right"/>
    </xf>
    <xf numFmtId="0" fontId="5" fillId="11" borderId="0" xfId="0" applyFont="1" applyFill="1" applyAlignment="1">
      <alignment horizontal="left" vertical="center" indent="2"/>
    </xf>
    <xf numFmtId="0" fontId="30" fillId="11" borderId="0" xfId="0" applyFont="1" applyFill="1" applyAlignment="1">
      <alignment horizontal="left"/>
    </xf>
    <xf numFmtId="0" fontId="33" fillId="11" borderId="0" xfId="0" applyFont="1" applyFill="1" applyAlignment="1">
      <alignment horizontal="left"/>
    </xf>
    <xf numFmtId="0" fontId="1" fillId="11" borderId="0" xfId="0" applyFont="1" applyFill="1" applyAlignment="1">
      <alignment horizontal="right" vertical="center"/>
    </xf>
    <xf numFmtId="167" fontId="4" fillId="11" borderId="0" xfId="0" applyNumberFormat="1" applyFont="1" applyFill="1" applyAlignment="1">
      <alignment horizontal="right" vertical="center"/>
    </xf>
    <xf numFmtId="164" fontId="26" fillId="11" borderId="0" xfId="0" applyNumberFormat="1" applyFont="1" applyFill="1" applyAlignment="1">
      <alignment horizontal="left"/>
    </xf>
    <xf numFmtId="164" fontId="30" fillId="11" borderId="0" xfId="0" applyNumberFormat="1" applyFont="1" applyFill="1" applyAlignment="1">
      <alignment horizontal="left"/>
    </xf>
    <xf numFmtId="168" fontId="30" fillId="11" borderId="0" xfId="0" applyNumberFormat="1" applyFont="1" applyFill="1" applyAlignment="1">
      <alignment horizontal="left"/>
    </xf>
    <xf numFmtId="168" fontId="4" fillId="11" borderId="0" xfId="0" applyNumberFormat="1" applyFont="1" applyFill="1" applyAlignment="1">
      <alignment horizontal="right" vertical="center"/>
    </xf>
    <xf numFmtId="0" fontId="3" fillId="11" borderId="0" xfId="0" applyFont="1" applyFill="1" applyAlignment="1">
      <alignment horizontal="left" vertical="top" wrapText="1"/>
    </xf>
    <xf numFmtId="0" fontId="31" fillId="11" borderId="0" xfId="0" applyFont="1" applyFill="1" applyAlignment="1">
      <alignment horizontal="left"/>
    </xf>
    <xf numFmtId="1" fontId="30" fillId="11" borderId="0" xfId="0" applyNumberFormat="1" applyFont="1" applyFill="1" applyAlignment="1">
      <alignment horizontal="right"/>
    </xf>
    <xf numFmtId="0" fontId="6" fillId="11" borderId="0" xfId="0" applyFont="1" applyFill="1" applyAlignment="1">
      <alignment horizontal="right" vertical="center"/>
    </xf>
    <xf numFmtId="168" fontId="33" fillId="11" borderId="0" xfId="0" applyNumberFormat="1" applyFont="1" applyFill="1" applyAlignment="1">
      <alignment horizontal="right"/>
    </xf>
    <xf numFmtId="0" fontId="34" fillId="11" borderId="0" xfId="0" applyFont="1" applyFill="1" applyAlignment="1">
      <alignment horizontal="left"/>
    </xf>
    <xf numFmtId="0" fontId="35" fillId="11" borderId="0" xfId="0" applyFont="1" applyFill="1" applyAlignment="1">
      <alignment horizontal="left"/>
    </xf>
    <xf numFmtId="0" fontId="29" fillId="11" borderId="0" xfId="0" applyFont="1" applyFill="1" applyAlignment="1">
      <alignment horizontal="left"/>
    </xf>
    <xf numFmtId="164" fontId="32" fillId="11" borderId="0" xfId="0" applyNumberFormat="1" applyFont="1" applyFill="1" applyAlignment="1">
      <alignment horizontal="left" vertical="center" indent="2"/>
    </xf>
    <xf numFmtId="0" fontId="29" fillId="11" borderId="0" xfId="0" applyFont="1" applyFill="1"/>
    <xf numFmtId="167" fontId="26" fillId="11" borderId="0" xfId="0" applyNumberFormat="1" applyFont="1" applyFill="1" applyAlignment="1">
      <alignment horizontal="right"/>
    </xf>
    <xf numFmtId="0" fontId="28" fillId="11" borderId="0" xfId="0" applyFont="1" applyFill="1"/>
    <xf numFmtId="0" fontId="29" fillId="11" borderId="0" xfId="0" applyFont="1" applyFill="1" applyAlignment="1">
      <alignment horizontal="left" vertical="center"/>
    </xf>
    <xf numFmtId="0" fontId="22" fillId="11" borderId="0" xfId="0" applyFont="1" applyFill="1"/>
    <xf numFmtId="0" fontId="26" fillId="13" borderId="0" xfId="0" applyFont="1" applyFill="1" applyAlignment="1">
      <alignment horizontal="left" vertical="center"/>
    </xf>
    <xf numFmtId="0" fontId="36" fillId="13" borderId="0" xfId="0" applyFont="1" applyFill="1" applyAlignment="1">
      <alignment horizontal="left" vertical="center"/>
    </xf>
    <xf numFmtId="0" fontId="38" fillId="13" borderId="0" xfId="0" applyFont="1" applyFill="1" applyAlignment="1">
      <alignment horizontal="left" vertical="center"/>
    </xf>
    <xf numFmtId="166" fontId="31" fillId="11" borderId="3" xfId="0" applyNumberFormat="1" applyFont="1" applyFill="1" applyBorder="1" applyAlignment="1">
      <alignment horizontal="center" vertical="center"/>
    </xf>
    <xf numFmtId="0" fontId="39" fillId="13" borderId="0" xfId="0" applyFont="1" applyFill="1" applyAlignment="1">
      <alignment horizontal="left" vertical="center"/>
    </xf>
    <xf numFmtId="0" fontId="40" fillId="11" borderId="3" xfId="0" applyFont="1" applyFill="1" applyBorder="1" applyAlignment="1">
      <alignment horizontal="center" vertical="center"/>
    </xf>
    <xf numFmtId="0" fontId="41" fillId="11" borderId="3" xfId="0" applyFont="1" applyFill="1" applyBorder="1" applyAlignment="1">
      <alignment horizontal="center" vertical="center"/>
    </xf>
    <xf numFmtId="0" fontId="42" fillId="11" borderId="3" xfId="0" applyFont="1" applyFill="1" applyBorder="1" applyAlignment="1">
      <alignment horizontal="center" vertical="center"/>
    </xf>
    <xf numFmtId="0" fontId="0" fillId="13" borderId="0" xfId="0" applyFill="1"/>
    <xf numFmtId="0" fontId="28" fillId="13" borderId="0" xfId="0" applyFont="1" applyFill="1" applyAlignment="1">
      <alignment horizontal="left" vertical="center"/>
    </xf>
    <xf numFmtId="173" fontId="30" fillId="13" borderId="0" xfId="0" applyNumberFormat="1" applyFont="1" applyFill="1" applyAlignment="1">
      <alignment horizontal="right"/>
    </xf>
    <xf numFmtId="0" fontId="5" fillId="13" borderId="0" xfId="0" applyFont="1" applyFill="1" applyAlignment="1">
      <alignment horizontal="left" vertical="top" wrapText="1"/>
    </xf>
    <xf numFmtId="0" fontId="32" fillId="11" borderId="0" xfId="0" applyFont="1" applyFill="1" applyAlignment="1">
      <alignment horizontal="left" vertical="center"/>
    </xf>
    <xf numFmtId="166" fontId="31" fillId="11" borderId="3" xfId="0" applyNumberFormat="1" applyFont="1" applyFill="1" applyBorder="1" applyAlignment="1">
      <alignment horizontal="left" vertical="center"/>
    </xf>
    <xf numFmtId="173" fontId="31" fillId="11" borderId="3" xfId="0" applyNumberFormat="1" applyFont="1" applyFill="1" applyBorder="1" applyAlignment="1">
      <alignment horizontal="right" vertical="center"/>
    </xf>
    <xf numFmtId="166" fontId="31" fillId="11" borderId="3" xfId="0" applyNumberFormat="1" applyFont="1" applyFill="1" applyBorder="1" applyAlignment="1">
      <alignment horizontal="right" vertical="center"/>
    </xf>
    <xf numFmtId="166" fontId="37" fillId="13" borderId="0" xfId="0" applyNumberFormat="1" applyFont="1" applyFill="1" applyAlignment="1">
      <alignment horizontal="left" vertical="center"/>
    </xf>
    <xf numFmtId="9" fontId="30" fillId="13" borderId="0" xfId="0" applyNumberFormat="1" applyFont="1" applyFill="1" applyAlignment="1">
      <alignment horizontal="right"/>
    </xf>
    <xf numFmtId="0" fontId="23" fillId="13" borderId="0" xfId="0" applyFont="1" applyFill="1"/>
    <xf numFmtId="0" fontId="38" fillId="12" borderId="4" xfId="0" applyFont="1" applyFill="1" applyBorder="1" applyAlignment="1">
      <alignment horizontal="left" vertical="center"/>
    </xf>
    <xf numFmtId="174" fontId="26" fillId="12" borderId="4" xfId="0" applyNumberFormat="1" applyFont="1" applyFill="1" applyBorder="1" applyAlignment="1">
      <alignment horizontal="right" vertical="center"/>
    </xf>
    <xf numFmtId="166" fontId="30" fillId="13" borderId="0" xfId="0" applyNumberFormat="1" applyFont="1" applyFill="1" applyAlignment="1">
      <alignment horizontal="right"/>
    </xf>
    <xf numFmtId="164" fontId="28" fillId="13" borderId="0" xfId="0" applyNumberFormat="1" applyFont="1" applyFill="1" applyAlignment="1">
      <alignment horizontal="left" vertical="center"/>
    </xf>
    <xf numFmtId="1" fontId="30" fillId="13" borderId="0" xfId="0" applyNumberFormat="1" applyFont="1" applyFill="1" applyAlignment="1">
      <alignment horizontal="right"/>
    </xf>
    <xf numFmtId="167" fontId="4" fillId="13" borderId="0" xfId="0" applyNumberFormat="1" applyFont="1" applyFill="1" applyAlignment="1">
      <alignment horizontal="right" vertical="center"/>
    </xf>
    <xf numFmtId="0" fontId="5" fillId="13" borderId="0" xfId="0" applyFont="1" applyFill="1" applyAlignment="1">
      <alignment horizontal="left" vertical="center" indent="2"/>
    </xf>
    <xf numFmtId="164" fontId="38" fillId="12" borderId="4" xfId="0" applyNumberFormat="1" applyFont="1" applyFill="1" applyBorder="1" applyAlignment="1">
      <alignment horizontal="left" vertical="center"/>
    </xf>
    <xf numFmtId="167" fontId="4" fillId="12" borderId="4" xfId="0" applyNumberFormat="1" applyFont="1" applyFill="1" applyBorder="1" applyAlignment="1">
      <alignment horizontal="right" vertical="center"/>
    </xf>
    <xf numFmtId="0" fontId="5" fillId="12" borderId="4" xfId="0" applyFont="1" applyFill="1" applyBorder="1" applyAlignment="1">
      <alignment horizontal="left" vertical="center" indent="2"/>
    </xf>
    <xf numFmtId="0" fontId="5" fillId="12" borderId="4" xfId="0" applyFont="1" applyFill="1" applyBorder="1" applyAlignment="1">
      <alignment horizontal="left" vertical="top" wrapText="1"/>
    </xf>
    <xf numFmtId="0" fontId="0" fillId="12" borderId="4" xfId="0" applyFill="1" applyBorder="1"/>
    <xf numFmtId="164" fontId="32" fillId="11" borderId="0" xfId="0" applyNumberFormat="1" applyFont="1" applyFill="1" applyAlignment="1">
      <alignment horizontal="left" vertical="center"/>
    </xf>
    <xf numFmtId="9" fontId="31" fillId="11" borderId="3" xfId="0" applyNumberFormat="1" applyFont="1" applyFill="1" applyBorder="1" applyAlignment="1">
      <alignment horizontal="right" vertical="center"/>
    </xf>
    <xf numFmtId="1" fontId="31" fillId="11" borderId="3" xfId="0" applyNumberFormat="1" applyFont="1" applyFill="1" applyBorder="1" applyAlignment="1">
      <alignment horizontal="right" vertical="center"/>
    </xf>
    <xf numFmtId="169" fontId="30" fillId="13" borderId="0" xfId="0" applyNumberFormat="1" applyFont="1" applyFill="1" applyAlignment="1">
      <alignment horizontal="left"/>
    </xf>
    <xf numFmtId="169" fontId="4" fillId="13" borderId="0" xfId="0" applyNumberFormat="1" applyFont="1" applyFill="1" applyAlignment="1">
      <alignment horizontal="right" vertical="center"/>
    </xf>
    <xf numFmtId="0" fontId="26" fillId="12" borderId="4" xfId="0" applyFont="1" applyFill="1" applyBorder="1" applyAlignment="1">
      <alignment horizontal="right"/>
    </xf>
    <xf numFmtId="173" fontId="31" fillId="11" borderId="3" xfId="0" applyNumberFormat="1" applyFont="1" applyFill="1" applyBorder="1" applyAlignment="1">
      <alignment horizontal="left" vertical="center"/>
    </xf>
    <xf numFmtId="173" fontId="37" fillId="13" borderId="0" xfId="0" applyNumberFormat="1" applyFont="1" applyFill="1" applyAlignment="1">
      <alignment horizontal="left" vertical="center"/>
    </xf>
    <xf numFmtId="0" fontId="31" fillId="11" borderId="3" xfId="0" applyFont="1" applyFill="1" applyBorder="1" applyAlignment="1">
      <alignment horizontal="left" vertical="center"/>
    </xf>
    <xf numFmtId="166" fontId="33" fillId="13" borderId="0" xfId="0" applyNumberFormat="1" applyFont="1" applyFill="1" applyAlignment="1">
      <alignment horizontal="right"/>
    </xf>
    <xf numFmtId="166" fontId="33" fillId="11" borderId="0" xfId="0" applyNumberFormat="1" applyFont="1" applyFill="1" applyAlignment="1">
      <alignment horizontal="right" vertical="center"/>
    </xf>
    <xf numFmtId="0" fontId="0" fillId="11" borderId="3" xfId="0" applyFill="1" applyBorder="1"/>
    <xf numFmtId="0" fontId="1" fillId="9" borderId="0" xfId="0" applyFont="1" applyFill="1" applyAlignment="1">
      <alignment horizontal="right" vertical="center"/>
    </xf>
    <xf numFmtId="166" fontId="9" fillId="9" borderId="0" xfId="0" applyNumberFormat="1" applyFont="1" applyFill="1" applyAlignment="1">
      <alignment horizontal="right" vertical="center"/>
    </xf>
    <xf numFmtId="166" fontId="7" fillId="8" borderId="0" xfId="0" applyNumberFormat="1" applyFont="1" applyFill="1" applyAlignment="1">
      <alignment horizontal="right" vertical="center"/>
    </xf>
    <xf numFmtId="166" fontId="9" fillId="9" borderId="1" xfId="0" applyNumberFormat="1" applyFont="1" applyFill="1" applyBorder="1" applyAlignment="1">
      <alignment horizontal="right" vertical="center"/>
    </xf>
    <xf numFmtId="166" fontId="9" fillId="15" borderId="2" xfId="0" applyNumberFormat="1" applyFont="1" applyFill="1" applyBorder="1" applyAlignment="1">
      <alignment horizontal="right" vertical="center"/>
    </xf>
    <xf numFmtId="166" fontId="6" fillId="8" borderId="0" xfId="0" applyNumberFormat="1" applyFont="1" applyFill="1" applyAlignment="1">
      <alignment horizontal="right" vertical="center"/>
    </xf>
    <xf numFmtId="0" fontId="22" fillId="4" borderId="0" xfId="0" applyFont="1" applyFill="1" applyAlignment="1">
      <alignment horizontal="right" vertical="center"/>
    </xf>
    <xf numFmtId="0" fontId="18" fillId="9" borderId="0" xfId="0" applyFont="1" applyFill="1"/>
    <xf numFmtId="174" fontId="26" fillId="12" borderId="0" xfId="0" applyNumberFormat="1" applyFont="1" applyFill="1" applyAlignment="1">
      <alignment horizontal="right" vertical="center"/>
    </xf>
    <xf numFmtId="173" fontId="30" fillId="11" borderId="3" xfId="0" applyNumberFormat="1" applyFont="1" applyFill="1" applyBorder="1" applyAlignment="1">
      <alignment horizontal="right"/>
    </xf>
    <xf numFmtId="9" fontId="30" fillId="11" borderId="3" xfId="0" applyNumberFormat="1" applyFont="1" applyFill="1" applyBorder="1" applyAlignment="1">
      <alignment horizontal="right"/>
    </xf>
    <xf numFmtId="0" fontId="5" fillId="11" borderId="3" xfId="0" applyFont="1" applyFill="1" applyBorder="1" applyAlignment="1">
      <alignment horizontal="left" vertical="top" wrapText="1"/>
    </xf>
    <xf numFmtId="166" fontId="30" fillId="11" borderId="3" xfId="0" applyNumberFormat="1" applyFont="1" applyFill="1" applyBorder="1" applyAlignment="1">
      <alignment horizontal="right"/>
    </xf>
    <xf numFmtId="0" fontId="26" fillId="11" borderId="3" xfId="0" applyFont="1" applyFill="1" applyBorder="1" applyAlignment="1">
      <alignment horizontal="right"/>
    </xf>
    <xf numFmtId="2" fontId="30" fillId="11" borderId="3" xfId="0" applyNumberFormat="1" applyFont="1" applyFill="1" applyBorder="1" applyAlignment="1">
      <alignment horizontal="right"/>
    </xf>
    <xf numFmtId="0" fontId="1" fillId="11" borderId="3" xfId="0" applyFont="1" applyFill="1" applyBorder="1" applyAlignment="1">
      <alignment horizontal="right" vertical="center"/>
    </xf>
    <xf numFmtId="0" fontId="1" fillId="11" borderId="3" xfId="0" applyFont="1" applyFill="1" applyBorder="1" applyAlignment="1">
      <alignment horizontal="left" vertical="center"/>
    </xf>
    <xf numFmtId="168" fontId="30" fillId="11" borderId="3" xfId="0" applyNumberFormat="1" applyFont="1" applyFill="1" applyBorder="1" applyAlignment="1">
      <alignment horizontal="right"/>
    </xf>
    <xf numFmtId="166" fontId="38" fillId="12" borderId="0" xfId="0" applyNumberFormat="1" applyFont="1" applyFill="1" applyAlignment="1">
      <alignment horizontal="right" vertical="center"/>
    </xf>
    <xf numFmtId="9" fontId="38" fillId="12" borderId="0" xfId="0" applyNumberFormat="1" applyFont="1" applyFill="1" applyAlignment="1">
      <alignment horizontal="right" vertical="center"/>
    </xf>
    <xf numFmtId="1" fontId="38" fillId="12" borderId="0" xfId="0" applyNumberFormat="1" applyFont="1" applyFill="1" applyAlignment="1">
      <alignment horizontal="right" vertical="center"/>
    </xf>
    <xf numFmtId="166" fontId="26" fillId="11" borderId="3" xfId="0" applyNumberFormat="1" applyFont="1" applyFill="1" applyBorder="1" applyAlignment="1">
      <alignment horizontal="right"/>
    </xf>
    <xf numFmtId="167" fontId="30" fillId="11" borderId="3" xfId="0" applyNumberFormat="1" applyFont="1" applyFill="1" applyBorder="1" applyAlignment="1">
      <alignment horizontal="left"/>
    </xf>
    <xf numFmtId="167" fontId="4" fillId="11" borderId="3" xfId="0" applyNumberFormat="1" applyFont="1" applyFill="1" applyBorder="1" applyAlignment="1">
      <alignment horizontal="right" vertical="center"/>
    </xf>
    <xf numFmtId="168" fontId="30" fillId="11" borderId="3" xfId="0" applyNumberFormat="1" applyFont="1" applyFill="1" applyBorder="1" applyAlignment="1">
      <alignment horizontal="left"/>
    </xf>
    <xf numFmtId="168" fontId="4" fillId="11" borderId="3" xfId="0" applyNumberFormat="1" applyFont="1" applyFill="1" applyBorder="1" applyAlignment="1">
      <alignment horizontal="right" vertical="center"/>
    </xf>
    <xf numFmtId="165" fontId="4" fillId="11" borderId="3" xfId="0" applyNumberFormat="1" applyFont="1" applyFill="1" applyBorder="1" applyAlignment="1">
      <alignment horizontal="right" vertical="center"/>
    </xf>
    <xf numFmtId="0" fontId="38" fillId="12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27" fillId="8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right" vertical="center"/>
    </xf>
    <xf numFmtId="0" fontId="11" fillId="8" borderId="0" xfId="0" applyFont="1" applyFill="1" applyAlignment="1">
      <alignment horizontal="left" vertical="center"/>
    </xf>
    <xf numFmtId="0" fontId="1" fillId="8" borderId="0" xfId="0" applyFont="1" applyFill="1" applyAlignment="1">
      <alignment horizontal="right" vertical="center"/>
    </xf>
    <xf numFmtId="0" fontId="2" fillId="8" borderId="0" xfId="0" applyFont="1" applyFill="1" applyAlignment="1">
      <alignment horizontal="left" vertical="center"/>
    </xf>
    <xf numFmtId="0" fontId="43" fillId="8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45" fillId="14" borderId="0" xfId="0" applyFont="1" applyFill="1" applyAlignment="1">
      <alignment horizontal="center"/>
    </xf>
    <xf numFmtId="164" fontId="38" fillId="9" borderId="0" xfId="0" applyNumberFormat="1" applyFont="1" applyFill="1" applyAlignment="1">
      <alignment horizontal="left" vertical="center"/>
    </xf>
    <xf numFmtId="166" fontId="38" fillId="9" borderId="3" xfId="0" applyNumberFormat="1" applyFont="1" applyFill="1" applyBorder="1" applyAlignment="1">
      <alignment horizontal="right"/>
    </xf>
    <xf numFmtId="173" fontId="38" fillId="9" borderId="3" xfId="0" applyNumberFormat="1" applyFont="1" applyFill="1" applyBorder="1" applyAlignment="1">
      <alignment horizontal="right"/>
    </xf>
    <xf numFmtId="0" fontId="38" fillId="9" borderId="3" xfId="0" applyFont="1" applyFill="1" applyBorder="1" applyAlignment="1">
      <alignment horizontal="right" vertical="center" indent="2"/>
    </xf>
    <xf numFmtId="166" fontId="31" fillId="6" borderId="3" xfId="0" applyNumberFormat="1" applyFont="1" applyFill="1" applyBorder="1" applyAlignment="1">
      <alignment horizontal="right" vertical="center" indent="2"/>
    </xf>
    <xf numFmtId="175" fontId="6" fillId="6" borderId="3" xfId="0" applyNumberFormat="1" applyFont="1" applyFill="1" applyBorder="1" applyAlignment="1">
      <alignment horizontal="right" vertical="center" indent="2"/>
    </xf>
    <xf numFmtId="173" fontId="31" fillId="6" borderId="6" xfId="0" applyNumberFormat="1" applyFont="1" applyFill="1" applyBorder="1" applyAlignment="1">
      <alignment horizontal="right" vertical="center"/>
    </xf>
    <xf numFmtId="164" fontId="3" fillId="6" borderId="7" xfId="0" applyNumberFormat="1" applyFont="1" applyFill="1" applyBorder="1" applyAlignment="1">
      <alignment horizontal="left" vertical="center"/>
    </xf>
    <xf numFmtId="0" fontId="37" fillId="6" borderId="0" xfId="0" applyFont="1" applyFill="1" applyAlignment="1">
      <alignment horizontal="left" vertical="top" wrapText="1"/>
    </xf>
    <xf numFmtId="0" fontId="28" fillId="8" borderId="0" xfId="0" applyFont="1" applyFill="1" applyAlignment="1">
      <alignment horizontal="left"/>
    </xf>
    <xf numFmtId="0" fontId="39" fillId="6" borderId="0" xfId="0" applyFont="1" applyFill="1" applyAlignment="1">
      <alignment horizontal="left"/>
    </xf>
    <xf numFmtId="0" fontId="24" fillId="6" borderId="0" xfId="0" applyFont="1" applyFill="1" applyAlignment="1">
      <alignment horizontal="left"/>
    </xf>
    <xf numFmtId="166" fontId="39" fillId="6" borderId="0" xfId="0" applyNumberFormat="1" applyFont="1" applyFill="1" applyAlignment="1">
      <alignment horizontal="right"/>
    </xf>
    <xf numFmtId="166" fontId="25" fillId="6" borderId="0" xfId="0" applyNumberFormat="1" applyFont="1" applyFill="1" applyAlignment="1">
      <alignment horizontal="right"/>
    </xf>
    <xf numFmtId="0" fontId="50" fillId="6" borderId="0" xfId="0" applyFont="1" applyFill="1" applyAlignment="1">
      <alignment horizontal="center"/>
    </xf>
    <xf numFmtId="0" fontId="38" fillId="9" borderId="0" xfId="0" applyFont="1" applyFill="1" applyAlignment="1">
      <alignment horizontal="left"/>
    </xf>
    <xf numFmtId="0" fontId="38" fillId="9" borderId="0" xfId="0" applyFont="1" applyFill="1" applyAlignment="1">
      <alignment horizontal="right"/>
    </xf>
    <xf numFmtId="0" fontId="38" fillId="9" borderId="0" xfId="0" applyFont="1" applyFill="1" applyAlignment="1">
      <alignment horizontal="center"/>
    </xf>
    <xf numFmtId="0" fontId="39" fillId="6" borderId="1" xfId="0" applyFont="1" applyFill="1" applyBorder="1" applyAlignment="1">
      <alignment horizontal="left"/>
    </xf>
    <xf numFmtId="0" fontId="24" fillId="6" borderId="1" xfId="0" applyFont="1" applyFill="1" applyBorder="1" applyAlignment="1">
      <alignment horizontal="left"/>
    </xf>
    <xf numFmtId="0" fontId="0" fillId="6" borderId="1" xfId="0" applyFill="1" applyBorder="1"/>
    <xf numFmtId="166" fontId="39" fillId="6" borderId="1" xfId="0" applyNumberFormat="1" applyFont="1" applyFill="1" applyBorder="1" applyAlignment="1">
      <alignment horizontal="right"/>
    </xf>
    <xf numFmtId="166" fontId="25" fillId="6" borderId="1" xfId="0" applyNumberFormat="1" applyFont="1" applyFill="1" applyBorder="1" applyAlignment="1">
      <alignment horizontal="right"/>
    </xf>
    <xf numFmtId="0" fontId="50" fillId="6" borderId="1" xfId="0" applyFont="1" applyFill="1" applyBorder="1" applyAlignment="1">
      <alignment horizontal="center"/>
    </xf>
    <xf numFmtId="0" fontId="48" fillId="8" borderId="6" xfId="0" applyFont="1" applyFill="1" applyBorder="1" applyAlignment="1">
      <alignment horizontal="center"/>
    </xf>
    <xf numFmtId="0" fontId="39" fillId="8" borderId="7" xfId="0" applyFont="1" applyFill="1" applyBorder="1" applyAlignment="1">
      <alignment horizontal="right"/>
    </xf>
    <xf numFmtId="0" fontId="51" fillId="6" borderId="0" xfId="0" applyFont="1" applyFill="1" applyAlignment="1">
      <alignment horizontal="left" vertical="center"/>
    </xf>
    <xf numFmtId="1" fontId="1" fillId="6" borderId="0" xfId="0" applyNumberFormat="1" applyFont="1" applyFill="1" applyAlignment="1">
      <alignment horizontal="right" vertical="center"/>
    </xf>
    <xf numFmtId="0" fontId="37" fillId="8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left" vertical="top"/>
    </xf>
    <xf numFmtId="0" fontId="37" fillId="8" borderId="0" xfId="0" applyFont="1" applyFill="1" applyAlignment="1">
      <alignment horizontal="left" vertical="top"/>
    </xf>
    <xf numFmtId="0" fontId="39" fillId="8" borderId="0" xfId="0" applyFont="1" applyFill="1" applyAlignment="1">
      <alignment horizontal="left" vertical="top"/>
    </xf>
    <xf numFmtId="0" fontId="39" fillId="8" borderId="0" xfId="0" applyFont="1" applyFill="1" applyAlignment="1">
      <alignment horizontal="right" vertical="top"/>
    </xf>
    <xf numFmtId="49" fontId="47" fillId="8" borderId="0" xfId="0" applyNumberFormat="1" applyFont="1" applyFill="1" applyAlignment="1">
      <alignment horizontal="left" vertical="top"/>
    </xf>
    <xf numFmtId="0" fontId="46" fillId="8" borderId="0" xfId="0" applyFont="1" applyFill="1" applyAlignment="1">
      <alignment horizontal="left" vertical="top"/>
    </xf>
    <xf numFmtId="0" fontId="12" fillId="13" borderId="0" xfId="0" applyFont="1" applyFill="1" applyAlignment="1">
      <alignment horizontal="left" vertical="center"/>
    </xf>
    <xf numFmtId="0" fontId="23" fillId="8" borderId="0" xfId="0" applyFont="1" applyFill="1" applyAlignment="1">
      <alignment horizontal="left"/>
    </xf>
    <xf numFmtId="0" fontId="28" fillId="8" borderId="0" xfId="0" applyFont="1" applyFill="1" applyAlignment="1">
      <alignment horizontal="left" vertical="center"/>
    </xf>
    <xf numFmtId="0" fontId="29" fillId="8" borderId="0" xfId="0" applyFont="1" applyFill="1" applyAlignment="1">
      <alignment vertical="center"/>
    </xf>
    <xf numFmtId="166" fontId="31" fillId="8" borderId="0" xfId="0" applyNumberFormat="1" applyFont="1" applyFill="1" applyAlignment="1">
      <alignment horizontal="left"/>
    </xf>
    <xf numFmtId="0" fontId="5" fillId="8" borderId="0" xfId="0" applyFont="1" applyFill="1" applyAlignment="1">
      <alignment horizontal="left" vertical="top" wrapText="1"/>
    </xf>
    <xf numFmtId="173" fontId="30" fillId="8" borderId="0" xfId="0" applyNumberFormat="1" applyFont="1" applyFill="1" applyAlignment="1">
      <alignment horizontal="right"/>
    </xf>
    <xf numFmtId="0" fontId="0" fillId="16" borderId="0" xfId="0" applyFill="1"/>
    <xf numFmtId="0" fontId="52" fillId="8" borderId="0" xfId="1" applyFont="1" applyFill="1" applyAlignment="1"/>
    <xf numFmtId="0" fontId="3" fillId="6" borderId="0" xfId="0" applyFont="1" applyFill="1" applyAlignment="1">
      <alignment horizontal="left" vertical="top" wrapText="1"/>
    </xf>
    <xf numFmtId="0" fontId="0" fillId="6" borderId="0" xfId="0" applyFill="1"/>
    <xf numFmtId="0" fontId="52" fillId="8" borderId="0" xfId="1" applyFont="1" applyFill="1" applyAlignment="1">
      <alignment horizontal="left"/>
    </xf>
    <xf numFmtId="0" fontId="5" fillId="3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166" fontId="31" fillId="11" borderId="3" xfId="0" applyNumberFormat="1" applyFont="1" applyFill="1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166" fontId="33" fillId="11" borderId="0" xfId="0" applyNumberFormat="1" applyFont="1" applyFill="1" applyAlignment="1">
      <alignment horizontal="right" vertical="center"/>
    </xf>
    <xf numFmtId="0" fontId="0" fillId="0" borderId="0" xfId="0"/>
    <xf numFmtId="1" fontId="31" fillId="11" borderId="3" xfId="0" applyNumberFormat="1" applyFont="1" applyFill="1" applyBorder="1" applyAlignment="1">
      <alignment horizontal="left" vertical="center"/>
    </xf>
    <xf numFmtId="166" fontId="31" fillId="11" borderId="3" xfId="0" applyNumberFormat="1" applyFont="1" applyFill="1" applyBorder="1" applyAlignment="1">
      <alignment horizontal="right" vertical="center"/>
    </xf>
    <xf numFmtId="168" fontId="33" fillId="11" borderId="0" xfId="0" applyNumberFormat="1" applyFont="1" applyFill="1" applyAlignment="1">
      <alignment horizontal="right" vertical="center"/>
    </xf>
    <xf numFmtId="168" fontId="31" fillId="11" borderId="3" xfId="0" applyNumberFormat="1" applyFont="1" applyFill="1" applyBorder="1" applyAlignment="1">
      <alignment horizontal="right" vertical="center"/>
    </xf>
    <xf numFmtId="0" fontId="23" fillId="8" borderId="6" xfId="0" applyFont="1" applyFill="1" applyBorder="1" applyAlignment="1">
      <alignment horizontal="left"/>
    </xf>
    <xf numFmtId="1" fontId="31" fillId="11" borderId="3" xfId="0" applyNumberFormat="1" applyFont="1" applyFill="1" applyBorder="1" applyAlignment="1">
      <alignment horizontal="right" vertical="center"/>
    </xf>
    <xf numFmtId="173" fontId="31" fillId="11" borderId="3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Border="1" applyAlignment="1">
      <alignment horizontal="left" vertical="center"/>
    </xf>
    <xf numFmtId="166" fontId="30" fillId="11" borderId="8" xfId="0" applyNumberFormat="1" applyFont="1" applyFill="1" applyBorder="1" applyAlignment="1">
      <alignment horizontal="right"/>
    </xf>
    <xf numFmtId="166" fontId="31" fillId="6" borderId="3" xfId="0" applyNumberFormat="1" applyFont="1" applyFill="1" applyBorder="1" applyAlignment="1">
      <alignment horizontal="right"/>
    </xf>
  </cellXfs>
  <cellStyles count="3">
    <cellStyle name="Comma 2" xfId="2" xr:uid="{165D4870-C539-0841-8B93-81B2EE248EE9}"/>
    <cellStyle name="Hyperlink" xfId="1" builtinId="8"/>
    <cellStyle name="Normal" xfId="0" builtinId="0"/>
  </cellStyles>
  <dxfs count="18">
    <dxf>
      <font>
        <color rgb="FF8896B3"/>
      </font>
    </dxf>
    <dxf>
      <font>
        <b/>
        <color rgb="FFEF4444"/>
      </font>
      <fill>
        <patternFill patternType="solid">
          <fgColor indexed="64"/>
          <bgColor rgb="FF2A0F12"/>
        </patternFill>
      </fill>
    </dxf>
    <dxf>
      <font>
        <b/>
        <color rgb="FF10B981"/>
      </font>
      <fill>
        <patternFill patternType="solid">
          <fgColor indexed="64"/>
          <bgColor rgb="FF0F2A24"/>
        </patternFill>
      </fill>
    </dxf>
    <dxf>
      <font>
        <color rgb="FF8896B3"/>
      </font>
    </dxf>
    <dxf>
      <font>
        <color rgb="FFF2F2F2"/>
      </font>
    </dxf>
    <dxf>
      <font>
        <b/>
        <i val="0"/>
        <color rgb="FFFF6B6B"/>
      </font>
      <fill>
        <patternFill patternType="solid">
          <fgColor indexed="64"/>
          <bgColor rgb="FF5A1A1F"/>
        </patternFill>
      </fill>
    </dxf>
    <dxf>
      <font>
        <color rgb="FFF2F2F2"/>
      </font>
    </dxf>
    <dxf>
      <font>
        <color rgb="FFEF4444"/>
      </font>
      <fill>
        <patternFill patternType="solid">
          <fgColor indexed="64"/>
          <bgColor rgb="FF2A0F12"/>
        </patternFill>
      </fill>
    </dxf>
    <dxf>
      <font>
        <b/>
        <color rgb="FF10B981"/>
      </font>
      <fill>
        <patternFill patternType="solid">
          <fgColor indexed="64"/>
          <bgColor rgb="FF0F2A24"/>
        </patternFill>
      </fill>
    </dxf>
    <dxf>
      <font>
        <color rgb="FF8896B3"/>
      </font>
    </dxf>
    <dxf>
      <font>
        <b/>
        <color rgb="FFEF4444"/>
      </font>
      <fill>
        <patternFill patternType="solid">
          <fgColor indexed="64"/>
          <bgColor rgb="FF2A0F12"/>
        </patternFill>
      </fill>
    </dxf>
    <dxf>
      <font>
        <b/>
        <color rgb="FF10B981"/>
      </font>
      <fill>
        <patternFill patternType="solid">
          <fgColor indexed="64"/>
          <bgColor rgb="FF0F2A24"/>
        </patternFill>
      </fill>
    </dxf>
    <dxf>
      <font>
        <color rgb="FF8896B3"/>
      </font>
    </dxf>
    <dxf>
      <font>
        <color rgb="FFF2F2F2"/>
      </font>
    </dxf>
    <dxf>
      <font>
        <b/>
        <i val="0"/>
        <color rgb="FFFF6B6B"/>
      </font>
      <fill>
        <patternFill patternType="solid">
          <fgColor indexed="64"/>
          <bgColor rgb="FF5A1A1F"/>
        </patternFill>
      </fill>
    </dxf>
    <dxf>
      <font>
        <color rgb="FFF2F2F2"/>
      </font>
    </dxf>
    <dxf>
      <font>
        <color rgb="FFEF4444"/>
      </font>
      <fill>
        <patternFill patternType="solid">
          <fgColor indexed="64"/>
          <bgColor rgb="FF2A0F12"/>
        </patternFill>
      </fill>
    </dxf>
    <dxf>
      <font>
        <b/>
        <color rgb="FF10B981"/>
      </font>
      <fill>
        <patternFill patternType="solid">
          <fgColor indexed="64"/>
          <bgColor rgb="FF0F2A24"/>
        </patternFill>
      </fill>
    </dxf>
  </dxfs>
  <tableStyles count="0" defaultTableStyle="TableStyleMedium9" defaultPivotStyle="PivotStyleLight16"/>
  <colors>
    <mruColors>
      <color rgb="FF1C1C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Cashflow!$B$106</c:f>
              <c:strCache>
                <c:ptCount val="1"/>
                <c:pt idx="0">
                  <c:v>Safe cash</c:v>
                </c:pt>
              </c:strCache>
            </c:strRef>
          </c:tx>
          <c:spPr>
            <a:solidFill>
              <a:srgbClr val="1E50FF"/>
            </a:solidFill>
            <a:ln>
              <a:solidFill>
                <a:srgbClr val="1E50FF"/>
              </a:solidFill>
              <a:prstDash val="solid"/>
            </a:ln>
          </c:spPr>
          <c:invertIfNegative val="0"/>
          <c:cat>
            <c:strRef>
              <c:f>Cashflow!$C$104:$O$104</c:f>
              <c:strCache>
                <c:ptCount val="13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  <c:pt idx="12">
                  <c:v>W13</c:v>
                </c:pt>
              </c:strCache>
            </c:strRef>
          </c:cat>
          <c:val>
            <c:numRef>
              <c:f>Cashflow!$C$106:$O$106</c:f>
              <c:numCache>
                <c:formatCode>General</c:formatCode>
                <c:ptCount val="1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28-424C-A38E-1C44BC9F6287}"/>
            </c:ext>
          </c:extLst>
        </c:ser>
        <c:ser>
          <c:idx val="2"/>
          <c:order val="1"/>
          <c:tx>
            <c:strRef>
              <c:f>Cashflow!$B$107</c:f>
              <c:strCache>
                <c:ptCount val="1"/>
                <c:pt idx="0">
                  <c:v>Below floor</c:v>
                </c:pt>
              </c:strCache>
            </c:strRef>
          </c:tx>
          <c:spPr>
            <a:solidFill>
              <a:srgbClr val="E5484D"/>
            </a:solidFill>
            <a:ln>
              <a:solidFill>
                <a:srgbClr val="E5484D"/>
              </a:solidFill>
              <a:prstDash val="solid"/>
            </a:ln>
          </c:spPr>
          <c:invertIfNegative val="0"/>
          <c:cat>
            <c:strRef>
              <c:f>Cashflow!$C$104:$O$104</c:f>
              <c:strCache>
                <c:ptCount val="13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  <c:pt idx="12">
                  <c:v>W13</c:v>
                </c:pt>
              </c:strCache>
            </c:strRef>
          </c:cat>
          <c:val>
            <c:numRef>
              <c:f>Cashflow!$C$107:$O$107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28-424C-A38E-1C44BC9F6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865167552"/>
        <c:axId val="1867227008"/>
      </c:barChart>
      <c:lineChart>
        <c:grouping val="standard"/>
        <c:varyColors val="0"/>
        <c:ser>
          <c:idx val="3"/>
          <c:order val="2"/>
          <c:tx>
            <c:strRef>
              <c:f>Cashflow!$B$105</c:f>
              <c:strCache>
                <c:ptCount val="1"/>
                <c:pt idx="0">
                  <c:v>Floor</c:v>
                </c:pt>
              </c:strCache>
            </c:strRef>
          </c:tx>
          <c:spPr>
            <a:ln w="19050" cap="rnd">
              <a:solidFill>
                <a:srgbClr val="E5484D"/>
              </a:solidFill>
              <a:prstDash val="lgDash"/>
              <a:round/>
            </a:ln>
          </c:spPr>
          <c:marker>
            <c:symbol val="none"/>
          </c:marker>
          <c:cat>
            <c:strRef>
              <c:f>Cashflow!$C$104:$O$104</c:f>
              <c:strCache>
                <c:ptCount val="13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  <c:pt idx="12">
                  <c:v>W13</c:v>
                </c:pt>
              </c:strCache>
            </c:strRef>
          </c:cat>
          <c:val>
            <c:numRef>
              <c:f>Cashflow!$C$105:$O$105</c:f>
              <c:numCache>
                <c:formatCode>General</c:formatCode>
                <c:ptCount val="13"/>
                <c:pt idx="0">
                  <c:v>250000</c:v>
                </c:pt>
                <c:pt idx="1">
                  <c:v>250000</c:v>
                </c:pt>
                <c:pt idx="2">
                  <c:v>250000</c:v>
                </c:pt>
                <c:pt idx="3">
                  <c:v>250000</c:v>
                </c:pt>
                <c:pt idx="4">
                  <c:v>250000</c:v>
                </c:pt>
                <c:pt idx="5">
                  <c:v>250000</c:v>
                </c:pt>
                <c:pt idx="6">
                  <c:v>250000</c:v>
                </c:pt>
                <c:pt idx="7">
                  <c:v>250000</c:v>
                </c:pt>
                <c:pt idx="8">
                  <c:v>250000</c:v>
                </c:pt>
                <c:pt idx="9">
                  <c:v>250000</c:v>
                </c:pt>
                <c:pt idx="10">
                  <c:v>250000</c:v>
                </c:pt>
                <c:pt idx="11">
                  <c:v>250000</c:v>
                </c:pt>
                <c:pt idx="12">
                  <c:v>250000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28-424C-A38E-1C44BC9F6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5167552"/>
        <c:axId val="1867227008"/>
      </c:lineChart>
      <c:catAx>
        <c:axId val="186516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3A3A3C"/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rgbClr val="8896B3"/>
                </a:solidFill>
                <a:latin typeface="Consolas"/>
                <a:ea typeface="Consolas"/>
                <a:cs typeface="Consolas"/>
              </a:defRPr>
            </a:pPr>
            <a:endParaRPr lang="en-US"/>
          </a:p>
        </c:txPr>
        <c:crossAx val="1867227008"/>
        <c:crosses val="autoZero"/>
        <c:auto val="1"/>
        <c:lblAlgn val="ctr"/>
        <c:lblOffset val="100"/>
        <c:noMultiLvlLbl val="0"/>
      </c:catAx>
      <c:valAx>
        <c:axId val="186722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26282B"/>
              </a:solidFill>
              <a:prstDash val="solid"/>
              <a:round/>
            </a:ln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solidFill>
              <a:srgbClr val="3A3A3C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rgbClr val="8896B3"/>
                </a:solidFill>
                <a:latin typeface="Consolas"/>
                <a:ea typeface="Consolas"/>
                <a:cs typeface="Consolas"/>
              </a:defRPr>
            </a:pPr>
            <a:endParaRPr lang="en-US"/>
          </a:p>
        </c:txPr>
        <c:crossAx val="1865167552"/>
        <c:crosses val="autoZero"/>
        <c:crossBetween val="between"/>
      </c:valAx>
      <c:spPr>
        <a:solidFill>
          <a:srgbClr val="1C1C1E"/>
        </a:solidFill>
      </c:spPr>
    </c:plotArea>
    <c:plotVisOnly val="1"/>
    <c:dispBlanksAs val="gap"/>
    <c:showDLblsOverMax val="1"/>
  </c:chart>
  <c:spPr>
    <a:solidFill>
      <a:srgbClr val="1C1C1E"/>
    </a:solidFill>
    <a:ln w="9525">
      <a:solidFill>
        <a:srgbClr val="1C1C1E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'Sample Cashflow'!$B$106</c:f>
              <c:strCache>
                <c:ptCount val="1"/>
                <c:pt idx="0">
                  <c:v>Safe cash</c:v>
                </c:pt>
              </c:strCache>
            </c:strRef>
          </c:tx>
          <c:spPr>
            <a:solidFill>
              <a:srgbClr val="1E50FF"/>
            </a:solidFill>
            <a:ln>
              <a:solidFill>
                <a:srgbClr val="1E50FF"/>
              </a:solidFill>
              <a:prstDash val="solid"/>
            </a:ln>
          </c:spPr>
          <c:invertIfNegative val="0"/>
          <c:cat>
            <c:strRef>
              <c:f>'Sample Cashflow'!$C$104:$O$104</c:f>
              <c:strCache>
                <c:ptCount val="13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  <c:pt idx="12">
                  <c:v>W13</c:v>
                </c:pt>
              </c:strCache>
            </c:strRef>
          </c:cat>
          <c:val>
            <c:numRef>
              <c:f>'Sample Cashflow'!$C$106:$O$106</c:f>
              <c:numCache>
                <c:formatCode>General</c:formatCode>
                <c:ptCount val="13"/>
                <c:pt idx="0">
                  <c:v>325400</c:v>
                </c:pt>
                <c:pt idx="1">
                  <c:v>388300</c:v>
                </c:pt>
                <c:pt idx="2">
                  <c:v>332400</c:v>
                </c:pt>
                <c:pt idx="3">
                  <c:v>382550</c:v>
                </c:pt>
                <c:pt idx="4">
                  <c:v>255950</c:v>
                </c:pt>
                <c:pt idx="5">
                  <c:v>322550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3E-8048-B8D0-392CC00C8EFF}"/>
            </c:ext>
          </c:extLst>
        </c:ser>
        <c:ser>
          <c:idx val="2"/>
          <c:order val="1"/>
          <c:tx>
            <c:strRef>
              <c:f>'Sample Cashflow'!$B$107</c:f>
              <c:strCache>
                <c:ptCount val="1"/>
                <c:pt idx="0">
                  <c:v>Below floor</c:v>
                </c:pt>
              </c:strCache>
            </c:strRef>
          </c:tx>
          <c:spPr>
            <a:solidFill>
              <a:srgbClr val="E5484D"/>
            </a:solidFill>
            <a:ln>
              <a:solidFill>
                <a:srgbClr val="E5484D"/>
              </a:solidFill>
              <a:prstDash val="solid"/>
            </a:ln>
          </c:spPr>
          <c:invertIfNegative val="0"/>
          <c:cat>
            <c:strRef>
              <c:f>'Sample Cashflow'!$C$104:$O$104</c:f>
              <c:strCache>
                <c:ptCount val="13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  <c:pt idx="12">
                  <c:v>W13</c:v>
                </c:pt>
              </c:strCache>
            </c:strRef>
          </c:cat>
          <c:val>
            <c:numRef>
              <c:f>'Sample Cashflow'!$C$107:$O$107</c:f>
              <c:numCache>
                <c:formatCode>General</c:formatCode>
                <c:ptCount val="1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91650</c:v>
                </c:pt>
                <c:pt idx="7">
                  <c:v>2550</c:v>
                </c:pt>
                <c:pt idx="8">
                  <c:v>-169400</c:v>
                </c:pt>
                <c:pt idx="9">
                  <c:v>-115000</c:v>
                </c:pt>
                <c:pt idx="10">
                  <c:v>-129900</c:v>
                </c:pt>
                <c:pt idx="11">
                  <c:v>20000</c:v>
                </c:pt>
                <c:pt idx="12">
                  <c:v>-44600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3E-8048-B8D0-392CC00C8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865167552"/>
        <c:axId val="1867227008"/>
      </c:barChart>
      <c:lineChart>
        <c:grouping val="standard"/>
        <c:varyColors val="0"/>
        <c:ser>
          <c:idx val="3"/>
          <c:order val="2"/>
          <c:tx>
            <c:strRef>
              <c:f>'Sample Cashflow'!$B$105</c:f>
              <c:strCache>
                <c:ptCount val="1"/>
                <c:pt idx="0">
                  <c:v>Floor</c:v>
                </c:pt>
              </c:strCache>
            </c:strRef>
          </c:tx>
          <c:spPr>
            <a:ln w="19050" cap="rnd">
              <a:solidFill>
                <a:srgbClr val="E5484D"/>
              </a:solidFill>
              <a:prstDash val="lgDash"/>
              <a:round/>
            </a:ln>
          </c:spPr>
          <c:marker>
            <c:symbol val="none"/>
          </c:marker>
          <c:cat>
            <c:strRef>
              <c:f>'Sample Cashflow'!$C$104:$O$104</c:f>
              <c:strCache>
                <c:ptCount val="13"/>
                <c:pt idx="0">
                  <c:v>W1</c:v>
                </c:pt>
                <c:pt idx="1">
                  <c:v>W2</c:v>
                </c:pt>
                <c:pt idx="2">
                  <c:v>W3</c:v>
                </c:pt>
                <c:pt idx="3">
                  <c:v>W4</c:v>
                </c:pt>
                <c:pt idx="4">
                  <c:v>W5</c:v>
                </c:pt>
                <c:pt idx="5">
                  <c:v>W6</c:v>
                </c:pt>
                <c:pt idx="6">
                  <c:v>W7</c:v>
                </c:pt>
                <c:pt idx="7">
                  <c:v>W8</c:v>
                </c:pt>
                <c:pt idx="8">
                  <c:v>W9</c:v>
                </c:pt>
                <c:pt idx="9">
                  <c:v>W10</c:v>
                </c:pt>
                <c:pt idx="10">
                  <c:v>W11</c:v>
                </c:pt>
                <c:pt idx="11">
                  <c:v>W12</c:v>
                </c:pt>
                <c:pt idx="12">
                  <c:v>W13</c:v>
                </c:pt>
              </c:strCache>
            </c:strRef>
          </c:cat>
          <c:val>
            <c:numRef>
              <c:f>'Sample Cashflow'!$C$105:$O$105</c:f>
              <c:numCache>
                <c:formatCode>General</c:formatCode>
                <c:ptCount val="13"/>
                <c:pt idx="0">
                  <c:v>250000</c:v>
                </c:pt>
                <c:pt idx="1">
                  <c:v>250000</c:v>
                </c:pt>
                <c:pt idx="2">
                  <c:v>250000</c:v>
                </c:pt>
                <c:pt idx="3">
                  <c:v>250000</c:v>
                </c:pt>
                <c:pt idx="4">
                  <c:v>250000</c:v>
                </c:pt>
                <c:pt idx="5">
                  <c:v>250000</c:v>
                </c:pt>
                <c:pt idx="6">
                  <c:v>250000</c:v>
                </c:pt>
                <c:pt idx="7">
                  <c:v>250000</c:v>
                </c:pt>
                <c:pt idx="8">
                  <c:v>250000</c:v>
                </c:pt>
                <c:pt idx="9">
                  <c:v>250000</c:v>
                </c:pt>
                <c:pt idx="10">
                  <c:v>250000</c:v>
                </c:pt>
                <c:pt idx="11">
                  <c:v>250000</c:v>
                </c:pt>
                <c:pt idx="12">
                  <c:v>250000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3E-8048-B8D0-392CC00C8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5167552"/>
        <c:axId val="1867227008"/>
      </c:lineChart>
      <c:catAx>
        <c:axId val="186516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3A3A3C"/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rgbClr val="8896B3"/>
                </a:solidFill>
                <a:latin typeface="Consolas"/>
                <a:ea typeface="Consolas"/>
                <a:cs typeface="Consolas"/>
              </a:defRPr>
            </a:pPr>
            <a:endParaRPr lang="en-US"/>
          </a:p>
        </c:txPr>
        <c:crossAx val="1867227008"/>
        <c:crosses val="autoZero"/>
        <c:auto val="1"/>
        <c:lblAlgn val="ctr"/>
        <c:lblOffset val="100"/>
        <c:noMultiLvlLbl val="0"/>
      </c:catAx>
      <c:valAx>
        <c:axId val="186722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26282B"/>
              </a:solidFill>
              <a:prstDash val="solid"/>
              <a:round/>
            </a:ln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solidFill>
              <a:srgbClr val="3A3A3C"/>
            </a:solidFill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rgbClr val="8896B3"/>
                </a:solidFill>
                <a:latin typeface="Consolas"/>
                <a:ea typeface="Consolas"/>
                <a:cs typeface="Consolas"/>
              </a:defRPr>
            </a:pPr>
            <a:endParaRPr lang="en-US"/>
          </a:p>
        </c:txPr>
        <c:crossAx val="1865167552"/>
        <c:crosses val="autoZero"/>
        <c:crossBetween val="between"/>
      </c:valAx>
      <c:spPr>
        <a:solidFill>
          <a:srgbClr val="1C1C1E"/>
        </a:solidFill>
      </c:spPr>
    </c:plotArea>
    <c:plotVisOnly val="1"/>
    <c:dispBlanksAs val="gap"/>
    <c:showDLblsOverMax val="1"/>
  </c:chart>
  <c:spPr>
    <a:solidFill>
      <a:srgbClr val="1C1C1E"/>
    </a:solidFill>
    <a:ln w="9525">
      <a:solidFill>
        <a:srgbClr val="1C1C1E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101600</xdr:rowOff>
    </xdr:from>
    <xdr:ext cx="1571625" cy="390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01600"/>
          <a:ext cx="1571625" cy="3905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1143001</xdr:colOff>
      <xdr:row>9</xdr:row>
      <xdr:rowOff>177800</xdr:rowOff>
    </xdr:from>
    <xdr:to>
      <xdr:col>15</xdr:col>
      <xdr:colOff>1</xdr:colOff>
      <xdr:row>24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152400</xdr:colOff>
      <xdr:row>0</xdr:row>
      <xdr:rowOff>101600</xdr:rowOff>
    </xdr:from>
    <xdr:ext cx="1571625" cy="3905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" y="101600"/>
          <a:ext cx="1571625" cy="3905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101600</xdr:rowOff>
    </xdr:from>
    <xdr:ext cx="1571625" cy="390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01600"/>
          <a:ext cx="1571625" cy="3905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1143001</xdr:colOff>
      <xdr:row>9</xdr:row>
      <xdr:rowOff>177800</xdr:rowOff>
    </xdr:from>
    <xdr:to>
      <xdr:col>15</xdr:col>
      <xdr:colOff>1</xdr:colOff>
      <xdr:row>24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77A578-D141-D94D-A23C-563AA838C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152400</xdr:colOff>
      <xdr:row>0</xdr:row>
      <xdr:rowOff>101600</xdr:rowOff>
    </xdr:from>
    <xdr:ext cx="1571625" cy="3905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E87875-CD0B-3645-BE22-D475BF9C720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" y="101600"/>
          <a:ext cx="1571625" cy="3905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101600</xdr:rowOff>
    </xdr:from>
    <xdr:ext cx="1571625" cy="390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8F16DD-C6FD-CB4F-B2E7-09B5F6774F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01600"/>
          <a:ext cx="1571625" cy="390525"/>
        </a:xfrm>
        <a:prstGeom prst="rect">
          <a:avLst/>
        </a:prstGeom>
        <a:ln>
          <a:prstDash val="solid"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79EB42C-AE01-4B4C-A15E-17626FA61955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91928c5-a2ae-4703-812d-0537afe1e3a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hyperlink" Target="https://infraxus.com/book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hyperlink" Target="https://infraxus.com/book" TargetMode="External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showGridLines="0" tabSelected="1" zoomScale="14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6" sqref="L6"/>
    </sheetView>
  </sheetViews>
  <sheetFormatPr baseColWidth="10" defaultColWidth="8.83203125" defaultRowHeight="15" x14ac:dyDescent="0.2"/>
  <cols>
    <col min="1" max="1" width="2" style="14" customWidth="1"/>
    <col min="2" max="2" width="26" style="14" customWidth="1"/>
    <col min="3" max="4" width="16" style="14" customWidth="1"/>
    <col min="5" max="10" width="12" style="14" customWidth="1"/>
    <col min="11" max="16384" width="8.83203125" style="14"/>
  </cols>
  <sheetData>
    <row r="1" spans="1:10" x14ac:dyDescent="0.2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24" x14ac:dyDescent="0.2">
      <c r="A2" s="28"/>
      <c r="B2" s="28"/>
      <c r="C2" s="194" t="s">
        <v>68</v>
      </c>
      <c r="D2" s="28"/>
      <c r="E2" s="28"/>
      <c r="F2" s="28"/>
      <c r="G2" s="28"/>
      <c r="H2" s="28"/>
      <c r="I2" s="28"/>
      <c r="J2" s="28"/>
    </row>
    <row r="3" spans="1:10" x14ac:dyDescent="0.2">
      <c r="A3" s="28"/>
      <c r="B3" s="195" t="s">
        <v>69</v>
      </c>
      <c r="C3" s="28"/>
      <c r="D3" s="28"/>
      <c r="E3" s="28"/>
      <c r="F3" s="28"/>
      <c r="G3" s="28"/>
      <c r="H3" s="28"/>
      <c r="I3" s="28"/>
      <c r="J3" s="28"/>
    </row>
    <row r="4" spans="1:10" x14ac:dyDescent="0.2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 x14ac:dyDescent="0.2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ht="21" x14ac:dyDescent="0.2">
      <c r="A6" s="28"/>
      <c r="B6" s="198" t="s">
        <v>70</v>
      </c>
      <c r="C6" s="199" t="s">
        <v>71</v>
      </c>
      <c r="D6" s="28"/>
      <c r="E6" s="28"/>
      <c r="F6" s="28"/>
      <c r="G6" s="28"/>
      <c r="H6" s="28"/>
      <c r="I6" s="28"/>
      <c r="J6" s="28"/>
    </row>
    <row r="7" spans="1:10" ht="86" customHeight="1" x14ac:dyDescent="0.2">
      <c r="C7" s="209" t="s">
        <v>205</v>
      </c>
      <c r="D7" s="210"/>
      <c r="E7" s="210"/>
      <c r="F7" s="210"/>
      <c r="G7" s="210"/>
      <c r="H7" s="210"/>
      <c r="I7" s="210"/>
      <c r="J7" s="210"/>
    </row>
    <row r="8" spans="1:10" x14ac:dyDescent="0.2">
      <c r="A8" s="28"/>
      <c r="B8" s="28"/>
      <c r="C8" s="28"/>
      <c r="D8" s="28"/>
      <c r="E8" s="28"/>
      <c r="F8" s="28"/>
      <c r="G8" s="28"/>
      <c r="H8" s="28"/>
      <c r="I8" s="28"/>
      <c r="J8" s="28"/>
    </row>
    <row r="9" spans="1:10" ht="21" x14ac:dyDescent="0.2">
      <c r="A9" s="28"/>
      <c r="B9" s="198" t="s">
        <v>72</v>
      </c>
      <c r="C9" s="199" t="s">
        <v>73</v>
      </c>
      <c r="D9" s="28"/>
      <c r="E9" s="28"/>
      <c r="F9" s="28"/>
      <c r="G9" s="28"/>
      <c r="H9" s="28"/>
      <c r="I9" s="28"/>
      <c r="J9" s="28"/>
    </row>
    <row r="10" spans="1:10" ht="148" customHeight="1" x14ac:dyDescent="0.2">
      <c r="C10" s="209" t="s">
        <v>206</v>
      </c>
      <c r="D10" s="210"/>
      <c r="E10" s="210"/>
      <c r="F10" s="210"/>
      <c r="G10" s="210"/>
      <c r="H10" s="210"/>
      <c r="I10" s="210"/>
      <c r="J10" s="210"/>
    </row>
    <row r="11" spans="1:10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</row>
    <row r="12" spans="1:10" ht="21" x14ac:dyDescent="0.2">
      <c r="A12" s="28"/>
      <c r="B12" s="198" t="s">
        <v>74</v>
      </c>
      <c r="C12" s="199" t="s">
        <v>75</v>
      </c>
      <c r="D12" s="28"/>
      <c r="E12" s="28"/>
      <c r="F12" s="28"/>
      <c r="G12" s="28"/>
      <c r="H12" s="28"/>
      <c r="I12" s="28"/>
      <c r="J12" s="28"/>
    </row>
    <row r="13" spans="1:10" ht="124" customHeight="1" x14ac:dyDescent="0.2">
      <c r="C13" s="209" t="s">
        <v>207</v>
      </c>
      <c r="D13" s="210"/>
      <c r="E13" s="210"/>
      <c r="F13" s="210"/>
      <c r="G13" s="210"/>
      <c r="H13" s="210"/>
      <c r="I13" s="210"/>
      <c r="J13" s="210"/>
    </row>
    <row r="14" spans="1:10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21" x14ac:dyDescent="0.2">
      <c r="A15" s="28"/>
      <c r="B15" s="198" t="s">
        <v>76</v>
      </c>
      <c r="C15" s="199" t="s">
        <v>77</v>
      </c>
      <c r="D15" s="28"/>
      <c r="E15" s="28"/>
      <c r="F15" s="28"/>
      <c r="G15" s="28"/>
      <c r="H15" s="28"/>
      <c r="I15" s="28"/>
      <c r="J15" s="28"/>
    </row>
    <row r="16" spans="1:10" ht="130" customHeight="1" x14ac:dyDescent="0.2">
      <c r="C16" s="209" t="s">
        <v>208</v>
      </c>
      <c r="D16" s="210"/>
      <c r="E16" s="210"/>
      <c r="F16" s="210"/>
      <c r="G16" s="210"/>
      <c r="H16" s="210"/>
      <c r="I16" s="210"/>
      <c r="J16" s="210"/>
    </row>
    <row r="17" spans="1:10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</row>
    <row r="18" spans="1:10" ht="21" x14ac:dyDescent="0.2">
      <c r="A18" s="28"/>
      <c r="B18" s="198" t="s">
        <v>78</v>
      </c>
      <c r="C18" s="199" t="s">
        <v>79</v>
      </c>
      <c r="D18" s="28"/>
      <c r="E18" s="28"/>
      <c r="F18" s="28"/>
      <c r="G18" s="28"/>
      <c r="H18" s="28"/>
      <c r="I18" s="28"/>
      <c r="J18" s="28"/>
    </row>
    <row r="19" spans="1:10" ht="110" customHeight="1" x14ac:dyDescent="0.2">
      <c r="C19" s="209" t="s">
        <v>209</v>
      </c>
      <c r="D19" s="210"/>
      <c r="E19" s="210"/>
      <c r="F19" s="210"/>
      <c r="G19" s="210"/>
      <c r="H19" s="210"/>
      <c r="I19" s="210"/>
      <c r="J19" s="210"/>
    </row>
    <row r="20" spans="1:10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</row>
    <row r="21" spans="1:10" ht="21" x14ac:dyDescent="0.2">
      <c r="A21" s="28"/>
      <c r="B21" s="198" t="s">
        <v>80</v>
      </c>
      <c r="C21" s="199" t="s">
        <v>81</v>
      </c>
      <c r="D21" s="28"/>
      <c r="E21" s="28"/>
      <c r="F21" s="28"/>
      <c r="G21" s="28"/>
      <c r="H21" s="28"/>
      <c r="I21" s="28"/>
      <c r="J21" s="28"/>
    </row>
    <row r="22" spans="1:10" ht="89" customHeight="1" x14ac:dyDescent="0.2">
      <c r="C22" s="209" t="s">
        <v>210</v>
      </c>
      <c r="D22" s="210"/>
      <c r="E22" s="210"/>
      <c r="F22" s="210"/>
      <c r="G22" s="210"/>
      <c r="H22" s="210"/>
      <c r="I22" s="210"/>
      <c r="J22" s="210"/>
    </row>
    <row r="23" spans="1:10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x14ac:dyDescent="0.2">
      <c r="A24" s="28"/>
      <c r="B24" s="196" t="s">
        <v>240</v>
      </c>
      <c r="C24" s="28"/>
      <c r="D24" s="28"/>
      <c r="E24" s="28"/>
      <c r="F24" s="28"/>
      <c r="G24" s="28"/>
      <c r="H24" s="28"/>
      <c r="I24" s="28"/>
      <c r="J24" s="197" t="s">
        <v>82</v>
      </c>
    </row>
    <row r="25" spans="1:10" x14ac:dyDescent="0.2">
      <c r="A25" s="28"/>
      <c r="B25" s="196"/>
      <c r="C25" s="28"/>
      <c r="D25" s="28"/>
      <c r="E25" s="28"/>
      <c r="F25" s="28"/>
      <c r="G25" s="28"/>
      <c r="H25" s="28"/>
      <c r="I25" s="28"/>
      <c r="J25" s="197"/>
    </row>
    <row r="26" spans="1:10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</row>
    <row r="27" spans="1:10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</row>
    <row r="28" spans="1:10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</row>
    <row r="29" spans="1:10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</row>
    <row r="30" spans="1:10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</row>
    <row r="31" spans="1:10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</row>
    <row r="32" spans="1:10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</row>
    <row r="33" spans="1:10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</row>
    <row r="36" spans="1:10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</row>
    <row r="37" spans="1:10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</row>
    <row r="38" spans="1:10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</row>
    <row r="39" spans="1:10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</row>
    <row r="40" spans="1:10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</row>
    <row r="41" spans="1:10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</row>
    <row r="42" spans="1:10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</row>
    <row r="43" spans="1:10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</row>
    <row r="44" spans="1:10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</row>
    <row r="45" spans="1:10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</row>
    <row r="46" spans="1:10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</row>
    <row r="47" spans="1:10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</row>
    <row r="48" spans="1:10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</row>
    <row r="49" spans="1:10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</row>
    <row r="50" spans="1:10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</row>
    <row r="51" spans="1:10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</row>
    <row r="52" spans="1:10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</row>
    <row r="53" spans="1:10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</row>
    <row r="54" spans="1:10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</row>
    <row r="55" spans="1:10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</row>
    <row r="56" spans="1:10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</row>
    <row r="57" spans="1:10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</row>
    <row r="58" spans="1:10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</row>
    <row r="59" spans="1:10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</row>
    <row r="60" spans="1:10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</row>
    <row r="61" spans="1:10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</row>
    <row r="62" spans="1:10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</row>
    <row r="63" spans="1:10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</row>
    <row r="64" spans="1:10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</row>
    <row r="65" spans="1:10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</row>
    <row r="66" spans="1:10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</row>
    <row r="67" spans="1:10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</row>
    <row r="68" spans="1:10" x14ac:dyDescent="0.2">
      <c r="A68" s="47"/>
      <c r="B68" s="47"/>
      <c r="C68" s="47"/>
      <c r="D68" s="47"/>
      <c r="E68" s="47"/>
      <c r="F68" s="47"/>
      <c r="G68" s="47"/>
      <c r="H68" s="47"/>
      <c r="I68" s="47"/>
      <c r="J68" s="47"/>
    </row>
    <row r="69" spans="1:10" x14ac:dyDescent="0.2">
      <c r="A69" s="47"/>
      <c r="B69" s="47"/>
      <c r="C69" s="47"/>
      <c r="D69" s="47"/>
      <c r="E69" s="47"/>
      <c r="F69" s="47"/>
      <c r="G69" s="47"/>
      <c r="H69" s="47"/>
      <c r="I69" s="47"/>
      <c r="J69" s="47"/>
    </row>
    <row r="70" spans="1:10" x14ac:dyDescent="0.2">
      <c r="A70" s="47"/>
      <c r="B70" s="47"/>
      <c r="C70" s="47"/>
      <c r="D70" s="47"/>
      <c r="E70" s="47"/>
      <c r="F70" s="47"/>
      <c r="G70" s="47"/>
      <c r="H70" s="47"/>
      <c r="I70" s="47"/>
      <c r="J70" s="47"/>
    </row>
    <row r="71" spans="1:10" x14ac:dyDescent="0.2">
      <c r="A71" s="47"/>
      <c r="B71" s="47"/>
      <c r="C71" s="47"/>
      <c r="D71" s="47"/>
      <c r="E71" s="47"/>
      <c r="F71" s="47"/>
      <c r="G71" s="47"/>
      <c r="H71" s="47"/>
      <c r="I71" s="47"/>
      <c r="J71" s="47"/>
    </row>
    <row r="72" spans="1:10" x14ac:dyDescent="0.2">
      <c r="A72" s="47"/>
      <c r="B72" s="47"/>
      <c r="C72" s="47"/>
      <c r="D72" s="47"/>
      <c r="E72" s="47"/>
      <c r="F72" s="47"/>
      <c r="G72" s="47"/>
      <c r="H72" s="47"/>
      <c r="I72" s="47"/>
      <c r="J72" s="47"/>
    </row>
    <row r="73" spans="1:10" x14ac:dyDescent="0.2">
      <c r="A73" s="47"/>
      <c r="B73" s="47"/>
      <c r="C73" s="47"/>
      <c r="D73" s="47"/>
      <c r="E73" s="47"/>
      <c r="F73" s="47"/>
      <c r="G73" s="47"/>
      <c r="H73" s="47"/>
      <c r="I73" s="47"/>
      <c r="J73" s="47"/>
    </row>
    <row r="74" spans="1:10" x14ac:dyDescent="0.2">
      <c r="A74" s="47"/>
      <c r="B74" s="47"/>
      <c r="C74" s="47"/>
      <c r="D74" s="47"/>
      <c r="E74" s="47"/>
      <c r="F74" s="47"/>
      <c r="G74" s="47"/>
      <c r="H74" s="47"/>
      <c r="I74" s="47"/>
      <c r="J74" s="47"/>
    </row>
    <row r="75" spans="1:10" x14ac:dyDescent="0.2">
      <c r="A75" s="47"/>
      <c r="B75" s="47"/>
      <c r="C75" s="47"/>
      <c r="D75" s="47"/>
      <c r="E75" s="47"/>
      <c r="F75" s="47"/>
      <c r="G75" s="47"/>
      <c r="H75" s="47"/>
      <c r="I75" s="47"/>
      <c r="J75" s="47"/>
    </row>
    <row r="76" spans="1:10" x14ac:dyDescent="0.2">
      <c r="A76" s="47"/>
      <c r="B76" s="47"/>
      <c r="C76" s="47"/>
      <c r="D76" s="47"/>
      <c r="E76" s="47"/>
      <c r="F76" s="47"/>
      <c r="G76" s="47"/>
      <c r="H76" s="47"/>
      <c r="I76" s="47"/>
      <c r="J76" s="47"/>
    </row>
    <row r="77" spans="1:10" x14ac:dyDescent="0.2">
      <c r="A77" s="47"/>
      <c r="B77" s="47"/>
      <c r="C77" s="47"/>
      <c r="D77" s="47"/>
      <c r="E77" s="47"/>
      <c r="F77" s="47"/>
      <c r="G77" s="47"/>
      <c r="H77" s="47"/>
      <c r="I77" s="47"/>
      <c r="J77" s="47"/>
    </row>
    <row r="78" spans="1:10" x14ac:dyDescent="0.2">
      <c r="A78" s="47"/>
      <c r="B78" s="47"/>
      <c r="C78" s="47"/>
      <c r="D78" s="47"/>
      <c r="E78" s="47"/>
      <c r="F78" s="47"/>
      <c r="G78" s="47"/>
      <c r="H78" s="47"/>
      <c r="I78" s="47"/>
      <c r="J78" s="47"/>
    </row>
    <row r="79" spans="1:10" x14ac:dyDescent="0.2">
      <c r="A79" s="47"/>
      <c r="B79" s="47"/>
      <c r="C79" s="47"/>
      <c r="D79" s="47"/>
      <c r="E79" s="47"/>
      <c r="F79" s="47"/>
      <c r="G79" s="47"/>
      <c r="H79" s="47"/>
      <c r="I79" s="47"/>
      <c r="J79" s="47"/>
    </row>
    <row r="80" spans="1:10" x14ac:dyDescent="0.2">
      <c r="A80" s="47"/>
      <c r="B80" s="47"/>
      <c r="C80" s="47"/>
      <c r="D80" s="47"/>
      <c r="E80" s="47"/>
      <c r="F80" s="47"/>
      <c r="G80" s="47"/>
      <c r="H80" s="47"/>
      <c r="I80" s="47"/>
      <c r="J80" s="47"/>
    </row>
    <row r="81" spans="1:10" x14ac:dyDescent="0.2">
      <c r="A81" s="47"/>
      <c r="B81" s="47"/>
      <c r="C81" s="47"/>
      <c r="D81" s="47"/>
      <c r="E81" s="47"/>
      <c r="F81" s="47"/>
      <c r="G81" s="47"/>
      <c r="H81" s="47"/>
      <c r="I81" s="47"/>
      <c r="J81" s="47"/>
    </row>
    <row r="82" spans="1:10" x14ac:dyDescent="0.2">
      <c r="A82" s="47"/>
      <c r="B82" s="47"/>
      <c r="C82" s="47"/>
      <c r="D82" s="47"/>
      <c r="E82" s="47"/>
      <c r="F82" s="47"/>
      <c r="G82" s="47"/>
      <c r="H82" s="47"/>
      <c r="I82" s="47"/>
      <c r="J82" s="47"/>
    </row>
  </sheetData>
  <mergeCells count="6">
    <mergeCell ref="C22:J22"/>
    <mergeCell ref="C7:J7"/>
    <mergeCell ref="C10:J10"/>
    <mergeCell ref="C16:J16"/>
    <mergeCell ref="C13:J13"/>
    <mergeCell ref="C19:J1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E50FF"/>
    <pageSetUpPr fitToPage="1"/>
  </sheetPr>
  <dimension ref="A1:AD221"/>
  <sheetViews>
    <sheetView showGridLines="0" zoomScale="130" zoomScaleNormal="120" workbookViewId="0">
      <pane xSplit="2" ySplit="4" topLeftCell="C5" activePane="bottomRight" state="frozen"/>
      <selection pane="topRight"/>
      <selection pane="bottomLeft"/>
      <selection pane="bottomRight" activeCell="R16" sqref="R16"/>
    </sheetView>
  </sheetViews>
  <sheetFormatPr baseColWidth="10" defaultColWidth="8.83203125" defaultRowHeight="15" x14ac:dyDescent="0.2"/>
  <cols>
    <col min="1" max="1" width="2" style="14" customWidth="1"/>
    <col min="2" max="2" width="30" style="14" bestFit="1" customWidth="1"/>
    <col min="3" max="3" width="12.5" style="14" customWidth="1"/>
    <col min="4" max="15" width="12.5" customWidth="1"/>
    <col min="16" max="16" width="8.83203125" style="14" customWidth="1"/>
    <col min="17" max="16384" width="8.83203125" style="14"/>
  </cols>
  <sheetData>
    <row r="1" spans="1:30" ht="10" customHeight="1" x14ac:dyDescent="0.2">
      <c r="A1" s="156"/>
      <c r="B1" s="28"/>
      <c r="C1" s="157"/>
      <c r="D1" s="28"/>
      <c r="E1" s="28"/>
      <c r="F1" s="28"/>
      <c r="G1" s="28"/>
      <c r="H1" s="28"/>
      <c r="I1" s="28"/>
      <c r="J1" s="28"/>
      <c r="K1" s="28"/>
      <c r="L1" s="158"/>
      <c r="M1" s="28"/>
      <c r="N1" s="28"/>
      <c r="O1" s="2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9" x14ac:dyDescent="0.2">
      <c r="A2" s="159"/>
      <c r="B2" s="28"/>
      <c r="C2" s="163" t="str">
        <f>In_PackTitle</f>
        <v>13-Week Cash Flow</v>
      </c>
      <c r="D2" s="28"/>
      <c r="E2" s="28"/>
      <c r="F2" s="28"/>
      <c r="G2" s="28"/>
      <c r="H2" s="28"/>
      <c r="I2" s="28"/>
      <c r="J2" s="28"/>
      <c r="K2" s="28"/>
      <c r="L2" s="28"/>
      <c r="M2" s="160"/>
      <c r="N2" s="28"/>
      <c r="O2" s="28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" customHeight="1" x14ac:dyDescent="0.2">
      <c r="A3" s="161"/>
      <c r="B3" s="201" t="s">
        <v>241</v>
      </c>
      <c r="C3" s="162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9" customHeight="1" x14ac:dyDescent="0.25">
      <c r="A5" s="1"/>
      <c r="B5" s="16" t="s">
        <v>0</v>
      </c>
      <c r="C5" s="17" t="s">
        <v>1</v>
      </c>
      <c r="D5" s="14"/>
      <c r="E5" s="18" t="s">
        <v>2</v>
      </c>
      <c r="F5" s="14"/>
      <c r="G5" s="19" t="s">
        <v>3</v>
      </c>
      <c r="H5" s="14"/>
      <c r="I5" s="14"/>
      <c r="J5" s="14"/>
      <c r="K5" s="14"/>
      <c r="L5" s="14"/>
      <c r="M5" s="1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0" x14ac:dyDescent="0.2">
      <c r="A6" s="1"/>
      <c r="B6" s="20" t="s">
        <v>4</v>
      </c>
      <c r="D6" s="14"/>
      <c r="E6" s="21">
        <v>7</v>
      </c>
      <c r="F6" s="14"/>
      <c r="G6" s="21">
        <v>-5</v>
      </c>
      <c r="H6" s="14"/>
      <c r="I6" s="14"/>
      <c r="J6" s="14"/>
      <c r="K6" s="14"/>
      <c r="L6" s="14"/>
      <c r="M6" s="1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0" x14ac:dyDescent="0.2">
      <c r="A7" s="1"/>
      <c r="B7" s="20" t="s">
        <v>5</v>
      </c>
      <c r="D7" s="14"/>
      <c r="E7" s="22">
        <v>-0.08</v>
      </c>
      <c r="F7" s="14"/>
      <c r="G7" s="22">
        <v>0.05</v>
      </c>
      <c r="H7" s="14"/>
      <c r="I7" s="14"/>
      <c r="J7" s="14"/>
      <c r="K7" s="14"/>
      <c r="L7" s="14"/>
      <c r="M7" s="1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0" x14ac:dyDescent="0.2">
      <c r="A8" s="1"/>
      <c r="B8" s="20" t="s">
        <v>6</v>
      </c>
      <c r="D8" s="14"/>
      <c r="E8" s="23">
        <v>2</v>
      </c>
      <c r="F8" s="14"/>
      <c r="G8" s="23">
        <v>-1</v>
      </c>
      <c r="H8" s="14"/>
      <c r="I8" s="14"/>
      <c r="J8" s="14"/>
      <c r="K8" s="14"/>
      <c r="L8" s="14"/>
      <c r="M8" s="1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0" x14ac:dyDescent="0.2">
      <c r="A9" s="1"/>
      <c r="B9" s="20" t="s">
        <v>7</v>
      </c>
      <c r="D9" s="14"/>
      <c r="E9" s="22">
        <v>-0.1</v>
      </c>
      <c r="F9" s="14"/>
      <c r="G9" s="22">
        <v>-0.03</v>
      </c>
      <c r="H9" s="14"/>
      <c r="I9" s="14"/>
      <c r="J9" s="14"/>
      <c r="K9" s="14"/>
      <c r="L9" s="14"/>
      <c r="M9" s="1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30" x14ac:dyDescent="0.2"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2"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2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2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2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0" customHeight="1" x14ac:dyDescent="0.2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2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2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2"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2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2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">
      <c r="A26" s="1"/>
      <c r="B26" s="213" t="s">
        <v>8</v>
      </c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">
      <c r="A27" s="1"/>
      <c r="B27" s="2" t="s">
        <v>9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14</v>
      </c>
      <c r="H27" s="134" t="s">
        <v>15</v>
      </c>
      <c r="I27" s="128" t="s">
        <v>16</v>
      </c>
      <c r="J27" s="128" t="s">
        <v>17</v>
      </c>
      <c r="K27" s="128" t="s">
        <v>18</v>
      </c>
      <c r="L27" s="128" t="s">
        <v>19</v>
      </c>
      <c r="M27" s="128" t="s">
        <v>20</v>
      </c>
      <c r="N27" s="128" t="s">
        <v>21</v>
      </c>
      <c r="O27" s="128" t="s">
        <v>22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">
      <c r="A28" s="1"/>
      <c r="B28" s="7" t="s">
        <v>23</v>
      </c>
      <c r="C28" s="12">
        <f>In_OpeningCashW1</f>
        <v>0</v>
      </c>
      <c r="D28" s="12">
        <f t="shared" ref="D28:O28" si="0">C40</f>
        <v>0</v>
      </c>
      <c r="E28" s="12">
        <f t="shared" si="0"/>
        <v>0</v>
      </c>
      <c r="F28" s="12">
        <f t="shared" si="0"/>
        <v>0</v>
      </c>
      <c r="G28" s="12">
        <f t="shared" si="0"/>
        <v>0</v>
      </c>
      <c r="H28" s="12">
        <f t="shared" si="0"/>
        <v>0</v>
      </c>
      <c r="I28" s="129">
        <f t="shared" si="0"/>
        <v>0</v>
      </c>
      <c r="J28" s="129">
        <f t="shared" si="0"/>
        <v>0</v>
      </c>
      <c r="K28" s="129">
        <f t="shared" si="0"/>
        <v>0</v>
      </c>
      <c r="L28" s="129">
        <f t="shared" si="0"/>
        <v>0</v>
      </c>
      <c r="M28" s="129">
        <f t="shared" si="0"/>
        <v>0</v>
      </c>
      <c r="N28" s="129">
        <f t="shared" si="0"/>
        <v>0</v>
      </c>
      <c r="O28" s="129">
        <f t="shared" si="0"/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">
      <c r="A29" s="1"/>
      <c r="B29" s="213" t="s">
        <v>24</v>
      </c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">
      <c r="A30" s="1"/>
      <c r="B30" s="4" t="s">
        <v>25</v>
      </c>
      <c r="C30" s="6">
        <f t="shared" ref="C30:O30" si="1">C129+C144</f>
        <v>0</v>
      </c>
      <c r="D30" s="6">
        <f t="shared" si="1"/>
        <v>0</v>
      </c>
      <c r="E30" s="6">
        <f t="shared" si="1"/>
        <v>0</v>
      </c>
      <c r="F30" s="6">
        <f t="shared" si="1"/>
        <v>0</v>
      </c>
      <c r="G30" s="6">
        <f t="shared" si="1"/>
        <v>0</v>
      </c>
      <c r="H30" s="6">
        <f t="shared" si="1"/>
        <v>0</v>
      </c>
      <c r="I30" s="130">
        <f t="shared" si="1"/>
        <v>0</v>
      </c>
      <c r="J30" s="130">
        <f t="shared" si="1"/>
        <v>0</v>
      </c>
      <c r="K30" s="130">
        <f t="shared" si="1"/>
        <v>0</v>
      </c>
      <c r="L30" s="130">
        <f t="shared" si="1"/>
        <v>0</v>
      </c>
      <c r="M30" s="130">
        <f t="shared" si="1"/>
        <v>0</v>
      </c>
      <c r="N30" s="130">
        <f t="shared" si="1"/>
        <v>0</v>
      </c>
      <c r="O30" s="130">
        <f t="shared" si="1"/>
        <v>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">
      <c r="A31" s="1"/>
      <c r="B31" s="4" t="s">
        <v>26</v>
      </c>
      <c r="C31" s="6">
        <f t="shared" ref="C31:O31" si="2">C130+C145</f>
        <v>0</v>
      </c>
      <c r="D31" s="6">
        <f t="shared" si="2"/>
        <v>0</v>
      </c>
      <c r="E31" s="6">
        <f t="shared" si="2"/>
        <v>0</v>
      </c>
      <c r="F31" s="6">
        <f t="shared" si="2"/>
        <v>0</v>
      </c>
      <c r="G31" s="6">
        <f t="shared" si="2"/>
        <v>0</v>
      </c>
      <c r="H31" s="6">
        <f t="shared" si="2"/>
        <v>0</v>
      </c>
      <c r="I31" s="130">
        <f t="shared" si="2"/>
        <v>0</v>
      </c>
      <c r="J31" s="130">
        <f t="shared" si="2"/>
        <v>0</v>
      </c>
      <c r="K31" s="130">
        <f t="shared" si="2"/>
        <v>0</v>
      </c>
      <c r="L31" s="130">
        <f t="shared" si="2"/>
        <v>0</v>
      </c>
      <c r="M31" s="130">
        <f t="shared" si="2"/>
        <v>0</v>
      </c>
      <c r="N31" s="130">
        <f t="shared" si="2"/>
        <v>0</v>
      </c>
      <c r="O31" s="130">
        <f t="shared" si="2"/>
        <v>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x14ac:dyDescent="0.2">
      <c r="A32" s="1"/>
      <c r="B32" s="213" t="s">
        <v>27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2">
      <c r="A33" s="1"/>
      <c r="B33" s="4" t="s">
        <v>28</v>
      </c>
      <c r="C33" s="6">
        <f t="shared" ref="C33:O33" si="3">C131+C146</f>
        <v>0</v>
      </c>
      <c r="D33" s="6">
        <f t="shared" si="3"/>
        <v>0</v>
      </c>
      <c r="E33" s="6">
        <f t="shared" si="3"/>
        <v>0</v>
      </c>
      <c r="F33" s="6">
        <f t="shared" si="3"/>
        <v>0</v>
      </c>
      <c r="G33" s="6">
        <f t="shared" si="3"/>
        <v>0</v>
      </c>
      <c r="H33" s="6">
        <f t="shared" si="3"/>
        <v>0</v>
      </c>
      <c r="I33" s="130">
        <f t="shared" si="3"/>
        <v>0</v>
      </c>
      <c r="J33" s="130">
        <f t="shared" si="3"/>
        <v>0</v>
      </c>
      <c r="K33" s="130">
        <f t="shared" si="3"/>
        <v>0</v>
      </c>
      <c r="L33" s="130">
        <f t="shared" si="3"/>
        <v>0</v>
      </c>
      <c r="M33" s="130">
        <f t="shared" si="3"/>
        <v>0</v>
      </c>
      <c r="N33" s="130">
        <f t="shared" si="3"/>
        <v>0</v>
      </c>
      <c r="O33" s="130">
        <f t="shared" si="3"/>
        <v>0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">
      <c r="A34" s="1"/>
      <c r="B34" s="4" t="s">
        <v>29</v>
      </c>
      <c r="C34" s="6">
        <f t="shared" ref="C34:O34" si="4">C132+C147</f>
        <v>0</v>
      </c>
      <c r="D34" s="6">
        <f t="shared" si="4"/>
        <v>0</v>
      </c>
      <c r="E34" s="6">
        <f t="shared" si="4"/>
        <v>0</v>
      </c>
      <c r="F34" s="6">
        <f t="shared" si="4"/>
        <v>0</v>
      </c>
      <c r="G34" s="6">
        <f t="shared" si="4"/>
        <v>0</v>
      </c>
      <c r="H34" s="6">
        <f t="shared" si="4"/>
        <v>0</v>
      </c>
      <c r="I34" s="130">
        <f t="shared" si="4"/>
        <v>0</v>
      </c>
      <c r="J34" s="130">
        <f t="shared" si="4"/>
        <v>0</v>
      </c>
      <c r="K34" s="130">
        <f t="shared" si="4"/>
        <v>0</v>
      </c>
      <c r="L34" s="130">
        <f t="shared" si="4"/>
        <v>0</v>
      </c>
      <c r="M34" s="130">
        <f t="shared" si="4"/>
        <v>0</v>
      </c>
      <c r="N34" s="130">
        <f t="shared" si="4"/>
        <v>0</v>
      </c>
      <c r="O34" s="130">
        <f t="shared" si="4"/>
        <v>0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">
      <c r="A35" s="1"/>
      <c r="B35" s="4" t="s">
        <v>30</v>
      </c>
      <c r="C35" s="6">
        <f t="shared" ref="C35:O35" si="5">C133+C148</f>
        <v>0</v>
      </c>
      <c r="D35" s="6">
        <f t="shared" si="5"/>
        <v>0</v>
      </c>
      <c r="E35" s="6">
        <f t="shared" si="5"/>
        <v>0</v>
      </c>
      <c r="F35" s="6">
        <f t="shared" si="5"/>
        <v>0</v>
      </c>
      <c r="G35" s="6">
        <f t="shared" si="5"/>
        <v>0</v>
      </c>
      <c r="H35" s="6">
        <f t="shared" si="5"/>
        <v>0</v>
      </c>
      <c r="I35" s="130">
        <f t="shared" si="5"/>
        <v>0</v>
      </c>
      <c r="J35" s="130">
        <f t="shared" si="5"/>
        <v>0</v>
      </c>
      <c r="K35" s="130">
        <f t="shared" si="5"/>
        <v>0</v>
      </c>
      <c r="L35" s="130">
        <f t="shared" si="5"/>
        <v>0</v>
      </c>
      <c r="M35" s="130">
        <f t="shared" si="5"/>
        <v>0</v>
      </c>
      <c r="N35" s="130">
        <f t="shared" si="5"/>
        <v>0</v>
      </c>
      <c r="O35" s="130">
        <f t="shared" si="5"/>
        <v>0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0" customHeight="1" x14ac:dyDescent="0.2">
      <c r="A36" s="1"/>
      <c r="B36" s="4" t="s">
        <v>31</v>
      </c>
      <c r="C36" s="6">
        <f t="shared" ref="C36:O36" si="6">C134+C149</f>
        <v>0</v>
      </c>
      <c r="D36" s="6">
        <f t="shared" si="6"/>
        <v>0</v>
      </c>
      <c r="E36" s="6">
        <f t="shared" si="6"/>
        <v>0</v>
      </c>
      <c r="F36" s="6">
        <f t="shared" si="6"/>
        <v>0</v>
      </c>
      <c r="G36" s="6">
        <f t="shared" si="6"/>
        <v>0</v>
      </c>
      <c r="H36" s="6">
        <f t="shared" si="6"/>
        <v>0</v>
      </c>
      <c r="I36" s="130">
        <f t="shared" si="6"/>
        <v>0</v>
      </c>
      <c r="J36" s="130">
        <f t="shared" si="6"/>
        <v>0</v>
      </c>
      <c r="K36" s="130">
        <f t="shared" si="6"/>
        <v>0</v>
      </c>
      <c r="L36" s="130">
        <f t="shared" si="6"/>
        <v>0</v>
      </c>
      <c r="M36" s="130">
        <f t="shared" si="6"/>
        <v>0</v>
      </c>
      <c r="N36" s="130">
        <f t="shared" si="6"/>
        <v>0</v>
      </c>
      <c r="O36" s="130">
        <f t="shared" si="6"/>
        <v>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">
      <c r="A37" s="1"/>
      <c r="B37" s="4" t="s">
        <v>32</v>
      </c>
      <c r="C37" s="6">
        <f t="shared" ref="C37:O37" si="7">C135+C150</f>
        <v>0</v>
      </c>
      <c r="D37" s="6">
        <f t="shared" si="7"/>
        <v>0</v>
      </c>
      <c r="E37" s="6">
        <f t="shared" si="7"/>
        <v>0</v>
      </c>
      <c r="F37" s="6">
        <f t="shared" si="7"/>
        <v>0</v>
      </c>
      <c r="G37" s="6">
        <f t="shared" si="7"/>
        <v>0</v>
      </c>
      <c r="H37" s="6">
        <f t="shared" si="7"/>
        <v>0</v>
      </c>
      <c r="I37" s="130">
        <f t="shared" si="7"/>
        <v>0</v>
      </c>
      <c r="J37" s="130">
        <f t="shared" si="7"/>
        <v>0</v>
      </c>
      <c r="K37" s="130">
        <f t="shared" si="7"/>
        <v>0</v>
      </c>
      <c r="L37" s="130">
        <f t="shared" si="7"/>
        <v>0</v>
      </c>
      <c r="M37" s="130">
        <f t="shared" si="7"/>
        <v>0</v>
      </c>
      <c r="N37" s="130">
        <f t="shared" si="7"/>
        <v>0</v>
      </c>
      <c r="O37" s="130">
        <f t="shared" si="7"/>
        <v>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0" customHeight="1" x14ac:dyDescent="0.2">
      <c r="A38" s="1"/>
      <c r="B38" s="4" t="s">
        <v>33</v>
      </c>
      <c r="C38" s="6">
        <f t="shared" ref="C38:O38" si="8">C136+C151</f>
        <v>0</v>
      </c>
      <c r="D38" s="6">
        <f t="shared" si="8"/>
        <v>0</v>
      </c>
      <c r="E38" s="6">
        <f t="shared" si="8"/>
        <v>0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130">
        <f t="shared" si="8"/>
        <v>0</v>
      </c>
      <c r="J38" s="130">
        <f t="shared" si="8"/>
        <v>0</v>
      </c>
      <c r="K38" s="130">
        <f t="shared" si="8"/>
        <v>0</v>
      </c>
      <c r="L38" s="130">
        <f t="shared" si="8"/>
        <v>0</v>
      </c>
      <c r="M38" s="130">
        <f t="shared" si="8"/>
        <v>0</v>
      </c>
      <c r="N38" s="130">
        <f t="shared" si="8"/>
        <v>0</v>
      </c>
      <c r="O38" s="130">
        <f t="shared" si="8"/>
        <v>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">
      <c r="A39" s="1"/>
      <c r="B39" s="7" t="s">
        <v>34</v>
      </c>
      <c r="C39" s="8">
        <f t="shared" ref="C39:O39" si="9">C30+C31+C33+C34+C35+C36+C37+C38</f>
        <v>0</v>
      </c>
      <c r="D39" s="8">
        <f t="shared" si="9"/>
        <v>0</v>
      </c>
      <c r="E39" s="8">
        <f t="shared" si="9"/>
        <v>0</v>
      </c>
      <c r="F39" s="8">
        <f t="shared" si="9"/>
        <v>0</v>
      </c>
      <c r="G39" s="8">
        <f t="shared" si="9"/>
        <v>0</v>
      </c>
      <c r="H39" s="8">
        <f t="shared" si="9"/>
        <v>0</v>
      </c>
      <c r="I39" s="131">
        <f t="shared" si="9"/>
        <v>0</v>
      </c>
      <c r="J39" s="131">
        <f t="shared" si="9"/>
        <v>0</v>
      </c>
      <c r="K39" s="131">
        <f t="shared" si="9"/>
        <v>0</v>
      </c>
      <c r="L39" s="131">
        <f t="shared" si="9"/>
        <v>0</v>
      </c>
      <c r="M39" s="131">
        <f t="shared" si="9"/>
        <v>0</v>
      </c>
      <c r="N39" s="131">
        <f t="shared" si="9"/>
        <v>0</v>
      </c>
      <c r="O39" s="131">
        <f t="shared" si="9"/>
        <v>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2">
      <c r="A40" s="1"/>
      <c r="B40" s="9" t="s">
        <v>35</v>
      </c>
      <c r="C40" s="10">
        <f t="shared" ref="C40:O40" si="10">C28+C39</f>
        <v>0</v>
      </c>
      <c r="D40" s="10">
        <f t="shared" si="10"/>
        <v>0</v>
      </c>
      <c r="E40" s="10">
        <f t="shared" si="10"/>
        <v>0</v>
      </c>
      <c r="F40" s="10">
        <f t="shared" si="10"/>
        <v>0</v>
      </c>
      <c r="G40" s="10">
        <f t="shared" si="10"/>
        <v>0</v>
      </c>
      <c r="H40" s="10">
        <f t="shared" si="10"/>
        <v>0</v>
      </c>
      <c r="I40" s="132">
        <f t="shared" si="10"/>
        <v>0</v>
      </c>
      <c r="J40" s="132">
        <f t="shared" si="10"/>
        <v>0</v>
      </c>
      <c r="K40" s="132">
        <f t="shared" si="10"/>
        <v>0</v>
      </c>
      <c r="L40" s="132">
        <f t="shared" si="10"/>
        <v>0</v>
      </c>
      <c r="M40" s="132">
        <f t="shared" si="10"/>
        <v>0</v>
      </c>
      <c r="N40" s="132">
        <f t="shared" si="10"/>
        <v>0</v>
      </c>
      <c r="O40" s="132">
        <f t="shared" si="10"/>
        <v>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2">
      <c r="A41" s="1"/>
      <c r="B41" s="4" t="s">
        <v>36</v>
      </c>
      <c r="C41" s="13" t="str">
        <f>IF(OR(ISBLANK(Inputs!C59),Inputs!C59=0),"–",Inputs!C59)</f>
        <v>–</v>
      </c>
      <c r="D41" s="13" t="str">
        <f>IF(OR(ISBLANK(Inputs!D59),Inputs!D59=0),"–",Inputs!D59)</f>
        <v>–</v>
      </c>
      <c r="E41" s="13" t="str">
        <f>IF(OR(ISBLANK(Inputs!E59),Inputs!E59=0),"–",Inputs!E59)</f>
        <v>–</v>
      </c>
      <c r="F41" s="13" t="str">
        <f>IF(OR(ISBLANK(Inputs!F59),Inputs!F59=0),"–",Inputs!F59)</f>
        <v>–</v>
      </c>
      <c r="G41" s="13" t="str">
        <f>IF(OR(ISBLANK(Inputs!G59),Inputs!G59=0),"–",Inputs!G59)</f>
        <v>–</v>
      </c>
      <c r="H41" s="13" t="str">
        <f>IF(OR(ISBLANK(Inputs!H59),Inputs!H59=0),"–",Inputs!H59)</f>
        <v>–</v>
      </c>
      <c r="I41" s="133" t="str">
        <f>IF(OR(ISBLANK(Inputs!I59),Inputs!I59=0),"–",Inputs!I59)</f>
        <v>–</v>
      </c>
      <c r="J41" s="133" t="str">
        <f>IF(OR(ISBLANK(Inputs!J59),Inputs!J59=0),"–",Inputs!J59)</f>
        <v>–</v>
      </c>
      <c r="K41" s="133" t="str">
        <f>IF(OR(ISBLANK(Inputs!K59),Inputs!K59=0),"–",Inputs!K59)</f>
        <v>–</v>
      </c>
      <c r="L41" s="133" t="str">
        <f>IF(OR(ISBLANK(Inputs!L59),Inputs!L59=0),"–",Inputs!L59)</f>
        <v>–</v>
      </c>
      <c r="M41" s="133" t="str">
        <f>IF(OR(ISBLANK(Inputs!M59),Inputs!M59=0),"–",Inputs!M59)</f>
        <v>–</v>
      </c>
      <c r="N41" s="133" t="str">
        <f>IF(OR(ISBLANK(Inputs!N59),Inputs!N59=0),"–",Inputs!N59)</f>
        <v>–</v>
      </c>
      <c r="O41" s="133" t="str">
        <f>IF(OR(ISBLANK(Inputs!O59),Inputs!O59=0),"–",Inputs!O59)</f>
        <v>–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">
      <c r="A43" s="1"/>
      <c r="B43" s="213" t="str">
        <f>IF(C111=0,"All weeks above floor · Trough "&amp;TEXT(C109,"$#,##0")&amp;" (W"&amp;C110&amp;") · Closes "&amp;TEXT(O40,"$#,##0"),"Below floor · "&amp;C115&amp;" · Trough "&amp;TEXT(C109,"$#,##0")&amp;" (W"&amp;C110&amp;") · Floor "&amp;TEXT(In_MinCashFloor,"$#,##0")&amp;" · Closes "&amp;TEXT(O40,"$#,##0"))</f>
        <v>Below floor · W1–W13 · Trough $0 (W1) · Floor $250,000 · Closes $0</v>
      </c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">
      <c r="A45" s="1"/>
      <c r="B45" s="213" t="str">
        <f>"KEY CASH ASSUMPTIONS · 6 INPUTS · AR days, AP terms, payroll, tax, debt, floor"</f>
        <v>KEY CASH ASSUMPTIONS · 6 INPUTS · AR days, AP terms, payroll, tax, debt, floor</v>
      </c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x14ac:dyDescent="0.2">
      <c r="A46" s="1"/>
      <c r="B46" s="3" t="s">
        <v>37</v>
      </c>
      <c r="C46" s="11">
        <f>In_AR_Days</f>
        <v>30</v>
      </c>
      <c r="D46" s="212" t="s">
        <v>38</v>
      </c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22" customHeight="1" x14ac:dyDescent="0.2">
      <c r="A47" s="1"/>
      <c r="B47" s="3" t="s">
        <v>39</v>
      </c>
      <c r="C47" s="11">
        <f>In_AP_Days</f>
        <v>0</v>
      </c>
      <c r="D47" s="212" t="s">
        <v>40</v>
      </c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2">
      <c r="A48" s="1"/>
      <c r="B48" s="3" t="s">
        <v>41</v>
      </c>
      <c r="C48" s="6">
        <f>In_Payroll_Bi</f>
        <v>0</v>
      </c>
      <c r="D48" s="212" t="s">
        <v>42</v>
      </c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x14ac:dyDescent="0.2">
      <c r="A49" s="1"/>
      <c r="B49" s="3" t="s">
        <v>43</v>
      </c>
      <c r="C49" s="6">
        <f>In_Tax_Q</f>
        <v>0</v>
      </c>
      <c r="D49" s="212" t="s">
        <v>44</v>
      </c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x14ac:dyDescent="0.2">
      <c r="A50" s="1"/>
      <c r="B50" s="3" t="s">
        <v>45</v>
      </c>
      <c r="C50" s="6">
        <f>In_Debt_Cyc</f>
        <v>0</v>
      </c>
      <c r="D50" s="212" t="s">
        <v>46</v>
      </c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2">
      <c r="A51" s="1"/>
      <c r="B51" s="3" t="s">
        <v>47</v>
      </c>
      <c r="C51" s="6">
        <f>In_MinCashFloor</f>
        <v>250000</v>
      </c>
      <c r="D51" s="212" t="s">
        <v>48</v>
      </c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2">
      <c r="A53" s="1"/>
      <c r="B53" s="16" t="s">
        <v>49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x14ac:dyDescent="0.2">
      <c r="A54" s="1"/>
      <c r="B54" s="38"/>
      <c r="C54" s="37" t="s">
        <v>50</v>
      </c>
      <c r="D54" s="36"/>
      <c r="E54" s="36"/>
      <c r="F54" s="36"/>
      <c r="G54" s="38" t="s">
        <v>51</v>
      </c>
      <c r="H54" s="37" t="s">
        <v>52</v>
      </c>
      <c r="I54" s="36"/>
      <c r="J54" s="39" t="s">
        <v>53</v>
      </c>
      <c r="K54" s="37" t="s">
        <v>54</v>
      </c>
      <c r="L54" s="36"/>
      <c r="M54" s="36"/>
      <c r="N54" s="36"/>
      <c r="O54" s="13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2">
      <c r="A55" s="1"/>
      <c r="B55" s="164" t="s">
        <v>55</v>
      </c>
      <c r="C55" s="29" t="s">
        <v>233</v>
      </c>
      <c r="D55" s="28"/>
      <c r="E55" s="28"/>
      <c r="F55" s="25"/>
      <c r="G55" s="45"/>
      <c r="H55" s="26"/>
      <c r="I55" s="40"/>
      <c r="J55" s="41"/>
      <c r="K55" s="26"/>
      <c r="L55" s="28"/>
      <c r="M55" s="28"/>
      <c r="N55" s="28"/>
      <c r="O55" s="28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x14ac:dyDescent="0.2">
      <c r="A56" s="1"/>
      <c r="B56" s="164" t="s">
        <v>55</v>
      </c>
      <c r="C56" s="32" t="s">
        <v>233</v>
      </c>
      <c r="D56" s="31"/>
      <c r="E56" s="31"/>
      <c r="F56" s="33"/>
      <c r="G56" s="46"/>
      <c r="H56" s="34"/>
      <c r="I56" s="35"/>
      <c r="J56" s="42"/>
      <c r="K56" s="34"/>
      <c r="L56" s="31"/>
      <c r="M56" s="31"/>
      <c r="N56" s="31"/>
      <c r="O56" s="3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x14ac:dyDescent="0.2">
      <c r="A57" s="1"/>
      <c r="B57" s="27" t="s">
        <v>55</v>
      </c>
      <c r="C57" s="29"/>
      <c r="D57" s="28"/>
      <c r="E57" s="28"/>
      <c r="F57" s="28"/>
      <c r="G57" s="43"/>
      <c r="H57" s="29"/>
      <c r="I57" s="28"/>
      <c r="J57" s="41"/>
      <c r="K57" s="29"/>
      <c r="L57" s="28"/>
      <c r="M57" s="28"/>
      <c r="N57" s="28"/>
      <c r="O57" s="28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2">
      <c r="A58" s="1"/>
      <c r="B58" s="30" t="s">
        <v>55</v>
      </c>
      <c r="C58" s="32"/>
      <c r="D58" s="31"/>
      <c r="E58" s="31"/>
      <c r="F58" s="31"/>
      <c r="G58" s="44"/>
      <c r="H58" s="32"/>
      <c r="I58" s="31"/>
      <c r="J58" s="42"/>
      <c r="K58" s="32"/>
      <c r="L58" s="31"/>
      <c r="M58" s="31"/>
      <c r="N58" s="31"/>
      <c r="O58" s="3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">
      <c r="A59" s="1"/>
      <c r="B59" s="27" t="s">
        <v>55</v>
      </c>
      <c r="C59" s="29"/>
      <c r="D59" s="28"/>
      <c r="E59" s="28"/>
      <c r="F59" s="28"/>
      <c r="G59" s="43"/>
      <c r="H59" s="29"/>
      <c r="I59" s="28"/>
      <c r="J59" s="41"/>
      <c r="K59" s="29"/>
      <c r="L59" s="28"/>
      <c r="M59" s="28"/>
      <c r="N59" s="28"/>
      <c r="O59" s="28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">
      <c r="A60" s="1"/>
      <c r="B60" s="30" t="s">
        <v>55</v>
      </c>
      <c r="C60" s="32"/>
      <c r="D60" s="31"/>
      <c r="E60" s="31"/>
      <c r="F60" s="31"/>
      <c r="G60" s="44"/>
      <c r="H60" s="32"/>
      <c r="I60" s="31"/>
      <c r="J60" s="42"/>
      <c r="K60" s="32"/>
      <c r="L60" s="31"/>
      <c r="M60" s="31"/>
      <c r="N60" s="31"/>
      <c r="O60" s="3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">
      <c r="A61" s="1"/>
      <c r="B61" s="27" t="s">
        <v>55</v>
      </c>
      <c r="C61" s="29"/>
      <c r="D61" s="28"/>
      <c r="E61" s="28"/>
      <c r="F61" s="28"/>
      <c r="G61" s="43"/>
      <c r="H61" s="29"/>
      <c r="I61" s="28"/>
      <c r="J61" s="41"/>
      <c r="K61" s="29"/>
      <c r="L61" s="28"/>
      <c r="M61" s="28"/>
      <c r="N61" s="28"/>
      <c r="O61" s="28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2">
      <c r="A62" s="1"/>
      <c r="B62" s="30" t="s">
        <v>55</v>
      </c>
      <c r="C62" s="32"/>
      <c r="D62" s="31"/>
      <c r="E62" s="31"/>
      <c r="F62" s="31"/>
      <c r="G62" s="44"/>
      <c r="H62" s="32"/>
      <c r="I62" s="31"/>
      <c r="J62" s="42"/>
      <c r="K62" s="32"/>
      <c r="L62" s="31"/>
      <c r="M62" s="31"/>
      <c r="N62" s="31"/>
      <c r="O62" s="3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">
      <c r="A63" s="1"/>
      <c r="B63" s="27" t="s">
        <v>55</v>
      </c>
      <c r="C63" s="29"/>
      <c r="D63" s="28"/>
      <c r="E63" s="28"/>
      <c r="F63" s="28"/>
      <c r="G63" s="43"/>
      <c r="H63" s="29"/>
      <c r="I63" s="28"/>
      <c r="J63" s="41"/>
      <c r="K63" s="29"/>
      <c r="L63" s="28"/>
      <c r="M63" s="28"/>
      <c r="N63" s="28"/>
      <c r="O63" s="28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2">
      <c r="A64" s="1"/>
      <c r="B64" s="30" t="s">
        <v>55</v>
      </c>
      <c r="C64" s="32"/>
      <c r="D64" s="31"/>
      <c r="E64" s="31"/>
      <c r="F64" s="31"/>
      <c r="G64" s="44"/>
      <c r="H64" s="32"/>
      <c r="I64" s="31"/>
      <c r="J64" s="42"/>
      <c r="K64" s="32"/>
      <c r="L64" s="31"/>
      <c r="M64" s="31"/>
      <c r="N64" s="31"/>
      <c r="O64" s="3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6" x14ac:dyDescent="0.2">
      <c r="A66" s="1"/>
      <c r="B66" s="174" t="s">
        <v>185</v>
      </c>
      <c r="C66" s="1"/>
      <c r="D66" s="1"/>
      <c r="E66" s="1"/>
      <c r="F66" s="1"/>
      <c r="G66" s="1"/>
      <c r="H66" s="1"/>
      <c r="I66" s="190" t="s">
        <v>184</v>
      </c>
      <c r="J66" s="189" t="str">
        <f>IF(COUNTIF(J68:J80,"FAIL")=0,"PASS","FAIL ("&amp;COUNTIF(J68:J80,"FAIL")&amp;")")</f>
        <v>PASS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2">
      <c r="A67" s="1"/>
      <c r="B67" s="180" t="s">
        <v>183</v>
      </c>
      <c r="C67" s="180" t="s">
        <v>182</v>
      </c>
      <c r="D67" s="1"/>
      <c r="E67" s="1"/>
      <c r="F67" s="1"/>
      <c r="G67" s="1"/>
      <c r="H67" s="181" t="s">
        <v>181</v>
      </c>
      <c r="I67" s="181" t="s">
        <v>180</v>
      </c>
      <c r="J67" s="182" t="s">
        <v>179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2">
      <c r="A68" s="1"/>
      <c r="B68" s="183" t="s">
        <v>178</v>
      </c>
      <c r="C68" s="184" t="s">
        <v>190</v>
      </c>
      <c r="D68" s="185"/>
      <c r="E68" s="185"/>
      <c r="F68" s="185"/>
      <c r="G68" s="185"/>
      <c r="H68" s="186">
        <f>C28+C39</f>
        <v>0</v>
      </c>
      <c r="I68" s="187">
        <f>C40</f>
        <v>0</v>
      </c>
      <c r="J68" s="188" t="str">
        <f t="shared" ref="J68:J80" si="11">IF(ABS(I68-H68)&lt;=0.5,"PASS","FAIL")</f>
        <v>PASS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2">
      <c r="A69" s="1"/>
      <c r="B69" s="175" t="s">
        <v>177</v>
      </c>
      <c r="C69" s="176" t="s">
        <v>191</v>
      </c>
      <c r="D69" s="14"/>
      <c r="E69" s="14"/>
      <c r="F69" s="14"/>
      <c r="G69" s="14"/>
      <c r="H69" s="177">
        <f>D28+D39</f>
        <v>0</v>
      </c>
      <c r="I69" s="178">
        <f>D40</f>
        <v>0</v>
      </c>
      <c r="J69" s="179" t="str">
        <f t="shared" si="11"/>
        <v>PASS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">
      <c r="A70" s="1"/>
      <c r="B70" s="175" t="s">
        <v>176</v>
      </c>
      <c r="C70" s="176" t="s">
        <v>192</v>
      </c>
      <c r="D70" s="14"/>
      <c r="E70" s="14"/>
      <c r="F70" s="14"/>
      <c r="G70" s="14"/>
      <c r="H70" s="177">
        <f>E28+E39</f>
        <v>0</v>
      </c>
      <c r="I70" s="178">
        <f>E40</f>
        <v>0</v>
      </c>
      <c r="J70" s="179" t="str">
        <f t="shared" si="11"/>
        <v>PASS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">
      <c r="A71" s="1"/>
      <c r="B71" s="175" t="s">
        <v>175</v>
      </c>
      <c r="C71" s="176" t="s">
        <v>193</v>
      </c>
      <c r="D71" s="14"/>
      <c r="E71" s="14"/>
      <c r="F71" s="14"/>
      <c r="G71" s="14"/>
      <c r="H71" s="177">
        <f>F28+F39</f>
        <v>0</v>
      </c>
      <c r="I71" s="178">
        <f>F40</f>
        <v>0</v>
      </c>
      <c r="J71" s="179" t="str">
        <f t="shared" si="11"/>
        <v>PASS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2">
      <c r="A72" s="1"/>
      <c r="B72" s="175" t="s">
        <v>174</v>
      </c>
      <c r="C72" s="176" t="s">
        <v>194</v>
      </c>
      <c r="D72" s="14"/>
      <c r="E72" s="14"/>
      <c r="F72" s="14"/>
      <c r="G72" s="14"/>
      <c r="H72" s="177">
        <f>G28+G39</f>
        <v>0</v>
      </c>
      <c r="I72" s="178">
        <f>G40</f>
        <v>0</v>
      </c>
      <c r="J72" s="179" t="str">
        <f t="shared" si="11"/>
        <v>PASS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">
      <c r="A73" s="1"/>
      <c r="B73" s="175" t="s">
        <v>173</v>
      </c>
      <c r="C73" s="176" t="s">
        <v>195</v>
      </c>
      <c r="D73" s="14"/>
      <c r="E73" s="14"/>
      <c r="F73" s="14"/>
      <c r="G73" s="14"/>
      <c r="H73" s="177">
        <f>H28+H39</f>
        <v>0</v>
      </c>
      <c r="I73" s="178">
        <f>H40</f>
        <v>0</v>
      </c>
      <c r="J73" s="179" t="str">
        <f t="shared" si="11"/>
        <v>PASS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">
      <c r="A74" s="1"/>
      <c r="B74" s="175" t="s">
        <v>172</v>
      </c>
      <c r="C74" s="176" t="s">
        <v>196</v>
      </c>
      <c r="D74" s="14"/>
      <c r="E74" s="14"/>
      <c r="F74" s="14"/>
      <c r="G74" s="14"/>
      <c r="H74" s="177">
        <f>I28+I39</f>
        <v>0</v>
      </c>
      <c r="I74" s="178">
        <f>I40</f>
        <v>0</v>
      </c>
      <c r="J74" s="179" t="str">
        <f t="shared" si="11"/>
        <v>PASS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">
      <c r="A75" s="1"/>
      <c r="B75" s="175" t="s">
        <v>171</v>
      </c>
      <c r="C75" s="176" t="s">
        <v>197</v>
      </c>
      <c r="D75" s="14"/>
      <c r="E75" s="14"/>
      <c r="F75" s="14"/>
      <c r="G75" s="14"/>
      <c r="H75" s="177">
        <f>J28+J39</f>
        <v>0</v>
      </c>
      <c r="I75" s="178">
        <f>J40</f>
        <v>0</v>
      </c>
      <c r="J75" s="179" t="str">
        <f t="shared" si="11"/>
        <v>PASS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">
      <c r="A76" s="1"/>
      <c r="B76" s="175" t="s">
        <v>170</v>
      </c>
      <c r="C76" s="176" t="s">
        <v>198</v>
      </c>
      <c r="D76" s="14"/>
      <c r="E76" s="14"/>
      <c r="F76" s="14"/>
      <c r="G76" s="14"/>
      <c r="H76" s="177">
        <f>K28+K39</f>
        <v>0</v>
      </c>
      <c r="I76" s="178">
        <f>K40</f>
        <v>0</v>
      </c>
      <c r="J76" s="179" t="str">
        <f t="shared" si="11"/>
        <v>PASS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">
      <c r="A77" s="1"/>
      <c r="B77" s="175" t="s">
        <v>169</v>
      </c>
      <c r="C77" s="176" t="s">
        <v>199</v>
      </c>
      <c r="D77" s="14"/>
      <c r="E77" s="14"/>
      <c r="F77" s="14"/>
      <c r="G77" s="14"/>
      <c r="H77" s="177">
        <f>L28+L39</f>
        <v>0</v>
      </c>
      <c r="I77" s="178">
        <f>L40</f>
        <v>0</v>
      </c>
      <c r="J77" s="179" t="str">
        <f t="shared" si="11"/>
        <v>PASS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">
      <c r="A78" s="1"/>
      <c r="B78" s="175" t="s">
        <v>168</v>
      </c>
      <c r="C78" s="176" t="s">
        <v>200</v>
      </c>
      <c r="D78" s="14"/>
      <c r="E78" s="14"/>
      <c r="F78" s="14"/>
      <c r="G78" s="14"/>
      <c r="H78" s="177">
        <f>M28+M39</f>
        <v>0</v>
      </c>
      <c r="I78" s="178">
        <f>M40</f>
        <v>0</v>
      </c>
      <c r="J78" s="179" t="str">
        <f t="shared" si="11"/>
        <v>PASS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">
      <c r="A79" s="1"/>
      <c r="B79" s="175" t="s">
        <v>167</v>
      </c>
      <c r="C79" s="176" t="s">
        <v>201</v>
      </c>
      <c r="D79" s="14"/>
      <c r="E79" s="14"/>
      <c r="F79" s="14"/>
      <c r="G79" s="14"/>
      <c r="H79" s="177">
        <f>N28+N39</f>
        <v>0</v>
      </c>
      <c r="I79" s="178">
        <f>N40</f>
        <v>0</v>
      </c>
      <c r="J79" s="179" t="str">
        <f t="shared" si="11"/>
        <v>PASS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">
      <c r="A80" s="1"/>
      <c r="B80" s="175" t="s">
        <v>166</v>
      </c>
      <c r="C80" s="176" t="s">
        <v>202</v>
      </c>
      <c r="D80" s="14"/>
      <c r="E80" s="14"/>
      <c r="F80" s="14"/>
      <c r="G80" s="14"/>
      <c r="H80" s="177">
        <f>O28+O39</f>
        <v>0</v>
      </c>
      <c r="I80" s="178">
        <f>O40</f>
        <v>0</v>
      </c>
      <c r="J80" s="179" t="str">
        <f t="shared" si="11"/>
        <v>PASS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">
      <c r="A82" s="28"/>
      <c r="B82" s="211" t="s">
        <v>243</v>
      </c>
      <c r="C82" s="211"/>
      <c r="D82" s="211"/>
      <c r="E82" s="211"/>
      <c r="F82" s="208"/>
      <c r="G82" s="28"/>
      <c r="H82" s="28"/>
      <c r="I82" s="28"/>
      <c r="J82" s="28"/>
      <c r="K82" s="28"/>
      <c r="L82" s="28"/>
      <c r="M82" s="28"/>
      <c r="N82" s="28"/>
      <c r="O82" s="28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">
      <c r="A104" s="15"/>
      <c r="C104" s="14" t="str">
        <f t="shared" ref="C104:O104" si="12">C27</f>
        <v>W1</v>
      </c>
      <c r="D104" s="14" t="str">
        <f t="shared" si="12"/>
        <v>W2</v>
      </c>
      <c r="E104" s="14" t="str">
        <f t="shared" si="12"/>
        <v>W3</v>
      </c>
      <c r="F104" s="14" t="str">
        <f t="shared" si="12"/>
        <v>W4</v>
      </c>
      <c r="G104" s="14" t="str">
        <f t="shared" si="12"/>
        <v>W5</v>
      </c>
      <c r="H104" s="14" t="str">
        <f t="shared" si="12"/>
        <v>W6</v>
      </c>
      <c r="I104" s="14" t="str">
        <f t="shared" si="12"/>
        <v>W7</v>
      </c>
      <c r="J104" s="14" t="str">
        <f t="shared" si="12"/>
        <v>W8</v>
      </c>
      <c r="K104" s="14" t="str">
        <f t="shared" si="12"/>
        <v>W9</v>
      </c>
      <c r="L104" s="14" t="str">
        <f t="shared" si="12"/>
        <v>W10</v>
      </c>
      <c r="M104" s="14" t="str">
        <f t="shared" si="12"/>
        <v>W11</v>
      </c>
      <c r="N104" s="14" t="str">
        <f t="shared" si="12"/>
        <v>W12</v>
      </c>
      <c r="O104" s="14" t="str">
        <f t="shared" si="12"/>
        <v>W13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">
      <c r="A105" s="15"/>
      <c r="B105" s="14" t="s">
        <v>56</v>
      </c>
      <c r="C105" s="14">
        <f t="shared" ref="C105:O105" si="13">In_MinCashFloor</f>
        <v>250000</v>
      </c>
      <c r="D105" s="14">
        <f t="shared" si="13"/>
        <v>250000</v>
      </c>
      <c r="E105" s="14">
        <f t="shared" si="13"/>
        <v>250000</v>
      </c>
      <c r="F105" s="14">
        <f t="shared" si="13"/>
        <v>250000</v>
      </c>
      <c r="G105" s="14">
        <f t="shared" si="13"/>
        <v>250000</v>
      </c>
      <c r="H105" s="14">
        <f t="shared" si="13"/>
        <v>250000</v>
      </c>
      <c r="I105" s="14">
        <f t="shared" si="13"/>
        <v>250000</v>
      </c>
      <c r="J105" s="14">
        <f t="shared" si="13"/>
        <v>250000</v>
      </c>
      <c r="K105" s="14">
        <f t="shared" si="13"/>
        <v>250000</v>
      </c>
      <c r="L105" s="14">
        <f t="shared" si="13"/>
        <v>250000</v>
      </c>
      <c r="M105" s="14">
        <f t="shared" si="13"/>
        <v>250000</v>
      </c>
      <c r="N105" s="14">
        <f t="shared" si="13"/>
        <v>250000</v>
      </c>
      <c r="O105" s="14">
        <f t="shared" si="13"/>
        <v>250000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">
      <c r="A106" s="15"/>
      <c r="B106" s="14" t="s">
        <v>57</v>
      </c>
      <c r="C106" s="14" t="e">
        <f t="shared" ref="C106:O106" si="14">IF(C40&lt;In_MinCashFloor,NA(),C40)</f>
        <v>#N/A</v>
      </c>
      <c r="D106" s="14" t="e">
        <f t="shared" si="14"/>
        <v>#N/A</v>
      </c>
      <c r="E106" s="14" t="e">
        <f t="shared" si="14"/>
        <v>#N/A</v>
      </c>
      <c r="F106" s="14" t="e">
        <f t="shared" si="14"/>
        <v>#N/A</v>
      </c>
      <c r="G106" s="14" t="e">
        <f t="shared" si="14"/>
        <v>#N/A</v>
      </c>
      <c r="H106" s="14" t="e">
        <f t="shared" si="14"/>
        <v>#N/A</v>
      </c>
      <c r="I106" s="14" t="e">
        <f t="shared" si="14"/>
        <v>#N/A</v>
      </c>
      <c r="J106" s="14" t="e">
        <f t="shared" si="14"/>
        <v>#N/A</v>
      </c>
      <c r="K106" s="14" t="e">
        <f t="shared" si="14"/>
        <v>#N/A</v>
      </c>
      <c r="L106" s="14" t="e">
        <f t="shared" si="14"/>
        <v>#N/A</v>
      </c>
      <c r="M106" s="14" t="e">
        <f t="shared" si="14"/>
        <v>#N/A</v>
      </c>
      <c r="N106" s="14" t="e">
        <f t="shared" si="14"/>
        <v>#N/A</v>
      </c>
      <c r="O106" s="14" t="e">
        <f t="shared" si="14"/>
        <v>#N/A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">
      <c r="A107" s="1"/>
      <c r="B107" s="14" t="s">
        <v>58</v>
      </c>
      <c r="C107" s="14">
        <f t="shared" ref="C107:O107" si="15">IF(C40&lt;In_MinCashFloor,C40,NA())</f>
        <v>0</v>
      </c>
      <c r="D107" s="14">
        <f t="shared" si="15"/>
        <v>0</v>
      </c>
      <c r="E107" s="14">
        <f t="shared" si="15"/>
        <v>0</v>
      </c>
      <c r="F107" s="14">
        <f t="shared" si="15"/>
        <v>0</v>
      </c>
      <c r="G107" s="14">
        <f t="shared" si="15"/>
        <v>0</v>
      </c>
      <c r="H107" s="14">
        <f t="shared" si="15"/>
        <v>0</v>
      </c>
      <c r="I107" s="14">
        <f t="shared" si="15"/>
        <v>0</v>
      </c>
      <c r="J107" s="14">
        <f t="shared" si="15"/>
        <v>0</v>
      </c>
      <c r="K107" s="14">
        <f t="shared" si="15"/>
        <v>0</v>
      </c>
      <c r="L107" s="14">
        <f t="shared" si="15"/>
        <v>0</v>
      </c>
      <c r="M107" s="14">
        <f t="shared" si="15"/>
        <v>0</v>
      </c>
      <c r="N107" s="14">
        <f t="shared" si="15"/>
        <v>0</v>
      </c>
      <c r="O107" s="14">
        <f t="shared" si="15"/>
        <v>0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">
      <c r="A109" s="1"/>
      <c r="B109" s="1" t="s">
        <v>59</v>
      </c>
      <c r="C109" s="1">
        <f>MIN(C40:O40)</f>
        <v>0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">
      <c r="A110" s="1"/>
      <c r="B110" s="1" t="s">
        <v>60</v>
      </c>
      <c r="C110" s="1">
        <f>MATCH(C109,C40:O40,0)</f>
        <v>1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">
      <c r="A111" s="1"/>
      <c r="B111" s="1" t="s">
        <v>61</v>
      </c>
      <c r="C111" s="1">
        <f>COUNTIF(C40:O40,"&lt;"&amp;In_MinCashFloor)</f>
        <v>13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">
      <c r="A112" s="1"/>
      <c r="B112" s="1" t="s">
        <v>62</v>
      </c>
      <c r="C112" s="1">
        <f t="array" ref="C112">IFERROR(MATCH(TRUE,INDEX(C40:O40&lt;In_MinCashFloor,0),0),0)</f>
        <v>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">
      <c r="A113" s="1"/>
      <c r="B113" s="1" t="s">
        <v>63</v>
      </c>
      <c r="C113" s="1">
        <f t="array" ref="C113">IF(C111=0,0,MAX(IF(C40:O40&lt;In_MinCashFloor,COLUMN(C40:O40)-COLUMN(C40)+1)))</f>
        <v>13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">
      <c r="A114" s="1"/>
      <c r="B114" s="1" t="s">
        <v>64</v>
      </c>
      <c r="C114" s="1" t="b">
        <f>IF(C111=0,FALSE,(C113-C112+1)=C111)</f>
        <v>1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">
      <c r="A115" s="1"/>
      <c r="B115" s="1" t="s">
        <v>65</v>
      </c>
      <c r="C115" s="1" t="str">
        <f>IF(C111=0,"No breach",IF(C111=1,"W"&amp;C112,IF(C114,"W"&amp;C112&amp;"–W"&amp;C113,"W"&amp;C112&amp;"+"&amp;(C111-1)&amp;" more")))</f>
        <v>W1–W13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2">
      <c r="A127" s="1"/>
      <c r="B127" s="24" t="s">
        <v>234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2">
      <c r="A128" s="1"/>
      <c r="B128" s="1" t="s">
        <v>66</v>
      </c>
      <c r="C128" s="1" t="s">
        <v>10</v>
      </c>
      <c r="D128" s="1" t="s">
        <v>11</v>
      </c>
      <c r="E128" s="1" t="s">
        <v>12</v>
      </c>
      <c r="F128" s="1" t="s">
        <v>13</v>
      </c>
      <c r="G128" s="1" t="s">
        <v>14</v>
      </c>
      <c r="H128" s="1" t="s">
        <v>15</v>
      </c>
      <c r="I128" s="1" t="s">
        <v>16</v>
      </c>
      <c r="J128" s="1" t="s">
        <v>17</v>
      </c>
      <c r="K128" s="1" t="s">
        <v>18</v>
      </c>
      <c r="L128" s="1" t="s">
        <v>19</v>
      </c>
      <c r="M128" s="1" t="s">
        <v>20</v>
      </c>
      <c r="N128" s="1" t="s">
        <v>21</v>
      </c>
      <c r="O128" s="1" t="s">
        <v>22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2">
      <c r="A129" s="1"/>
      <c r="B129" s="1" t="s">
        <v>25</v>
      </c>
      <c r="C129" s="1">
        <f t="array" ref="C129">IF(COLUMN(C129)-COLUMN($C129)+1-ROUND(CashDrv_AR_Active/7,0)&lt;1,0,IF(COLUMN(C129)-COLUMN($C129)+1-ROUND(CashDrv_AR_Active/7,0)&gt;13,0,INDEX(In_Cash_Ar,1,COLUMN(C129)-COLUMN($C129)+1-ROUND(CashDrv_AR_Active/7,0))))*(1+CashDrv_Rev_Active)</f>
        <v>0</v>
      </c>
      <c r="D129" s="1">
        <f t="array" ref="D129">IF(COLUMN(D129)-COLUMN($C129)+1-ROUND(CashDrv_AR_Active/7,0)&lt;1,0,IF(COLUMN(D129)-COLUMN($C129)+1-ROUND(CashDrv_AR_Active/7,0)&gt;13,0,INDEX(In_Cash_Ar,1,COLUMN(D129)-COLUMN($C129)+1-ROUND(CashDrv_AR_Active/7,0))))*(1+CashDrv_Rev_Active)</f>
        <v>0</v>
      </c>
      <c r="E129" s="1">
        <f t="array" ref="E129">IF(COLUMN(E129)-COLUMN($C129)+1-ROUND(CashDrv_AR_Active/7,0)&lt;1,0,IF(COLUMN(E129)-COLUMN($C129)+1-ROUND(CashDrv_AR_Active/7,0)&gt;13,0,INDEX(In_Cash_Ar,1,COLUMN(E129)-COLUMN($C129)+1-ROUND(CashDrv_AR_Active/7,0))))*(1+CashDrv_Rev_Active)</f>
        <v>0</v>
      </c>
      <c r="F129" s="1">
        <f t="array" ref="F129">IF(COLUMN(F129)-COLUMN($C129)+1-ROUND(CashDrv_AR_Active/7,0)&lt;1,0,IF(COLUMN(F129)-COLUMN($C129)+1-ROUND(CashDrv_AR_Active/7,0)&gt;13,0,INDEX(In_Cash_Ar,1,COLUMN(F129)-COLUMN($C129)+1-ROUND(CashDrv_AR_Active/7,0))))*(1+CashDrv_Rev_Active)</f>
        <v>0</v>
      </c>
      <c r="G129" s="1">
        <f t="array" ref="G129">IF(COLUMN(G129)-COLUMN($C129)+1-ROUND(CashDrv_AR_Active/7,0)&lt;1,0,IF(COLUMN(G129)-COLUMN($C129)+1-ROUND(CashDrv_AR_Active/7,0)&gt;13,0,INDEX(In_Cash_Ar,1,COLUMN(G129)-COLUMN($C129)+1-ROUND(CashDrv_AR_Active/7,0))))*(1+CashDrv_Rev_Active)</f>
        <v>0</v>
      </c>
      <c r="H129" s="1">
        <f t="array" ref="H129">IF(COLUMN(H129)-COLUMN($C129)+1-ROUND(CashDrv_AR_Active/7,0)&lt;1,0,IF(COLUMN(H129)-COLUMN($C129)+1-ROUND(CashDrv_AR_Active/7,0)&gt;13,0,INDEX(In_Cash_Ar,1,COLUMN(H129)-COLUMN($C129)+1-ROUND(CashDrv_AR_Active/7,0))))*(1+CashDrv_Rev_Active)</f>
        <v>0</v>
      </c>
      <c r="I129" s="1">
        <f t="array" ref="I129">IF(COLUMN(I129)-COLUMN($C129)+1-ROUND(CashDrv_AR_Active/7,0)&lt;1,0,IF(COLUMN(I129)-COLUMN($C129)+1-ROUND(CashDrv_AR_Active/7,0)&gt;13,0,INDEX(In_Cash_Ar,1,COLUMN(I129)-COLUMN($C129)+1-ROUND(CashDrv_AR_Active/7,0))))*(1+CashDrv_Rev_Active)</f>
        <v>0</v>
      </c>
      <c r="J129" s="1">
        <f t="array" ref="J129">IF(COLUMN(J129)-COLUMN($C129)+1-ROUND(CashDrv_AR_Active/7,0)&lt;1,0,IF(COLUMN(J129)-COLUMN($C129)+1-ROUND(CashDrv_AR_Active/7,0)&gt;13,0,INDEX(In_Cash_Ar,1,COLUMN(J129)-COLUMN($C129)+1-ROUND(CashDrv_AR_Active/7,0))))*(1+CashDrv_Rev_Active)</f>
        <v>0</v>
      </c>
      <c r="K129" s="1">
        <f t="array" ref="K129">IF(COLUMN(K129)-COLUMN($C129)+1-ROUND(CashDrv_AR_Active/7,0)&lt;1,0,IF(COLUMN(K129)-COLUMN($C129)+1-ROUND(CashDrv_AR_Active/7,0)&gt;13,0,INDEX(In_Cash_Ar,1,COLUMN(K129)-COLUMN($C129)+1-ROUND(CashDrv_AR_Active/7,0))))*(1+CashDrv_Rev_Active)</f>
        <v>0</v>
      </c>
      <c r="L129" s="1">
        <f t="array" ref="L129">IF(COLUMN(L129)-COLUMN($C129)+1-ROUND(CashDrv_AR_Active/7,0)&lt;1,0,IF(COLUMN(L129)-COLUMN($C129)+1-ROUND(CashDrv_AR_Active/7,0)&gt;13,0,INDEX(In_Cash_Ar,1,COLUMN(L129)-COLUMN($C129)+1-ROUND(CashDrv_AR_Active/7,0))))*(1+CashDrv_Rev_Active)</f>
        <v>0</v>
      </c>
      <c r="M129" s="1">
        <f t="array" ref="M129">IF(COLUMN(M129)-COLUMN($C129)+1-ROUND(CashDrv_AR_Active/7,0)&lt;1,0,IF(COLUMN(M129)-COLUMN($C129)+1-ROUND(CashDrv_AR_Active/7,0)&gt;13,0,INDEX(In_Cash_Ar,1,COLUMN(M129)-COLUMN($C129)+1-ROUND(CashDrv_AR_Active/7,0))))*(1+CashDrv_Rev_Active)</f>
        <v>0</v>
      </c>
      <c r="N129" s="1">
        <f t="array" ref="N129">IF(COLUMN(N129)-COLUMN($C129)+1-ROUND(CashDrv_AR_Active/7,0)&lt;1,0,IF(COLUMN(N129)-COLUMN($C129)+1-ROUND(CashDrv_AR_Active/7,0)&gt;13,0,INDEX(In_Cash_Ar,1,COLUMN(N129)-COLUMN($C129)+1-ROUND(CashDrv_AR_Active/7,0))))*(1+CashDrv_Rev_Active)</f>
        <v>0</v>
      </c>
      <c r="O129" s="1">
        <f t="array" ref="O129">IF(COLUMN(O129)-COLUMN($C129)+1-ROUND(CashDrv_AR_Active/7,0)&lt;1,0,IF(COLUMN(O129)-COLUMN($C129)+1-ROUND(CashDrv_AR_Active/7,0)&gt;13,0,INDEX(In_Cash_Ar,1,COLUMN(O129)-COLUMN($C129)+1-ROUND(CashDrv_AR_Active/7,0))))*(1+CashDrv_Rev_Active)</f>
        <v>0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2">
      <c r="A130" s="1"/>
      <c r="B130" s="1" t="s">
        <v>26</v>
      </c>
      <c r="C130" s="1">
        <f t="array" ref="C130">INDEX(In_Cash_Other,1,COLUMN(C130)-COLUMN($C130)+1)*(1+CashDrv_Rev_Active)</f>
        <v>0</v>
      </c>
      <c r="D130" s="1">
        <f t="array" ref="D130">INDEX(In_Cash_Other,1,COLUMN(D130)-COLUMN($C130)+1)*(1+CashDrv_Rev_Active)</f>
        <v>0</v>
      </c>
      <c r="E130" s="1">
        <f t="array" ref="E130">INDEX(In_Cash_Other,1,COLUMN(E130)-COLUMN($C130)+1)*(1+CashDrv_Rev_Active)</f>
        <v>0</v>
      </c>
      <c r="F130" s="1">
        <f t="array" ref="F130">INDEX(In_Cash_Other,1,COLUMN(F130)-COLUMN($C130)+1)*(1+CashDrv_Rev_Active)</f>
        <v>0</v>
      </c>
      <c r="G130" s="1">
        <f t="array" ref="G130">INDEX(In_Cash_Other,1,COLUMN(G130)-COLUMN($C130)+1)*(1+CashDrv_Rev_Active)</f>
        <v>0</v>
      </c>
      <c r="H130" s="1">
        <f t="array" ref="H130">INDEX(In_Cash_Other,1,COLUMN(H130)-COLUMN($C130)+1)*(1+CashDrv_Rev_Active)</f>
        <v>0</v>
      </c>
      <c r="I130" s="1">
        <f t="array" ref="I130">INDEX(In_Cash_Other,1,COLUMN(I130)-COLUMN($C130)+1)*(1+CashDrv_Rev_Active)</f>
        <v>0</v>
      </c>
      <c r="J130" s="1">
        <f t="array" ref="J130">INDEX(In_Cash_Other,1,COLUMN(J130)-COLUMN($C130)+1)*(1+CashDrv_Rev_Active)</f>
        <v>0</v>
      </c>
      <c r="K130" s="1">
        <f t="array" ref="K130">INDEX(In_Cash_Other,1,COLUMN(K130)-COLUMN($C130)+1)*(1+CashDrv_Rev_Active)</f>
        <v>0</v>
      </c>
      <c r="L130" s="1">
        <f t="array" ref="L130">INDEX(In_Cash_Other,1,COLUMN(L130)-COLUMN($C130)+1)*(1+CashDrv_Rev_Active)</f>
        <v>0</v>
      </c>
      <c r="M130" s="1">
        <f t="array" ref="M130">INDEX(In_Cash_Other,1,COLUMN(M130)-COLUMN($C130)+1)*(1+CashDrv_Rev_Active)</f>
        <v>0</v>
      </c>
      <c r="N130" s="1">
        <f t="array" ref="N130">INDEX(In_Cash_Other,1,COLUMN(N130)-COLUMN($C130)+1)*(1+CashDrv_Rev_Active)</f>
        <v>0</v>
      </c>
      <c r="O130" s="1">
        <f t="array" ref="O130">INDEX(In_Cash_Other,1,COLUMN(O130)-COLUMN($C130)+1)*(1+CashDrv_Rev_Active)</f>
        <v>0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2">
      <c r="A131" s="1"/>
      <c r="B131" s="1" t="s">
        <v>28</v>
      </c>
      <c r="C131" s="1">
        <f t="array" ref="C131">INDEX(In_Cash_Payroll,1,COLUMN(C131)-COLUMN($C131)+1)</f>
        <v>0</v>
      </c>
      <c r="D131" s="1">
        <f t="array" ref="D131">INDEX(In_Cash_Payroll,1,COLUMN(D131)-COLUMN($C131)+1)</f>
        <v>0</v>
      </c>
      <c r="E131" s="1">
        <f t="array" ref="E131">INDEX(In_Cash_Payroll,1,COLUMN(E131)-COLUMN($C131)+1)</f>
        <v>0</v>
      </c>
      <c r="F131" s="1">
        <f t="array" ref="F131">INDEX(In_Cash_Payroll,1,COLUMN(F131)-COLUMN($C131)+1)</f>
        <v>0</v>
      </c>
      <c r="G131" s="1">
        <f t="array" ref="G131">INDEX(In_Cash_Payroll,1,COLUMN(G131)-COLUMN($C131)+1)</f>
        <v>0</v>
      </c>
      <c r="H131" s="1">
        <f t="array" ref="H131">INDEX(In_Cash_Payroll,1,COLUMN(H131)-COLUMN($C131)+1)</f>
        <v>0</v>
      </c>
      <c r="I131" s="1">
        <f t="array" ref="I131">INDEX(In_Cash_Payroll,1,COLUMN(I131)-COLUMN($C131)+1)</f>
        <v>0</v>
      </c>
      <c r="J131" s="1">
        <f t="array" ref="J131">INDEX(In_Cash_Payroll,1,COLUMN(J131)-COLUMN($C131)+1)</f>
        <v>0</v>
      </c>
      <c r="K131" s="1">
        <f t="array" ref="K131">INDEX(In_Cash_Payroll,1,COLUMN(K131)-COLUMN($C131)+1)</f>
        <v>0</v>
      </c>
      <c r="L131" s="1">
        <f t="array" ref="L131">INDEX(In_Cash_Payroll,1,COLUMN(L131)-COLUMN($C131)+1)</f>
        <v>0</v>
      </c>
      <c r="M131" s="1">
        <f t="array" ref="M131">INDEX(In_Cash_Payroll,1,COLUMN(M131)-COLUMN($C131)+1)</f>
        <v>0</v>
      </c>
      <c r="N131" s="1">
        <f t="array" ref="N131">INDEX(In_Cash_Payroll,1,COLUMN(N131)-COLUMN($C131)+1)</f>
        <v>0</v>
      </c>
      <c r="O131" s="1">
        <f t="array" ref="O131">INDEX(In_Cash_Payroll,1,COLUMN(O131)-COLUMN($C131)+1)</f>
        <v>0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2">
      <c r="A132" s="1"/>
      <c r="B132" s="1" t="s">
        <v>29</v>
      </c>
      <c r="C132" s="1">
        <f t="array" ref="C132">INDEX(In_Cash_Suppliers,1,COLUMN(C132)-COLUMN($C132)+1)*(1+CashDrv_Disc_Active)</f>
        <v>0</v>
      </c>
      <c r="D132" s="1">
        <f t="array" ref="D132">INDEX(In_Cash_Suppliers,1,COLUMN(D132)-COLUMN($C132)+1)*(1+CashDrv_Disc_Active)</f>
        <v>0</v>
      </c>
      <c r="E132" s="1">
        <f t="array" ref="E132">INDEX(In_Cash_Suppliers,1,COLUMN(E132)-COLUMN($C132)+1)*(1+CashDrv_Disc_Active)</f>
        <v>0</v>
      </c>
      <c r="F132" s="1">
        <f t="array" ref="F132">INDEX(In_Cash_Suppliers,1,COLUMN(F132)-COLUMN($C132)+1)*(1+CashDrv_Disc_Active)</f>
        <v>0</v>
      </c>
      <c r="G132" s="1">
        <f t="array" ref="G132">INDEX(In_Cash_Suppliers,1,COLUMN(G132)-COLUMN($C132)+1)*(1+CashDrv_Disc_Active)</f>
        <v>0</v>
      </c>
      <c r="H132" s="1">
        <f t="array" ref="H132">INDEX(In_Cash_Suppliers,1,COLUMN(H132)-COLUMN($C132)+1)*(1+CashDrv_Disc_Active)</f>
        <v>0</v>
      </c>
      <c r="I132" s="1">
        <f t="array" ref="I132">INDEX(In_Cash_Suppliers,1,COLUMN(I132)-COLUMN($C132)+1)*(1+CashDrv_Disc_Active)</f>
        <v>0</v>
      </c>
      <c r="J132" s="1">
        <f t="array" ref="J132">INDEX(In_Cash_Suppliers,1,COLUMN(J132)-COLUMN($C132)+1)*(1+CashDrv_Disc_Active)</f>
        <v>0</v>
      </c>
      <c r="K132" s="1">
        <f t="array" ref="K132">INDEX(In_Cash_Suppliers,1,COLUMN(K132)-COLUMN($C132)+1)*(1+CashDrv_Disc_Active)</f>
        <v>0</v>
      </c>
      <c r="L132" s="1">
        <f t="array" ref="L132">INDEX(In_Cash_Suppliers,1,COLUMN(L132)-COLUMN($C132)+1)*(1+CashDrv_Disc_Active)</f>
        <v>0</v>
      </c>
      <c r="M132" s="1">
        <f t="array" ref="M132">INDEX(In_Cash_Suppliers,1,COLUMN(M132)-COLUMN($C132)+1)*(1+CashDrv_Disc_Active)</f>
        <v>0</v>
      </c>
      <c r="N132" s="1">
        <f t="array" ref="N132">INDEX(In_Cash_Suppliers,1,COLUMN(N132)-COLUMN($C132)+1)*(1+CashDrv_Disc_Active)</f>
        <v>0</v>
      </c>
      <c r="O132" s="1">
        <f t="array" ref="O132">INDEX(In_Cash_Suppliers,1,COLUMN(O132)-COLUMN($C132)+1)*(1+CashDrv_Disc_Active)</f>
        <v>0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2">
      <c r="A133" s="1"/>
      <c r="B133" s="1" t="s">
        <v>30</v>
      </c>
      <c r="C133" s="1">
        <f t="array" ref="C133">INDEX(In_Cash_Tax,1,COLUMN(C133)-COLUMN($C133)+1)</f>
        <v>0</v>
      </c>
      <c r="D133" s="1">
        <f t="array" ref="D133">INDEX(In_Cash_Tax,1,COLUMN(D133)-COLUMN($C133)+1)</f>
        <v>0</v>
      </c>
      <c r="E133" s="1">
        <f t="array" ref="E133">INDEX(In_Cash_Tax,1,COLUMN(E133)-COLUMN($C133)+1)</f>
        <v>0</v>
      </c>
      <c r="F133" s="1">
        <f t="array" ref="F133">INDEX(In_Cash_Tax,1,COLUMN(F133)-COLUMN($C133)+1)</f>
        <v>0</v>
      </c>
      <c r="G133" s="1">
        <f t="array" ref="G133">INDEX(In_Cash_Tax,1,COLUMN(G133)-COLUMN($C133)+1)</f>
        <v>0</v>
      </c>
      <c r="H133" s="1">
        <f t="array" ref="H133">INDEX(In_Cash_Tax,1,COLUMN(H133)-COLUMN($C133)+1)</f>
        <v>0</v>
      </c>
      <c r="I133" s="1">
        <f t="array" ref="I133">INDEX(In_Cash_Tax,1,COLUMN(I133)-COLUMN($C133)+1)</f>
        <v>0</v>
      </c>
      <c r="J133" s="1">
        <f t="array" ref="J133">INDEX(In_Cash_Tax,1,COLUMN(J133)-COLUMN($C133)+1)</f>
        <v>0</v>
      </c>
      <c r="K133" s="1">
        <f t="array" ref="K133">INDEX(In_Cash_Tax,1,COLUMN(K133)-COLUMN($C133)+1)</f>
        <v>0</v>
      </c>
      <c r="L133" s="1">
        <f t="array" ref="L133">INDEX(In_Cash_Tax,1,COLUMN(L133)-COLUMN($C133)+1)</f>
        <v>0</v>
      </c>
      <c r="M133" s="1">
        <f t="array" ref="M133">INDEX(In_Cash_Tax,1,COLUMN(M133)-COLUMN($C133)+1)</f>
        <v>0</v>
      </c>
      <c r="N133" s="1">
        <f t="array" ref="N133">INDEX(In_Cash_Tax,1,COLUMN(N133)-COLUMN($C133)+1)</f>
        <v>0</v>
      </c>
      <c r="O133" s="1">
        <f t="array" ref="O133">INDEX(In_Cash_Tax,1,COLUMN(O133)-COLUMN($C133)+1)</f>
        <v>0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2">
      <c r="A134" s="1"/>
      <c r="B134" s="1" t="s">
        <v>31</v>
      </c>
      <c r="C134" s="1">
        <f t="array" ref="C134">INDEX(In_Cash_Debt,1,COLUMN(C134)-COLUMN($C134)+1)</f>
        <v>0</v>
      </c>
      <c r="D134" s="1">
        <f t="array" ref="D134">INDEX(In_Cash_Debt,1,COLUMN(D134)-COLUMN($C134)+1)</f>
        <v>0</v>
      </c>
      <c r="E134" s="1">
        <f t="array" ref="E134">INDEX(In_Cash_Debt,1,COLUMN(E134)-COLUMN($C134)+1)</f>
        <v>0</v>
      </c>
      <c r="F134" s="1">
        <f t="array" ref="F134">INDEX(In_Cash_Debt,1,COLUMN(F134)-COLUMN($C134)+1)</f>
        <v>0</v>
      </c>
      <c r="G134" s="1">
        <f t="array" ref="G134">INDEX(In_Cash_Debt,1,COLUMN(G134)-COLUMN($C134)+1)</f>
        <v>0</v>
      </c>
      <c r="H134" s="1">
        <f t="array" ref="H134">INDEX(In_Cash_Debt,1,COLUMN(H134)-COLUMN($C134)+1)</f>
        <v>0</v>
      </c>
      <c r="I134" s="1">
        <f t="array" ref="I134">INDEX(In_Cash_Debt,1,COLUMN(I134)-COLUMN($C134)+1)</f>
        <v>0</v>
      </c>
      <c r="J134" s="1">
        <f t="array" ref="J134">INDEX(In_Cash_Debt,1,COLUMN(J134)-COLUMN($C134)+1)</f>
        <v>0</v>
      </c>
      <c r="K134" s="1">
        <f t="array" ref="K134">INDEX(In_Cash_Debt,1,COLUMN(K134)-COLUMN($C134)+1)</f>
        <v>0</v>
      </c>
      <c r="L134" s="1">
        <f t="array" ref="L134">INDEX(In_Cash_Debt,1,COLUMN(L134)-COLUMN($C134)+1)</f>
        <v>0</v>
      </c>
      <c r="M134" s="1">
        <f t="array" ref="M134">INDEX(In_Cash_Debt,1,COLUMN(M134)-COLUMN($C134)+1)</f>
        <v>0</v>
      </c>
      <c r="N134" s="1">
        <f t="array" ref="N134">INDEX(In_Cash_Debt,1,COLUMN(N134)-COLUMN($C134)+1)</f>
        <v>0</v>
      </c>
      <c r="O134" s="1">
        <f t="array" ref="O134">INDEX(In_Cash_Debt,1,COLUMN(O134)-COLUMN($C134)+1)</f>
        <v>0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2">
      <c r="A135" s="1"/>
      <c r="B135" s="1" t="s">
        <v>32</v>
      </c>
      <c r="C135" s="1">
        <f t="array" ref="C135">INDEX(In_Cash_Recurring,1,COLUMN(C135)-COLUMN($C135)+1)*(1+CashDrv_Disc_Active)</f>
        <v>0</v>
      </c>
      <c r="D135" s="1">
        <f t="array" ref="D135">INDEX(In_Cash_Recurring,1,COLUMN(D135)-COLUMN($C135)+1)*(1+CashDrv_Disc_Active)</f>
        <v>0</v>
      </c>
      <c r="E135" s="1">
        <f t="array" ref="E135">INDEX(In_Cash_Recurring,1,COLUMN(E135)-COLUMN($C135)+1)*(1+CashDrv_Disc_Active)</f>
        <v>0</v>
      </c>
      <c r="F135" s="1">
        <f t="array" ref="F135">INDEX(In_Cash_Recurring,1,COLUMN(F135)-COLUMN($C135)+1)*(1+CashDrv_Disc_Active)</f>
        <v>0</v>
      </c>
      <c r="G135" s="1">
        <f t="array" ref="G135">INDEX(In_Cash_Recurring,1,COLUMN(G135)-COLUMN($C135)+1)*(1+CashDrv_Disc_Active)</f>
        <v>0</v>
      </c>
      <c r="H135" s="1">
        <f t="array" ref="H135">INDEX(In_Cash_Recurring,1,COLUMN(H135)-COLUMN($C135)+1)*(1+CashDrv_Disc_Active)</f>
        <v>0</v>
      </c>
      <c r="I135" s="1">
        <f t="array" ref="I135">INDEX(In_Cash_Recurring,1,COLUMN(I135)-COLUMN($C135)+1)*(1+CashDrv_Disc_Active)</f>
        <v>0</v>
      </c>
      <c r="J135" s="1">
        <f t="array" ref="J135">INDEX(In_Cash_Recurring,1,COLUMN(J135)-COLUMN($C135)+1)*(1+CashDrv_Disc_Active)</f>
        <v>0</v>
      </c>
      <c r="K135" s="1">
        <f t="array" ref="K135">INDEX(In_Cash_Recurring,1,COLUMN(K135)-COLUMN($C135)+1)*(1+CashDrv_Disc_Active)</f>
        <v>0</v>
      </c>
      <c r="L135" s="1">
        <f t="array" ref="L135">INDEX(In_Cash_Recurring,1,COLUMN(L135)-COLUMN($C135)+1)*(1+CashDrv_Disc_Active)</f>
        <v>0</v>
      </c>
      <c r="M135" s="1">
        <f t="array" ref="M135">INDEX(In_Cash_Recurring,1,COLUMN(M135)-COLUMN($C135)+1)*(1+CashDrv_Disc_Active)</f>
        <v>0</v>
      </c>
      <c r="N135" s="1">
        <f t="array" ref="N135">INDEX(In_Cash_Recurring,1,COLUMN(N135)-COLUMN($C135)+1)*(1+CashDrv_Disc_Active)</f>
        <v>0</v>
      </c>
      <c r="O135" s="1">
        <f t="array" ref="O135">INDEX(In_Cash_Recurring,1,COLUMN(O135)-COLUMN($C135)+1)*(1+CashDrv_Disc_Active)</f>
        <v>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2">
      <c r="A136" s="1"/>
      <c r="B136" s="1" t="s">
        <v>33</v>
      </c>
      <c r="C136" s="1">
        <f t="array" ref="C136">IF(COLUMN(C136)-COLUMN($C136)+1-CashDrv_Capex_Active&lt;1,0,IF(COLUMN(C136)-COLUMN($C136)+1-CashDrv_Capex_Active&gt;13,0,INDEX(In_Cash_Capex,1,COLUMN(C136)-COLUMN($C136)+1-CashDrv_Capex_Active)))</f>
        <v>0</v>
      </c>
      <c r="D136" s="1">
        <f t="array" ref="D136">IF(COLUMN(D136)-COLUMN($C136)+1-CashDrv_Capex_Active&lt;1,0,IF(COLUMN(D136)-COLUMN($C136)+1-CashDrv_Capex_Active&gt;13,0,INDEX(In_Cash_Capex,1,COLUMN(D136)-COLUMN($C136)+1-CashDrv_Capex_Active)))</f>
        <v>0</v>
      </c>
      <c r="E136" s="1">
        <f t="array" ref="E136">IF(COLUMN(E136)-COLUMN($C136)+1-CashDrv_Capex_Active&lt;1,0,IF(COLUMN(E136)-COLUMN($C136)+1-CashDrv_Capex_Active&gt;13,0,INDEX(In_Cash_Capex,1,COLUMN(E136)-COLUMN($C136)+1-CashDrv_Capex_Active)))</f>
        <v>0</v>
      </c>
      <c r="F136" s="1">
        <f t="array" ref="F136">IF(COLUMN(F136)-COLUMN($C136)+1-CashDrv_Capex_Active&lt;1,0,IF(COLUMN(F136)-COLUMN($C136)+1-CashDrv_Capex_Active&gt;13,0,INDEX(In_Cash_Capex,1,COLUMN(F136)-COLUMN($C136)+1-CashDrv_Capex_Active)))</f>
        <v>0</v>
      </c>
      <c r="G136" s="1">
        <f t="array" ref="G136">IF(COLUMN(G136)-COLUMN($C136)+1-CashDrv_Capex_Active&lt;1,0,IF(COLUMN(G136)-COLUMN($C136)+1-CashDrv_Capex_Active&gt;13,0,INDEX(In_Cash_Capex,1,COLUMN(G136)-COLUMN($C136)+1-CashDrv_Capex_Active)))</f>
        <v>0</v>
      </c>
      <c r="H136" s="1">
        <f t="array" ref="H136">IF(COLUMN(H136)-COLUMN($C136)+1-CashDrv_Capex_Active&lt;1,0,IF(COLUMN(H136)-COLUMN($C136)+1-CashDrv_Capex_Active&gt;13,0,INDEX(In_Cash_Capex,1,COLUMN(H136)-COLUMN($C136)+1-CashDrv_Capex_Active)))</f>
        <v>0</v>
      </c>
      <c r="I136" s="1">
        <f t="array" ref="I136">IF(COLUMN(I136)-COLUMN($C136)+1-CashDrv_Capex_Active&lt;1,0,IF(COLUMN(I136)-COLUMN($C136)+1-CashDrv_Capex_Active&gt;13,0,INDEX(In_Cash_Capex,1,COLUMN(I136)-COLUMN($C136)+1-CashDrv_Capex_Active)))</f>
        <v>0</v>
      </c>
      <c r="J136" s="1">
        <f t="array" ref="J136">IF(COLUMN(J136)-COLUMN($C136)+1-CashDrv_Capex_Active&lt;1,0,IF(COLUMN(J136)-COLUMN($C136)+1-CashDrv_Capex_Active&gt;13,0,INDEX(In_Cash_Capex,1,COLUMN(J136)-COLUMN($C136)+1-CashDrv_Capex_Active)))</f>
        <v>0</v>
      </c>
      <c r="K136" s="1">
        <f t="array" ref="K136">IF(COLUMN(K136)-COLUMN($C136)+1-CashDrv_Capex_Active&lt;1,0,IF(COLUMN(K136)-COLUMN($C136)+1-CashDrv_Capex_Active&gt;13,0,INDEX(In_Cash_Capex,1,COLUMN(K136)-COLUMN($C136)+1-CashDrv_Capex_Active)))</f>
        <v>0</v>
      </c>
      <c r="L136" s="1">
        <f t="array" ref="L136">IF(COLUMN(L136)-COLUMN($C136)+1-CashDrv_Capex_Active&lt;1,0,IF(COLUMN(L136)-COLUMN($C136)+1-CashDrv_Capex_Active&gt;13,0,INDEX(In_Cash_Capex,1,COLUMN(L136)-COLUMN($C136)+1-CashDrv_Capex_Active)))</f>
        <v>0</v>
      </c>
      <c r="M136" s="1">
        <f t="array" ref="M136">IF(COLUMN(M136)-COLUMN($C136)+1-CashDrv_Capex_Active&lt;1,0,IF(COLUMN(M136)-COLUMN($C136)+1-CashDrv_Capex_Active&gt;13,0,INDEX(In_Cash_Capex,1,COLUMN(M136)-COLUMN($C136)+1-CashDrv_Capex_Active)))</f>
        <v>0</v>
      </c>
      <c r="N136" s="1">
        <f t="array" ref="N136">IF(COLUMN(N136)-COLUMN($C136)+1-CashDrv_Capex_Active&lt;1,0,IF(COLUMN(N136)-COLUMN($C136)+1-CashDrv_Capex_Active&gt;13,0,INDEX(In_Cash_Capex,1,COLUMN(N136)-COLUMN($C136)+1-CashDrv_Capex_Active)))</f>
        <v>0</v>
      </c>
      <c r="O136" s="1">
        <f t="array" ref="O136">IF(COLUMN(O136)-COLUMN($C136)+1-CashDrv_Capex_Active&lt;1,0,IF(COLUMN(O136)-COLUMN($C136)+1-CashDrv_Capex_Active&gt;13,0,INDEX(In_Cash_Capex,1,COLUMN(O136)-COLUMN($C136)+1-CashDrv_Capex_Active)))</f>
        <v>0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2">
      <c r="A142" s="1"/>
      <c r="B142" s="24" t="s">
        <v>235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2">
      <c r="A143" s="1"/>
      <c r="B143" s="1" t="s">
        <v>67</v>
      </c>
      <c r="C143" s="1" t="s">
        <v>10</v>
      </c>
      <c r="D143" s="1" t="s">
        <v>11</v>
      </c>
      <c r="E143" s="1" t="s">
        <v>12</v>
      </c>
      <c r="F143" s="1" t="s">
        <v>13</v>
      </c>
      <c r="G143" s="1" t="s">
        <v>14</v>
      </c>
      <c r="H143" s="1" t="s">
        <v>15</v>
      </c>
      <c r="I143" s="1" t="s">
        <v>16</v>
      </c>
      <c r="J143" s="1" t="s">
        <v>17</v>
      </c>
      <c r="K143" s="1" t="s">
        <v>18</v>
      </c>
      <c r="L143" s="1" t="s">
        <v>19</v>
      </c>
      <c r="M143" s="1" t="s">
        <v>20</v>
      </c>
      <c r="N143" s="1" t="s">
        <v>21</v>
      </c>
      <c r="O143" s="1" t="s">
        <v>22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2">
      <c r="A144" s="1"/>
      <c r="B144" s="1" t="s">
        <v>25</v>
      </c>
      <c r="C144" s="1">
        <f t="shared" ref="C144:O151" si="16">SUMIFS($J$55:$J$64,$H$55:$H$64,$B144,$G$55:$G$64,"W"&amp;(COLUMN(C144)-COLUMN($C144)+1),$B$55:$B$64,"ON")</f>
        <v>0</v>
      </c>
      <c r="D144" s="1">
        <f t="shared" si="16"/>
        <v>0</v>
      </c>
      <c r="E144" s="1">
        <f t="shared" si="16"/>
        <v>0</v>
      </c>
      <c r="F144" s="1">
        <f t="shared" si="16"/>
        <v>0</v>
      </c>
      <c r="G144" s="1">
        <f t="shared" si="16"/>
        <v>0</v>
      </c>
      <c r="H144" s="1">
        <f t="shared" si="16"/>
        <v>0</v>
      </c>
      <c r="I144" s="1">
        <f t="shared" si="16"/>
        <v>0</v>
      </c>
      <c r="J144" s="1">
        <f t="shared" si="16"/>
        <v>0</v>
      </c>
      <c r="K144" s="1">
        <f t="shared" si="16"/>
        <v>0</v>
      </c>
      <c r="L144" s="1">
        <f t="shared" si="16"/>
        <v>0</v>
      </c>
      <c r="M144" s="1">
        <f t="shared" si="16"/>
        <v>0</v>
      </c>
      <c r="N144" s="1">
        <f t="shared" si="16"/>
        <v>0</v>
      </c>
      <c r="O144" s="1">
        <f t="shared" si="16"/>
        <v>0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x14ac:dyDescent="0.2">
      <c r="A145" s="1"/>
      <c r="B145" s="1" t="s">
        <v>26</v>
      </c>
      <c r="C145" s="1">
        <f t="shared" si="16"/>
        <v>0</v>
      </c>
      <c r="D145" s="1">
        <f t="shared" si="16"/>
        <v>0</v>
      </c>
      <c r="E145" s="1">
        <f t="shared" si="16"/>
        <v>0</v>
      </c>
      <c r="F145" s="1">
        <f t="shared" si="16"/>
        <v>0</v>
      </c>
      <c r="G145" s="1">
        <f t="shared" si="16"/>
        <v>0</v>
      </c>
      <c r="H145" s="1">
        <f t="shared" si="16"/>
        <v>0</v>
      </c>
      <c r="I145" s="1">
        <f t="shared" si="16"/>
        <v>0</v>
      </c>
      <c r="J145" s="1">
        <f t="shared" si="16"/>
        <v>0</v>
      </c>
      <c r="K145" s="1">
        <f t="shared" si="16"/>
        <v>0</v>
      </c>
      <c r="L145" s="1">
        <f t="shared" si="16"/>
        <v>0</v>
      </c>
      <c r="M145" s="1">
        <f t="shared" si="16"/>
        <v>0</v>
      </c>
      <c r="N145" s="1">
        <f t="shared" si="16"/>
        <v>0</v>
      </c>
      <c r="O145" s="1">
        <f t="shared" si="16"/>
        <v>0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2">
      <c r="A146" s="1"/>
      <c r="B146" s="1" t="s">
        <v>28</v>
      </c>
      <c r="C146" s="1">
        <f t="shared" si="16"/>
        <v>0</v>
      </c>
      <c r="D146" s="1">
        <f t="shared" si="16"/>
        <v>0</v>
      </c>
      <c r="E146" s="1">
        <f t="shared" si="16"/>
        <v>0</v>
      </c>
      <c r="F146" s="1">
        <f t="shared" si="16"/>
        <v>0</v>
      </c>
      <c r="G146" s="1">
        <f t="shared" si="16"/>
        <v>0</v>
      </c>
      <c r="H146" s="1">
        <f t="shared" si="16"/>
        <v>0</v>
      </c>
      <c r="I146" s="1">
        <f t="shared" si="16"/>
        <v>0</v>
      </c>
      <c r="J146" s="1">
        <f t="shared" si="16"/>
        <v>0</v>
      </c>
      <c r="K146" s="1">
        <f t="shared" si="16"/>
        <v>0</v>
      </c>
      <c r="L146" s="1">
        <f t="shared" si="16"/>
        <v>0</v>
      </c>
      <c r="M146" s="1">
        <f t="shared" si="16"/>
        <v>0</v>
      </c>
      <c r="N146" s="1">
        <f t="shared" si="16"/>
        <v>0</v>
      </c>
      <c r="O146" s="1">
        <f t="shared" si="16"/>
        <v>0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2">
      <c r="A147" s="1"/>
      <c r="B147" s="1" t="s">
        <v>29</v>
      </c>
      <c r="C147" s="1">
        <f t="shared" si="16"/>
        <v>0</v>
      </c>
      <c r="D147" s="1">
        <f t="shared" si="16"/>
        <v>0</v>
      </c>
      <c r="E147" s="1">
        <f t="shared" si="16"/>
        <v>0</v>
      </c>
      <c r="F147" s="1">
        <f t="shared" si="16"/>
        <v>0</v>
      </c>
      <c r="G147" s="1">
        <f t="shared" si="16"/>
        <v>0</v>
      </c>
      <c r="H147" s="1">
        <f t="shared" si="16"/>
        <v>0</v>
      </c>
      <c r="I147" s="1">
        <f t="shared" si="16"/>
        <v>0</v>
      </c>
      <c r="J147" s="1">
        <f t="shared" si="16"/>
        <v>0</v>
      </c>
      <c r="K147" s="1">
        <f t="shared" si="16"/>
        <v>0</v>
      </c>
      <c r="L147" s="1">
        <f t="shared" si="16"/>
        <v>0</v>
      </c>
      <c r="M147" s="1">
        <f t="shared" si="16"/>
        <v>0</v>
      </c>
      <c r="N147" s="1">
        <f t="shared" si="16"/>
        <v>0</v>
      </c>
      <c r="O147" s="1">
        <f t="shared" si="16"/>
        <v>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2">
      <c r="A148" s="1"/>
      <c r="B148" s="1" t="s">
        <v>30</v>
      </c>
      <c r="C148" s="1">
        <f t="shared" si="16"/>
        <v>0</v>
      </c>
      <c r="D148" s="1">
        <f t="shared" si="16"/>
        <v>0</v>
      </c>
      <c r="E148" s="1">
        <f t="shared" si="16"/>
        <v>0</v>
      </c>
      <c r="F148" s="1">
        <f t="shared" si="16"/>
        <v>0</v>
      </c>
      <c r="G148" s="1">
        <f t="shared" si="16"/>
        <v>0</v>
      </c>
      <c r="H148" s="1">
        <f t="shared" si="16"/>
        <v>0</v>
      </c>
      <c r="I148" s="1">
        <f t="shared" si="16"/>
        <v>0</v>
      </c>
      <c r="J148" s="1">
        <f t="shared" si="16"/>
        <v>0</v>
      </c>
      <c r="K148" s="1">
        <f t="shared" si="16"/>
        <v>0</v>
      </c>
      <c r="L148" s="1">
        <f t="shared" si="16"/>
        <v>0</v>
      </c>
      <c r="M148" s="1">
        <f t="shared" si="16"/>
        <v>0</v>
      </c>
      <c r="N148" s="1">
        <f t="shared" si="16"/>
        <v>0</v>
      </c>
      <c r="O148" s="1">
        <f t="shared" si="16"/>
        <v>0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2">
      <c r="A149" s="1"/>
      <c r="B149" s="1" t="s">
        <v>31</v>
      </c>
      <c r="C149" s="1">
        <f t="shared" si="16"/>
        <v>0</v>
      </c>
      <c r="D149" s="1">
        <f t="shared" si="16"/>
        <v>0</v>
      </c>
      <c r="E149" s="1">
        <f t="shared" si="16"/>
        <v>0</v>
      </c>
      <c r="F149" s="1">
        <f t="shared" si="16"/>
        <v>0</v>
      </c>
      <c r="G149" s="1">
        <f t="shared" si="16"/>
        <v>0</v>
      </c>
      <c r="H149" s="1">
        <f t="shared" si="16"/>
        <v>0</v>
      </c>
      <c r="I149" s="1">
        <f t="shared" si="16"/>
        <v>0</v>
      </c>
      <c r="J149" s="1">
        <f t="shared" si="16"/>
        <v>0</v>
      </c>
      <c r="K149" s="1">
        <f t="shared" si="16"/>
        <v>0</v>
      </c>
      <c r="L149" s="1">
        <f t="shared" si="16"/>
        <v>0</v>
      </c>
      <c r="M149" s="1">
        <f t="shared" si="16"/>
        <v>0</v>
      </c>
      <c r="N149" s="1">
        <f t="shared" si="16"/>
        <v>0</v>
      </c>
      <c r="O149" s="1">
        <f t="shared" si="16"/>
        <v>0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2">
      <c r="A150" s="1"/>
      <c r="B150" s="1" t="s">
        <v>32</v>
      </c>
      <c r="C150" s="1">
        <f t="shared" si="16"/>
        <v>0</v>
      </c>
      <c r="D150" s="1">
        <f t="shared" si="16"/>
        <v>0</v>
      </c>
      <c r="E150" s="1">
        <f t="shared" si="16"/>
        <v>0</v>
      </c>
      <c r="F150" s="1">
        <f t="shared" si="16"/>
        <v>0</v>
      </c>
      <c r="G150" s="1">
        <f t="shared" si="16"/>
        <v>0</v>
      </c>
      <c r="H150" s="1">
        <f t="shared" si="16"/>
        <v>0</v>
      </c>
      <c r="I150" s="1">
        <f t="shared" si="16"/>
        <v>0</v>
      </c>
      <c r="J150" s="1">
        <f t="shared" si="16"/>
        <v>0</v>
      </c>
      <c r="K150" s="1">
        <f t="shared" si="16"/>
        <v>0</v>
      </c>
      <c r="L150" s="1">
        <f t="shared" si="16"/>
        <v>0</v>
      </c>
      <c r="M150" s="1">
        <f t="shared" si="16"/>
        <v>0</v>
      </c>
      <c r="N150" s="1">
        <f t="shared" si="16"/>
        <v>0</v>
      </c>
      <c r="O150" s="1">
        <f t="shared" si="16"/>
        <v>0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x14ac:dyDescent="0.2">
      <c r="A151" s="1"/>
      <c r="B151" s="1" t="s">
        <v>33</v>
      </c>
      <c r="C151" s="1">
        <f t="shared" si="16"/>
        <v>0</v>
      </c>
      <c r="D151" s="1">
        <f t="shared" si="16"/>
        <v>0</v>
      </c>
      <c r="E151" s="1">
        <f t="shared" si="16"/>
        <v>0</v>
      </c>
      <c r="F151" s="1">
        <f t="shared" si="16"/>
        <v>0</v>
      </c>
      <c r="G151" s="1">
        <f t="shared" si="16"/>
        <v>0</v>
      </c>
      <c r="H151" s="1">
        <f t="shared" si="16"/>
        <v>0</v>
      </c>
      <c r="I151" s="1">
        <f t="shared" si="16"/>
        <v>0</v>
      </c>
      <c r="J151" s="1">
        <f t="shared" si="16"/>
        <v>0</v>
      </c>
      <c r="K151" s="1">
        <f t="shared" si="16"/>
        <v>0</v>
      </c>
      <c r="L151" s="1">
        <f t="shared" si="16"/>
        <v>0</v>
      </c>
      <c r="M151" s="1">
        <f t="shared" si="16"/>
        <v>0</v>
      </c>
      <c r="N151" s="1">
        <f t="shared" si="16"/>
        <v>0</v>
      </c>
      <c r="O151" s="1">
        <f t="shared" si="16"/>
        <v>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3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3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3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3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3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3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</sheetData>
  <mergeCells count="12">
    <mergeCell ref="B82:E82"/>
    <mergeCell ref="D50:O50"/>
    <mergeCell ref="D51:O51"/>
    <mergeCell ref="B26:O26"/>
    <mergeCell ref="D47:O47"/>
    <mergeCell ref="D49:O49"/>
    <mergeCell ref="B45:O45"/>
    <mergeCell ref="B29:O29"/>
    <mergeCell ref="B32:O32"/>
    <mergeCell ref="D48:O48"/>
    <mergeCell ref="D46:O46"/>
    <mergeCell ref="B43:O43"/>
  </mergeCells>
  <conditionalFormatting sqref="B55:B64">
    <cfRule type="cellIs" dxfId="17" priority="2" operator="equal">
      <formula>"ON"</formula>
    </cfRule>
    <cfRule type="cellIs" dxfId="16" priority="3" operator="equal">
      <formula>"off"</formula>
    </cfRule>
  </conditionalFormatting>
  <conditionalFormatting sqref="C55:C64">
    <cfRule type="expression" dxfId="15" priority="4">
      <formula>$B55="ON"</formula>
    </cfRule>
  </conditionalFormatting>
  <conditionalFormatting sqref="C40:O40">
    <cfRule type="expression" dxfId="14" priority="10">
      <formula>AND(C$40&lt;&gt;"",C$40&lt;In_MinCashFloor)</formula>
    </cfRule>
  </conditionalFormatting>
  <conditionalFormatting sqref="G55:G64">
    <cfRule type="expression" dxfId="13" priority="5">
      <formula>$B55="ON"</formula>
    </cfRule>
  </conditionalFormatting>
  <conditionalFormatting sqref="H55:H64">
    <cfRule type="expression" dxfId="12" priority="6">
      <formula>$B55="ON"</formula>
    </cfRule>
  </conditionalFormatting>
  <conditionalFormatting sqref="J55:J64">
    <cfRule type="expression" dxfId="11" priority="8">
      <formula>AND($B55="ON",J55&gt;0)</formula>
    </cfRule>
    <cfRule type="expression" dxfId="10" priority="9">
      <formula>AND($B55="ON",J55&lt;0)</formula>
    </cfRule>
  </conditionalFormatting>
  <conditionalFormatting sqref="K55:K64">
    <cfRule type="expression" dxfId="9" priority="7">
      <formula>$B55="ON"</formula>
    </cfRule>
  </conditionalFormatting>
  <dataValidations count="3">
    <dataValidation type="list" allowBlank="1" showInputMessage="1" showErrorMessage="1" errorTitle="Invalid scenario" error="Pick Base, Downside, or Upside." sqref="C5" xr:uid="{00000000-0002-0000-0100-000000000000}">
      <formula1>"Base,Downside,Upside"</formula1>
    </dataValidation>
    <dataValidation type="list" allowBlank="1" showInputMessage="1" showErrorMessage="1" errorTitle="Invalid override state" error="Choose ON or off" sqref="B55:B64" xr:uid="{00000000-0002-0000-0100-000001000000}">
      <formula1>"ON,off"</formula1>
    </dataValidation>
    <dataValidation type="list" allowBlank="1" showInputMessage="1" showErrorMessage="1" errorTitle="Invalid week" error="Pick W1–W13" sqref="G55:G64" xr:uid="{00000000-0002-0000-0100-000002000000}">
      <formula1>$C$27:$O$27</formula1>
    </dataValidation>
  </dataValidations>
  <hyperlinks>
    <hyperlink ref="B82" r:id="rId1" display="Want this run on your real numbers, not a sample? Book a fit call → infraxus.com/book" xr:uid="{542F82CE-A9B9-E042-A6AC-750832BA4D15}"/>
  </hyperlinks>
  <printOptions horizontalCentered="1"/>
  <pageMargins left="0.4" right="0.4" top="0.5" bottom="0.5" header="0.3" footer="0.3"/>
  <pageSetup orientation="landscape"/>
  <headerFooter>
    <oddHeader>&amp;C&amp;10 &amp;K8896B3CASH · 13-WEEK FORWARD VIEW&amp;R&amp;9 &amp;K8896B3Infraxus · 13-Week Cash Flow</oddHeader>
    <oddFooter>&amp;L&amp;9 &amp;K8896B3Free template · no attribution required&amp;R&amp;9 &amp;K8896B3infraxus.com · Page &amp;P of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E50FF"/>
  </sheetPr>
  <dimension ref="A1:AD201"/>
  <sheetViews>
    <sheetView showGridLines="0" zoomScale="130" workbookViewId="0">
      <pane xSplit="1" ySplit="6" topLeftCell="B7" activePane="bottomRight" state="frozen"/>
      <selection pane="topRight"/>
      <selection pane="bottomLeft"/>
      <selection pane="bottomRight" activeCell="S55" sqref="S55"/>
    </sheetView>
  </sheetViews>
  <sheetFormatPr baseColWidth="10" defaultColWidth="8.83203125" defaultRowHeight="15" x14ac:dyDescent="0.2"/>
  <cols>
    <col min="1" max="1" width="2" customWidth="1"/>
    <col min="2" max="2" width="34" customWidth="1"/>
    <col min="3" max="15" width="12.5" customWidth="1"/>
    <col min="16" max="16" width="3.33203125" customWidth="1"/>
  </cols>
  <sheetData>
    <row r="1" spans="1:30" ht="18" customHeight="1" x14ac:dyDescent="0.2">
      <c r="A1" s="156"/>
      <c r="B1" s="85"/>
      <c r="C1" s="85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20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0" customHeight="1" x14ac:dyDescent="0.2">
      <c r="A2" s="156"/>
      <c r="B2" s="86"/>
      <c r="C2" s="200" t="s">
        <v>244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20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" customHeight="1" x14ac:dyDescent="0.2">
      <c r="A3" s="28"/>
      <c r="B3" s="193" t="s">
        <v>242</v>
      </c>
      <c r="C3" s="193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0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6" customHeight="1" x14ac:dyDescent="0.2">
      <c r="A4" s="28"/>
      <c r="B4" s="202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0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6" customHeight="1" x14ac:dyDescent="0.2">
      <c r="A5" s="28"/>
      <c r="B5" s="87" t="s">
        <v>83</v>
      </c>
      <c r="C5" s="88" t="s">
        <v>84</v>
      </c>
      <c r="D5" s="89" t="s">
        <v>85</v>
      </c>
      <c r="E5" s="90" t="s">
        <v>84</v>
      </c>
      <c r="F5" s="89" t="s">
        <v>86</v>
      </c>
      <c r="G5" s="91" t="s">
        <v>84</v>
      </c>
      <c r="H5" s="89" t="s">
        <v>87</v>
      </c>
      <c r="I5" s="92" t="s">
        <v>84</v>
      </c>
      <c r="J5" s="89" t="s">
        <v>88</v>
      </c>
      <c r="K5" s="93"/>
      <c r="L5" s="93"/>
      <c r="M5" s="93"/>
      <c r="N5" s="93"/>
      <c r="O5" s="93"/>
      <c r="P5" s="20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6" customHeight="1" x14ac:dyDescent="0.2">
      <c r="A6" s="28"/>
      <c r="B6" s="203"/>
      <c r="C6" s="204"/>
      <c r="D6" s="28"/>
      <c r="E6" s="28"/>
      <c r="F6" s="205"/>
      <c r="G6" s="28"/>
      <c r="H6" s="28"/>
      <c r="I6" s="28"/>
      <c r="J6" s="28"/>
      <c r="K6" s="28"/>
      <c r="L6" s="28"/>
      <c r="M6" s="28"/>
      <c r="N6" s="28"/>
      <c r="O6" s="28"/>
      <c r="P6" s="207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6" customHeight="1" x14ac:dyDescent="0.2">
      <c r="A7" s="28"/>
      <c r="B7" s="202" t="s">
        <v>89</v>
      </c>
      <c r="C7" s="206"/>
      <c r="D7" s="28"/>
      <c r="E7" s="28"/>
      <c r="F7" s="205"/>
      <c r="G7" s="28"/>
      <c r="H7" s="28"/>
      <c r="I7" s="28"/>
      <c r="J7" s="28"/>
      <c r="K7" s="28"/>
      <c r="L7" s="28"/>
      <c r="M7" s="28"/>
      <c r="N7" s="28"/>
      <c r="O7" s="28"/>
      <c r="P7" s="20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6" customHeight="1" x14ac:dyDescent="0.2">
      <c r="A8" s="28"/>
      <c r="B8" s="97" t="s">
        <v>90</v>
      </c>
      <c r="C8" s="214"/>
      <c r="D8" s="215"/>
      <c r="E8" s="215"/>
      <c r="F8" s="215"/>
      <c r="G8" s="216"/>
      <c r="H8" s="47"/>
      <c r="I8" s="47"/>
      <c r="J8" s="47"/>
      <c r="K8" s="47"/>
      <c r="L8" s="47"/>
      <c r="M8" s="47"/>
      <c r="N8" s="47"/>
      <c r="O8" s="47"/>
      <c r="P8" s="207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6" customHeight="1" x14ac:dyDescent="0.2">
      <c r="A9" s="28"/>
      <c r="B9" s="97" t="s">
        <v>92</v>
      </c>
      <c r="C9" s="214"/>
      <c r="D9" s="216"/>
      <c r="E9" s="47"/>
      <c r="F9" s="51"/>
      <c r="G9" s="47"/>
      <c r="H9" s="47"/>
      <c r="I9" s="47"/>
      <c r="J9" s="47"/>
      <c r="K9" s="47"/>
      <c r="L9" s="47"/>
      <c r="M9" s="47"/>
      <c r="N9" s="47"/>
      <c r="O9" s="47"/>
      <c r="P9" s="20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6" customHeight="1" x14ac:dyDescent="0.2">
      <c r="A10" s="28"/>
      <c r="B10" s="97" t="s">
        <v>94</v>
      </c>
      <c r="C10" s="225">
        <v>46174</v>
      </c>
      <c r="D10" s="216"/>
      <c r="E10" s="47"/>
      <c r="F10" s="51"/>
      <c r="G10" s="47"/>
      <c r="H10" s="47"/>
      <c r="I10" s="47"/>
      <c r="J10" s="47"/>
      <c r="K10" s="47"/>
      <c r="L10" s="47"/>
      <c r="M10" s="47"/>
      <c r="N10" s="47"/>
      <c r="O10" s="47"/>
      <c r="P10" s="20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6" customHeight="1" x14ac:dyDescent="0.2">
      <c r="A11" s="28"/>
      <c r="B11" s="97" t="s">
        <v>95</v>
      </c>
      <c r="C11" s="220"/>
      <c r="D11" s="216"/>
      <c r="E11" s="47"/>
      <c r="F11" s="51"/>
      <c r="G11" s="47"/>
      <c r="H11" s="47"/>
      <c r="I11" s="47"/>
      <c r="J11" s="47"/>
      <c r="K11" s="47"/>
      <c r="L11" s="47"/>
      <c r="M11" s="47"/>
      <c r="N11" s="47"/>
      <c r="O11" s="47"/>
      <c r="P11" s="20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6" customHeight="1" x14ac:dyDescent="0.2">
      <c r="A12" s="28"/>
      <c r="B12" s="97" t="s">
        <v>96</v>
      </c>
      <c r="C12" s="220">
        <v>250000</v>
      </c>
      <c r="D12" s="216"/>
      <c r="E12" s="56"/>
      <c r="F12" s="51"/>
      <c r="G12" s="47"/>
      <c r="H12" s="47"/>
      <c r="I12" s="47"/>
      <c r="J12" s="47"/>
      <c r="K12" s="47"/>
      <c r="L12" s="47"/>
      <c r="M12" s="47"/>
      <c r="N12" s="47"/>
      <c r="O12" s="47"/>
      <c r="P12" s="20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6" customHeight="1" x14ac:dyDescent="0.2">
      <c r="A13" s="28"/>
      <c r="B13" s="63"/>
      <c r="C13" s="53"/>
      <c r="D13" s="52"/>
      <c r="E13" s="57"/>
      <c r="F13" s="51"/>
      <c r="G13" s="47"/>
      <c r="H13" s="47"/>
      <c r="I13" s="47"/>
      <c r="J13" s="47"/>
      <c r="K13" s="47"/>
      <c r="L13" s="47"/>
      <c r="M13" s="47"/>
      <c r="N13" s="47"/>
      <c r="O13" s="47"/>
      <c r="P13" s="20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2" customHeight="1" x14ac:dyDescent="0.2">
      <c r="A14" s="28"/>
      <c r="B14" s="94" t="s">
        <v>97</v>
      </c>
      <c r="C14" s="101" t="s">
        <v>98</v>
      </c>
      <c r="D14" s="95"/>
      <c r="E14" s="102"/>
      <c r="F14" s="103"/>
      <c r="G14" s="93"/>
      <c r="H14" s="93"/>
      <c r="I14" s="93"/>
      <c r="J14" s="93"/>
      <c r="K14" s="93"/>
      <c r="L14" s="93"/>
      <c r="M14" s="93"/>
      <c r="N14" s="93"/>
      <c r="O14" s="93"/>
      <c r="P14" s="20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2" customHeight="1" x14ac:dyDescent="0.2">
      <c r="A15" s="28"/>
      <c r="B15" s="104" t="s">
        <v>99</v>
      </c>
      <c r="C15" s="136">
        <f>$C$10+7*0</f>
        <v>46174</v>
      </c>
      <c r="D15" s="136">
        <f>$C$10+7*1</f>
        <v>46181</v>
      </c>
      <c r="E15" s="136">
        <f>$C$10+7*2</f>
        <v>46188</v>
      </c>
      <c r="F15" s="136">
        <f>$C$10+7*3</f>
        <v>46195</v>
      </c>
      <c r="G15" s="136">
        <f>$C$10+7*4</f>
        <v>46202</v>
      </c>
      <c r="H15" s="136">
        <f>$C$10+7*5</f>
        <v>46209</v>
      </c>
      <c r="I15" s="136">
        <f>$C$10+7*6</f>
        <v>46216</v>
      </c>
      <c r="J15" s="136">
        <f>$C$10+7*7</f>
        <v>46223</v>
      </c>
      <c r="K15" s="136">
        <f>$C$10+7*8</f>
        <v>46230</v>
      </c>
      <c r="L15" s="136">
        <f>$C$10+7*9</f>
        <v>46237</v>
      </c>
      <c r="M15" s="136">
        <f>$C$10+7*10</f>
        <v>46244</v>
      </c>
      <c r="N15" s="136">
        <f>$C$10+7*11</f>
        <v>46251</v>
      </c>
      <c r="O15" s="136">
        <f>$C$10+7*12</f>
        <v>46258</v>
      </c>
      <c r="P15" s="20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8" customHeight="1" x14ac:dyDescent="0.2">
      <c r="A16" s="28"/>
      <c r="B16" s="97" t="s">
        <v>211</v>
      </c>
      <c r="C16" s="100"/>
      <c r="D16" s="137"/>
      <c r="E16" s="138"/>
      <c r="F16" s="139"/>
      <c r="G16" s="127"/>
      <c r="H16" s="127"/>
      <c r="I16" s="127"/>
      <c r="J16" s="127"/>
      <c r="K16" s="127"/>
      <c r="L16" s="127"/>
      <c r="M16" s="127"/>
      <c r="N16" s="127"/>
      <c r="O16" s="127"/>
      <c r="P16" s="20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8" customHeight="1" x14ac:dyDescent="0.2">
      <c r="A17" s="28"/>
      <c r="B17" s="97" t="s">
        <v>212</v>
      </c>
      <c r="C17" s="140"/>
      <c r="D17" s="100"/>
      <c r="E17" s="138"/>
      <c r="F17" s="139"/>
      <c r="G17" s="127"/>
      <c r="H17" s="127"/>
      <c r="I17" s="127"/>
      <c r="J17" s="127"/>
      <c r="K17" s="127"/>
      <c r="L17" s="127"/>
      <c r="M17" s="127"/>
      <c r="N17" s="127"/>
      <c r="O17" s="127"/>
      <c r="P17" s="20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8" customHeight="1" x14ac:dyDescent="0.2">
      <c r="A18" s="28"/>
      <c r="B18" s="97" t="s">
        <v>213</v>
      </c>
      <c r="C18" s="140"/>
      <c r="D18" s="137"/>
      <c r="E18" s="100"/>
      <c r="F18" s="139"/>
      <c r="G18" s="127"/>
      <c r="H18" s="127"/>
      <c r="I18" s="127"/>
      <c r="J18" s="127"/>
      <c r="K18" s="127"/>
      <c r="L18" s="127"/>
      <c r="M18" s="127"/>
      <c r="N18" s="127"/>
      <c r="O18" s="127"/>
      <c r="P18" s="20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8" customHeight="1" x14ac:dyDescent="0.2">
      <c r="A19" s="28"/>
      <c r="B19" s="97" t="s">
        <v>214</v>
      </c>
      <c r="C19" s="140"/>
      <c r="D19" s="137"/>
      <c r="E19" s="138"/>
      <c r="F19" s="100"/>
      <c r="G19" s="127"/>
      <c r="H19" s="127"/>
      <c r="I19" s="127"/>
      <c r="J19" s="127"/>
      <c r="K19" s="127"/>
      <c r="L19" s="127"/>
      <c r="M19" s="127"/>
      <c r="N19" s="127"/>
      <c r="O19" s="127"/>
      <c r="P19" s="20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8" customHeight="1" x14ac:dyDescent="0.2">
      <c r="A20" s="28"/>
      <c r="B20" s="97" t="s">
        <v>215</v>
      </c>
      <c r="C20" s="140"/>
      <c r="D20" s="137"/>
      <c r="E20" s="138"/>
      <c r="F20" s="141"/>
      <c r="G20" s="100"/>
      <c r="H20" s="141"/>
      <c r="I20" s="141"/>
      <c r="J20" s="141"/>
      <c r="K20" s="141"/>
      <c r="L20" s="141"/>
      <c r="M20" s="141"/>
      <c r="N20" s="141"/>
      <c r="O20" s="141"/>
      <c r="P20" s="207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8" customHeight="1" x14ac:dyDescent="0.2">
      <c r="A21" s="28"/>
      <c r="B21" s="97" t="s">
        <v>216</v>
      </c>
      <c r="C21" s="140"/>
      <c r="D21" s="137"/>
      <c r="E21" s="138"/>
      <c r="F21" s="142"/>
      <c r="G21" s="142"/>
      <c r="H21" s="100"/>
      <c r="I21" s="142"/>
      <c r="J21" s="142"/>
      <c r="K21" s="142"/>
      <c r="L21" s="142"/>
      <c r="M21" s="142"/>
      <c r="N21" s="142"/>
      <c r="O21" s="142"/>
      <c r="P21" s="207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8" customHeight="1" x14ac:dyDescent="0.2">
      <c r="A22" s="28"/>
      <c r="B22" s="97" t="s">
        <v>217</v>
      </c>
      <c r="C22" s="140"/>
      <c r="D22" s="137"/>
      <c r="E22" s="138"/>
      <c r="F22" s="142"/>
      <c r="G22" s="142"/>
      <c r="H22" s="142"/>
      <c r="I22" s="100"/>
      <c r="J22" s="142"/>
      <c r="K22" s="142"/>
      <c r="L22" s="142"/>
      <c r="M22" s="142"/>
      <c r="N22" s="142"/>
      <c r="O22" s="142"/>
      <c r="P22" s="207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8" customHeight="1" x14ac:dyDescent="0.2">
      <c r="A23" s="28"/>
      <c r="B23" s="97" t="s">
        <v>218</v>
      </c>
      <c r="C23" s="140"/>
      <c r="D23" s="137"/>
      <c r="E23" s="138"/>
      <c r="F23" s="142"/>
      <c r="G23" s="142"/>
      <c r="H23" s="142"/>
      <c r="I23" s="142"/>
      <c r="J23" s="100"/>
      <c r="K23" s="142"/>
      <c r="L23" s="142"/>
      <c r="M23" s="142"/>
      <c r="N23" s="142"/>
      <c r="O23" s="142"/>
      <c r="P23" s="20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8" customHeight="1" x14ac:dyDescent="0.2">
      <c r="A24" s="28"/>
      <c r="B24" s="97" t="s">
        <v>219</v>
      </c>
      <c r="C24" s="140"/>
      <c r="D24" s="137"/>
      <c r="E24" s="138"/>
      <c r="F24" s="142"/>
      <c r="G24" s="142"/>
      <c r="H24" s="142"/>
      <c r="I24" s="142"/>
      <c r="J24" s="142"/>
      <c r="K24" s="100"/>
      <c r="L24" s="100"/>
      <c r="M24" s="142"/>
      <c r="N24" s="142"/>
      <c r="O24" s="142"/>
      <c r="P24" s="207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8" customHeight="1" x14ac:dyDescent="0.2">
      <c r="A25" s="28"/>
      <c r="B25" s="97" t="s">
        <v>220</v>
      </c>
      <c r="C25" s="127"/>
      <c r="D25" s="127"/>
      <c r="E25" s="127"/>
      <c r="F25" s="127"/>
      <c r="G25" s="127"/>
      <c r="H25" s="127"/>
      <c r="I25" s="127"/>
      <c r="J25" s="127"/>
      <c r="K25" s="127"/>
      <c r="L25" s="100"/>
      <c r="M25" s="127"/>
      <c r="N25" s="127"/>
      <c r="O25" s="127"/>
      <c r="P25" s="207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8" customHeight="1" x14ac:dyDescent="0.2">
      <c r="A26" s="28"/>
      <c r="B26" s="97" t="s">
        <v>221</v>
      </c>
      <c r="C26" s="143"/>
      <c r="D26" s="143"/>
      <c r="E26" s="127"/>
      <c r="F26" s="144"/>
      <c r="G26" s="127"/>
      <c r="H26" s="127"/>
      <c r="I26" s="127"/>
      <c r="J26" s="127"/>
      <c r="K26" s="127"/>
      <c r="L26" s="127"/>
      <c r="M26" s="100"/>
      <c r="N26" s="127"/>
      <c r="O26" s="127"/>
      <c r="P26" s="207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8" customHeight="1" x14ac:dyDescent="0.2">
      <c r="A27" s="28"/>
      <c r="B27" s="97" t="s">
        <v>222</v>
      </c>
      <c r="C27" s="145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00"/>
      <c r="O27" s="127"/>
      <c r="P27" s="20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8" customHeight="1" x14ac:dyDescent="0.2">
      <c r="A28" s="28"/>
      <c r="B28" s="97"/>
      <c r="C28" s="61"/>
      <c r="D28" s="61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207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8" customHeight="1" x14ac:dyDescent="0.2">
      <c r="A29" s="28"/>
      <c r="B29" s="97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207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8" customHeight="1" x14ac:dyDescent="0.2">
      <c r="A30" s="28"/>
      <c r="B30" s="97"/>
      <c r="C30" s="54"/>
      <c r="D30" s="54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207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8" customHeight="1" x14ac:dyDescent="0.2">
      <c r="A31" s="28"/>
      <c r="B31" s="9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20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8" customHeight="1" x14ac:dyDescent="0.2">
      <c r="A32" s="28"/>
      <c r="B32" s="97"/>
      <c r="C32" s="61"/>
      <c r="D32" s="61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207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8" customHeight="1" x14ac:dyDescent="0.2">
      <c r="A33" s="28"/>
      <c r="B33" s="97"/>
      <c r="C33" s="53"/>
      <c r="D33" s="52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20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8" customHeight="1" x14ac:dyDescent="0.2">
      <c r="A34" s="28"/>
      <c r="B34" s="97"/>
      <c r="C34" s="53"/>
      <c r="D34" s="52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20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8" customHeight="1" x14ac:dyDescent="0.2">
      <c r="A35" s="28"/>
      <c r="B35" s="97"/>
      <c r="C35" s="53"/>
      <c r="D35" s="52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207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8" customHeight="1" x14ac:dyDescent="0.2">
      <c r="A36" s="28"/>
      <c r="B36" s="97"/>
      <c r="C36" s="53"/>
      <c r="D36" s="52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20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8" customHeight="1" x14ac:dyDescent="0.2">
      <c r="A37" s="28"/>
      <c r="B37" s="97"/>
      <c r="C37" s="54"/>
      <c r="D37" s="54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207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8" customHeight="1" x14ac:dyDescent="0.2">
      <c r="A38" s="28"/>
      <c r="B38" s="97"/>
      <c r="C38" s="54"/>
      <c r="D38" s="54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207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8" customHeight="1" x14ac:dyDescent="0.2">
      <c r="A39" s="28"/>
      <c r="B39" s="97"/>
      <c r="C39" s="54"/>
      <c r="D39" s="54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20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8" customHeight="1" x14ac:dyDescent="0.2">
      <c r="A40" s="28"/>
      <c r="B40" s="97"/>
      <c r="C40" s="60"/>
      <c r="D40" s="54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20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6" customHeight="1" x14ac:dyDescent="0.2">
      <c r="A41" s="28"/>
      <c r="B41" s="55"/>
      <c r="C41" s="61"/>
      <c r="D41" s="61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20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2" customHeight="1" x14ac:dyDescent="0.2">
      <c r="A42" s="28"/>
      <c r="B42" s="94" t="s">
        <v>100</v>
      </c>
      <c r="C42" s="101" t="s">
        <v>236</v>
      </c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207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2" customHeight="1" x14ac:dyDescent="0.2">
      <c r="A43" s="28"/>
      <c r="B43" s="97" t="s">
        <v>102</v>
      </c>
      <c r="C43" s="222">
        <v>30</v>
      </c>
      <c r="D43" s="21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207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22" customHeight="1" x14ac:dyDescent="0.2">
      <c r="A44" s="28"/>
      <c r="B44" s="104" t="s">
        <v>103</v>
      </c>
      <c r="C44" s="136">
        <f>$C$10+7*0</f>
        <v>46174</v>
      </c>
      <c r="D44" s="136">
        <f>$C$10+7*1</f>
        <v>46181</v>
      </c>
      <c r="E44" s="136">
        <f>$C$10+7*2</f>
        <v>46188</v>
      </c>
      <c r="F44" s="136">
        <f>$C$10+7*3</f>
        <v>46195</v>
      </c>
      <c r="G44" s="136">
        <f>$C$10+7*4</f>
        <v>46202</v>
      </c>
      <c r="H44" s="136">
        <f>$C$10+7*5</f>
        <v>46209</v>
      </c>
      <c r="I44" s="136">
        <f>$C$10+7*6</f>
        <v>46216</v>
      </c>
      <c r="J44" s="136">
        <f>$C$10+7*7</f>
        <v>46223</v>
      </c>
      <c r="K44" s="136">
        <f>$C$10+7*8</f>
        <v>46230</v>
      </c>
      <c r="L44" s="136">
        <f>$C$10+7*9</f>
        <v>46237</v>
      </c>
      <c r="M44" s="136">
        <f>$C$10+7*10</f>
        <v>46244</v>
      </c>
      <c r="N44" s="136">
        <f>$C$10+7*11</f>
        <v>46251</v>
      </c>
      <c r="O44" s="136">
        <f>$C$10+7*12</f>
        <v>46258</v>
      </c>
      <c r="P44" s="20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48" customHeight="1" x14ac:dyDescent="0.2">
      <c r="A45" s="28"/>
      <c r="B45" s="67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207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6" customHeight="1" x14ac:dyDescent="0.2">
      <c r="A46" s="28"/>
      <c r="B46" s="79"/>
      <c r="C46" s="53"/>
      <c r="D46" s="57"/>
      <c r="E46" s="73"/>
      <c r="F46" s="66"/>
      <c r="G46" s="66"/>
      <c r="H46" s="62"/>
      <c r="I46" s="62"/>
      <c r="J46" s="51"/>
      <c r="K46" s="47"/>
      <c r="L46" s="47"/>
      <c r="M46" s="47"/>
      <c r="N46" s="47"/>
      <c r="O46" s="47"/>
      <c r="P46" s="207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48" customHeight="1" x14ac:dyDescent="0.2">
      <c r="A47" s="28"/>
      <c r="B47" s="107" t="s">
        <v>104</v>
      </c>
      <c r="C47" s="101" t="s">
        <v>105</v>
      </c>
      <c r="D47" s="102"/>
      <c r="E47" s="108"/>
      <c r="F47" s="109"/>
      <c r="G47" s="109"/>
      <c r="H47" s="110"/>
      <c r="I47" s="110"/>
      <c r="J47" s="96"/>
      <c r="K47" s="93"/>
      <c r="L47" s="93"/>
      <c r="M47" s="93"/>
      <c r="N47" s="93"/>
      <c r="O47" s="93"/>
      <c r="P47" s="20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48" customHeight="1" x14ac:dyDescent="0.2">
      <c r="A48" s="28"/>
      <c r="B48" s="111" t="s">
        <v>106</v>
      </c>
      <c r="C48" s="146" t="s">
        <v>107</v>
      </c>
      <c r="D48" s="147" t="s">
        <v>108</v>
      </c>
      <c r="E48" s="148" t="s">
        <v>109</v>
      </c>
      <c r="F48" s="112"/>
      <c r="G48" s="112"/>
      <c r="H48" s="113"/>
      <c r="I48" s="113"/>
      <c r="J48" s="114"/>
      <c r="K48" s="115"/>
      <c r="L48" s="115"/>
      <c r="M48" s="115"/>
      <c r="N48" s="115"/>
      <c r="O48" s="115"/>
      <c r="P48" s="207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48" customHeight="1" x14ac:dyDescent="0.2">
      <c r="A49" s="28"/>
      <c r="B49" s="116" t="s">
        <v>110</v>
      </c>
      <c r="C49" s="100"/>
      <c r="D49" s="117"/>
      <c r="E49" s="118"/>
      <c r="F49" s="66"/>
      <c r="G49" s="66"/>
      <c r="H49" s="62"/>
      <c r="I49" s="62"/>
      <c r="J49" s="51"/>
      <c r="K49" s="47"/>
      <c r="L49" s="47"/>
      <c r="M49" s="47"/>
      <c r="N49" s="47"/>
      <c r="O49" s="47"/>
      <c r="P49" s="20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22" customHeight="1" x14ac:dyDescent="0.2">
      <c r="A50" s="28"/>
      <c r="B50" s="97" t="s">
        <v>111</v>
      </c>
      <c r="C50" s="100"/>
      <c r="D50" s="117"/>
      <c r="E50" s="118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207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22" customHeight="1" x14ac:dyDescent="0.2">
      <c r="A51" s="28"/>
      <c r="B51" s="97" t="s">
        <v>112</v>
      </c>
      <c r="C51" s="100"/>
      <c r="D51" s="117"/>
      <c r="E51" s="118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207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22" customHeight="1" x14ac:dyDescent="0.2">
      <c r="A52" s="28"/>
      <c r="B52" s="97" t="s">
        <v>113</v>
      </c>
      <c r="C52" s="100"/>
      <c r="D52" s="117"/>
      <c r="E52" s="118"/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207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6" customHeight="1" x14ac:dyDescent="0.2">
      <c r="A53" s="28"/>
      <c r="B53" s="67"/>
      <c r="C53" s="56"/>
      <c r="D53" s="81"/>
      <c r="E53" s="66"/>
      <c r="F53" s="51"/>
      <c r="G53" s="47"/>
      <c r="H53" s="47"/>
      <c r="I53" s="47"/>
      <c r="J53" s="47"/>
      <c r="K53" s="47"/>
      <c r="L53" s="47"/>
      <c r="M53" s="47"/>
      <c r="N53" s="47"/>
      <c r="O53" s="47"/>
      <c r="P53" s="207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32" customHeight="1" x14ac:dyDescent="0.2">
      <c r="A54" s="28"/>
      <c r="B54" s="107" t="s">
        <v>114</v>
      </c>
      <c r="C54" s="101" t="s">
        <v>237</v>
      </c>
      <c r="D54" s="95"/>
      <c r="E54" s="109"/>
      <c r="F54" s="96"/>
      <c r="G54" s="93"/>
      <c r="H54" s="93"/>
      <c r="I54" s="93"/>
      <c r="J54" s="93"/>
      <c r="K54" s="93"/>
      <c r="L54" s="93"/>
      <c r="M54" s="93"/>
      <c r="N54" s="93"/>
      <c r="O54" s="93"/>
      <c r="P54" s="20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6" customHeight="1" x14ac:dyDescent="0.2">
      <c r="A55" s="28"/>
      <c r="B55" s="111" t="s">
        <v>116</v>
      </c>
      <c r="C55" s="136">
        <f>$C$10+7*0</f>
        <v>46174</v>
      </c>
      <c r="D55" s="136">
        <f>$C$10+7*1</f>
        <v>46181</v>
      </c>
      <c r="E55" s="136">
        <f>$C$10+7*2</f>
        <v>46188</v>
      </c>
      <c r="F55" s="136">
        <f>$C$10+7*3</f>
        <v>46195</v>
      </c>
      <c r="G55" s="136">
        <f>$C$10+7*4</f>
        <v>46202</v>
      </c>
      <c r="H55" s="136">
        <f>$C$10+7*5</f>
        <v>46209</v>
      </c>
      <c r="I55" s="136">
        <f>$C$10+7*6</f>
        <v>46216</v>
      </c>
      <c r="J55" s="136">
        <f>$C$10+7*7</f>
        <v>46223</v>
      </c>
      <c r="K55" s="136">
        <f>$C$10+7*8</f>
        <v>46230</v>
      </c>
      <c r="L55" s="136">
        <f>$C$10+7*9</f>
        <v>46237</v>
      </c>
      <c r="M55" s="136">
        <f>$C$10+7*10</f>
        <v>46244</v>
      </c>
      <c r="N55" s="136">
        <f>$C$10+7*11</f>
        <v>46251</v>
      </c>
      <c r="O55" s="136">
        <f>$C$10+7*12</f>
        <v>46258</v>
      </c>
      <c r="P55" s="207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8" customHeight="1" x14ac:dyDescent="0.2">
      <c r="A56" s="28"/>
      <c r="B56" s="116" t="s">
        <v>117</v>
      </c>
      <c r="C56" s="141"/>
      <c r="D56" s="149"/>
      <c r="E56" s="100"/>
      <c r="F56" s="139"/>
      <c r="G56" s="127"/>
      <c r="H56" s="127"/>
      <c r="I56" s="127"/>
      <c r="J56" s="127"/>
      <c r="K56" s="127"/>
      <c r="L56" s="127"/>
      <c r="M56" s="127"/>
      <c r="N56" s="127"/>
      <c r="O56" s="127"/>
      <c r="P56" s="207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8" customHeight="1" x14ac:dyDescent="0.2">
      <c r="A57" s="28"/>
      <c r="B57" s="116" t="s">
        <v>118</v>
      </c>
      <c r="C57" s="140"/>
      <c r="D57" s="150"/>
      <c r="E57" s="151"/>
      <c r="F57" s="139"/>
      <c r="G57" s="127"/>
      <c r="H57" s="127"/>
      <c r="I57" s="127"/>
      <c r="J57" s="127"/>
      <c r="K57" s="127"/>
      <c r="L57" s="100"/>
      <c r="M57" s="127"/>
      <c r="N57" s="127"/>
      <c r="O57" s="127"/>
      <c r="P57" s="20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8" customHeight="1" x14ac:dyDescent="0.2">
      <c r="A58" s="28"/>
      <c r="B58" s="116"/>
      <c r="C58" s="227"/>
      <c r="D58" s="152"/>
      <c r="E58" s="153"/>
      <c r="F58" s="139"/>
      <c r="G58" s="127"/>
      <c r="H58" s="127"/>
      <c r="I58" s="127"/>
      <c r="J58" s="127"/>
      <c r="K58" s="127"/>
      <c r="L58" s="127"/>
      <c r="M58" s="127"/>
      <c r="N58" s="127"/>
      <c r="O58" s="127"/>
      <c r="P58" s="20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8" customHeight="1" x14ac:dyDescent="0.2">
      <c r="A59" s="28"/>
      <c r="B59" s="226" t="s">
        <v>245</v>
      </c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07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6" customHeight="1" x14ac:dyDescent="0.2">
      <c r="A60" s="28"/>
      <c r="B60" s="68"/>
      <c r="C60" s="53"/>
      <c r="D60" s="69"/>
      <c r="E60" s="70"/>
      <c r="F60" s="51"/>
      <c r="G60" s="47"/>
      <c r="H60" s="47"/>
      <c r="I60" s="47"/>
      <c r="J60" s="47"/>
      <c r="K60" s="47"/>
      <c r="L60" s="47"/>
      <c r="M60" s="47"/>
      <c r="N60" s="47"/>
      <c r="O60" s="47"/>
      <c r="P60" s="207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6" customHeight="1" x14ac:dyDescent="0.2">
      <c r="A61" s="28"/>
      <c r="B61" s="107" t="s">
        <v>119</v>
      </c>
      <c r="C61" s="101" t="s">
        <v>120</v>
      </c>
      <c r="D61" s="119"/>
      <c r="E61" s="120"/>
      <c r="F61" s="96"/>
      <c r="G61" s="93"/>
      <c r="H61" s="93"/>
      <c r="I61" s="93"/>
      <c r="J61" s="93"/>
      <c r="K61" s="93"/>
      <c r="L61" s="93"/>
      <c r="M61" s="93"/>
      <c r="N61" s="93"/>
      <c r="O61" s="93"/>
      <c r="P61" s="207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22" customHeight="1" x14ac:dyDescent="0.2">
      <c r="A62" s="28"/>
      <c r="B62" s="104" t="s">
        <v>121</v>
      </c>
      <c r="C62" s="136">
        <f>$C$10+7*0</f>
        <v>46174</v>
      </c>
      <c r="D62" s="136">
        <f>$C$10+7*1</f>
        <v>46181</v>
      </c>
      <c r="E62" s="136">
        <f>$C$10+7*2</f>
        <v>46188</v>
      </c>
      <c r="F62" s="136">
        <f>$C$10+7*3</f>
        <v>46195</v>
      </c>
      <c r="G62" s="136">
        <f>$C$10+7*4</f>
        <v>46202</v>
      </c>
      <c r="H62" s="136">
        <f>$C$10+7*5</f>
        <v>46209</v>
      </c>
      <c r="I62" s="136">
        <f>$C$10+7*6</f>
        <v>46216</v>
      </c>
      <c r="J62" s="136">
        <f>$C$10+7*7</f>
        <v>46223</v>
      </c>
      <c r="K62" s="136">
        <f>$C$10+7*8</f>
        <v>46230</v>
      </c>
      <c r="L62" s="136">
        <f>$C$10+7*9</f>
        <v>46237</v>
      </c>
      <c r="M62" s="136">
        <f>$C$10+7*10</f>
        <v>46244</v>
      </c>
      <c r="N62" s="136">
        <f>$C$10+7*11</f>
        <v>46251</v>
      </c>
      <c r="O62" s="136">
        <f>$C$10+7*12</f>
        <v>46258</v>
      </c>
      <c r="P62" s="207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8" customHeight="1" x14ac:dyDescent="0.2">
      <c r="A63" s="28"/>
      <c r="B63" s="97" t="s">
        <v>223</v>
      </c>
      <c r="C63" s="100"/>
      <c r="D63" s="141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207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8" customHeight="1" x14ac:dyDescent="0.2">
      <c r="A64" s="28"/>
      <c r="B64" s="97" t="s">
        <v>224</v>
      </c>
      <c r="C64" s="140"/>
      <c r="D64" s="100"/>
      <c r="E64" s="143"/>
      <c r="F64" s="144"/>
      <c r="G64" s="127"/>
      <c r="H64" s="127"/>
      <c r="I64" s="127"/>
      <c r="J64" s="127"/>
      <c r="K64" s="127"/>
      <c r="L64" s="127"/>
      <c r="M64" s="127"/>
      <c r="N64" s="127"/>
      <c r="O64" s="127"/>
      <c r="P64" s="207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" customHeight="1" x14ac:dyDescent="0.2">
      <c r="A65" s="28"/>
      <c r="B65" s="116" t="s">
        <v>225</v>
      </c>
      <c r="C65" s="140"/>
      <c r="D65" s="137"/>
      <c r="E65" s="154"/>
      <c r="F65" s="139"/>
      <c r="G65" s="100"/>
      <c r="H65" s="127"/>
      <c r="I65" s="127"/>
      <c r="J65" s="127"/>
      <c r="K65" s="127"/>
      <c r="L65" s="127"/>
      <c r="M65" s="127"/>
      <c r="N65" s="127"/>
      <c r="O65" s="127"/>
      <c r="P65" s="207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8" customHeight="1" x14ac:dyDescent="0.2">
      <c r="A66" s="28"/>
      <c r="B66" s="116" t="s">
        <v>226</v>
      </c>
      <c r="C66" s="140"/>
      <c r="D66" s="137"/>
      <c r="E66" s="154"/>
      <c r="F66" s="139"/>
      <c r="G66" s="127"/>
      <c r="H66" s="127"/>
      <c r="I66" s="100"/>
      <c r="J66" s="127"/>
      <c r="K66" s="127"/>
      <c r="L66" s="127"/>
      <c r="M66" s="127"/>
      <c r="N66" s="127"/>
      <c r="O66" s="127"/>
      <c r="P66" s="207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8" customHeight="1" x14ac:dyDescent="0.2">
      <c r="A67" s="28"/>
      <c r="B67" s="116" t="s">
        <v>227</v>
      </c>
      <c r="C67" s="140"/>
      <c r="D67" s="137"/>
      <c r="E67" s="100"/>
      <c r="F67" s="139"/>
      <c r="G67" s="127"/>
      <c r="H67" s="127"/>
      <c r="I67" s="127"/>
      <c r="J67" s="127"/>
      <c r="K67" s="127"/>
      <c r="L67" s="127"/>
      <c r="M67" s="127"/>
      <c r="N67" s="127"/>
      <c r="O67" s="127"/>
      <c r="P67" s="20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8" customHeight="1" x14ac:dyDescent="0.2">
      <c r="A68" s="28"/>
      <c r="B68" s="116" t="s">
        <v>228</v>
      </c>
      <c r="C68" s="140"/>
      <c r="D68" s="137"/>
      <c r="E68" s="154"/>
      <c r="F68" s="139"/>
      <c r="G68" s="127"/>
      <c r="H68" s="100"/>
      <c r="I68" s="127"/>
      <c r="J68" s="127"/>
      <c r="K68" s="127"/>
      <c r="L68" s="127"/>
      <c r="M68" s="127"/>
      <c r="N68" s="127"/>
      <c r="O68" s="127"/>
      <c r="P68" s="207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8" customHeight="1" x14ac:dyDescent="0.2">
      <c r="A69" s="28"/>
      <c r="B69" s="116" t="s">
        <v>229</v>
      </c>
      <c r="C69" s="140"/>
      <c r="D69" s="137"/>
      <c r="E69" s="154"/>
      <c r="F69" s="139"/>
      <c r="G69" s="127"/>
      <c r="H69" s="127"/>
      <c r="I69" s="127"/>
      <c r="J69" s="127"/>
      <c r="K69" s="127"/>
      <c r="L69" s="100"/>
      <c r="M69" s="127"/>
      <c r="N69" s="127"/>
      <c r="O69" s="127"/>
      <c r="P69" s="207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8" customHeight="1" x14ac:dyDescent="0.2">
      <c r="A70" s="28"/>
      <c r="B70" s="97" t="s">
        <v>230</v>
      </c>
      <c r="C70" s="140"/>
      <c r="D70" s="137"/>
      <c r="E70" s="127"/>
      <c r="F70" s="100"/>
      <c r="G70" s="127"/>
      <c r="H70" s="127"/>
      <c r="I70" s="127"/>
      <c r="J70" s="127"/>
      <c r="K70" s="127"/>
      <c r="L70" s="127"/>
      <c r="M70" s="127"/>
      <c r="N70" s="127"/>
      <c r="O70" s="127"/>
      <c r="P70" s="207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8" customHeight="1" x14ac:dyDescent="0.2">
      <c r="A71" s="28"/>
      <c r="B71" s="97" t="s">
        <v>231</v>
      </c>
      <c r="C71" s="140"/>
      <c r="D71" s="137"/>
      <c r="E71" s="127"/>
      <c r="F71" s="127"/>
      <c r="G71" s="127"/>
      <c r="H71" s="127"/>
      <c r="I71" s="127"/>
      <c r="J71" s="127"/>
      <c r="K71" s="100"/>
      <c r="L71" s="127"/>
      <c r="M71" s="127"/>
      <c r="N71" s="127"/>
      <c r="O71" s="127"/>
      <c r="P71" s="207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8" customHeight="1" x14ac:dyDescent="0.2">
      <c r="A72" s="28"/>
      <c r="B72" s="97" t="s">
        <v>232</v>
      </c>
      <c r="C72" s="140"/>
      <c r="D72" s="137"/>
      <c r="E72" s="144"/>
      <c r="F72" s="144"/>
      <c r="G72" s="127"/>
      <c r="H72" s="127"/>
      <c r="I72" s="127"/>
      <c r="J72" s="127"/>
      <c r="K72" s="127"/>
      <c r="L72" s="127"/>
      <c r="M72" s="127"/>
      <c r="N72" s="100"/>
      <c r="O72" s="127"/>
      <c r="P72" s="207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8" customHeight="1" x14ac:dyDescent="0.2">
      <c r="A73" s="28"/>
      <c r="B73" s="116"/>
      <c r="C73" s="53"/>
      <c r="D73" s="52"/>
      <c r="E73" s="62"/>
      <c r="F73" s="51"/>
      <c r="G73" s="47"/>
      <c r="H73" s="47"/>
      <c r="I73" s="47"/>
      <c r="J73" s="47"/>
      <c r="K73" s="47"/>
      <c r="L73" s="47"/>
      <c r="M73" s="47"/>
      <c r="N73" s="47"/>
      <c r="O73" s="47"/>
      <c r="P73" s="207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8" customHeight="1" x14ac:dyDescent="0.2">
      <c r="A74" s="28"/>
      <c r="B74" s="165" t="s">
        <v>238</v>
      </c>
      <c r="C74" s="166" t="s">
        <v>187</v>
      </c>
      <c r="D74" s="167" t="s">
        <v>144</v>
      </c>
      <c r="E74" s="168" t="s">
        <v>188</v>
      </c>
      <c r="F74" s="173" t="s">
        <v>189</v>
      </c>
      <c r="G74" s="47"/>
      <c r="H74" s="47"/>
      <c r="I74" s="47"/>
      <c r="J74" s="47"/>
      <c r="K74" s="47"/>
      <c r="L74" s="47"/>
      <c r="M74" s="47"/>
      <c r="N74" s="47"/>
      <c r="O74" s="47"/>
      <c r="P74" s="207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8" customHeight="1" x14ac:dyDescent="0.2">
      <c r="A75" s="28"/>
      <c r="B75" s="172"/>
      <c r="C75" s="171"/>
      <c r="D75" s="169"/>
      <c r="E75" s="170" t="str">
        <f t="shared" ref="E75:E84" si="0">IF(OR($C75="",$D75=""),"",MAX(1,MIN(13,INT(($C75+In_AP_Days-$C$10)/7)+1)))</f>
        <v/>
      </c>
      <c r="F75" s="51"/>
      <c r="G75" s="47"/>
      <c r="H75" s="47"/>
      <c r="I75" s="47"/>
      <c r="J75" s="47"/>
      <c r="K75" s="47"/>
      <c r="L75" s="47"/>
      <c r="M75" s="47"/>
      <c r="N75" s="47"/>
      <c r="O75" s="47"/>
      <c r="P75" s="207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8" customHeight="1" x14ac:dyDescent="0.2">
      <c r="A76" s="28"/>
      <c r="B76" s="172"/>
      <c r="C76" s="171"/>
      <c r="D76" s="169"/>
      <c r="E76" s="170" t="str">
        <f t="shared" si="0"/>
        <v/>
      </c>
      <c r="F76" s="51"/>
      <c r="G76" s="47"/>
      <c r="H76" s="47"/>
      <c r="I76" s="47"/>
      <c r="J76" s="47"/>
      <c r="K76" s="47"/>
      <c r="L76" s="47"/>
      <c r="M76" s="47"/>
      <c r="N76" s="47"/>
      <c r="O76" s="47"/>
      <c r="P76" s="207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8" customHeight="1" x14ac:dyDescent="0.2">
      <c r="A77" s="28"/>
      <c r="B77" s="172"/>
      <c r="C77" s="171"/>
      <c r="D77" s="169"/>
      <c r="E77" s="170" t="str">
        <f t="shared" si="0"/>
        <v/>
      </c>
      <c r="F77" s="51"/>
      <c r="G77" s="47"/>
      <c r="H77" s="47"/>
      <c r="I77" s="47"/>
      <c r="J77" s="47"/>
      <c r="K77" s="47"/>
      <c r="L77" s="47"/>
      <c r="M77" s="47"/>
      <c r="N77" s="47"/>
      <c r="O77" s="47"/>
      <c r="P77" s="20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8" customHeight="1" x14ac:dyDescent="0.2">
      <c r="A78" s="28"/>
      <c r="B78" s="172"/>
      <c r="C78" s="171"/>
      <c r="D78" s="169"/>
      <c r="E78" s="170" t="str">
        <f t="shared" si="0"/>
        <v/>
      </c>
      <c r="F78" s="51"/>
      <c r="G78" s="47"/>
      <c r="H78" s="47"/>
      <c r="I78" s="47"/>
      <c r="J78" s="47"/>
      <c r="K78" s="47"/>
      <c r="L78" s="47"/>
      <c r="M78" s="47"/>
      <c r="N78" s="47"/>
      <c r="O78" s="47"/>
      <c r="P78" s="207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8" customHeight="1" x14ac:dyDescent="0.2">
      <c r="A79" s="28"/>
      <c r="B79" s="172"/>
      <c r="C79" s="171"/>
      <c r="D79" s="169"/>
      <c r="E79" s="170" t="str">
        <f t="shared" si="0"/>
        <v/>
      </c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207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8" customHeight="1" x14ac:dyDescent="0.2">
      <c r="A80" s="28"/>
      <c r="B80" s="172"/>
      <c r="C80" s="171"/>
      <c r="D80" s="169"/>
      <c r="E80" s="170" t="str">
        <f t="shared" si="0"/>
        <v/>
      </c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207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8" customHeight="1" x14ac:dyDescent="0.2">
      <c r="A81" s="28"/>
      <c r="B81" s="172"/>
      <c r="C81" s="171"/>
      <c r="D81" s="169"/>
      <c r="E81" s="170" t="str">
        <f t="shared" si="0"/>
        <v/>
      </c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207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8" customHeight="1" x14ac:dyDescent="0.2">
      <c r="A82" s="28"/>
      <c r="B82" s="172"/>
      <c r="C82" s="171"/>
      <c r="D82" s="169"/>
      <c r="E82" s="170" t="str">
        <f t="shared" si="0"/>
        <v/>
      </c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207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8" customHeight="1" x14ac:dyDescent="0.2">
      <c r="A83" s="28"/>
      <c r="B83" s="172"/>
      <c r="C83" s="171"/>
      <c r="D83" s="169"/>
      <c r="E83" s="170" t="str">
        <f t="shared" si="0"/>
        <v/>
      </c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207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8" customHeight="1" x14ac:dyDescent="0.2">
      <c r="A84" s="28"/>
      <c r="B84" s="172"/>
      <c r="C84" s="171"/>
      <c r="D84" s="169"/>
      <c r="E84" s="170" t="str">
        <f t="shared" si="0"/>
        <v/>
      </c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207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8" customHeight="1" x14ac:dyDescent="0.2">
      <c r="A85" s="28"/>
      <c r="B85" s="97"/>
      <c r="C85" s="72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207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8" customHeight="1" x14ac:dyDescent="0.2">
      <c r="A86" s="28"/>
      <c r="B86" s="97"/>
      <c r="C86" s="53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207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8" customHeight="1" x14ac:dyDescent="0.2">
      <c r="A87" s="28"/>
      <c r="B87" s="97"/>
      <c r="C87" s="73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20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6" customHeight="1" x14ac:dyDescent="0.2">
      <c r="A88" s="28"/>
      <c r="B88" s="64"/>
      <c r="C88" s="71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207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2" customHeight="1" x14ac:dyDescent="0.2">
      <c r="A89" s="28"/>
      <c r="B89" s="94" t="s">
        <v>122</v>
      </c>
      <c r="C89" s="193" t="s">
        <v>204</v>
      </c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207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2" customHeight="1" x14ac:dyDescent="0.2">
      <c r="A90" s="28"/>
      <c r="B90" s="104" t="s">
        <v>123</v>
      </c>
      <c r="C90" s="155" t="s">
        <v>124</v>
      </c>
      <c r="D90" s="155" t="s">
        <v>125</v>
      </c>
      <c r="E90" s="121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207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2" customHeight="1" x14ac:dyDescent="0.2">
      <c r="A91" s="28"/>
      <c r="B91" s="97" t="s">
        <v>126</v>
      </c>
      <c r="C91" s="100"/>
      <c r="D91" s="122"/>
      <c r="E91" s="53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207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2" customHeight="1" x14ac:dyDescent="0.2">
      <c r="A92" s="28"/>
      <c r="B92" s="97" t="s">
        <v>128</v>
      </c>
      <c r="C92" s="100"/>
      <c r="D92" s="122"/>
      <c r="E92" s="53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207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22" customHeight="1" x14ac:dyDescent="0.2">
      <c r="A93" s="28"/>
      <c r="B93" s="97" t="s">
        <v>129</v>
      </c>
      <c r="C93" s="100"/>
      <c r="D93" s="122"/>
      <c r="E93" s="53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207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2" customHeight="1" x14ac:dyDescent="0.2">
      <c r="A94" s="28"/>
      <c r="B94" s="97" t="s">
        <v>130</v>
      </c>
      <c r="C94" s="100"/>
      <c r="D94" s="122"/>
      <c r="E94" s="53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207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2" customHeight="1" x14ac:dyDescent="0.2">
      <c r="A95" s="28"/>
      <c r="B95" s="97" t="s">
        <v>131</v>
      </c>
      <c r="C95" s="100"/>
      <c r="D95" s="98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207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2" customHeight="1" x14ac:dyDescent="0.2">
      <c r="A96" s="28"/>
      <c r="B96" s="97" t="s">
        <v>133</v>
      </c>
      <c r="C96" s="100"/>
      <c r="D96" s="98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207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2" customHeight="1" x14ac:dyDescent="0.2">
      <c r="A97" s="28"/>
      <c r="B97" s="97"/>
      <c r="C97" s="53"/>
      <c r="D97" s="50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207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22" customHeight="1" x14ac:dyDescent="0.2">
      <c r="A98" s="28"/>
      <c r="B98" s="97"/>
      <c r="C98" s="53"/>
      <c r="D98" s="50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207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2" customHeight="1" x14ac:dyDescent="0.2">
      <c r="A99" s="28"/>
      <c r="B99" s="97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207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2" customHeight="1" x14ac:dyDescent="0.2">
      <c r="A100" s="28"/>
      <c r="B100" s="97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207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6" customHeight="1" x14ac:dyDescent="0.2">
      <c r="A101" s="28"/>
      <c r="B101" s="191" t="s">
        <v>203</v>
      </c>
      <c r="C101" s="53"/>
      <c r="D101" s="74"/>
      <c r="E101" s="74"/>
      <c r="F101" s="74"/>
      <c r="G101" s="74"/>
      <c r="H101" s="54"/>
      <c r="I101" s="74"/>
      <c r="J101" s="74"/>
      <c r="K101" s="74"/>
      <c r="L101" s="192">
        <f>MAX(1,MIN(13,INT((EDATE($C$10,0)-$C$10)/7)+1))</f>
        <v>1</v>
      </c>
      <c r="M101" s="192">
        <f>MAX(1,MIN(13,INT((EDATE($C$10,1)-$C$10)/7)+1))</f>
        <v>5</v>
      </c>
      <c r="N101" s="192">
        <f>MAX(1,MIN(13,INT((EDATE($C$10,2)-$C$10)/7)+1))</f>
        <v>9</v>
      </c>
      <c r="O101" s="192">
        <f>MAX(1,MIN(13,INT((EDATE($C$10,3)-$C$10)/7)+1))</f>
        <v>13</v>
      </c>
      <c r="P101" s="20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22" customHeight="1" x14ac:dyDescent="0.2">
      <c r="A102" s="28"/>
      <c r="B102" s="94" t="s">
        <v>135</v>
      </c>
      <c r="C102" s="108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207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2" customHeight="1" x14ac:dyDescent="0.2">
      <c r="A103" s="28"/>
      <c r="B103" s="97" t="s">
        <v>136</v>
      </c>
      <c r="C103" s="219"/>
      <c r="D103" s="216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207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6" customHeight="1" x14ac:dyDescent="0.2">
      <c r="A104" s="28"/>
      <c r="B104" s="97" t="s">
        <v>137</v>
      </c>
      <c r="C104" s="220"/>
      <c r="D104" s="216"/>
      <c r="E104" s="47"/>
      <c r="F104" s="51"/>
      <c r="G104" s="47"/>
      <c r="H104" s="47"/>
      <c r="I104" s="47"/>
      <c r="J104" s="47"/>
      <c r="K104" s="47"/>
      <c r="L104" s="47"/>
      <c r="M104" s="47"/>
      <c r="N104" s="47"/>
      <c r="O104" s="47"/>
      <c r="P104" s="207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6" customHeight="1" x14ac:dyDescent="0.2">
      <c r="A105" s="28"/>
      <c r="B105" s="97" t="s">
        <v>138</v>
      </c>
      <c r="C105" s="224"/>
      <c r="D105" s="216"/>
      <c r="E105" s="47"/>
      <c r="F105" s="51"/>
      <c r="G105" s="47"/>
      <c r="H105" s="47"/>
      <c r="I105" s="47"/>
      <c r="J105" s="47"/>
      <c r="K105" s="47"/>
      <c r="L105" s="47"/>
      <c r="M105" s="47"/>
      <c r="N105" s="47"/>
      <c r="O105" s="47"/>
      <c r="P105" s="207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6" customHeight="1" x14ac:dyDescent="0.2">
      <c r="A106" s="28"/>
      <c r="B106" s="78"/>
      <c r="C106" s="73"/>
      <c r="D106" s="56"/>
      <c r="E106" s="47"/>
      <c r="F106" s="51"/>
      <c r="G106" s="47"/>
      <c r="H106" s="47"/>
      <c r="I106" s="47"/>
      <c r="J106" s="47"/>
      <c r="K106" s="47"/>
      <c r="L106" s="47"/>
      <c r="M106" s="47"/>
      <c r="N106" s="47"/>
      <c r="O106" s="47"/>
      <c r="P106" s="207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6" customHeight="1" x14ac:dyDescent="0.2">
      <c r="A107" s="28"/>
      <c r="B107" s="94" t="s">
        <v>139</v>
      </c>
      <c r="C107" s="123" t="s">
        <v>140</v>
      </c>
      <c r="D107" s="106"/>
      <c r="E107" s="93"/>
      <c r="F107" s="96"/>
      <c r="G107" s="93"/>
      <c r="H107" s="93"/>
      <c r="I107" s="93"/>
      <c r="J107" s="93"/>
      <c r="K107" s="93"/>
      <c r="L107" s="93"/>
      <c r="M107" s="93"/>
      <c r="N107" s="93"/>
      <c r="O107" s="93"/>
      <c r="P107" s="207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6" customHeight="1" x14ac:dyDescent="0.2">
      <c r="A108" s="28"/>
      <c r="B108" s="104" t="s">
        <v>141</v>
      </c>
      <c r="C108" s="146" t="s">
        <v>142</v>
      </c>
      <c r="D108" s="155" t="s">
        <v>143</v>
      </c>
      <c r="E108" s="155" t="s">
        <v>144</v>
      </c>
      <c r="F108" s="114"/>
      <c r="G108" s="115"/>
      <c r="H108" s="115"/>
      <c r="I108" s="115"/>
      <c r="J108" s="115"/>
      <c r="K108" s="115"/>
      <c r="L108" s="115"/>
      <c r="M108" s="115"/>
      <c r="N108" s="115"/>
      <c r="O108" s="115"/>
      <c r="P108" s="207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6" customHeight="1" x14ac:dyDescent="0.2">
      <c r="A109" s="28"/>
      <c r="B109" s="97" t="s">
        <v>145</v>
      </c>
      <c r="C109" s="98" t="s">
        <v>93</v>
      </c>
      <c r="D109" s="99"/>
      <c r="E109" s="100"/>
      <c r="F109" s="51"/>
      <c r="G109" s="47"/>
      <c r="H109" s="47"/>
      <c r="I109" s="47"/>
      <c r="J109" s="47"/>
      <c r="K109" s="47"/>
      <c r="L109" s="47"/>
      <c r="M109" s="47"/>
      <c r="N109" s="47"/>
      <c r="O109" s="47"/>
      <c r="P109" s="207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2" customHeight="1" x14ac:dyDescent="0.2">
      <c r="A110" s="28"/>
      <c r="B110" s="97" t="s">
        <v>146</v>
      </c>
      <c r="C110" s="124" t="s">
        <v>93</v>
      </c>
      <c r="D110" s="99"/>
      <c r="E110" s="100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207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22" customHeight="1" x14ac:dyDescent="0.2">
      <c r="A111" s="28"/>
      <c r="B111" s="97" t="s">
        <v>147</v>
      </c>
      <c r="C111" s="124" t="s">
        <v>93</v>
      </c>
      <c r="D111" s="99"/>
      <c r="E111" s="100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207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2" customHeight="1" x14ac:dyDescent="0.2">
      <c r="A112" s="28"/>
      <c r="B112" s="97" t="s">
        <v>148</v>
      </c>
      <c r="C112" s="124" t="s">
        <v>93</v>
      </c>
      <c r="D112" s="99"/>
      <c r="E112" s="100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207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22" customHeight="1" x14ac:dyDescent="0.2">
      <c r="A113" s="28"/>
      <c r="B113" s="97"/>
      <c r="C113" s="63"/>
      <c r="D113" s="52"/>
      <c r="E113" s="53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207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22" customHeight="1" x14ac:dyDescent="0.2">
      <c r="A114" s="28"/>
      <c r="B114" s="97"/>
      <c r="C114" s="84"/>
      <c r="D114" s="84"/>
      <c r="E114" s="84"/>
      <c r="F114" s="84"/>
      <c r="G114" s="47"/>
      <c r="H114" s="47"/>
      <c r="I114" s="47"/>
      <c r="J114" s="47"/>
      <c r="K114" s="47"/>
      <c r="L114" s="47"/>
      <c r="M114" s="47"/>
      <c r="N114" s="47"/>
      <c r="O114" s="47"/>
      <c r="P114" s="207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22" customHeight="1" x14ac:dyDescent="0.2">
      <c r="A115" s="28"/>
      <c r="B115" s="97"/>
      <c r="C115" s="75"/>
      <c r="D115" s="47"/>
      <c r="E115" s="47"/>
      <c r="F115" s="58"/>
      <c r="G115" s="47"/>
      <c r="H115" s="47"/>
      <c r="I115" s="47"/>
      <c r="J115" s="47"/>
      <c r="K115" s="47"/>
      <c r="L115" s="47"/>
      <c r="M115" s="47"/>
      <c r="N115" s="47"/>
      <c r="O115" s="47"/>
      <c r="P115" s="207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22" customHeight="1" x14ac:dyDescent="0.2">
      <c r="A116" s="28"/>
      <c r="B116" s="97"/>
      <c r="C116" s="60"/>
      <c r="D116" s="47"/>
      <c r="E116" s="47"/>
      <c r="F116" s="58"/>
      <c r="G116" s="47"/>
      <c r="H116" s="47"/>
      <c r="I116" s="47"/>
      <c r="J116" s="47"/>
      <c r="K116" s="47"/>
      <c r="L116" s="47"/>
      <c r="M116" s="47"/>
      <c r="N116" s="47"/>
      <c r="O116" s="47"/>
      <c r="P116" s="207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6" customHeight="1" x14ac:dyDescent="0.2">
      <c r="A117" s="28"/>
      <c r="B117" s="49"/>
      <c r="C117" s="59"/>
      <c r="D117" s="47"/>
      <c r="E117" s="47"/>
      <c r="F117" s="58"/>
      <c r="G117" s="47"/>
      <c r="H117" s="47"/>
      <c r="I117" s="47"/>
      <c r="J117" s="47"/>
      <c r="K117" s="47"/>
      <c r="L117" s="47"/>
      <c r="M117" s="47"/>
      <c r="N117" s="47"/>
      <c r="O117" s="47"/>
      <c r="P117" s="207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22" customHeight="1" x14ac:dyDescent="0.2">
      <c r="A118" s="28"/>
      <c r="B118" s="94" t="s">
        <v>149</v>
      </c>
      <c r="C118" s="106"/>
      <c r="D118" s="93"/>
      <c r="E118" s="93"/>
      <c r="F118" s="103"/>
      <c r="G118" s="93"/>
      <c r="H118" s="93"/>
      <c r="I118" s="93"/>
      <c r="J118" s="93"/>
      <c r="K118" s="93"/>
      <c r="L118" s="93"/>
      <c r="M118" s="93"/>
      <c r="N118" s="93"/>
      <c r="O118" s="93"/>
      <c r="P118" s="207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22" customHeight="1" x14ac:dyDescent="0.2">
      <c r="A119" s="28"/>
      <c r="B119" s="97" t="s">
        <v>150</v>
      </c>
      <c r="C119" s="220"/>
      <c r="D119" s="216"/>
      <c r="E119" s="47"/>
      <c r="F119" s="58"/>
      <c r="G119" s="47"/>
      <c r="H119" s="47"/>
      <c r="I119" s="47"/>
      <c r="J119" s="47"/>
      <c r="K119" s="47"/>
      <c r="L119" s="47"/>
      <c r="M119" s="47"/>
      <c r="N119" s="47"/>
      <c r="O119" s="47"/>
      <c r="P119" s="207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22" customHeight="1" x14ac:dyDescent="0.2">
      <c r="A120" s="28"/>
      <c r="B120" s="97" t="s">
        <v>151</v>
      </c>
      <c r="C120" s="224"/>
      <c r="D120" s="216"/>
      <c r="E120" s="47"/>
      <c r="F120" s="58"/>
      <c r="G120" s="47"/>
      <c r="H120" s="47"/>
      <c r="I120" s="47"/>
      <c r="J120" s="47"/>
      <c r="K120" s="47"/>
      <c r="L120" s="47"/>
      <c r="M120" s="47"/>
      <c r="N120" s="47"/>
      <c r="O120" s="47"/>
      <c r="P120" s="207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22" customHeight="1" x14ac:dyDescent="0.2">
      <c r="A121" s="28"/>
      <c r="B121" s="97" t="s">
        <v>152</v>
      </c>
      <c r="C121" s="224"/>
      <c r="D121" s="216"/>
      <c r="E121" s="47"/>
      <c r="F121" s="58"/>
      <c r="G121" s="47"/>
      <c r="H121" s="47"/>
      <c r="I121" s="47"/>
      <c r="J121" s="47"/>
      <c r="K121" s="47"/>
      <c r="L121" s="47"/>
      <c r="M121" s="47"/>
      <c r="N121" s="47"/>
      <c r="O121" s="47"/>
      <c r="P121" s="207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6" customHeight="1" x14ac:dyDescent="0.2">
      <c r="A122" s="28"/>
      <c r="B122" s="80"/>
      <c r="C122" s="73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207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2" customHeight="1" x14ac:dyDescent="0.2">
      <c r="A123" s="28"/>
      <c r="B123" s="94" t="s">
        <v>153</v>
      </c>
      <c r="C123" s="101" t="s">
        <v>239</v>
      </c>
      <c r="D123" s="93"/>
      <c r="E123" s="93"/>
      <c r="F123" s="103"/>
      <c r="G123" s="93"/>
      <c r="H123" s="93"/>
      <c r="I123" s="93"/>
      <c r="J123" s="93"/>
      <c r="K123" s="93"/>
      <c r="L123" s="93"/>
      <c r="M123" s="93"/>
      <c r="N123" s="93"/>
      <c r="O123" s="93"/>
      <c r="P123" s="207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22" customHeight="1" x14ac:dyDescent="0.2">
      <c r="A124" s="28"/>
      <c r="B124" s="104" t="s">
        <v>155</v>
      </c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207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8" customHeight="1" x14ac:dyDescent="0.2">
      <c r="A125" s="28"/>
      <c r="B125" s="97" t="s">
        <v>156</v>
      </c>
      <c r="C125" s="61"/>
      <c r="D125" s="61"/>
      <c r="E125" s="59"/>
      <c r="F125" s="59"/>
      <c r="G125" s="59"/>
      <c r="H125" s="59"/>
      <c r="I125" s="100"/>
      <c r="J125" s="59"/>
      <c r="K125" s="59"/>
      <c r="L125" s="59"/>
      <c r="M125" s="59"/>
      <c r="N125" s="59"/>
      <c r="O125" s="59"/>
      <c r="P125" s="207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8" customHeight="1" x14ac:dyDescent="0.2">
      <c r="A126" s="28"/>
      <c r="B126" s="97"/>
      <c r="C126" s="52"/>
      <c r="D126" s="53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207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8" customHeight="1" x14ac:dyDescent="0.2">
      <c r="A127" s="28"/>
      <c r="B127" s="97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207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6" customHeight="1" x14ac:dyDescent="0.2">
      <c r="A128" s="28"/>
      <c r="B128" s="4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207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2" customHeight="1" x14ac:dyDescent="0.2">
      <c r="A129" s="28"/>
      <c r="B129" s="94" t="s">
        <v>157</v>
      </c>
      <c r="C129" s="101" t="s">
        <v>158</v>
      </c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207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22" customHeight="1" x14ac:dyDescent="0.2">
      <c r="A130" s="28"/>
      <c r="B130" s="97" t="s">
        <v>37</v>
      </c>
      <c r="C130" s="221">
        <f>C43</f>
        <v>30</v>
      </c>
      <c r="D130" s="218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207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22" customHeight="1" x14ac:dyDescent="0.2">
      <c r="A131" s="28"/>
      <c r="B131" s="97" t="s">
        <v>159</v>
      </c>
      <c r="C131" s="222"/>
      <c r="D131" s="223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207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22" customHeight="1" x14ac:dyDescent="0.2">
      <c r="A132" s="28"/>
      <c r="B132" s="97" t="s">
        <v>160</v>
      </c>
      <c r="C132" s="217">
        <f>C104</f>
        <v>0</v>
      </c>
      <c r="D132" s="218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207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22" customHeight="1" x14ac:dyDescent="0.2">
      <c r="A133" s="28"/>
      <c r="B133" s="97" t="s">
        <v>161</v>
      </c>
      <c r="C133" s="220"/>
      <c r="D133" s="216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207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22" customHeight="1" x14ac:dyDescent="0.2">
      <c r="A134" s="28"/>
      <c r="B134" s="97" t="s">
        <v>162</v>
      </c>
      <c r="C134" s="217">
        <f>C119</f>
        <v>0</v>
      </c>
      <c r="D134" s="218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207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6" customHeight="1" x14ac:dyDescent="0.2">
      <c r="A135" s="28"/>
      <c r="B135" s="49"/>
      <c r="C135" s="60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207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22" customHeight="1" x14ac:dyDescent="0.2">
      <c r="A136" s="28"/>
      <c r="B136" s="94" t="s">
        <v>163</v>
      </c>
      <c r="C136" s="101" t="s">
        <v>164</v>
      </c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207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22" customHeight="1" x14ac:dyDescent="0.2">
      <c r="A137" s="28"/>
      <c r="B137" s="104" t="s">
        <v>66</v>
      </c>
      <c r="C137" s="105">
        <f>$C$10+7*0</f>
        <v>46174</v>
      </c>
      <c r="D137" s="105">
        <f>$C$10+7*1</f>
        <v>46181</v>
      </c>
      <c r="E137" s="105">
        <f>$C$10+7*2</f>
        <v>46188</v>
      </c>
      <c r="F137" s="105">
        <f>$C$10+7*3</f>
        <v>46195</v>
      </c>
      <c r="G137" s="105">
        <f>$C$10+7*4</f>
        <v>46202</v>
      </c>
      <c r="H137" s="105">
        <f>$C$10+7*5</f>
        <v>46209</v>
      </c>
      <c r="I137" s="105">
        <f>$C$10+7*6</f>
        <v>46216</v>
      </c>
      <c r="J137" s="105">
        <f>$C$10+7*7</f>
        <v>46223</v>
      </c>
      <c r="K137" s="105">
        <f>$C$10+7*8</f>
        <v>46230</v>
      </c>
      <c r="L137" s="105">
        <f>$C$10+7*9</f>
        <v>46237</v>
      </c>
      <c r="M137" s="105">
        <f>$C$10+7*10</f>
        <v>46244</v>
      </c>
      <c r="N137" s="105">
        <f>$C$10+7*11</f>
        <v>46251</v>
      </c>
      <c r="O137" s="105">
        <f>$C$10+7*12</f>
        <v>46258</v>
      </c>
      <c r="P137" s="207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22" customHeight="1" x14ac:dyDescent="0.2">
      <c r="A138" s="28"/>
      <c r="B138" s="83" t="s">
        <v>165</v>
      </c>
      <c r="C138" s="126">
        <f>$C$11</f>
        <v>0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207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22" customHeight="1" x14ac:dyDescent="0.2">
      <c r="A139" s="28"/>
      <c r="B139" s="83" t="s">
        <v>25</v>
      </c>
      <c r="C139" s="126">
        <f t="shared" ref="C139:O139" si="1">SUMPRODUCT(INDEX($C$16:$O$40,0,COLUMN()-2))+IF((COLUMN()-2)-CEILING($C$43/7,1)&gt;=1,INDEX($C$45:$O$45,1,(COLUMN()-2)-CEILING($C$43/7,1)),0)+SUMPRODUCT(($E$49:$E$52=(COLUMN()-2))*$C$49:$C$52*$D$49:$D$52)</f>
        <v>0</v>
      </c>
      <c r="D139" s="126">
        <f t="shared" si="1"/>
        <v>0</v>
      </c>
      <c r="E139" s="126">
        <f t="shared" si="1"/>
        <v>0</v>
      </c>
      <c r="F139" s="126">
        <f t="shared" si="1"/>
        <v>0</v>
      </c>
      <c r="G139" s="126">
        <f t="shared" si="1"/>
        <v>0</v>
      </c>
      <c r="H139" s="126">
        <f t="shared" si="1"/>
        <v>0</v>
      </c>
      <c r="I139" s="126">
        <f t="shared" si="1"/>
        <v>0</v>
      </c>
      <c r="J139" s="126">
        <f t="shared" si="1"/>
        <v>0</v>
      </c>
      <c r="K139" s="126">
        <f t="shared" si="1"/>
        <v>0</v>
      </c>
      <c r="L139" s="126">
        <f t="shared" si="1"/>
        <v>0</v>
      </c>
      <c r="M139" s="126">
        <f t="shared" si="1"/>
        <v>0</v>
      </c>
      <c r="N139" s="126">
        <f t="shared" si="1"/>
        <v>0</v>
      </c>
      <c r="O139" s="126">
        <f t="shared" si="1"/>
        <v>0</v>
      </c>
      <c r="P139" s="207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22" customHeight="1" x14ac:dyDescent="0.2">
      <c r="A140" s="28"/>
      <c r="B140" s="83" t="s">
        <v>26</v>
      </c>
      <c r="C140" s="126">
        <f t="shared" ref="C140:O140" si="2">SUMPRODUCT(INDEX($C$56:$O$58,0,COLUMN()-2))</f>
        <v>0</v>
      </c>
      <c r="D140" s="126">
        <f t="shared" si="2"/>
        <v>0</v>
      </c>
      <c r="E140" s="126">
        <f t="shared" si="2"/>
        <v>0</v>
      </c>
      <c r="F140" s="126">
        <f t="shared" si="2"/>
        <v>0</v>
      </c>
      <c r="G140" s="126">
        <f t="shared" si="2"/>
        <v>0</v>
      </c>
      <c r="H140" s="126">
        <f t="shared" si="2"/>
        <v>0</v>
      </c>
      <c r="I140" s="126">
        <f t="shared" si="2"/>
        <v>0</v>
      </c>
      <c r="J140" s="126">
        <f t="shared" si="2"/>
        <v>0</v>
      </c>
      <c r="K140" s="126">
        <f t="shared" si="2"/>
        <v>0</v>
      </c>
      <c r="L140" s="126">
        <f t="shared" si="2"/>
        <v>0</v>
      </c>
      <c r="M140" s="126">
        <f t="shared" si="2"/>
        <v>0</v>
      </c>
      <c r="N140" s="126">
        <f t="shared" si="2"/>
        <v>0</v>
      </c>
      <c r="O140" s="126">
        <f t="shared" si="2"/>
        <v>0</v>
      </c>
      <c r="P140" s="207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22" customHeight="1" x14ac:dyDescent="0.2">
      <c r="A141" s="28"/>
      <c r="B141" s="83" t="s">
        <v>28</v>
      </c>
      <c r="C141" s="126">
        <f>IF(OR($C$103="",$C$104="",$C$105=""),0,IF(AND((COLUMN()-2)&gt;=$C$105,MOD((COLUMN()-2)-$C$105,CHOOSE(MATCH($C$103,{"Weekly","Fortnightly","Monthly"},0),1,2,4))=0),-$C$104,0))</f>
        <v>0</v>
      </c>
      <c r="D141" s="126">
        <f>IF(OR($C$103="",$C$104="",$C$105=""),0,IF(AND((COLUMN()-2)&gt;=$C$105,MOD((COLUMN()-2)-$C$105,CHOOSE(MATCH($C$103,{"Weekly","Fortnightly","Monthly"},0),1,2,4))=0),-$C$104,0))</f>
        <v>0</v>
      </c>
      <c r="E141" s="126">
        <f>IF(OR($C$103="",$C$104="",$C$105=""),0,IF(AND((COLUMN()-2)&gt;=$C$105,MOD((COLUMN()-2)-$C$105,CHOOSE(MATCH($C$103,{"Weekly","Fortnightly","Monthly"},0),1,2,4))=0),-$C$104,0))</f>
        <v>0</v>
      </c>
      <c r="F141" s="126">
        <f>IF(OR($C$103="",$C$104="",$C$105=""),0,IF(AND((COLUMN()-2)&gt;=$C$105,MOD((COLUMN()-2)-$C$105,CHOOSE(MATCH($C$103,{"Weekly","Fortnightly","Monthly"},0),1,2,4))=0),-$C$104,0))</f>
        <v>0</v>
      </c>
      <c r="G141" s="126">
        <f>IF(OR($C$103="",$C$104="",$C$105=""),0,IF(AND((COLUMN()-2)&gt;=$C$105,MOD((COLUMN()-2)-$C$105,CHOOSE(MATCH($C$103,{"Weekly","Fortnightly","Monthly"},0),1,2,4))=0),-$C$104,0))</f>
        <v>0</v>
      </c>
      <c r="H141" s="126">
        <f>IF(OR($C$103="",$C$104="",$C$105=""),0,IF(AND((COLUMN()-2)&gt;=$C$105,MOD((COLUMN()-2)-$C$105,CHOOSE(MATCH($C$103,{"Weekly","Fortnightly","Monthly"},0),1,2,4))=0),-$C$104,0))</f>
        <v>0</v>
      </c>
      <c r="I141" s="126">
        <f>IF(OR($C$103="",$C$104="",$C$105=""),0,IF(AND((COLUMN()-2)&gt;=$C$105,MOD((COLUMN()-2)-$C$105,CHOOSE(MATCH($C$103,{"Weekly","Fortnightly","Monthly"},0),1,2,4))=0),-$C$104,0))</f>
        <v>0</v>
      </c>
      <c r="J141" s="126">
        <f>IF(OR($C$103="",$C$104="",$C$105=""),0,IF(AND((COLUMN()-2)&gt;=$C$105,MOD((COLUMN()-2)-$C$105,CHOOSE(MATCH($C$103,{"Weekly","Fortnightly","Monthly"},0),1,2,4))=0),-$C$104,0))</f>
        <v>0</v>
      </c>
      <c r="K141" s="126">
        <f>IF(OR($C$103="",$C$104="",$C$105=""),0,IF(AND((COLUMN()-2)&gt;=$C$105,MOD((COLUMN()-2)-$C$105,CHOOSE(MATCH($C$103,{"Weekly","Fortnightly","Monthly"},0),1,2,4))=0),-$C$104,0))</f>
        <v>0</v>
      </c>
      <c r="L141" s="126">
        <f>IF(OR($C$103="",$C$104="",$C$105=""),0,IF(AND((COLUMN()-2)&gt;=$C$105,MOD((COLUMN()-2)-$C$105,CHOOSE(MATCH($C$103,{"Weekly","Fortnightly","Monthly"},0),1,2,4))=0),-$C$104,0))</f>
        <v>0</v>
      </c>
      <c r="M141" s="126">
        <f>IF(OR($C$103="",$C$104="",$C$105=""),0,IF(AND((COLUMN()-2)&gt;=$C$105,MOD((COLUMN()-2)-$C$105,CHOOSE(MATCH($C$103,{"Weekly","Fortnightly","Monthly"},0),1,2,4))=0),-$C$104,0))</f>
        <v>0</v>
      </c>
      <c r="N141" s="126">
        <f>IF(OR($C$103="",$C$104="",$C$105=""),0,IF(AND((COLUMN()-2)&gt;=$C$105,MOD((COLUMN()-2)-$C$105,CHOOSE(MATCH($C$103,{"Weekly","Fortnightly","Monthly"},0),1,2,4))=0),-$C$104,0))</f>
        <v>0</v>
      </c>
      <c r="O141" s="126">
        <f>IF(OR($C$103="",$C$104="",$C$105=""),0,IF(AND((COLUMN()-2)&gt;=$C$105,MOD((COLUMN()-2)-$C$105,CHOOSE(MATCH($C$103,{"Weekly","Fortnightly","Monthly"},0),1,2,4))=0),-$C$104,0))</f>
        <v>0</v>
      </c>
      <c r="P141" s="207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22" customHeight="1" x14ac:dyDescent="0.2">
      <c r="A142" s="28"/>
      <c r="B142" s="83" t="s">
        <v>29</v>
      </c>
      <c r="C142" s="126" cm="1">
        <f t="array" ref="C142">-SUMPRODUCT(INDEX($C$63:$O$73,0,COLUMN()-2))-SUMPRODUCT(($E$75:$E$84=(COLUMN()-2))*($D$75:$D$84&lt;&gt;"")*($D$75:$D$84))</f>
        <v>0</v>
      </c>
      <c r="D142" s="126" cm="1">
        <f t="array" ref="D142">-SUMPRODUCT(INDEX($C$63:$O$73,0,COLUMN()-2))-SUMPRODUCT(($E$75:$E$84=(COLUMN()-2))*($D$75:$D$84&lt;&gt;"")*($D$75:$D$84))</f>
        <v>0</v>
      </c>
      <c r="E142" s="126" cm="1">
        <f t="array" ref="E142">-SUMPRODUCT(INDEX($C$63:$O$73,0,COLUMN()-2))-SUMPRODUCT(($E$75:$E$84=(COLUMN()-2))*($D$75:$D$84&lt;&gt;"")*($D$75:$D$84))</f>
        <v>0</v>
      </c>
      <c r="F142" s="126" cm="1">
        <f t="array" ref="F142">-SUMPRODUCT(INDEX($C$63:$O$73,0,COLUMN()-2))-SUMPRODUCT(($E$75:$E$84=(COLUMN()-2))*($D$75:$D$84&lt;&gt;"")*($D$75:$D$84))</f>
        <v>0</v>
      </c>
      <c r="G142" s="126" cm="1">
        <f t="array" ref="G142">-SUMPRODUCT(INDEX($C$63:$O$73,0,COLUMN()-2))-SUMPRODUCT(($E$75:$E$84=(COLUMN()-2))*($D$75:$D$84&lt;&gt;"")*($D$75:$D$84))</f>
        <v>0</v>
      </c>
      <c r="H142" s="126" cm="1">
        <f t="array" ref="H142">-SUMPRODUCT(INDEX($C$63:$O$73,0,COLUMN()-2))-SUMPRODUCT(($E$75:$E$84=(COLUMN()-2))*($D$75:$D$84&lt;&gt;"")*($D$75:$D$84))</f>
        <v>0</v>
      </c>
      <c r="I142" s="126" cm="1">
        <f t="array" ref="I142">-SUMPRODUCT(INDEX($C$63:$O$73,0,COLUMN()-2))-SUMPRODUCT(($E$75:$E$84=(COLUMN()-2))*($D$75:$D$84&lt;&gt;"")*($D$75:$D$84))</f>
        <v>0</v>
      </c>
      <c r="J142" s="126" cm="1">
        <f t="array" ref="J142">-SUMPRODUCT(INDEX($C$63:$O$73,0,COLUMN()-2))-SUMPRODUCT(($E$75:$E$84=(COLUMN()-2))*($D$75:$D$84&lt;&gt;"")*($D$75:$D$84))</f>
        <v>0</v>
      </c>
      <c r="K142" s="126" cm="1">
        <f t="array" ref="K142">-SUMPRODUCT(INDEX($C$63:$O$73,0,COLUMN()-2))-SUMPRODUCT(($E$75:$E$84=(COLUMN()-2))*($D$75:$D$84&lt;&gt;"")*($D$75:$D$84))</f>
        <v>0</v>
      </c>
      <c r="L142" s="126" cm="1">
        <f t="array" ref="L142">-SUMPRODUCT(INDEX($C$63:$O$73,0,COLUMN()-2))-SUMPRODUCT(($E$75:$E$84=(COLUMN()-2))*($D$75:$D$84&lt;&gt;"")*($D$75:$D$84))</f>
        <v>0</v>
      </c>
      <c r="M142" s="126" cm="1">
        <f t="array" ref="M142">-SUMPRODUCT(INDEX($C$63:$O$73,0,COLUMN()-2))-SUMPRODUCT(($E$75:$E$84=(COLUMN()-2))*($D$75:$D$84&lt;&gt;"")*($D$75:$D$84))</f>
        <v>0</v>
      </c>
      <c r="N142" s="126" cm="1">
        <f t="array" ref="N142">-SUMPRODUCT(INDEX($C$63:$O$73,0,COLUMN()-2))-SUMPRODUCT(($E$75:$E$84=(COLUMN()-2))*($D$75:$D$84&lt;&gt;"")*($D$75:$D$84))</f>
        <v>0</v>
      </c>
      <c r="O142" s="126" cm="1">
        <f t="array" ref="O142">-SUMPRODUCT(INDEX($C$63:$O$73,0,COLUMN()-2))-SUMPRODUCT(($E$75:$E$84=(COLUMN()-2))*($D$75:$D$84&lt;&gt;"")*($D$75:$D$84))</f>
        <v>0</v>
      </c>
      <c r="P142" s="207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22" customHeight="1" x14ac:dyDescent="0.2">
      <c r="A143" s="28"/>
      <c r="B143" s="83" t="s">
        <v>30</v>
      </c>
      <c r="C143" s="126">
        <f t="shared" ref="C143:O143" si="3">-SUMPRODUCT((INT(($D$109:$D$116-$C$10)/7)+1=(COLUMN()-2))*($C$109:$C$116=$C$9)*$E$109:$E$116)</f>
        <v>0</v>
      </c>
      <c r="D143" s="126">
        <f t="shared" si="3"/>
        <v>0</v>
      </c>
      <c r="E143" s="126">
        <f t="shared" si="3"/>
        <v>0</v>
      </c>
      <c r="F143" s="126">
        <f t="shared" si="3"/>
        <v>0</v>
      </c>
      <c r="G143" s="126">
        <f t="shared" si="3"/>
        <v>0</v>
      </c>
      <c r="H143" s="126">
        <f t="shared" si="3"/>
        <v>0</v>
      </c>
      <c r="I143" s="126">
        <f t="shared" si="3"/>
        <v>0</v>
      </c>
      <c r="J143" s="126">
        <f t="shared" si="3"/>
        <v>0</v>
      </c>
      <c r="K143" s="126">
        <f t="shared" si="3"/>
        <v>0</v>
      </c>
      <c r="L143" s="126">
        <f t="shared" si="3"/>
        <v>0</v>
      </c>
      <c r="M143" s="126">
        <f t="shared" si="3"/>
        <v>0</v>
      </c>
      <c r="N143" s="126">
        <f t="shared" si="3"/>
        <v>0</v>
      </c>
      <c r="O143" s="126">
        <f t="shared" si="3"/>
        <v>0</v>
      </c>
      <c r="P143" s="207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22" customHeight="1" x14ac:dyDescent="0.2">
      <c r="A144" s="28"/>
      <c r="B144" s="83" t="s">
        <v>31</v>
      </c>
      <c r="C144" s="126">
        <f>IF(OR($C$120="",$C$120=0,$C$121=""),0,IF(AND((COLUMN()-2)&gt;=$C$121,MOD((COLUMN()-2)-$C$121,$C$120)=0),-$C$119,0))</f>
        <v>0</v>
      </c>
      <c r="D144" s="126">
        <f>IF(OR($C$120="",$C$120=0,$C$121=""),0,IF(AND((COLUMN()-2)&gt;=$C$121,MOD((COLUMN()-2)-$C$121,$C$120)=0),-$C$119,0))</f>
        <v>0</v>
      </c>
      <c r="E144" s="126">
        <f t="shared" ref="E144:O144" si="4">IF(OR($C$120="",$C$120=0,$C$121=""),0,IF(AND((COLUMN()-2)&gt;=$C$121,MOD((COLUMN()-2)-$C$121,$C$120)=0),-$C$119,0))</f>
        <v>0</v>
      </c>
      <c r="F144" s="126">
        <f t="shared" si="4"/>
        <v>0</v>
      </c>
      <c r="G144" s="126">
        <f t="shared" si="4"/>
        <v>0</v>
      </c>
      <c r="H144" s="126">
        <f t="shared" si="4"/>
        <v>0</v>
      </c>
      <c r="I144" s="126">
        <f t="shared" si="4"/>
        <v>0</v>
      </c>
      <c r="J144" s="126">
        <f t="shared" si="4"/>
        <v>0</v>
      </c>
      <c r="K144" s="126">
        <f t="shared" si="4"/>
        <v>0</v>
      </c>
      <c r="L144" s="126">
        <f t="shared" si="4"/>
        <v>0</v>
      </c>
      <c r="M144" s="126">
        <f t="shared" si="4"/>
        <v>0</v>
      </c>
      <c r="N144" s="126">
        <f t="shared" si="4"/>
        <v>0</v>
      </c>
      <c r="O144" s="126">
        <f t="shared" si="4"/>
        <v>0</v>
      </c>
      <c r="P144" s="207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2" customHeight="1" x14ac:dyDescent="0.2">
      <c r="A145" s="28"/>
      <c r="B145" s="83" t="s">
        <v>32</v>
      </c>
      <c r="C145" s="126" cm="1">
        <f t="array" ref="C145">-SUMPRODUCT($C$91:$C$100*(($D$91:$D$100="Weekly")*1+($D$91:$D$100="Fortnightly")*(MOD((COLUMN()-2)-1,2)=0)+($D$91:$D$100="Monthly")*(COUNTIF($L$101:$O$101,(COLUMN()-2))&gt;0)))</f>
        <v>0</v>
      </c>
      <c r="D145" s="126" cm="1">
        <f t="array" ref="D145">-SUMPRODUCT($C$91:$C$100*(($D$91:$D$100="Weekly")*1+($D$91:$D$100="Fortnightly")*(MOD((COLUMN()-2)-1,2)=0)+($D$91:$D$100="Monthly")*(COUNTIF($L$101:$O$101,(COLUMN()-2))&gt;0)))</f>
        <v>0</v>
      </c>
      <c r="E145" s="126" cm="1">
        <f t="array" ref="E145">-SUMPRODUCT($C$91:$C$100*(($D$91:$D$100="Weekly")*1+($D$91:$D$100="Fortnightly")*(MOD((COLUMN()-2)-1,2)=0)+($D$91:$D$100="Monthly")*(COUNTIF($L$101:$O$101,(COLUMN()-2))&gt;0)))</f>
        <v>0</v>
      </c>
      <c r="F145" s="126" cm="1">
        <f t="array" ref="F145">-SUMPRODUCT($C$91:$C$100*(($D$91:$D$100="Weekly")*1+($D$91:$D$100="Fortnightly")*(MOD((COLUMN()-2)-1,2)=0)+($D$91:$D$100="Monthly")*(COUNTIF($L$101:$O$101,(COLUMN()-2))&gt;0)))</f>
        <v>0</v>
      </c>
      <c r="G145" s="126" cm="1">
        <f t="array" ref="G145">-SUMPRODUCT($C$91:$C$100*(($D$91:$D$100="Weekly")*1+($D$91:$D$100="Fortnightly")*(MOD((COLUMN()-2)-1,2)=0)+($D$91:$D$100="Monthly")*(COUNTIF($L$101:$O$101,(COLUMN()-2))&gt;0)))</f>
        <v>0</v>
      </c>
      <c r="H145" s="126" cm="1">
        <f t="array" ref="H145">-SUMPRODUCT($C$91:$C$100*(($D$91:$D$100="Weekly")*1+($D$91:$D$100="Fortnightly")*(MOD((COLUMN()-2)-1,2)=0)+($D$91:$D$100="Monthly")*(COUNTIF($L$101:$O$101,(COLUMN()-2))&gt;0)))</f>
        <v>0</v>
      </c>
      <c r="I145" s="126" cm="1">
        <f t="array" ref="I145">-SUMPRODUCT($C$91:$C$100*(($D$91:$D$100="Weekly")*1+($D$91:$D$100="Fortnightly")*(MOD((COLUMN()-2)-1,2)=0)+($D$91:$D$100="Monthly")*(COUNTIF($L$101:$O$101,(COLUMN()-2))&gt;0)))</f>
        <v>0</v>
      </c>
      <c r="J145" s="126" cm="1">
        <f t="array" ref="J145">-SUMPRODUCT($C$91:$C$100*(($D$91:$D$100="Weekly")*1+($D$91:$D$100="Fortnightly")*(MOD((COLUMN()-2)-1,2)=0)+($D$91:$D$100="Monthly")*(COUNTIF($L$101:$O$101,(COLUMN()-2))&gt;0)))</f>
        <v>0</v>
      </c>
      <c r="K145" s="126" cm="1">
        <f t="array" ref="K145">-SUMPRODUCT($C$91:$C$100*(($D$91:$D$100="Weekly")*1+($D$91:$D$100="Fortnightly")*(MOD((COLUMN()-2)-1,2)=0)+($D$91:$D$100="Monthly")*(COUNTIF($L$101:$O$101,(COLUMN()-2))&gt;0)))</f>
        <v>0</v>
      </c>
      <c r="L145" s="126" cm="1">
        <f t="array" ref="L145">-SUMPRODUCT($C$91:$C$100*(($D$91:$D$100="Weekly")*1+($D$91:$D$100="Fortnightly")*(MOD((COLUMN()-2)-1,2)=0)+($D$91:$D$100="Monthly")*(COUNTIF($L$101:$O$101,(COLUMN()-2))&gt;0)))</f>
        <v>0</v>
      </c>
      <c r="M145" s="126" cm="1">
        <f t="array" ref="M145">-SUMPRODUCT($C$91:$C$100*(($D$91:$D$100="Weekly")*1+($D$91:$D$100="Fortnightly")*(MOD((COLUMN()-2)-1,2)=0)+($D$91:$D$100="Monthly")*(COUNTIF($L$101:$O$101,(COLUMN()-2))&gt;0)))</f>
        <v>0</v>
      </c>
      <c r="N145" s="126" cm="1">
        <f t="array" ref="N145">-SUMPRODUCT($C$91:$C$100*(($D$91:$D$100="Weekly")*1+($D$91:$D$100="Fortnightly")*(MOD((COLUMN()-2)-1,2)=0)+($D$91:$D$100="Monthly")*(COUNTIF($L$101:$O$101,(COLUMN()-2))&gt;0)))</f>
        <v>0</v>
      </c>
      <c r="O145" s="126" cm="1">
        <f t="array" ref="O145">-SUMPRODUCT($C$91:$C$100*(($D$91:$D$100="Weekly")*1+($D$91:$D$100="Fortnightly")*(MOD((COLUMN()-2)-1,2)=0)+($D$91:$D$100="Monthly")*(COUNTIF($L$101:$O$101,(COLUMN()-2))&gt;0)))</f>
        <v>0</v>
      </c>
      <c r="P145" s="207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22" customHeight="1" x14ac:dyDescent="0.2">
      <c r="A146" s="28"/>
      <c r="B146" s="83" t="s">
        <v>33</v>
      </c>
      <c r="C146" s="126">
        <f t="shared" ref="C146:O146" si="5">-SUMPRODUCT(INDEX($C$125:$O$127,0,COLUMN()-2))</f>
        <v>0</v>
      </c>
      <c r="D146" s="126">
        <f t="shared" si="5"/>
        <v>0</v>
      </c>
      <c r="E146" s="126">
        <f t="shared" si="5"/>
        <v>0</v>
      </c>
      <c r="F146" s="126">
        <f t="shared" si="5"/>
        <v>0</v>
      </c>
      <c r="G146" s="126">
        <f t="shared" si="5"/>
        <v>0</v>
      </c>
      <c r="H146" s="126">
        <f t="shared" si="5"/>
        <v>0</v>
      </c>
      <c r="I146" s="126">
        <f t="shared" si="5"/>
        <v>0</v>
      </c>
      <c r="J146" s="126">
        <f t="shared" si="5"/>
        <v>0</v>
      </c>
      <c r="K146" s="126">
        <f t="shared" si="5"/>
        <v>0</v>
      </c>
      <c r="L146" s="126">
        <f t="shared" si="5"/>
        <v>0</v>
      </c>
      <c r="M146" s="126">
        <f t="shared" si="5"/>
        <v>0</v>
      </c>
      <c r="N146" s="126">
        <f t="shared" si="5"/>
        <v>0</v>
      </c>
      <c r="O146" s="126">
        <f t="shared" si="5"/>
        <v>0</v>
      </c>
      <c r="P146" s="207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22" customHeight="1" x14ac:dyDescent="0.2">
      <c r="A147" s="28"/>
      <c r="B147" s="83" t="s">
        <v>36</v>
      </c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207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6" customHeight="1" x14ac:dyDescent="0.2">
      <c r="A148" s="28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207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22" customHeight="1" x14ac:dyDescent="0.2">
      <c r="A149" s="28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207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22" customHeight="1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22" customHeight="1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22" customHeight="1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2">
      <c r="A155" s="47"/>
      <c r="B155" s="80"/>
      <c r="C155" s="76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">
      <c r="A156" s="47"/>
      <c r="B156" s="80"/>
      <c r="C156" s="7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</sheetData>
  <mergeCells count="17">
    <mergeCell ref="C133:D133"/>
    <mergeCell ref="C105:D105"/>
    <mergeCell ref="C10:D10"/>
    <mergeCell ref="C104:D104"/>
    <mergeCell ref="C134:D134"/>
    <mergeCell ref="C8:G8"/>
    <mergeCell ref="C132:D132"/>
    <mergeCell ref="C103:D103"/>
    <mergeCell ref="C9:D9"/>
    <mergeCell ref="C119:D119"/>
    <mergeCell ref="C130:D130"/>
    <mergeCell ref="C43:D43"/>
    <mergeCell ref="C12:D12"/>
    <mergeCell ref="C131:D131"/>
    <mergeCell ref="C11:D11"/>
    <mergeCell ref="C121:D121"/>
    <mergeCell ref="C120:D120"/>
  </mergeCells>
  <dataValidations count="4">
    <dataValidation type="list" sqref="C9" xr:uid="{00000000-0002-0000-0200-000000000000}">
      <formula1>"AU,NZ,US"</formula1>
    </dataValidation>
    <dataValidation type="list" sqref="C103" xr:uid="{00000000-0002-0000-0200-000001000000}">
      <formula1>"Weekly,Fortnightly,Monthly"</formula1>
    </dataValidation>
    <dataValidation type="list" allowBlank="1" sqref="D91:D100" xr:uid="{00000000-0002-0000-0200-000002000000}">
      <formula1>"Weekly,Fortnightly,Monthly"</formula1>
    </dataValidation>
    <dataValidation type="list" allowBlank="1" sqref="C109:C116" xr:uid="{00000000-0002-0000-0200-000003000000}">
      <formula1>"AU,NZ,US"</formula1>
    </dataValidation>
  </dataValidations>
  <pageMargins left="0.75" right="0.75" top="1" bottom="1" header="0.5" footer="0.5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88D95-0443-764A-9CF7-83EAD202BFF2}">
  <sheetPr>
    <tabColor rgb="FF8896B3"/>
    <pageSetUpPr fitToPage="1"/>
  </sheetPr>
  <dimension ref="A1:AD221"/>
  <sheetViews>
    <sheetView showGridLines="0" zoomScale="130" zoomScaleNormal="120" workbookViewId="0">
      <pane xSplit="2" ySplit="4" topLeftCell="C5" activePane="bottomRight" state="frozen"/>
      <selection pane="topRight"/>
      <selection pane="bottomLeft"/>
      <selection pane="bottomRight" activeCell="R18" sqref="R18"/>
    </sheetView>
  </sheetViews>
  <sheetFormatPr baseColWidth="10" defaultColWidth="8.83203125" defaultRowHeight="15" x14ac:dyDescent="0.2"/>
  <cols>
    <col min="1" max="1" width="2" style="14" customWidth="1"/>
    <col min="2" max="2" width="30" style="14" bestFit="1" customWidth="1"/>
    <col min="3" max="3" width="12.5" style="14" customWidth="1"/>
    <col min="4" max="15" width="12.5" customWidth="1"/>
    <col min="16" max="16" width="8.83203125" style="14" customWidth="1"/>
    <col min="17" max="16384" width="8.83203125" style="14"/>
  </cols>
  <sheetData>
    <row r="1" spans="1:30" ht="22" customHeight="1" x14ac:dyDescent="0.2">
      <c r="A1" s="156"/>
      <c r="B1" s="28"/>
      <c r="C1" s="157"/>
      <c r="D1" s="28"/>
      <c r="E1" s="28"/>
      <c r="F1" s="28"/>
      <c r="G1" s="28"/>
      <c r="H1" s="28"/>
      <c r="I1" s="28"/>
      <c r="J1" s="28"/>
      <c r="K1" s="28"/>
      <c r="L1" s="158" t="str">
        <f>In_IllusPill</f>
        <v/>
      </c>
      <c r="M1" s="28"/>
      <c r="N1" s="28"/>
      <c r="O1" s="28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6" customHeight="1" x14ac:dyDescent="0.2">
      <c r="A2" s="159"/>
      <c r="B2" s="28"/>
      <c r="C2" s="163" t="str">
        <f>In_PackTitle</f>
        <v>13-Week Cash Flow</v>
      </c>
      <c r="D2" s="28"/>
      <c r="E2" s="28"/>
      <c r="F2" s="28"/>
      <c r="G2" s="28"/>
      <c r="H2" s="28"/>
      <c r="I2" s="28"/>
      <c r="J2" s="28"/>
      <c r="K2" s="28"/>
      <c r="L2" s="28"/>
      <c r="M2" s="160"/>
      <c r="N2" s="28"/>
      <c r="O2" s="28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" customHeight="1" x14ac:dyDescent="0.2">
      <c r="A3" s="161"/>
      <c r="B3" s="201" t="s">
        <v>241</v>
      </c>
      <c r="C3" s="162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9" customHeight="1" x14ac:dyDescent="0.25">
      <c r="A5" s="1"/>
      <c r="B5" s="16" t="s">
        <v>0</v>
      </c>
      <c r="C5" s="17" t="s">
        <v>1</v>
      </c>
      <c r="D5" s="14"/>
      <c r="E5" s="18" t="s">
        <v>2</v>
      </c>
      <c r="F5" s="14"/>
      <c r="G5" s="19" t="s">
        <v>3</v>
      </c>
      <c r="H5" s="14"/>
      <c r="I5" s="14"/>
      <c r="J5" s="14"/>
      <c r="K5" s="14"/>
      <c r="L5" s="14"/>
      <c r="M5" s="1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0" x14ac:dyDescent="0.2">
      <c r="A6" s="1"/>
      <c r="B6" s="20" t="s">
        <v>4</v>
      </c>
      <c r="D6" s="14"/>
      <c r="E6" s="21">
        <v>7</v>
      </c>
      <c r="F6" s="14"/>
      <c r="G6" s="21">
        <v>-5</v>
      </c>
      <c r="H6" s="14"/>
      <c r="I6" s="14"/>
      <c r="J6" s="14"/>
      <c r="K6" s="14"/>
      <c r="L6" s="14"/>
      <c r="M6" s="1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0" x14ac:dyDescent="0.2">
      <c r="A7" s="1"/>
      <c r="B7" s="20" t="s">
        <v>5</v>
      </c>
      <c r="D7" s="14"/>
      <c r="E7" s="22">
        <v>-0.08</v>
      </c>
      <c r="F7" s="14"/>
      <c r="G7" s="22">
        <v>0.05</v>
      </c>
      <c r="H7" s="14"/>
      <c r="I7" s="14"/>
      <c r="J7" s="14"/>
      <c r="K7" s="14"/>
      <c r="L7" s="14"/>
      <c r="M7" s="1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0" x14ac:dyDescent="0.2">
      <c r="A8" s="1"/>
      <c r="B8" s="20" t="s">
        <v>6</v>
      </c>
      <c r="D8" s="14"/>
      <c r="E8" s="23">
        <v>2</v>
      </c>
      <c r="F8" s="14"/>
      <c r="G8" s="23">
        <v>-1</v>
      </c>
      <c r="H8" s="14"/>
      <c r="I8" s="14"/>
      <c r="J8" s="14"/>
      <c r="K8" s="14"/>
      <c r="L8" s="14"/>
      <c r="M8" s="1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0" x14ac:dyDescent="0.2">
      <c r="A9" s="1"/>
      <c r="B9" s="20" t="s">
        <v>7</v>
      </c>
      <c r="D9" s="14"/>
      <c r="E9" s="22">
        <v>-0.1</v>
      </c>
      <c r="F9" s="14"/>
      <c r="G9" s="22">
        <v>-0.03</v>
      </c>
      <c r="H9" s="14"/>
      <c r="I9" s="14"/>
      <c r="J9" s="14"/>
      <c r="K9" s="14"/>
      <c r="L9" s="14"/>
      <c r="M9" s="1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30" x14ac:dyDescent="0.2"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2"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2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2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2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"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0" customHeight="1" x14ac:dyDescent="0.2"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2"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2"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2"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2"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2"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"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">
      <c r="A26" s="1"/>
      <c r="B26" s="213" t="s">
        <v>8</v>
      </c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210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">
      <c r="A27" s="1"/>
      <c r="B27" s="2" t="s">
        <v>9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14</v>
      </c>
      <c r="H27" s="134" t="s">
        <v>15</v>
      </c>
      <c r="I27" s="128" t="s">
        <v>16</v>
      </c>
      <c r="J27" s="128" t="s">
        <v>17</v>
      </c>
      <c r="K27" s="128" t="s">
        <v>18</v>
      </c>
      <c r="L27" s="128" t="s">
        <v>19</v>
      </c>
      <c r="M27" s="128" t="s">
        <v>20</v>
      </c>
      <c r="N27" s="128" t="s">
        <v>21</v>
      </c>
      <c r="O27" s="128" t="s">
        <v>22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">
      <c r="A28" s="1"/>
      <c r="B28" s="7" t="s">
        <v>23</v>
      </c>
      <c r="C28" s="12">
        <f>In_OpeningCashW1</f>
        <v>420000</v>
      </c>
      <c r="D28" s="12">
        <f t="shared" ref="D28:O28" si="0">C40</f>
        <v>325400</v>
      </c>
      <c r="E28" s="12">
        <f t="shared" si="0"/>
        <v>388300</v>
      </c>
      <c r="F28" s="12">
        <f t="shared" si="0"/>
        <v>332400</v>
      </c>
      <c r="G28" s="12">
        <f t="shared" si="0"/>
        <v>382550</v>
      </c>
      <c r="H28" s="12">
        <f t="shared" si="0"/>
        <v>255950</v>
      </c>
      <c r="I28" s="129">
        <f t="shared" si="0"/>
        <v>322550</v>
      </c>
      <c r="J28" s="129">
        <f t="shared" si="0"/>
        <v>91650</v>
      </c>
      <c r="K28" s="129">
        <f t="shared" si="0"/>
        <v>2550</v>
      </c>
      <c r="L28" s="129">
        <f t="shared" si="0"/>
        <v>-169400</v>
      </c>
      <c r="M28" s="129">
        <f t="shared" si="0"/>
        <v>-115000</v>
      </c>
      <c r="N28" s="129">
        <f t="shared" si="0"/>
        <v>-129900</v>
      </c>
      <c r="O28" s="129">
        <f t="shared" si="0"/>
        <v>20000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">
      <c r="A29" s="1"/>
      <c r="B29" s="213" t="s">
        <v>24</v>
      </c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">
      <c r="A30" s="1"/>
      <c r="B30" s="4" t="s">
        <v>25</v>
      </c>
      <c r="C30" s="6">
        <f t="shared" ref="C30:O31" si="1">C129+C144</f>
        <v>95000</v>
      </c>
      <c r="D30" s="6">
        <f t="shared" si="1"/>
        <v>119000</v>
      </c>
      <c r="E30" s="6">
        <f t="shared" si="1"/>
        <v>40000</v>
      </c>
      <c r="F30" s="6">
        <f t="shared" si="1"/>
        <v>57750</v>
      </c>
      <c r="G30" s="6">
        <f t="shared" si="1"/>
        <v>33000</v>
      </c>
      <c r="H30" s="6">
        <f t="shared" si="1"/>
        <v>99700</v>
      </c>
      <c r="I30" s="130">
        <f t="shared" si="1"/>
        <v>16000</v>
      </c>
      <c r="J30" s="130">
        <f t="shared" si="1"/>
        <v>54000</v>
      </c>
      <c r="K30" s="130">
        <f t="shared" si="1"/>
        <v>61650</v>
      </c>
      <c r="L30" s="130">
        <f t="shared" si="1"/>
        <v>97500</v>
      </c>
      <c r="M30" s="130">
        <f t="shared" si="1"/>
        <v>90000</v>
      </c>
      <c r="N30" s="130">
        <f t="shared" si="1"/>
        <v>162000</v>
      </c>
      <c r="O30" s="130">
        <f t="shared" si="1"/>
        <v>65000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">
      <c r="A31" s="1"/>
      <c r="B31" s="4" t="s">
        <v>26</v>
      </c>
      <c r="C31" s="6">
        <f t="shared" si="1"/>
        <v>0</v>
      </c>
      <c r="D31" s="6">
        <f t="shared" si="1"/>
        <v>0</v>
      </c>
      <c r="E31" s="6">
        <f t="shared" si="1"/>
        <v>18000</v>
      </c>
      <c r="F31" s="6">
        <f t="shared" si="1"/>
        <v>0</v>
      </c>
      <c r="G31" s="6">
        <f t="shared" si="1"/>
        <v>0</v>
      </c>
      <c r="H31" s="6">
        <f t="shared" si="1"/>
        <v>0</v>
      </c>
      <c r="I31" s="130">
        <f t="shared" si="1"/>
        <v>0</v>
      </c>
      <c r="J31" s="130">
        <f t="shared" si="1"/>
        <v>0</v>
      </c>
      <c r="K31" s="130">
        <f t="shared" si="1"/>
        <v>0</v>
      </c>
      <c r="L31" s="130">
        <f t="shared" si="1"/>
        <v>6000</v>
      </c>
      <c r="M31" s="130">
        <f t="shared" si="1"/>
        <v>0</v>
      </c>
      <c r="N31" s="130">
        <f t="shared" si="1"/>
        <v>0</v>
      </c>
      <c r="O31" s="130">
        <f t="shared" si="1"/>
        <v>0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x14ac:dyDescent="0.2">
      <c r="A32" s="1"/>
      <c r="B32" s="213" t="s">
        <v>27</v>
      </c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2">
      <c r="A33" s="1"/>
      <c r="B33" s="4" t="s">
        <v>28</v>
      </c>
      <c r="C33" s="6">
        <f t="shared" ref="C33:O38" si="2">C131+C146</f>
        <v>-98000</v>
      </c>
      <c r="D33" s="6">
        <f t="shared" si="2"/>
        <v>0</v>
      </c>
      <c r="E33" s="6">
        <f t="shared" si="2"/>
        <v>-98000</v>
      </c>
      <c r="F33" s="6">
        <f t="shared" si="2"/>
        <v>0</v>
      </c>
      <c r="G33" s="6">
        <f t="shared" si="2"/>
        <v>-98000</v>
      </c>
      <c r="H33" s="6">
        <f t="shared" si="2"/>
        <v>0</v>
      </c>
      <c r="I33" s="130">
        <f t="shared" si="2"/>
        <v>-98000</v>
      </c>
      <c r="J33" s="130">
        <f t="shared" si="2"/>
        <v>0</v>
      </c>
      <c r="K33" s="130">
        <f t="shared" si="2"/>
        <v>-98000</v>
      </c>
      <c r="L33" s="130">
        <f t="shared" si="2"/>
        <v>0</v>
      </c>
      <c r="M33" s="130">
        <f t="shared" si="2"/>
        <v>-98000</v>
      </c>
      <c r="N33" s="130">
        <f t="shared" si="2"/>
        <v>0</v>
      </c>
      <c r="O33" s="130">
        <f t="shared" si="2"/>
        <v>-98000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">
      <c r="A34" s="1"/>
      <c r="B34" s="4" t="s">
        <v>29</v>
      </c>
      <c r="C34" s="6">
        <f t="shared" si="2"/>
        <v>-42000</v>
      </c>
      <c r="D34" s="6">
        <f t="shared" si="2"/>
        <v>-55000</v>
      </c>
      <c r="E34" s="6">
        <f t="shared" si="2"/>
        <v>-9000</v>
      </c>
      <c r="F34" s="6">
        <f t="shared" si="2"/>
        <v>-6500</v>
      </c>
      <c r="G34" s="6">
        <f t="shared" si="2"/>
        <v>-30000</v>
      </c>
      <c r="H34" s="6">
        <f t="shared" si="2"/>
        <v>-14000</v>
      </c>
      <c r="I34" s="130">
        <f t="shared" si="2"/>
        <v>-12000</v>
      </c>
      <c r="J34" s="130">
        <f t="shared" si="2"/>
        <v>0</v>
      </c>
      <c r="K34" s="130">
        <f t="shared" si="2"/>
        <v>-8000</v>
      </c>
      <c r="L34" s="130">
        <f t="shared" si="2"/>
        <v>-48000</v>
      </c>
      <c r="M34" s="130">
        <f t="shared" si="2"/>
        <v>0</v>
      </c>
      <c r="N34" s="130">
        <f t="shared" si="2"/>
        <v>-11000</v>
      </c>
      <c r="O34" s="130">
        <f t="shared" si="2"/>
        <v>0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">
      <c r="A35" s="1"/>
      <c r="B35" s="4" t="s">
        <v>30</v>
      </c>
      <c r="C35" s="6">
        <f t="shared" si="2"/>
        <v>-18000</v>
      </c>
      <c r="D35" s="6">
        <f t="shared" si="2"/>
        <v>0</v>
      </c>
      <c r="E35" s="6">
        <f t="shared" si="2"/>
        <v>0</v>
      </c>
      <c r="F35" s="6">
        <f t="shared" si="2"/>
        <v>0</v>
      </c>
      <c r="G35" s="6">
        <f t="shared" si="2"/>
        <v>0</v>
      </c>
      <c r="H35" s="6">
        <f t="shared" si="2"/>
        <v>-18000</v>
      </c>
      <c r="I35" s="130">
        <f t="shared" si="2"/>
        <v>0</v>
      </c>
      <c r="J35" s="130">
        <f t="shared" si="2"/>
        <v>-142000</v>
      </c>
      <c r="K35" s="130">
        <f t="shared" si="2"/>
        <v>-96000</v>
      </c>
      <c r="L35" s="130">
        <f t="shared" si="2"/>
        <v>0</v>
      </c>
      <c r="M35" s="130">
        <f t="shared" si="2"/>
        <v>0</v>
      </c>
      <c r="N35" s="130">
        <f t="shared" si="2"/>
        <v>0</v>
      </c>
      <c r="O35" s="130">
        <f t="shared" si="2"/>
        <v>0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0" customHeight="1" x14ac:dyDescent="0.2">
      <c r="A36" s="1"/>
      <c r="B36" s="4" t="s">
        <v>31</v>
      </c>
      <c r="C36" s="6">
        <f t="shared" si="2"/>
        <v>-8500</v>
      </c>
      <c r="D36" s="6">
        <f t="shared" si="2"/>
        <v>0</v>
      </c>
      <c r="E36" s="6">
        <f t="shared" si="2"/>
        <v>0</v>
      </c>
      <c r="F36" s="6">
        <f t="shared" si="2"/>
        <v>0</v>
      </c>
      <c r="G36" s="6">
        <f t="shared" si="2"/>
        <v>-8500</v>
      </c>
      <c r="H36" s="6">
        <f t="shared" si="2"/>
        <v>0</v>
      </c>
      <c r="I36" s="130">
        <f t="shared" si="2"/>
        <v>0</v>
      </c>
      <c r="J36" s="130">
        <f t="shared" si="2"/>
        <v>0</v>
      </c>
      <c r="K36" s="130">
        <f t="shared" si="2"/>
        <v>-8500</v>
      </c>
      <c r="L36" s="130">
        <f t="shared" si="2"/>
        <v>0</v>
      </c>
      <c r="M36" s="130">
        <f t="shared" si="2"/>
        <v>0</v>
      </c>
      <c r="N36" s="130">
        <f t="shared" si="2"/>
        <v>0</v>
      </c>
      <c r="O36" s="130">
        <f t="shared" si="2"/>
        <v>-8500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">
      <c r="A37" s="1"/>
      <c r="B37" s="4" t="s">
        <v>32</v>
      </c>
      <c r="C37" s="6">
        <f t="shared" si="2"/>
        <v>-23100</v>
      </c>
      <c r="D37" s="6">
        <f t="shared" si="2"/>
        <v>-1100</v>
      </c>
      <c r="E37" s="6">
        <f t="shared" si="2"/>
        <v>-6900</v>
      </c>
      <c r="F37" s="6">
        <f t="shared" si="2"/>
        <v>-1100</v>
      </c>
      <c r="G37" s="6">
        <f t="shared" si="2"/>
        <v>-23100</v>
      </c>
      <c r="H37" s="6">
        <f t="shared" si="2"/>
        <v>-1100</v>
      </c>
      <c r="I37" s="130">
        <f t="shared" si="2"/>
        <v>-6900</v>
      </c>
      <c r="J37" s="130">
        <f t="shared" si="2"/>
        <v>-1100</v>
      </c>
      <c r="K37" s="130">
        <f t="shared" si="2"/>
        <v>-23100</v>
      </c>
      <c r="L37" s="130">
        <f t="shared" si="2"/>
        <v>-1100</v>
      </c>
      <c r="M37" s="130">
        <f t="shared" si="2"/>
        <v>-6900</v>
      </c>
      <c r="N37" s="130">
        <f t="shared" si="2"/>
        <v>-1100</v>
      </c>
      <c r="O37" s="130">
        <f t="shared" si="2"/>
        <v>-23100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0" customHeight="1" x14ac:dyDescent="0.2">
      <c r="A38" s="1"/>
      <c r="B38" s="4" t="s">
        <v>33</v>
      </c>
      <c r="C38" s="6">
        <f t="shared" si="2"/>
        <v>0</v>
      </c>
      <c r="D38" s="6">
        <f t="shared" si="2"/>
        <v>0</v>
      </c>
      <c r="E38" s="6">
        <f t="shared" si="2"/>
        <v>0</v>
      </c>
      <c r="F38" s="6">
        <f t="shared" si="2"/>
        <v>0</v>
      </c>
      <c r="G38" s="6">
        <f t="shared" si="2"/>
        <v>0</v>
      </c>
      <c r="H38" s="6">
        <f t="shared" si="2"/>
        <v>0</v>
      </c>
      <c r="I38" s="130">
        <f t="shared" si="2"/>
        <v>-130000</v>
      </c>
      <c r="J38" s="130">
        <f t="shared" si="2"/>
        <v>0</v>
      </c>
      <c r="K38" s="130">
        <f t="shared" si="2"/>
        <v>0</v>
      </c>
      <c r="L38" s="130">
        <f t="shared" si="2"/>
        <v>0</v>
      </c>
      <c r="M38" s="130">
        <f t="shared" si="2"/>
        <v>0</v>
      </c>
      <c r="N38" s="130">
        <f t="shared" si="2"/>
        <v>0</v>
      </c>
      <c r="O38" s="130">
        <f t="shared" si="2"/>
        <v>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6" thickBot="1" x14ac:dyDescent="0.25">
      <c r="A39" s="1"/>
      <c r="B39" s="7" t="s">
        <v>34</v>
      </c>
      <c r="C39" s="8">
        <f t="shared" ref="C39:O39" si="3">C30+C31+C33+C34+C35+C36+C37+C38</f>
        <v>-94600</v>
      </c>
      <c r="D39" s="8">
        <f t="shared" si="3"/>
        <v>62900</v>
      </c>
      <c r="E39" s="8">
        <f t="shared" si="3"/>
        <v>-55900</v>
      </c>
      <c r="F39" s="8">
        <f t="shared" si="3"/>
        <v>50150</v>
      </c>
      <c r="G39" s="8">
        <f t="shared" si="3"/>
        <v>-126600</v>
      </c>
      <c r="H39" s="8">
        <f t="shared" si="3"/>
        <v>66600</v>
      </c>
      <c r="I39" s="131">
        <f t="shared" si="3"/>
        <v>-230900</v>
      </c>
      <c r="J39" s="131">
        <f t="shared" si="3"/>
        <v>-89100</v>
      </c>
      <c r="K39" s="131">
        <f t="shared" si="3"/>
        <v>-171950</v>
      </c>
      <c r="L39" s="131">
        <f t="shared" si="3"/>
        <v>54400</v>
      </c>
      <c r="M39" s="131">
        <f t="shared" si="3"/>
        <v>-14900</v>
      </c>
      <c r="N39" s="131">
        <f t="shared" si="3"/>
        <v>149900</v>
      </c>
      <c r="O39" s="131">
        <f t="shared" si="3"/>
        <v>-64600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6" thickTop="1" x14ac:dyDescent="0.2">
      <c r="A40" s="1"/>
      <c r="B40" s="9" t="s">
        <v>35</v>
      </c>
      <c r="C40" s="10">
        <f t="shared" ref="C40:O40" si="4">C28+C39</f>
        <v>325400</v>
      </c>
      <c r="D40" s="10">
        <f t="shared" si="4"/>
        <v>388300</v>
      </c>
      <c r="E40" s="10">
        <f t="shared" si="4"/>
        <v>332400</v>
      </c>
      <c r="F40" s="10">
        <f t="shared" si="4"/>
        <v>382550</v>
      </c>
      <c r="G40" s="10">
        <f t="shared" si="4"/>
        <v>255950</v>
      </c>
      <c r="H40" s="10">
        <f t="shared" si="4"/>
        <v>322550</v>
      </c>
      <c r="I40" s="132">
        <f t="shared" si="4"/>
        <v>91650</v>
      </c>
      <c r="J40" s="132">
        <f t="shared" si="4"/>
        <v>2550</v>
      </c>
      <c r="K40" s="132">
        <f t="shared" si="4"/>
        <v>-169400</v>
      </c>
      <c r="L40" s="132">
        <f t="shared" si="4"/>
        <v>-115000</v>
      </c>
      <c r="M40" s="132">
        <f t="shared" si="4"/>
        <v>-129900</v>
      </c>
      <c r="N40" s="132">
        <f t="shared" si="4"/>
        <v>20000</v>
      </c>
      <c r="O40" s="132">
        <f t="shared" si="4"/>
        <v>-44600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2">
      <c r="A41" s="1"/>
      <c r="B41" s="4" t="s">
        <v>36</v>
      </c>
      <c r="C41" s="13">
        <f>IF(OR(ISBLANK('Sample Inputs'!C59),'Sample Inputs'!C59=0),"–",'Sample Inputs'!C59)</f>
        <v>324800</v>
      </c>
      <c r="D41" s="13">
        <f>IF(OR(ISBLANK('Sample Inputs'!D59),'Sample Inputs'!D59=0),"–",'Sample Inputs'!D59)</f>
        <v>388900</v>
      </c>
      <c r="E41" s="13">
        <f>IF(OR(ISBLANK('Sample Inputs'!E59),'Sample Inputs'!E59=0),"–",'Sample Inputs'!E59)</f>
        <v>331600</v>
      </c>
      <c r="F41" s="13">
        <f>IF(OR(ISBLANK('Sample Inputs'!F59),'Sample Inputs'!F59=0),"–",'Sample Inputs'!F59)</f>
        <v>383200</v>
      </c>
      <c r="G41" s="13" t="str">
        <f>IF(OR(ISBLANK('Sample Inputs'!G59),'Sample Inputs'!G59=0),"–",'Sample Inputs'!G59)</f>
        <v>–</v>
      </c>
      <c r="H41" s="13" t="str">
        <f>IF(OR(ISBLANK('Sample Inputs'!H59),'Sample Inputs'!H59=0),"–",'Sample Inputs'!H59)</f>
        <v>–</v>
      </c>
      <c r="I41" s="133" t="str">
        <f>IF(OR(ISBLANK('Sample Inputs'!I59),'Sample Inputs'!I59=0),"–",'Sample Inputs'!I59)</f>
        <v>–</v>
      </c>
      <c r="J41" s="133" t="str">
        <f>IF(OR(ISBLANK('Sample Inputs'!J59),'Sample Inputs'!J59=0),"–",'Sample Inputs'!J59)</f>
        <v>–</v>
      </c>
      <c r="K41" s="133" t="str">
        <f>IF(OR(ISBLANK('Sample Inputs'!K59),'Sample Inputs'!K59=0),"–",'Sample Inputs'!K59)</f>
        <v>–</v>
      </c>
      <c r="L41" s="133" t="str">
        <f>IF(OR(ISBLANK('Sample Inputs'!L59),'Sample Inputs'!L59=0),"–",'Sample Inputs'!L59)</f>
        <v>–</v>
      </c>
      <c r="M41" s="133" t="str">
        <f>IF(OR(ISBLANK('Sample Inputs'!M59),'Sample Inputs'!M59=0),"–",'Sample Inputs'!M59)</f>
        <v>–</v>
      </c>
      <c r="N41" s="133" t="str">
        <f>IF(OR(ISBLANK('Sample Inputs'!N59),'Sample Inputs'!N59=0),"–",'Sample Inputs'!N59)</f>
        <v>–</v>
      </c>
      <c r="O41" s="133" t="str">
        <f>IF(OR(ISBLANK('Sample Inputs'!O59),'Sample Inputs'!O59=0),"–",'Sample Inputs'!O59)</f>
        <v>–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x14ac:dyDescent="0.2">
      <c r="A43" s="1"/>
      <c r="B43" s="213" t="str">
        <f>IF(C111=0,"All weeks above floor · Trough "&amp;TEXT(C109,"$#,##0")&amp;" (W"&amp;C110&amp;") · Closes "&amp;TEXT(O40,"$#,##0"),"Below floor · "&amp;C115&amp;" · Trough "&amp;TEXT(C109,"$#,##0")&amp;" (W"&amp;C110&amp;") · Floor "&amp;TEXT(In_MinCashFloor,"$#,##0")&amp;" · Closes "&amp;TEXT(O40,"$#,##0"))</f>
        <v>Below floor · W7–W13 · Trough -$169,400 (W9) · Floor $250,000 · Closes -$44,600</v>
      </c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x14ac:dyDescent="0.2">
      <c r="A45" s="1"/>
      <c r="B45" s="213" t="str">
        <f>"KEY CASH ASSUMPTIONS · 6 INPUTS · AR days, AP terms, payroll, tax, debt, floor"</f>
        <v>KEY CASH ASSUMPTIONS · 6 INPUTS · AR days, AP terms, payroll, tax, debt, floor</v>
      </c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x14ac:dyDescent="0.2">
      <c r="A46" s="1"/>
      <c r="B46" s="3" t="s">
        <v>37</v>
      </c>
      <c r="C46" s="11">
        <f>In_AR_Days</f>
        <v>30</v>
      </c>
      <c r="D46" s="212" t="s">
        <v>38</v>
      </c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22" customHeight="1" x14ac:dyDescent="0.2">
      <c r="A47" s="1"/>
      <c r="B47" s="3" t="s">
        <v>39</v>
      </c>
      <c r="C47" s="11">
        <f>In_AP_Days</f>
        <v>30</v>
      </c>
      <c r="D47" s="212" t="s">
        <v>40</v>
      </c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x14ac:dyDescent="0.2">
      <c r="A48" s="1"/>
      <c r="B48" s="3" t="s">
        <v>41</v>
      </c>
      <c r="C48" s="6">
        <f>In_Payroll_Bi</f>
        <v>98000</v>
      </c>
      <c r="D48" s="212" t="s">
        <v>42</v>
      </c>
      <c r="E48" s="210"/>
      <c r="F48" s="210"/>
      <c r="G48" s="210"/>
      <c r="H48" s="210"/>
      <c r="I48" s="210"/>
      <c r="J48" s="210"/>
      <c r="K48" s="210"/>
      <c r="L48" s="210"/>
      <c r="M48" s="210"/>
      <c r="N48" s="210"/>
      <c r="O48" s="21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x14ac:dyDescent="0.2">
      <c r="A49" s="1"/>
      <c r="B49" s="3" t="s">
        <v>43</v>
      </c>
      <c r="C49" s="6">
        <f>In_Tax_Q</f>
        <v>142000</v>
      </c>
      <c r="D49" s="212" t="s">
        <v>44</v>
      </c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x14ac:dyDescent="0.2">
      <c r="A50" s="1"/>
      <c r="B50" s="3" t="s">
        <v>45</v>
      </c>
      <c r="C50" s="6">
        <f>In_Debt_Cyc</f>
        <v>8500</v>
      </c>
      <c r="D50" s="212" t="s">
        <v>46</v>
      </c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x14ac:dyDescent="0.2">
      <c r="A51" s="1"/>
      <c r="B51" s="3" t="s">
        <v>47</v>
      </c>
      <c r="C51" s="6">
        <f>In_MinCashFloor</f>
        <v>250000</v>
      </c>
      <c r="D51" s="212" t="s">
        <v>48</v>
      </c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x14ac:dyDescent="0.2">
      <c r="A53" s="1"/>
      <c r="B53" s="16" t="s">
        <v>49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x14ac:dyDescent="0.2">
      <c r="A54" s="1"/>
      <c r="B54" s="38"/>
      <c r="C54" s="37" t="s">
        <v>50</v>
      </c>
      <c r="D54" s="36"/>
      <c r="E54" s="36"/>
      <c r="F54" s="36"/>
      <c r="G54" s="38" t="s">
        <v>51</v>
      </c>
      <c r="H54" s="37" t="s">
        <v>52</v>
      </c>
      <c r="I54" s="36"/>
      <c r="J54" s="39" t="s">
        <v>53</v>
      </c>
      <c r="K54" s="37" t="s">
        <v>54</v>
      </c>
      <c r="L54" s="36"/>
      <c r="M54" s="36"/>
      <c r="N54" s="36"/>
      <c r="O54" s="13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x14ac:dyDescent="0.2">
      <c r="A55" s="1"/>
      <c r="B55" s="164" t="s">
        <v>55</v>
      </c>
      <c r="C55" s="29" t="s">
        <v>233</v>
      </c>
      <c r="D55" s="28"/>
      <c r="E55" s="28"/>
      <c r="F55" s="25"/>
      <c r="G55" s="45"/>
      <c r="H55" s="26"/>
      <c r="I55" s="40"/>
      <c r="J55" s="41"/>
      <c r="K55" s="26"/>
      <c r="L55" s="28"/>
      <c r="M55" s="28"/>
      <c r="N55" s="28"/>
      <c r="O55" s="28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x14ac:dyDescent="0.2">
      <c r="A56" s="1"/>
      <c r="B56" s="164" t="s">
        <v>55</v>
      </c>
      <c r="C56" s="32" t="s">
        <v>233</v>
      </c>
      <c r="D56" s="31"/>
      <c r="E56" s="31"/>
      <c r="F56" s="33"/>
      <c r="G56" s="46"/>
      <c r="H56" s="34"/>
      <c r="I56" s="35"/>
      <c r="J56" s="42"/>
      <c r="K56" s="34"/>
      <c r="L56" s="31"/>
      <c r="M56" s="31"/>
      <c r="N56" s="31"/>
      <c r="O56" s="3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x14ac:dyDescent="0.2">
      <c r="A57" s="1"/>
      <c r="B57" s="27" t="s">
        <v>55</v>
      </c>
      <c r="C57" s="29"/>
      <c r="D57" s="28"/>
      <c r="E57" s="28"/>
      <c r="F57" s="28"/>
      <c r="G57" s="43"/>
      <c r="H57" s="29"/>
      <c r="I57" s="28"/>
      <c r="J57" s="41"/>
      <c r="K57" s="29"/>
      <c r="L57" s="28"/>
      <c r="M57" s="28"/>
      <c r="N57" s="28"/>
      <c r="O57" s="28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x14ac:dyDescent="0.2">
      <c r="A58" s="1"/>
      <c r="B58" s="30" t="s">
        <v>55</v>
      </c>
      <c r="C58" s="32"/>
      <c r="D58" s="31"/>
      <c r="E58" s="31"/>
      <c r="F58" s="31"/>
      <c r="G58" s="44"/>
      <c r="H58" s="32"/>
      <c r="I58" s="31"/>
      <c r="J58" s="42"/>
      <c r="K58" s="32"/>
      <c r="L58" s="31"/>
      <c r="M58" s="31"/>
      <c r="N58" s="31"/>
      <c r="O58" s="3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">
      <c r="A59" s="1"/>
      <c r="B59" s="27" t="s">
        <v>55</v>
      </c>
      <c r="C59" s="29"/>
      <c r="D59" s="28"/>
      <c r="E59" s="28"/>
      <c r="F59" s="28"/>
      <c r="G59" s="43"/>
      <c r="H59" s="29"/>
      <c r="I59" s="28"/>
      <c r="J59" s="41"/>
      <c r="K59" s="29"/>
      <c r="L59" s="28"/>
      <c r="M59" s="28"/>
      <c r="N59" s="28"/>
      <c r="O59" s="28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">
      <c r="A60" s="1"/>
      <c r="B60" s="30" t="s">
        <v>55</v>
      </c>
      <c r="C60" s="32"/>
      <c r="D60" s="31"/>
      <c r="E60" s="31"/>
      <c r="F60" s="31"/>
      <c r="G60" s="44"/>
      <c r="H60" s="32"/>
      <c r="I60" s="31"/>
      <c r="J60" s="42"/>
      <c r="K60" s="32"/>
      <c r="L60" s="31"/>
      <c r="M60" s="31"/>
      <c r="N60" s="31"/>
      <c r="O60" s="3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">
      <c r="A61" s="1"/>
      <c r="B61" s="27" t="s">
        <v>55</v>
      </c>
      <c r="C61" s="29"/>
      <c r="D61" s="28"/>
      <c r="E61" s="28"/>
      <c r="F61" s="28"/>
      <c r="G61" s="43"/>
      <c r="H61" s="29"/>
      <c r="I61" s="28"/>
      <c r="J61" s="41"/>
      <c r="K61" s="29"/>
      <c r="L61" s="28"/>
      <c r="M61" s="28"/>
      <c r="N61" s="28"/>
      <c r="O61" s="28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2">
      <c r="A62" s="1"/>
      <c r="B62" s="30" t="s">
        <v>55</v>
      </c>
      <c r="C62" s="32"/>
      <c r="D62" s="31"/>
      <c r="E62" s="31"/>
      <c r="F62" s="31"/>
      <c r="G62" s="44"/>
      <c r="H62" s="32"/>
      <c r="I62" s="31"/>
      <c r="J62" s="42"/>
      <c r="K62" s="32"/>
      <c r="L62" s="31"/>
      <c r="M62" s="31"/>
      <c r="N62" s="31"/>
      <c r="O62" s="3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">
      <c r="A63" s="1"/>
      <c r="B63" s="27" t="s">
        <v>55</v>
      </c>
      <c r="C63" s="29"/>
      <c r="D63" s="28"/>
      <c r="E63" s="28"/>
      <c r="F63" s="28"/>
      <c r="G63" s="43"/>
      <c r="H63" s="29"/>
      <c r="I63" s="28"/>
      <c r="J63" s="41"/>
      <c r="K63" s="29"/>
      <c r="L63" s="28"/>
      <c r="M63" s="28"/>
      <c r="N63" s="28"/>
      <c r="O63" s="28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2">
      <c r="A64" s="1"/>
      <c r="B64" s="30" t="s">
        <v>55</v>
      </c>
      <c r="C64" s="32"/>
      <c r="D64" s="31"/>
      <c r="E64" s="31"/>
      <c r="F64" s="31"/>
      <c r="G64" s="44"/>
      <c r="H64" s="32"/>
      <c r="I64" s="31"/>
      <c r="J64" s="42"/>
      <c r="K64" s="32"/>
      <c r="L64" s="31"/>
      <c r="M64" s="31"/>
      <c r="N64" s="31"/>
      <c r="O64" s="3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6" x14ac:dyDescent="0.2">
      <c r="A66" s="1"/>
      <c r="B66" s="174" t="s">
        <v>185</v>
      </c>
      <c r="C66" s="1"/>
      <c r="D66" s="1"/>
      <c r="E66" s="1"/>
      <c r="F66" s="1"/>
      <c r="G66" s="1"/>
      <c r="H66" s="1"/>
      <c r="I66" s="190" t="s">
        <v>184</v>
      </c>
      <c r="J66" s="189" t="str">
        <f>IF(COUNTIF(J68:J80,"FAIL")=0,"PASS","FAIL ("&amp;COUNTIF(J68:J80,"FAIL")&amp;")")</f>
        <v>PASS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2">
      <c r="A67" s="1"/>
      <c r="B67" s="180" t="s">
        <v>183</v>
      </c>
      <c r="C67" s="180" t="s">
        <v>182</v>
      </c>
      <c r="D67" s="1"/>
      <c r="E67" s="1"/>
      <c r="F67" s="1"/>
      <c r="G67" s="1"/>
      <c r="H67" s="181" t="s">
        <v>181</v>
      </c>
      <c r="I67" s="181" t="s">
        <v>180</v>
      </c>
      <c r="J67" s="182" t="s">
        <v>179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2">
      <c r="A68" s="1"/>
      <c r="B68" s="183" t="s">
        <v>178</v>
      </c>
      <c r="C68" s="184" t="s">
        <v>190</v>
      </c>
      <c r="D68" s="185"/>
      <c r="E68" s="185"/>
      <c r="F68" s="185"/>
      <c r="G68" s="185"/>
      <c r="H68" s="186">
        <f>C28+C39</f>
        <v>325400</v>
      </c>
      <c r="I68" s="187">
        <f>C40</f>
        <v>325400</v>
      </c>
      <c r="J68" s="188" t="str">
        <f t="shared" ref="J68:J80" si="5">IF(ABS(I68-H68)&lt;=0.5,"PASS","FAIL")</f>
        <v>PASS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2">
      <c r="A69" s="1"/>
      <c r="B69" s="175" t="s">
        <v>177</v>
      </c>
      <c r="C69" s="176" t="s">
        <v>191</v>
      </c>
      <c r="D69" s="14"/>
      <c r="E69" s="14"/>
      <c r="F69" s="14"/>
      <c r="G69" s="14"/>
      <c r="H69" s="177">
        <f>D28+D39</f>
        <v>388300</v>
      </c>
      <c r="I69" s="178">
        <f>D40</f>
        <v>388300</v>
      </c>
      <c r="J69" s="179" t="str">
        <f t="shared" si="5"/>
        <v>PASS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">
      <c r="A70" s="1"/>
      <c r="B70" s="175" t="s">
        <v>176</v>
      </c>
      <c r="C70" s="176" t="s">
        <v>192</v>
      </c>
      <c r="D70" s="14"/>
      <c r="E70" s="14"/>
      <c r="F70" s="14"/>
      <c r="G70" s="14"/>
      <c r="H70" s="177">
        <f>E28+E39</f>
        <v>332400</v>
      </c>
      <c r="I70" s="178">
        <f>E40</f>
        <v>332400</v>
      </c>
      <c r="J70" s="179" t="str">
        <f t="shared" si="5"/>
        <v>PASS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">
      <c r="A71" s="1"/>
      <c r="B71" s="175" t="s">
        <v>175</v>
      </c>
      <c r="C71" s="176" t="s">
        <v>193</v>
      </c>
      <c r="D71" s="14"/>
      <c r="E71" s="14"/>
      <c r="F71" s="14"/>
      <c r="G71" s="14"/>
      <c r="H71" s="177">
        <f>F28+F39</f>
        <v>382550</v>
      </c>
      <c r="I71" s="178">
        <f>F40</f>
        <v>382550</v>
      </c>
      <c r="J71" s="179" t="str">
        <f t="shared" si="5"/>
        <v>PASS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2">
      <c r="A72" s="1"/>
      <c r="B72" s="175" t="s">
        <v>174</v>
      </c>
      <c r="C72" s="176" t="s">
        <v>194</v>
      </c>
      <c r="D72" s="14"/>
      <c r="E72" s="14"/>
      <c r="F72" s="14"/>
      <c r="G72" s="14"/>
      <c r="H72" s="177">
        <f>G28+G39</f>
        <v>255950</v>
      </c>
      <c r="I72" s="178">
        <f>G40</f>
        <v>255950</v>
      </c>
      <c r="J72" s="179" t="str">
        <f t="shared" si="5"/>
        <v>PASS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">
      <c r="A73" s="1"/>
      <c r="B73" s="175" t="s">
        <v>173</v>
      </c>
      <c r="C73" s="176" t="s">
        <v>195</v>
      </c>
      <c r="D73" s="14"/>
      <c r="E73" s="14"/>
      <c r="F73" s="14"/>
      <c r="G73" s="14"/>
      <c r="H73" s="177">
        <f>H28+H39</f>
        <v>322550</v>
      </c>
      <c r="I73" s="178">
        <f>H40</f>
        <v>322550</v>
      </c>
      <c r="J73" s="179" t="str">
        <f t="shared" si="5"/>
        <v>PASS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">
      <c r="A74" s="1"/>
      <c r="B74" s="175" t="s">
        <v>172</v>
      </c>
      <c r="C74" s="176" t="s">
        <v>196</v>
      </c>
      <c r="D74" s="14"/>
      <c r="E74" s="14"/>
      <c r="F74" s="14"/>
      <c r="G74" s="14"/>
      <c r="H74" s="177">
        <f>I28+I39</f>
        <v>91650</v>
      </c>
      <c r="I74" s="178">
        <f>I40</f>
        <v>91650</v>
      </c>
      <c r="J74" s="179" t="str">
        <f t="shared" si="5"/>
        <v>PASS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">
      <c r="A75" s="1"/>
      <c r="B75" s="175" t="s">
        <v>171</v>
      </c>
      <c r="C75" s="176" t="s">
        <v>197</v>
      </c>
      <c r="D75" s="14"/>
      <c r="E75" s="14"/>
      <c r="F75" s="14"/>
      <c r="G75" s="14"/>
      <c r="H75" s="177">
        <f>J28+J39</f>
        <v>2550</v>
      </c>
      <c r="I75" s="178">
        <f>J40</f>
        <v>2550</v>
      </c>
      <c r="J75" s="179" t="str">
        <f t="shared" si="5"/>
        <v>PASS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">
      <c r="A76" s="1"/>
      <c r="B76" s="175" t="s">
        <v>170</v>
      </c>
      <c r="C76" s="176" t="s">
        <v>198</v>
      </c>
      <c r="D76" s="14"/>
      <c r="E76" s="14"/>
      <c r="F76" s="14"/>
      <c r="G76" s="14"/>
      <c r="H76" s="177">
        <f>K28+K39</f>
        <v>-169400</v>
      </c>
      <c r="I76" s="178">
        <f>K40</f>
        <v>-169400</v>
      </c>
      <c r="J76" s="179" t="str">
        <f t="shared" si="5"/>
        <v>PASS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">
      <c r="A77" s="1"/>
      <c r="B77" s="175" t="s">
        <v>169</v>
      </c>
      <c r="C77" s="176" t="s">
        <v>199</v>
      </c>
      <c r="D77" s="14"/>
      <c r="E77" s="14"/>
      <c r="F77" s="14"/>
      <c r="G77" s="14"/>
      <c r="H77" s="177">
        <f>L28+L39</f>
        <v>-115000</v>
      </c>
      <c r="I77" s="178">
        <f>L40</f>
        <v>-115000</v>
      </c>
      <c r="J77" s="179" t="str">
        <f t="shared" si="5"/>
        <v>PASS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">
      <c r="A78" s="1"/>
      <c r="B78" s="175" t="s">
        <v>168</v>
      </c>
      <c r="C78" s="176" t="s">
        <v>200</v>
      </c>
      <c r="D78" s="14"/>
      <c r="E78" s="14"/>
      <c r="F78" s="14"/>
      <c r="G78" s="14"/>
      <c r="H78" s="177">
        <f>M28+M39</f>
        <v>-129900</v>
      </c>
      <c r="I78" s="178">
        <f>M40</f>
        <v>-129900</v>
      </c>
      <c r="J78" s="179" t="str">
        <f t="shared" si="5"/>
        <v>PASS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">
      <c r="A79" s="1"/>
      <c r="B79" s="175" t="s">
        <v>167</v>
      </c>
      <c r="C79" s="176" t="s">
        <v>201</v>
      </c>
      <c r="D79" s="14"/>
      <c r="E79" s="14"/>
      <c r="F79" s="14"/>
      <c r="G79" s="14"/>
      <c r="H79" s="177">
        <f>N28+N39</f>
        <v>20000</v>
      </c>
      <c r="I79" s="178">
        <f>N40</f>
        <v>20000</v>
      </c>
      <c r="J79" s="179" t="str">
        <f t="shared" si="5"/>
        <v>PASS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">
      <c r="A80" s="1"/>
      <c r="B80" s="175" t="s">
        <v>166</v>
      </c>
      <c r="C80" s="176" t="s">
        <v>202</v>
      </c>
      <c r="D80" s="14"/>
      <c r="E80" s="14"/>
      <c r="F80" s="14"/>
      <c r="G80" s="14"/>
      <c r="H80" s="177">
        <f>O28+O39</f>
        <v>-44600</v>
      </c>
      <c r="I80" s="178">
        <f>O40</f>
        <v>-44600</v>
      </c>
      <c r="J80" s="179" t="str">
        <f t="shared" si="5"/>
        <v>PASS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">
      <c r="A82" s="28"/>
      <c r="B82" s="211" t="s">
        <v>243</v>
      </c>
      <c r="C82" s="211"/>
      <c r="D82" s="211"/>
      <c r="E82" s="211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">
      <c r="A104" s="15"/>
      <c r="C104" s="14" t="str">
        <f t="shared" ref="C104:O104" si="6">C27</f>
        <v>W1</v>
      </c>
      <c r="D104" s="14" t="str">
        <f t="shared" si="6"/>
        <v>W2</v>
      </c>
      <c r="E104" s="14" t="str">
        <f t="shared" si="6"/>
        <v>W3</v>
      </c>
      <c r="F104" s="14" t="str">
        <f t="shared" si="6"/>
        <v>W4</v>
      </c>
      <c r="G104" s="14" t="str">
        <f t="shared" si="6"/>
        <v>W5</v>
      </c>
      <c r="H104" s="14" t="str">
        <f t="shared" si="6"/>
        <v>W6</v>
      </c>
      <c r="I104" s="14" t="str">
        <f t="shared" si="6"/>
        <v>W7</v>
      </c>
      <c r="J104" s="14" t="str">
        <f t="shared" si="6"/>
        <v>W8</v>
      </c>
      <c r="K104" s="14" t="str">
        <f t="shared" si="6"/>
        <v>W9</v>
      </c>
      <c r="L104" s="14" t="str">
        <f t="shared" si="6"/>
        <v>W10</v>
      </c>
      <c r="M104" s="14" t="str">
        <f t="shared" si="6"/>
        <v>W11</v>
      </c>
      <c r="N104" s="14" t="str">
        <f t="shared" si="6"/>
        <v>W12</v>
      </c>
      <c r="O104" s="14" t="str">
        <f t="shared" si="6"/>
        <v>W13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">
      <c r="A105" s="15"/>
      <c r="B105" s="14" t="s">
        <v>56</v>
      </c>
      <c r="C105" s="14">
        <f t="shared" ref="C105:O105" si="7">In_MinCashFloor</f>
        <v>250000</v>
      </c>
      <c r="D105" s="14">
        <f t="shared" si="7"/>
        <v>250000</v>
      </c>
      <c r="E105" s="14">
        <f t="shared" si="7"/>
        <v>250000</v>
      </c>
      <c r="F105" s="14">
        <f t="shared" si="7"/>
        <v>250000</v>
      </c>
      <c r="G105" s="14">
        <f t="shared" si="7"/>
        <v>250000</v>
      </c>
      <c r="H105" s="14">
        <f t="shared" si="7"/>
        <v>250000</v>
      </c>
      <c r="I105" s="14">
        <f t="shared" si="7"/>
        <v>250000</v>
      </c>
      <c r="J105" s="14">
        <f t="shared" si="7"/>
        <v>250000</v>
      </c>
      <c r="K105" s="14">
        <f t="shared" si="7"/>
        <v>250000</v>
      </c>
      <c r="L105" s="14">
        <f t="shared" si="7"/>
        <v>250000</v>
      </c>
      <c r="M105" s="14">
        <f t="shared" si="7"/>
        <v>250000</v>
      </c>
      <c r="N105" s="14">
        <f t="shared" si="7"/>
        <v>250000</v>
      </c>
      <c r="O105" s="14">
        <f t="shared" si="7"/>
        <v>250000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">
      <c r="A106" s="15"/>
      <c r="B106" s="14" t="s">
        <v>57</v>
      </c>
      <c r="C106" s="14">
        <f t="shared" ref="C106:O106" si="8">IF(C40&lt;In_MinCashFloor,NA(),C40)</f>
        <v>325400</v>
      </c>
      <c r="D106" s="14">
        <f t="shared" si="8"/>
        <v>388300</v>
      </c>
      <c r="E106" s="14">
        <f t="shared" si="8"/>
        <v>332400</v>
      </c>
      <c r="F106" s="14">
        <f t="shared" si="8"/>
        <v>382550</v>
      </c>
      <c r="G106" s="14">
        <f t="shared" si="8"/>
        <v>255950</v>
      </c>
      <c r="H106" s="14">
        <f t="shared" si="8"/>
        <v>322550</v>
      </c>
      <c r="I106" s="14" t="e">
        <f t="shared" si="8"/>
        <v>#N/A</v>
      </c>
      <c r="J106" s="14" t="e">
        <f t="shared" si="8"/>
        <v>#N/A</v>
      </c>
      <c r="K106" s="14" t="e">
        <f t="shared" si="8"/>
        <v>#N/A</v>
      </c>
      <c r="L106" s="14" t="e">
        <f t="shared" si="8"/>
        <v>#N/A</v>
      </c>
      <c r="M106" s="14" t="e">
        <f t="shared" si="8"/>
        <v>#N/A</v>
      </c>
      <c r="N106" s="14" t="e">
        <f t="shared" si="8"/>
        <v>#N/A</v>
      </c>
      <c r="O106" s="14" t="e">
        <f t="shared" si="8"/>
        <v>#N/A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">
      <c r="A107" s="1"/>
      <c r="B107" s="14" t="s">
        <v>58</v>
      </c>
      <c r="C107" s="14" t="e">
        <f t="shared" ref="C107:O107" si="9">IF(C40&lt;In_MinCashFloor,C40,NA())</f>
        <v>#N/A</v>
      </c>
      <c r="D107" s="14" t="e">
        <f t="shared" si="9"/>
        <v>#N/A</v>
      </c>
      <c r="E107" s="14" t="e">
        <f t="shared" si="9"/>
        <v>#N/A</v>
      </c>
      <c r="F107" s="14" t="e">
        <f t="shared" si="9"/>
        <v>#N/A</v>
      </c>
      <c r="G107" s="14" t="e">
        <f t="shared" si="9"/>
        <v>#N/A</v>
      </c>
      <c r="H107" s="14" t="e">
        <f t="shared" si="9"/>
        <v>#N/A</v>
      </c>
      <c r="I107" s="14">
        <f t="shared" si="9"/>
        <v>91650</v>
      </c>
      <c r="J107" s="14">
        <f t="shared" si="9"/>
        <v>2550</v>
      </c>
      <c r="K107" s="14">
        <f t="shared" si="9"/>
        <v>-169400</v>
      </c>
      <c r="L107" s="14">
        <f t="shared" si="9"/>
        <v>-115000</v>
      </c>
      <c r="M107" s="14">
        <f t="shared" si="9"/>
        <v>-129900</v>
      </c>
      <c r="N107" s="14">
        <f t="shared" si="9"/>
        <v>20000</v>
      </c>
      <c r="O107" s="14">
        <f t="shared" si="9"/>
        <v>-44600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">
      <c r="A109" s="1"/>
      <c r="B109" s="1" t="s">
        <v>59</v>
      </c>
      <c r="C109" s="1">
        <f>MIN(C40:O40)</f>
        <v>-169400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">
      <c r="A110" s="1"/>
      <c r="B110" s="1" t="s">
        <v>60</v>
      </c>
      <c r="C110" s="1">
        <f>MATCH(C109,C40:O40,0)</f>
        <v>9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">
      <c r="A111" s="1"/>
      <c r="B111" s="1" t="s">
        <v>61</v>
      </c>
      <c r="C111" s="1">
        <f>COUNTIF(C40:O40,"&lt;"&amp;In_MinCashFloor)</f>
        <v>7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">
      <c r="A112" s="1"/>
      <c r="B112" s="1" t="s">
        <v>62</v>
      </c>
      <c r="C112" s="1">
        <f t="array" ref="C112">IFERROR(MATCH(TRUE,INDEX(C40:O40&lt;In_MinCashFloor,0),0),0)</f>
        <v>7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">
      <c r="A113" s="1"/>
      <c r="B113" s="1" t="s">
        <v>63</v>
      </c>
      <c r="C113" s="1">
        <f t="array" ref="C113">IF(C111=0,0,MAX(IF(C40:O40&lt;In_MinCashFloor,COLUMN(C40:O40)-COLUMN(C40)+1)))</f>
        <v>13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">
      <c r="A114" s="1"/>
      <c r="B114" s="1" t="s">
        <v>64</v>
      </c>
      <c r="C114" s="1" t="b">
        <f>IF(C111=0,FALSE,(C113-C112+1)=C111)</f>
        <v>1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">
      <c r="A115" s="1"/>
      <c r="B115" s="1" t="s">
        <v>65</v>
      </c>
      <c r="C115" s="1" t="str">
        <f>IF(C111=0,"No breach",IF(C111=1,"W"&amp;C112,IF(C114,"W"&amp;C112&amp;"–W"&amp;C113,"W"&amp;C112&amp;"+"&amp;(C111-1)&amp;" more")))</f>
        <v>W7–W13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2">
      <c r="A127" s="1"/>
      <c r="B127" s="24" t="s">
        <v>234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2">
      <c r="A128" s="1"/>
      <c r="B128" s="1" t="s">
        <v>66</v>
      </c>
      <c r="C128" s="1" t="s">
        <v>10</v>
      </c>
      <c r="D128" s="1" t="s">
        <v>11</v>
      </c>
      <c r="E128" s="1" t="s">
        <v>12</v>
      </c>
      <c r="F128" s="1" t="s">
        <v>13</v>
      </c>
      <c r="G128" s="1" t="s">
        <v>14</v>
      </c>
      <c r="H128" s="1" t="s">
        <v>15</v>
      </c>
      <c r="I128" s="1" t="s">
        <v>16</v>
      </c>
      <c r="J128" s="1" t="s">
        <v>17</v>
      </c>
      <c r="K128" s="1" t="s">
        <v>18</v>
      </c>
      <c r="L128" s="1" t="s">
        <v>19</v>
      </c>
      <c r="M128" s="1" t="s">
        <v>20</v>
      </c>
      <c r="N128" s="1" t="s">
        <v>21</v>
      </c>
      <c r="O128" s="1" t="s">
        <v>22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x14ac:dyDescent="0.2">
      <c r="A129" s="1"/>
      <c r="B129" s="1" t="s">
        <v>25</v>
      </c>
      <c r="C129" s="1">
        <f t="array" ref="C129">IF(COLUMN(C129)-COLUMN($C129)+1-ROUND(CashDrv_AR_Active/7,0)&lt;1,0,IF(COLUMN(C129)-COLUMN($C129)+1-ROUND(CashDrv_AR_Active/7,0)&gt;13,0,INDEX(In_Cash_Ar,1,COLUMN(C129)-COLUMN($C129)+1-ROUND(CashDrv_AR_Active/7,0))))*(1+CashDrv_Rev_Active)</f>
        <v>95000</v>
      </c>
      <c r="D129" s="1">
        <f t="array" ref="D129">IF(COLUMN(D129)-COLUMN($C129)+1-ROUND(CashDrv_AR_Active/7,0)&lt;1,0,IF(COLUMN(D129)-COLUMN($C129)+1-ROUND(CashDrv_AR_Active/7,0)&gt;13,0,INDEX(In_Cash_Ar,1,COLUMN(D129)-COLUMN($C129)+1-ROUND(CashDrv_AR_Active/7,0))))*(1+CashDrv_Rev_Active)</f>
        <v>119000</v>
      </c>
      <c r="E129" s="1">
        <f t="array" ref="E129">IF(COLUMN(E129)-COLUMN($C129)+1-ROUND(CashDrv_AR_Active/7,0)&lt;1,0,IF(COLUMN(E129)-COLUMN($C129)+1-ROUND(CashDrv_AR_Active/7,0)&gt;13,0,INDEX(In_Cash_Ar,1,COLUMN(E129)-COLUMN($C129)+1-ROUND(CashDrv_AR_Active/7,0))))*(1+CashDrv_Rev_Active)</f>
        <v>40000</v>
      </c>
      <c r="F129" s="1">
        <f t="array" ref="F129">IF(COLUMN(F129)-COLUMN($C129)+1-ROUND(CashDrv_AR_Active/7,0)&lt;1,0,IF(COLUMN(F129)-COLUMN($C129)+1-ROUND(CashDrv_AR_Active/7,0)&gt;13,0,INDEX(In_Cash_Ar,1,COLUMN(F129)-COLUMN($C129)+1-ROUND(CashDrv_AR_Active/7,0))))*(1+CashDrv_Rev_Active)</f>
        <v>57750</v>
      </c>
      <c r="G129" s="1">
        <f t="array" ref="G129">IF(COLUMN(G129)-COLUMN($C129)+1-ROUND(CashDrv_AR_Active/7,0)&lt;1,0,IF(COLUMN(G129)-COLUMN($C129)+1-ROUND(CashDrv_AR_Active/7,0)&gt;13,0,INDEX(In_Cash_Ar,1,COLUMN(G129)-COLUMN($C129)+1-ROUND(CashDrv_AR_Active/7,0))))*(1+CashDrv_Rev_Active)</f>
        <v>33000</v>
      </c>
      <c r="H129" s="1">
        <f t="array" ref="H129">IF(COLUMN(H129)-COLUMN($C129)+1-ROUND(CashDrv_AR_Active/7,0)&lt;1,0,IF(COLUMN(H129)-COLUMN($C129)+1-ROUND(CashDrv_AR_Active/7,0)&gt;13,0,INDEX(In_Cash_Ar,1,COLUMN(H129)-COLUMN($C129)+1-ROUND(CashDrv_AR_Active/7,0))))*(1+CashDrv_Rev_Active)</f>
        <v>99700</v>
      </c>
      <c r="I129" s="1">
        <f t="array" ref="I129">IF(COLUMN(I129)-COLUMN($C129)+1-ROUND(CashDrv_AR_Active/7,0)&lt;1,0,IF(COLUMN(I129)-COLUMN($C129)+1-ROUND(CashDrv_AR_Active/7,0)&gt;13,0,INDEX(In_Cash_Ar,1,COLUMN(I129)-COLUMN($C129)+1-ROUND(CashDrv_AR_Active/7,0))))*(1+CashDrv_Rev_Active)</f>
        <v>16000</v>
      </c>
      <c r="J129" s="1">
        <f t="array" ref="J129">IF(COLUMN(J129)-COLUMN($C129)+1-ROUND(CashDrv_AR_Active/7,0)&lt;1,0,IF(COLUMN(J129)-COLUMN($C129)+1-ROUND(CashDrv_AR_Active/7,0)&gt;13,0,INDEX(In_Cash_Ar,1,COLUMN(J129)-COLUMN($C129)+1-ROUND(CashDrv_AR_Active/7,0))))*(1+CashDrv_Rev_Active)</f>
        <v>54000</v>
      </c>
      <c r="K129" s="1">
        <f t="array" ref="K129">IF(COLUMN(K129)-COLUMN($C129)+1-ROUND(CashDrv_AR_Active/7,0)&lt;1,0,IF(COLUMN(K129)-COLUMN($C129)+1-ROUND(CashDrv_AR_Active/7,0)&gt;13,0,INDEX(In_Cash_Ar,1,COLUMN(K129)-COLUMN($C129)+1-ROUND(CashDrv_AR_Active/7,0))))*(1+CashDrv_Rev_Active)</f>
        <v>61650</v>
      </c>
      <c r="L129" s="1">
        <f t="array" ref="L129">IF(COLUMN(L129)-COLUMN($C129)+1-ROUND(CashDrv_AR_Active/7,0)&lt;1,0,IF(COLUMN(L129)-COLUMN($C129)+1-ROUND(CashDrv_AR_Active/7,0)&gt;13,0,INDEX(In_Cash_Ar,1,COLUMN(L129)-COLUMN($C129)+1-ROUND(CashDrv_AR_Active/7,0))))*(1+CashDrv_Rev_Active)</f>
        <v>97500</v>
      </c>
      <c r="M129" s="1">
        <f t="array" ref="M129">IF(COLUMN(M129)-COLUMN($C129)+1-ROUND(CashDrv_AR_Active/7,0)&lt;1,0,IF(COLUMN(M129)-COLUMN($C129)+1-ROUND(CashDrv_AR_Active/7,0)&gt;13,0,INDEX(In_Cash_Ar,1,COLUMN(M129)-COLUMN($C129)+1-ROUND(CashDrv_AR_Active/7,0))))*(1+CashDrv_Rev_Active)</f>
        <v>90000</v>
      </c>
      <c r="N129" s="1">
        <f t="array" ref="N129">IF(COLUMN(N129)-COLUMN($C129)+1-ROUND(CashDrv_AR_Active/7,0)&lt;1,0,IF(COLUMN(N129)-COLUMN($C129)+1-ROUND(CashDrv_AR_Active/7,0)&gt;13,0,INDEX(In_Cash_Ar,1,COLUMN(N129)-COLUMN($C129)+1-ROUND(CashDrv_AR_Active/7,0))))*(1+CashDrv_Rev_Active)</f>
        <v>162000</v>
      </c>
      <c r="O129" s="1">
        <f t="array" ref="O129">IF(COLUMN(O129)-COLUMN($C129)+1-ROUND(CashDrv_AR_Active/7,0)&lt;1,0,IF(COLUMN(O129)-COLUMN($C129)+1-ROUND(CashDrv_AR_Active/7,0)&gt;13,0,INDEX(In_Cash_Ar,1,COLUMN(O129)-COLUMN($C129)+1-ROUND(CashDrv_AR_Active/7,0))))*(1+CashDrv_Rev_Active)</f>
        <v>65000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x14ac:dyDescent="0.2">
      <c r="A130" s="1"/>
      <c r="B130" s="1" t="s">
        <v>26</v>
      </c>
      <c r="C130" s="1">
        <f t="array" ref="C130">INDEX(In_Cash_Other,1,COLUMN(C130)-COLUMN($C130)+1)*(1+CashDrv_Rev_Active)</f>
        <v>0</v>
      </c>
      <c r="D130" s="1">
        <f t="array" ref="D130">INDEX(In_Cash_Other,1,COLUMN(D130)-COLUMN($C130)+1)*(1+CashDrv_Rev_Active)</f>
        <v>0</v>
      </c>
      <c r="E130" s="1">
        <f t="array" ref="E130">INDEX(In_Cash_Other,1,COLUMN(E130)-COLUMN($C130)+1)*(1+CashDrv_Rev_Active)</f>
        <v>18000</v>
      </c>
      <c r="F130" s="1">
        <f t="array" ref="F130">INDEX(In_Cash_Other,1,COLUMN(F130)-COLUMN($C130)+1)*(1+CashDrv_Rev_Active)</f>
        <v>0</v>
      </c>
      <c r="G130" s="1">
        <f t="array" ref="G130">INDEX(In_Cash_Other,1,COLUMN(G130)-COLUMN($C130)+1)*(1+CashDrv_Rev_Active)</f>
        <v>0</v>
      </c>
      <c r="H130" s="1">
        <f t="array" ref="H130">INDEX(In_Cash_Other,1,COLUMN(H130)-COLUMN($C130)+1)*(1+CashDrv_Rev_Active)</f>
        <v>0</v>
      </c>
      <c r="I130" s="1">
        <f t="array" ref="I130">INDEX(In_Cash_Other,1,COLUMN(I130)-COLUMN($C130)+1)*(1+CashDrv_Rev_Active)</f>
        <v>0</v>
      </c>
      <c r="J130" s="1">
        <f t="array" ref="J130">INDEX(In_Cash_Other,1,COLUMN(J130)-COLUMN($C130)+1)*(1+CashDrv_Rev_Active)</f>
        <v>0</v>
      </c>
      <c r="K130" s="1">
        <f t="array" ref="K130">INDEX(In_Cash_Other,1,COLUMN(K130)-COLUMN($C130)+1)*(1+CashDrv_Rev_Active)</f>
        <v>0</v>
      </c>
      <c r="L130" s="1">
        <f t="array" ref="L130">INDEX(In_Cash_Other,1,COLUMN(L130)-COLUMN($C130)+1)*(1+CashDrv_Rev_Active)</f>
        <v>6000</v>
      </c>
      <c r="M130" s="1">
        <f t="array" ref="M130">INDEX(In_Cash_Other,1,COLUMN(M130)-COLUMN($C130)+1)*(1+CashDrv_Rev_Active)</f>
        <v>0</v>
      </c>
      <c r="N130" s="1">
        <f t="array" ref="N130">INDEX(In_Cash_Other,1,COLUMN(N130)-COLUMN($C130)+1)*(1+CashDrv_Rev_Active)</f>
        <v>0</v>
      </c>
      <c r="O130" s="1">
        <f t="array" ref="O130">INDEX(In_Cash_Other,1,COLUMN(O130)-COLUMN($C130)+1)*(1+CashDrv_Rev_Active)</f>
        <v>0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x14ac:dyDescent="0.2">
      <c r="A131" s="1"/>
      <c r="B131" s="1" t="s">
        <v>28</v>
      </c>
      <c r="C131" s="1">
        <f t="array" ref="C131">INDEX(In_Cash_Payroll,1,COLUMN(C131)-COLUMN($C131)+1)</f>
        <v>-98000</v>
      </c>
      <c r="D131" s="1">
        <f t="array" ref="D131">INDEX(In_Cash_Payroll,1,COLUMN(D131)-COLUMN($C131)+1)</f>
        <v>0</v>
      </c>
      <c r="E131" s="1">
        <f t="array" ref="E131">INDEX(In_Cash_Payroll,1,COLUMN(E131)-COLUMN($C131)+1)</f>
        <v>-98000</v>
      </c>
      <c r="F131" s="1">
        <f t="array" ref="F131">INDEX(In_Cash_Payroll,1,COLUMN(F131)-COLUMN($C131)+1)</f>
        <v>0</v>
      </c>
      <c r="G131" s="1">
        <f t="array" ref="G131">INDEX(In_Cash_Payroll,1,COLUMN(G131)-COLUMN($C131)+1)</f>
        <v>-98000</v>
      </c>
      <c r="H131" s="1">
        <f t="array" ref="H131">INDEX(In_Cash_Payroll,1,COLUMN(H131)-COLUMN($C131)+1)</f>
        <v>0</v>
      </c>
      <c r="I131" s="1">
        <f t="array" ref="I131">INDEX(In_Cash_Payroll,1,COLUMN(I131)-COLUMN($C131)+1)</f>
        <v>-98000</v>
      </c>
      <c r="J131" s="1">
        <f t="array" ref="J131">INDEX(In_Cash_Payroll,1,COLUMN(J131)-COLUMN($C131)+1)</f>
        <v>0</v>
      </c>
      <c r="K131" s="1">
        <f t="array" ref="K131">INDEX(In_Cash_Payroll,1,COLUMN(K131)-COLUMN($C131)+1)</f>
        <v>-98000</v>
      </c>
      <c r="L131" s="1">
        <f t="array" ref="L131">INDEX(In_Cash_Payroll,1,COLUMN(L131)-COLUMN($C131)+1)</f>
        <v>0</v>
      </c>
      <c r="M131" s="1">
        <f t="array" ref="M131">INDEX(In_Cash_Payroll,1,COLUMN(M131)-COLUMN($C131)+1)</f>
        <v>-98000</v>
      </c>
      <c r="N131" s="1">
        <f t="array" ref="N131">INDEX(In_Cash_Payroll,1,COLUMN(N131)-COLUMN($C131)+1)</f>
        <v>0</v>
      </c>
      <c r="O131" s="1">
        <f t="array" ref="O131">INDEX(In_Cash_Payroll,1,COLUMN(O131)-COLUMN($C131)+1)</f>
        <v>-98000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x14ac:dyDescent="0.2">
      <c r="A132" s="1"/>
      <c r="B132" s="1" t="s">
        <v>29</v>
      </c>
      <c r="C132" s="1">
        <f t="array" ref="C132">INDEX(In_Cash_Suppliers,1,COLUMN(C132)-COLUMN($C132)+1)*(1+CashDrv_Disc_Active)</f>
        <v>-42000</v>
      </c>
      <c r="D132" s="1">
        <f t="array" ref="D132">INDEX(In_Cash_Suppliers,1,COLUMN(D132)-COLUMN($C132)+1)*(1+CashDrv_Disc_Active)</f>
        <v>-55000</v>
      </c>
      <c r="E132" s="1">
        <f t="array" ref="E132">INDEX(In_Cash_Suppliers,1,COLUMN(E132)-COLUMN($C132)+1)*(1+CashDrv_Disc_Active)</f>
        <v>-9000</v>
      </c>
      <c r="F132" s="1">
        <f t="array" ref="F132">INDEX(In_Cash_Suppliers,1,COLUMN(F132)-COLUMN($C132)+1)*(1+CashDrv_Disc_Active)</f>
        <v>-6500</v>
      </c>
      <c r="G132" s="1">
        <f t="array" ref="G132">INDEX(In_Cash_Suppliers,1,COLUMN(G132)-COLUMN($C132)+1)*(1+CashDrv_Disc_Active)</f>
        <v>-30000</v>
      </c>
      <c r="H132" s="1">
        <f t="array" ref="H132">INDEX(In_Cash_Suppliers,1,COLUMN(H132)-COLUMN($C132)+1)*(1+CashDrv_Disc_Active)</f>
        <v>-14000</v>
      </c>
      <c r="I132" s="1">
        <f t="array" ref="I132">INDEX(In_Cash_Suppliers,1,COLUMN(I132)-COLUMN($C132)+1)*(1+CashDrv_Disc_Active)</f>
        <v>-12000</v>
      </c>
      <c r="J132" s="1">
        <f t="array" ref="J132">INDEX(In_Cash_Suppliers,1,COLUMN(J132)-COLUMN($C132)+1)*(1+CashDrv_Disc_Active)</f>
        <v>0</v>
      </c>
      <c r="K132" s="1">
        <f t="array" ref="K132">INDEX(In_Cash_Suppliers,1,COLUMN(K132)-COLUMN($C132)+1)*(1+CashDrv_Disc_Active)</f>
        <v>-8000</v>
      </c>
      <c r="L132" s="1">
        <f t="array" ref="L132">INDEX(In_Cash_Suppliers,1,COLUMN(L132)-COLUMN($C132)+1)*(1+CashDrv_Disc_Active)</f>
        <v>-48000</v>
      </c>
      <c r="M132" s="1">
        <f t="array" ref="M132">INDEX(In_Cash_Suppliers,1,COLUMN(M132)-COLUMN($C132)+1)*(1+CashDrv_Disc_Active)</f>
        <v>0</v>
      </c>
      <c r="N132" s="1">
        <f t="array" ref="N132">INDEX(In_Cash_Suppliers,1,COLUMN(N132)-COLUMN($C132)+1)*(1+CashDrv_Disc_Active)</f>
        <v>-11000</v>
      </c>
      <c r="O132" s="1">
        <f t="array" ref="O132">INDEX(In_Cash_Suppliers,1,COLUMN(O132)-COLUMN($C132)+1)*(1+CashDrv_Disc_Active)</f>
        <v>0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x14ac:dyDescent="0.2">
      <c r="A133" s="1"/>
      <c r="B133" s="1" t="s">
        <v>30</v>
      </c>
      <c r="C133" s="1">
        <f t="array" ref="C133">INDEX(In_Cash_Tax,1,COLUMN(C133)-COLUMN($C133)+1)</f>
        <v>-18000</v>
      </c>
      <c r="D133" s="1">
        <f t="array" ref="D133">INDEX(In_Cash_Tax,1,COLUMN(D133)-COLUMN($C133)+1)</f>
        <v>0</v>
      </c>
      <c r="E133" s="1">
        <f t="array" ref="E133">INDEX(In_Cash_Tax,1,COLUMN(E133)-COLUMN($C133)+1)</f>
        <v>0</v>
      </c>
      <c r="F133" s="1">
        <f t="array" ref="F133">INDEX(In_Cash_Tax,1,COLUMN(F133)-COLUMN($C133)+1)</f>
        <v>0</v>
      </c>
      <c r="G133" s="1">
        <f t="array" ref="G133">INDEX(In_Cash_Tax,1,COLUMN(G133)-COLUMN($C133)+1)</f>
        <v>0</v>
      </c>
      <c r="H133" s="1">
        <f t="array" ref="H133">INDEX(In_Cash_Tax,1,COLUMN(H133)-COLUMN($C133)+1)</f>
        <v>-18000</v>
      </c>
      <c r="I133" s="1">
        <f t="array" ref="I133">INDEX(In_Cash_Tax,1,COLUMN(I133)-COLUMN($C133)+1)</f>
        <v>0</v>
      </c>
      <c r="J133" s="1">
        <f t="array" ref="J133">INDEX(In_Cash_Tax,1,COLUMN(J133)-COLUMN($C133)+1)</f>
        <v>-142000</v>
      </c>
      <c r="K133" s="1">
        <f t="array" ref="K133">INDEX(In_Cash_Tax,1,COLUMN(K133)-COLUMN($C133)+1)</f>
        <v>-96000</v>
      </c>
      <c r="L133" s="1">
        <f t="array" ref="L133">INDEX(In_Cash_Tax,1,COLUMN(L133)-COLUMN($C133)+1)</f>
        <v>0</v>
      </c>
      <c r="M133" s="1">
        <f t="array" ref="M133">INDEX(In_Cash_Tax,1,COLUMN(M133)-COLUMN($C133)+1)</f>
        <v>0</v>
      </c>
      <c r="N133" s="1">
        <f t="array" ref="N133">INDEX(In_Cash_Tax,1,COLUMN(N133)-COLUMN($C133)+1)</f>
        <v>0</v>
      </c>
      <c r="O133" s="1">
        <f t="array" ref="O133">INDEX(In_Cash_Tax,1,COLUMN(O133)-COLUMN($C133)+1)</f>
        <v>0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x14ac:dyDescent="0.2">
      <c r="A134" s="1"/>
      <c r="B134" s="1" t="s">
        <v>31</v>
      </c>
      <c r="C134" s="1">
        <f t="array" ref="C134">INDEX(In_Cash_Debt,1,COLUMN(C134)-COLUMN($C134)+1)</f>
        <v>-8500</v>
      </c>
      <c r="D134" s="1">
        <f t="array" ref="D134">INDEX(In_Cash_Debt,1,COLUMN(D134)-COLUMN($C134)+1)</f>
        <v>0</v>
      </c>
      <c r="E134" s="1">
        <f t="array" ref="E134">INDEX(In_Cash_Debt,1,COLUMN(E134)-COLUMN($C134)+1)</f>
        <v>0</v>
      </c>
      <c r="F134" s="1">
        <f t="array" ref="F134">INDEX(In_Cash_Debt,1,COLUMN(F134)-COLUMN($C134)+1)</f>
        <v>0</v>
      </c>
      <c r="G134" s="1">
        <f t="array" ref="G134">INDEX(In_Cash_Debt,1,COLUMN(G134)-COLUMN($C134)+1)</f>
        <v>-8500</v>
      </c>
      <c r="H134" s="1">
        <f t="array" ref="H134">INDEX(In_Cash_Debt,1,COLUMN(H134)-COLUMN($C134)+1)</f>
        <v>0</v>
      </c>
      <c r="I134" s="1">
        <f t="array" ref="I134">INDEX(In_Cash_Debt,1,COLUMN(I134)-COLUMN($C134)+1)</f>
        <v>0</v>
      </c>
      <c r="J134" s="1">
        <f t="array" ref="J134">INDEX(In_Cash_Debt,1,COLUMN(J134)-COLUMN($C134)+1)</f>
        <v>0</v>
      </c>
      <c r="K134" s="1">
        <f t="array" ref="K134">INDEX(In_Cash_Debt,1,COLUMN(K134)-COLUMN($C134)+1)</f>
        <v>-8500</v>
      </c>
      <c r="L134" s="1">
        <f t="array" ref="L134">INDEX(In_Cash_Debt,1,COLUMN(L134)-COLUMN($C134)+1)</f>
        <v>0</v>
      </c>
      <c r="M134" s="1">
        <f t="array" ref="M134">INDEX(In_Cash_Debt,1,COLUMN(M134)-COLUMN($C134)+1)</f>
        <v>0</v>
      </c>
      <c r="N134" s="1">
        <f t="array" ref="N134">INDEX(In_Cash_Debt,1,COLUMN(N134)-COLUMN($C134)+1)</f>
        <v>0</v>
      </c>
      <c r="O134" s="1">
        <f t="array" ref="O134">INDEX(In_Cash_Debt,1,COLUMN(O134)-COLUMN($C134)+1)</f>
        <v>-8500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x14ac:dyDescent="0.2">
      <c r="A135" s="1"/>
      <c r="B135" s="1" t="s">
        <v>32</v>
      </c>
      <c r="C135" s="1">
        <f t="array" ref="C135">INDEX(In_Cash_Recurring,1,COLUMN(C135)-COLUMN($C135)+1)*(1+CashDrv_Disc_Active)</f>
        <v>-23100</v>
      </c>
      <c r="D135" s="1">
        <f t="array" ref="D135">INDEX(In_Cash_Recurring,1,COLUMN(D135)-COLUMN($C135)+1)*(1+CashDrv_Disc_Active)</f>
        <v>-1100</v>
      </c>
      <c r="E135" s="1">
        <f t="array" ref="E135">INDEX(In_Cash_Recurring,1,COLUMN(E135)-COLUMN($C135)+1)*(1+CashDrv_Disc_Active)</f>
        <v>-6900</v>
      </c>
      <c r="F135" s="1">
        <f t="array" ref="F135">INDEX(In_Cash_Recurring,1,COLUMN(F135)-COLUMN($C135)+1)*(1+CashDrv_Disc_Active)</f>
        <v>-1100</v>
      </c>
      <c r="G135" s="1">
        <f t="array" ref="G135">INDEX(In_Cash_Recurring,1,COLUMN(G135)-COLUMN($C135)+1)*(1+CashDrv_Disc_Active)</f>
        <v>-23100</v>
      </c>
      <c r="H135" s="1">
        <f t="array" ref="H135">INDEX(In_Cash_Recurring,1,COLUMN(H135)-COLUMN($C135)+1)*(1+CashDrv_Disc_Active)</f>
        <v>-1100</v>
      </c>
      <c r="I135" s="1">
        <f t="array" ref="I135">INDEX(In_Cash_Recurring,1,COLUMN(I135)-COLUMN($C135)+1)*(1+CashDrv_Disc_Active)</f>
        <v>-6900</v>
      </c>
      <c r="J135" s="1">
        <f t="array" ref="J135">INDEX(In_Cash_Recurring,1,COLUMN(J135)-COLUMN($C135)+1)*(1+CashDrv_Disc_Active)</f>
        <v>-1100</v>
      </c>
      <c r="K135" s="1">
        <f t="array" ref="K135">INDEX(In_Cash_Recurring,1,COLUMN(K135)-COLUMN($C135)+1)*(1+CashDrv_Disc_Active)</f>
        <v>-23100</v>
      </c>
      <c r="L135" s="1">
        <f t="array" ref="L135">INDEX(In_Cash_Recurring,1,COLUMN(L135)-COLUMN($C135)+1)*(1+CashDrv_Disc_Active)</f>
        <v>-1100</v>
      </c>
      <c r="M135" s="1">
        <f t="array" ref="M135">INDEX(In_Cash_Recurring,1,COLUMN(M135)-COLUMN($C135)+1)*(1+CashDrv_Disc_Active)</f>
        <v>-6900</v>
      </c>
      <c r="N135" s="1">
        <f t="array" ref="N135">INDEX(In_Cash_Recurring,1,COLUMN(N135)-COLUMN($C135)+1)*(1+CashDrv_Disc_Active)</f>
        <v>-1100</v>
      </c>
      <c r="O135" s="1">
        <f t="array" ref="O135">INDEX(In_Cash_Recurring,1,COLUMN(O135)-COLUMN($C135)+1)*(1+CashDrv_Disc_Active)</f>
        <v>-23100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x14ac:dyDescent="0.2">
      <c r="A136" s="1"/>
      <c r="B136" s="1" t="s">
        <v>33</v>
      </c>
      <c r="C136" s="1">
        <f t="array" ref="C136">IF(COLUMN(C136)-COLUMN($C136)+1-CashDrv_Capex_Active&lt;1,0,IF(COLUMN(C136)-COLUMN($C136)+1-CashDrv_Capex_Active&gt;13,0,INDEX(In_Cash_Capex,1,COLUMN(C136)-COLUMN($C136)+1-CashDrv_Capex_Active)))</f>
        <v>0</v>
      </c>
      <c r="D136" s="1">
        <f t="array" ref="D136">IF(COLUMN(D136)-COLUMN($C136)+1-CashDrv_Capex_Active&lt;1,0,IF(COLUMN(D136)-COLUMN($C136)+1-CashDrv_Capex_Active&gt;13,0,INDEX(In_Cash_Capex,1,COLUMN(D136)-COLUMN($C136)+1-CashDrv_Capex_Active)))</f>
        <v>0</v>
      </c>
      <c r="E136" s="1">
        <f t="array" ref="E136">IF(COLUMN(E136)-COLUMN($C136)+1-CashDrv_Capex_Active&lt;1,0,IF(COLUMN(E136)-COLUMN($C136)+1-CashDrv_Capex_Active&gt;13,0,INDEX(In_Cash_Capex,1,COLUMN(E136)-COLUMN($C136)+1-CashDrv_Capex_Active)))</f>
        <v>0</v>
      </c>
      <c r="F136" s="1">
        <f t="array" ref="F136">IF(COLUMN(F136)-COLUMN($C136)+1-CashDrv_Capex_Active&lt;1,0,IF(COLUMN(F136)-COLUMN($C136)+1-CashDrv_Capex_Active&gt;13,0,INDEX(In_Cash_Capex,1,COLUMN(F136)-COLUMN($C136)+1-CashDrv_Capex_Active)))</f>
        <v>0</v>
      </c>
      <c r="G136" s="1">
        <f t="array" ref="G136">IF(COLUMN(G136)-COLUMN($C136)+1-CashDrv_Capex_Active&lt;1,0,IF(COLUMN(G136)-COLUMN($C136)+1-CashDrv_Capex_Active&gt;13,0,INDEX(In_Cash_Capex,1,COLUMN(G136)-COLUMN($C136)+1-CashDrv_Capex_Active)))</f>
        <v>0</v>
      </c>
      <c r="H136" s="1">
        <f t="array" ref="H136">IF(COLUMN(H136)-COLUMN($C136)+1-CashDrv_Capex_Active&lt;1,0,IF(COLUMN(H136)-COLUMN($C136)+1-CashDrv_Capex_Active&gt;13,0,INDEX(In_Cash_Capex,1,COLUMN(H136)-COLUMN($C136)+1-CashDrv_Capex_Active)))</f>
        <v>0</v>
      </c>
      <c r="I136" s="1">
        <f t="array" ref="I136">IF(COLUMN(I136)-COLUMN($C136)+1-CashDrv_Capex_Active&lt;1,0,IF(COLUMN(I136)-COLUMN($C136)+1-CashDrv_Capex_Active&gt;13,0,INDEX(In_Cash_Capex,1,COLUMN(I136)-COLUMN($C136)+1-CashDrv_Capex_Active)))</f>
        <v>-130000</v>
      </c>
      <c r="J136" s="1">
        <f t="array" ref="J136">IF(COLUMN(J136)-COLUMN($C136)+1-CashDrv_Capex_Active&lt;1,0,IF(COLUMN(J136)-COLUMN($C136)+1-CashDrv_Capex_Active&gt;13,0,INDEX(In_Cash_Capex,1,COLUMN(J136)-COLUMN($C136)+1-CashDrv_Capex_Active)))</f>
        <v>0</v>
      </c>
      <c r="K136" s="1">
        <f t="array" ref="K136">IF(COLUMN(K136)-COLUMN($C136)+1-CashDrv_Capex_Active&lt;1,0,IF(COLUMN(K136)-COLUMN($C136)+1-CashDrv_Capex_Active&gt;13,0,INDEX(In_Cash_Capex,1,COLUMN(K136)-COLUMN($C136)+1-CashDrv_Capex_Active)))</f>
        <v>0</v>
      </c>
      <c r="L136" s="1">
        <f t="array" ref="L136">IF(COLUMN(L136)-COLUMN($C136)+1-CashDrv_Capex_Active&lt;1,0,IF(COLUMN(L136)-COLUMN($C136)+1-CashDrv_Capex_Active&gt;13,0,INDEX(In_Cash_Capex,1,COLUMN(L136)-COLUMN($C136)+1-CashDrv_Capex_Active)))</f>
        <v>0</v>
      </c>
      <c r="M136" s="1">
        <f t="array" ref="M136">IF(COLUMN(M136)-COLUMN($C136)+1-CashDrv_Capex_Active&lt;1,0,IF(COLUMN(M136)-COLUMN($C136)+1-CashDrv_Capex_Active&gt;13,0,INDEX(In_Cash_Capex,1,COLUMN(M136)-COLUMN($C136)+1-CashDrv_Capex_Active)))</f>
        <v>0</v>
      </c>
      <c r="N136" s="1">
        <f t="array" ref="N136">IF(COLUMN(N136)-COLUMN($C136)+1-CashDrv_Capex_Active&lt;1,0,IF(COLUMN(N136)-COLUMN($C136)+1-CashDrv_Capex_Active&gt;13,0,INDEX(In_Cash_Capex,1,COLUMN(N136)-COLUMN($C136)+1-CashDrv_Capex_Active)))</f>
        <v>0</v>
      </c>
      <c r="O136" s="1">
        <f t="array" ref="O136">IF(COLUMN(O136)-COLUMN($C136)+1-CashDrv_Capex_Active&lt;1,0,IF(COLUMN(O136)-COLUMN($C136)+1-CashDrv_Capex_Active&gt;13,0,INDEX(In_Cash_Capex,1,COLUMN(O136)-COLUMN($C136)+1-CashDrv_Capex_Active)))</f>
        <v>0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x14ac:dyDescent="0.2">
      <c r="A142" s="1"/>
      <c r="B142" s="24" t="s">
        <v>235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x14ac:dyDescent="0.2">
      <c r="A143" s="1"/>
      <c r="B143" s="1" t="s">
        <v>67</v>
      </c>
      <c r="C143" s="1" t="s">
        <v>10</v>
      </c>
      <c r="D143" s="1" t="s">
        <v>11</v>
      </c>
      <c r="E143" s="1" t="s">
        <v>12</v>
      </c>
      <c r="F143" s="1" t="s">
        <v>13</v>
      </c>
      <c r="G143" s="1" t="s">
        <v>14</v>
      </c>
      <c r="H143" s="1" t="s">
        <v>15</v>
      </c>
      <c r="I143" s="1" t="s">
        <v>16</v>
      </c>
      <c r="J143" s="1" t="s">
        <v>17</v>
      </c>
      <c r="K143" s="1" t="s">
        <v>18</v>
      </c>
      <c r="L143" s="1" t="s">
        <v>19</v>
      </c>
      <c r="M143" s="1" t="s">
        <v>20</v>
      </c>
      <c r="N143" s="1" t="s">
        <v>21</v>
      </c>
      <c r="O143" s="1" t="s">
        <v>22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x14ac:dyDescent="0.2">
      <c r="A144" s="1"/>
      <c r="B144" s="1" t="s">
        <v>25</v>
      </c>
      <c r="C144" s="1">
        <f t="shared" ref="C144:O151" si="10">SUMIFS($J$55:$J$64,$H$55:$H$64,$B144,$G$55:$G$64,"W"&amp;(COLUMN(C144)-COLUMN($C144)+1),$B$55:$B$64,"ON")</f>
        <v>0</v>
      </c>
      <c r="D144" s="1">
        <f t="shared" si="10"/>
        <v>0</v>
      </c>
      <c r="E144" s="1">
        <f t="shared" si="10"/>
        <v>0</v>
      </c>
      <c r="F144" s="1">
        <f t="shared" si="10"/>
        <v>0</v>
      </c>
      <c r="G144" s="1">
        <f t="shared" si="10"/>
        <v>0</v>
      </c>
      <c r="H144" s="1">
        <f t="shared" si="10"/>
        <v>0</v>
      </c>
      <c r="I144" s="1">
        <f t="shared" si="10"/>
        <v>0</v>
      </c>
      <c r="J144" s="1">
        <f t="shared" si="10"/>
        <v>0</v>
      </c>
      <c r="K144" s="1">
        <f t="shared" si="10"/>
        <v>0</v>
      </c>
      <c r="L144" s="1">
        <f t="shared" si="10"/>
        <v>0</v>
      </c>
      <c r="M144" s="1">
        <f t="shared" si="10"/>
        <v>0</v>
      </c>
      <c r="N144" s="1">
        <f t="shared" si="10"/>
        <v>0</v>
      </c>
      <c r="O144" s="1">
        <f t="shared" si="10"/>
        <v>0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x14ac:dyDescent="0.2">
      <c r="A145" s="1"/>
      <c r="B145" s="1" t="s">
        <v>26</v>
      </c>
      <c r="C145" s="1">
        <f t="shared" si="10"/>
        <v>0</v>
      </c>
      <c r="D145" s="1">
        <f t="shared" si="10"/>
        <v>0</v>
      </c>
      <c r="E145" s="1">
        <f t="shared" si="10"/>
        <v>0</v>
      </c>
      <c r="F145" s="1">
        <f t="shared" si="10"/>
        <v>0</v>
      </c>
      <c r="G145" s="1">
        <f t="shared" si="10"/>
        <v>0</v>
      </c>
      <c r="H145" s="1">
        <f t="shared" si="10"/>
        <v>0</v>
      </c>
      <c r="I145" s="1">
        <f t="shared" si="10"/>
        <v>0</v>
      </c>
      <c r="J145" s="1">
        <f t="shared" si="10"/>
        <v>0</v>
      </c>
      <c r="K145" s="1">
        <f t="shared" si="10"/>
        <v>0</v>
      </c>
      <c r="L145" s="1">
        <f t="shared" si="10"/>
        <v>0</v>
      </c>
      <c r="M145" s="1">
        <f t="shared" si="10"/>
        <v>0</v>
      </c>
      <c r="N145" s="1">
        <f t="shared" si="10"/>
        <v>0</v>
      </c>
      <c r="O145" s="1">
        <f t="shared" si="10"/>
        <v>0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x14ac:dyDescent="0.2">
      <c r="A146" s="1"/>
      <c r="B146" s="1" t="s">
        <v>28</v>
      </c>
      <c r="C146" s="1">
        <f t="shared" si="10"/>
        <v>0</v>
      </c>
      <c r="D146" s="1">
        <f t="shared" si="10"/>
        <v>0</v>
      </c>
      <c r="E146" s="1">
        <f t="shared" si="10"/>
        <v>0</v>
      </c>
      <c r="F146" s="1">
        <f t="shared" si="10"/>
        <v>0</v>
      </c>
      <c r="G146" s="1">
        <f t="shared" si="10"/>
        <v>0</v>
      </c>
      <c r="H146" s="1">
        <f t="shared" si="10"/>
        <v>0</v>
      </c>
      <c r="I146" s="1">
        <f t="shared" si="10"/>
        <v>0</v>
      </c>
      <c r="J146" s="1">
        <f t="shared" si="10"/>
        <v>0</v>
      </c>
      <c r="K146" s="1">
        <f t="shared" si="10"/>
        <v>0</v>
      </c>
      <c r="L146" s="1">
        <f t="shared" si="10"/>
        <v>0</v>
      </c>
      <c r="M146" s="1">
        <f t="shared" si="10"/>
        <v>0</v>
      </c>
      <c r="N146" s="1">
        <f t="shared" si="10"/>
        <v>0</v>
      </c>
      <c r="O146" s="1">
        <f t="shared" si="10"/>
        <v>0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x14ac:dyDescent="0.2">
      <c r="A147" s="1"/>
      <c r="B147" s="1" t="s">
        <v>29</v>
      </c>
      <c r="C147" s="1">
        <f t="shared" si="10"/>
        <v>0</v>
      </c>
      <c r="D147" s="1">
        <f t="shared" si="10"/>
        <v>0</v>
      </c>
      <c r="E147" s="1">
        <f t="shared" si="10"/>
        <v>0</v>
      </c>
      <c r="F147" s="1">
        <f t="shared" si="10"/>
        <v>0</v>
      </c>
      <c r="G147" s="1">
        <f t="shared" si="10"/>
        <v>0</v>
      </c>
      <c r="H147" s="1">
        <f t="shared" si="10"/>
        <v>0</v>
      </c>
      <c r="I147" s="1">
        <f t="shared" si="10"/>
        <v>0</v>
      </c>
      <c r="J147" s="1">
        <f t="shared" si="10"/>
        <v>0</v>
      </c>
      <c r="K147" s="1">
        <f t="shared" si="10"/>
        <v>0</v>
      </c>
      <c r="L147" s="1">
        <f t="shared" si="10"/>
        <v>0</v>
      </c>
      <c r="M147" s="1">
        <f t="shared" si="10"/>
        <v>0</v>
      </c>
      <c r="N147" s="1">
        <f t="shared" si="10"/>
        <v>0</v>
      </c>
      <c r="O147" s="1">
        <f t="shared" si="10"/>
        <v>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x14ac:dyDescent="0.2">
      <c r="A148" s="1"/>
      <c r="B148" s="1" t="s">
        <v>30</v>
      </c>
      <c r="C148" s="1">
        <f t="shared" si="10"/>
        <v>0</v>
      </c>
      <c r="D148" s="1">
        <f t="shared" si="10"/>
        <v>0</v>
      </c>
      <c r="E148" s="1">
        <f t="shared" si="10"/>
        <v>0</v>
      </c>
      <c r="F148" s="1">
        <f t="shared" si="10"/>
        <v>0</v>
      </c>
      <c r="G148" s="1">
        <f t="shared" si="10"/>
        <v>0</v>
      </c>
      <c r="H148" s="1">
        <f t="shared" si="10"/>
        <v>0</v>
      </c>
      <c r="I148" s="1">
        <f t="shared" si="10"/>
        <v>0</v>
      </c>
      <c r="J148" s="1">
        <f t="shared" si="10"/>
        <v>0</v>
      </c>
      <c r="K148" s="1">
        <f t="shared" si="10"/>
        <v>0</v>
      </c>
      <c r="L148" s="1">
        <f t="shared" si="10"/>
        <v>0</v>
      </c>
      <c r="M148" s="1">
        <f t="shared" si="10"/>
        <v>0</v>
      </c>
      <c r="N148" s="1">
        <f t="shared" si="10"/>
        <v>0</v>
      </c>
      <c r="O148" s="1">
        <f t="shared" si="10"/>
        <v>0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x14ac:dyDescent="0.2">
      <c r="A149" s="1"/>
      <c r="B149" s="1" t="s">
        <v>31</v>
      </c>
      <c r="C149" s="1">
        <f t="shared" si="10"/>
        <v>0</v>
      </c>
      <c r="D149" s="1">
        <f t="shared" si="10"/>
        <v>0</v>
      </c>
      <c r="E149" s="1">
        <f t="shared" si="10"/>
        <v>0</v>
      </c>
      <c r="F149" s="1">
        <f t="shared" si="10"/>
        <v>0</v>
      </c>
      <c r="G149" s="1">
        <f t="shared" si="10"/>
        <v>0</v>
      </c>
      <c r="H149" s="1">
        <f t="shared" si="10"/>
        <v>0</v>
      </c>
      <c r="I149" s="1">
        <f t="shared" si="10"/>
        <v>0</v>
      </c>
      <c r="J149" s="1">
        <f t="shared" si="10"/>
        <v>0</v>
      </c>
      <c r="K149" s="1">
        <f t="shared" si="10"/>
        <v>0</v>
      </c>
      <c r="L149" s="1">
        <f t="shared" si="10"/>
        <v>0</v>
      </c>
      <c r="M149" s="1">
        <f t="shared" si="10"/>
        <v>0</v>
      </c>
      <c r="N149" s="1">
        <f t="shared" si="10"/>
        <v>0</v>
      </c>
      <c r="O149" s="1">
        <f t="shared" si="10"/>
        <v>0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x14ac:dyDescent="0.2">
      <c r="A150" s="1"/>
      <c r="B150" s="1" t="s">
        <v>32</v>
      </c>
      <c r="C150" s="1">
        <f t="shared" si="10"/>
        <v>0</v>
      </c>
      <c r="D150" s="1">
        <f t="shared" si="10"/>
        <v>0</v>
      </c>
      <c r="E150" s="1">
        <f t="shared" si="10"/>
        <v>0</v>
      </c>
      <c r="F150" s="1">
        <f t="shared" si="10"/>
        <v>0</v>
      </c>
      <c r="G150" s="1">
        <f t="shared" si="10"/>
        <v>0</v>
      </c>
      <c r="H150" s="1">
        <f t="shared" si="10"/>
        <v>0</v>
      </c>
      <c r="I150" s="1">
        <f t="shared" si="10"/>
        <v>0</v>
      </c>
      <c r="J150" s="1">
        <f t="shared" si="10"/>
        <v>0</v>
      </c>
      <c r="K150" s="1">
        <f t="shared" si="10"/>
        <v>0</v>
      </c>
      <c r="L150" s="1">
        <f t="shared" si="10"/>
        <v>0</v>
      </c>
      <c r="M150" s="1">
        <f t="shared" si="10"/>
        <v>0</v>
      </c>
      <c r="N150" s="1">
        <f t="shared" si="10"/>
        <v>0</v>
      </c>
      <c r="O150" s="1">
        <f t="shared" si="10"/>
        <v>0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x14ac:dyDescent="0.2">
      <c r="A151" s="1"/>
      <c r="B151" s="1" t="s">
        <v>33</v>
      </c>
      <c r="C151" s="1">
        <f t="shared" si="10"/>
        <v>0</v>
      </c>
      <c r="D151" s="1">
        <f t="shared" si="10"/>
        <v>0</v>
      </c>
      <c r="E151" s="1">
        <f t="shared" si="10"/>
        <v>0</v>
      </c>
      <c r="F151" s="1">
        <f t="shared" si="10"/>
        <v>0</v>
      </c>
      <c r="G151" s="1">
        <f t="shared" si="10"/>
        <v>0</v>
      </c>
      <c r="H151" s="1">
        <f t="shared" si="10"/>
        <v>0</v>
      </c>
      <c r="I151" s="1">
        <f t="shared" si="10"/>
        <v>0</v>
      </c>
      <c r="J151" s="1">
        <f t="shared" si="10"/>
        <v>0</v>
      </c>
      <c r="K151" s="1">
        <f t="shared" si="10"/>
        <v>0</v>
      </c>
      <c r="L151" s="1">
        <f t="shared" si="10"/>
        <v>0</v>
      </c>
      <c r="M151" s="1">
        <f t="shared" si="10"/>
        <v>0</v>
      </c>
      <c r="N151" s="1">
        <f t="shared" si="10"/>
        <v>0</v>
      </c>
      <c r="O151" s="1">
        <f t="shared" si="10"/>
        <v>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3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3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3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3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3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3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</sheetData>
  <mergeCells count="12">
    <mergeCell ref="B82:E82"/>
    <mergeCell ref="D46:O46"/>
    <mergeCell ref="B26:O26"/>
    <mergeCell ref="B29:O29"/>
    <mergeCell ref="B32:O32"/>
    <mergeCell ref="B43:O43"/>
    <mergeCell ref="B45:O45"/>
    <mergeCell ref="D47:O47"/>
    <mergeCell ref="D48:O48"/>
    <mergeCell ref="D49:O49"/>
    <mergeCell ref="D50:O50"/>
    <mergeCell ref="D51:O51"/>
  </mergeCells>
  <conditionalFormatting sqref="B55:B64">
    <cfRule type="cellIs" dxfId="8" priority="2" operator="equal">
      <formula>"ON"</formula>
    </cfRule>
    <cfRule type="cellIs" dxfId="7" priority="3" operator="equal">
      <formula>"off"</formula>
    </cfRule>
  </conditionalFormatting>
  <conditionalFormatting sqref="C55:C64">
    <cfRule type="expression" dxfId="6" priority="4">
      <formula>$B55="ON"</formula>
    </cfRule>
  </conditionalFormatting>
  <conditionalFormatting sqref="G55:G64">
    <cfRule type="expression" dxfId="4" priority="5">
      <formula>$B55="ON"</formula>
    </cfRule>
  </conditionalFormatting>
  <conditionalFormatting sqref="H55:H64">
    <cfRule type="expression" dxfId="3" priority="6">
      <formula>$B55="ON"</formula>
    </cfRule>
  </conditionalFormatting>
  <conditionalFormatting sqref="J55:J64">
    <cfRule type="expression" dxfId="2" priority="8">
      <formula>AND($B55="ON",J55&gt;0)</formula>
    </cfRule>
    <cfRule type="expression" dxfId="1" priority="9">
      <formula>AND($B55="ON",J55&lt;0)</formula>
    </cfRule>
  </conditionalFormatting>
  <conditionalFormatting sqref="K55:K64">
    <cfRule type="expression" dxfId="0" priority="7">
      <formula>$B55="ON"</formula>
    </cfRule>
  </conditionalFormatting>
  <dataValidations count="3">
    <dataValidation type="list" allowBlank="1" showInputMessage="1" showErrorMessage="1" errorTitle="Invalid week" error="Pick W1–W13" sqref="G55:G64" xr:uid="{FA70A60A-7CA7-0A4B-8A64-840998AF401F}">
      <formula1>$C$27:$O$27</formula1>
    </dataValidation>
    <dataValidation type="list" allowBlank="1" showInputMessage="1" showErrorMessage="1" errorTitle="Invalid override state" error="Choose ON or off" sqref="B55:B64" xr:uid="{4FE87A54-7720-3444-B2CC-F2B079A3028B}">
      <formula1>"ON,off"</formula1>
    </dataValidation>
    <dataValidation type="list" allowBlank="1" showInputMessage="1" showErrorMessage="1" errorTitle="Invalid scenario" error="Pick Base, Downside, or Upside." sqref="C5" xr:uid="{86F07658-AB02-DE48-9E5A-DC5757691D0E}">
      <formula1>"Base,Downside,Upside"</formula1>
    </dataValidation>
  </dataValidations>
  <hyperlinks>
    <hyperlink ref="B82" r:id="rId1" display="Want this run on your real numbers, not a sample? Book a fit call → infraxus.com/book" xr:uid="{A8F26A48-D4BD-3745-84F1-759ADAC12B94}"/>
  </hyperlinks>
  <printOptions horizontalCentered="1"/>
  <pageMargins left="0.4" right="0.4" top="0.5" bottom="0.5" header="0.3" footer="0.3"/>
  <pageSetup orientation="landscape"/>
  <headerFooter>
    <oddHeader>&amp;C&amp;10 &amp;K8896B3CASH · 13-WEEK FORWARD VIEW&amp;R&amp;9 &amp;K8896B3Infraxus · 13-Week Cash Flow</oddHeader>
    <oddFooter>&amp;L&amp;9 &amp;K8896B3Free template · no attribution required&amp;R&amp;9 &amp;K8896B3infraxus.com · Page &amp;P of &amp;N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701EE3AC-8D35-0E43-9C1D-A28F30BC970F}">
            <xm:f>AND(C$40&lt;&gt;"",C$40&lt;'Sample Inputs'!$C$12)</xm:f>
            <x14:dxf>
              <font>
                <b/>
                <i val="0"/>
                <color rgb="FFFF6B6B"/>
              </font>
              <fill>
                <patternFill patternType="solid">
                  <fgColor indexed="64"/>
                  <bgColor rgb="FF5A1A1F"/>
                </patternFill>
              </fill>
            </x14:dxf>
          </x14:cfRule>
          <xm:sqref>C40:O40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0FE9-FFA8-FF46-B8B7-503F1857B4BC}">
  <sheetPr>
    <tabColor rgb="FF8896B3"/>
  </sheetPr>
  <dimension ref="A1:AD201"/>
  <sheetViews>
    <sheetView showGridLines="0" zoomScale="130" workbookViewId="0">
      <pane xSplit="1" ySplit="6" topLeftCell="B7" activePane="bottomRight" state="frozen"/>
      <selection pane="topRight"/>
      <selection pane="bottomLeft"/>
      <selection pane="bottomRight" activeCell="S16" sqref="S16"/>
    </sheetView>
  </sheetViews>
  <sheetFormatPr baseColWidth="10" defaultColWidth="8.83203125" defaultRowHeight="15" x14ac:dyDescent="0.2"/>
  <cols>
    <col min="1" max="1" width="2" customWidth="1"/>
    <col min="2" max="2" width="34" customWidth="1"/>
    <col min="3" max="15" width="12.5" customWidth="1"/>
    <col min="16" max="16" width="3.6640625" customWidth="1"/>
  </cols>
  <sheetData>
    <row r="1" spans="1:30" ht="18" customHeight="1" x14ac:dyDescent="0.2">
      <c r="A1" s="156"/>
      <c r="B1" s="85"/>
      <c r="C1" s="85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20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0" customHeight="1" x14ac:dyDescent="0.2">
      <c r="A2" s="156"/>
      <c r="B2" s="86"/>
      <c r="C2" s="200" t="s">
        <v>244</v>
      </c>
      <c r="D2" s="93"/>
      <c r="E2" s="93"/>
      <c r="F2" s="93"/>
      <c r="G2" s="93"/>
      <c r="H2" s="93"/>
      <c r="I2" s="93"/>
      <c r="J2" s="93"/>
      <c r="K2" s="93"/>
      <c r="L2" s="93"/>
      <c r="M2" s="28"/>
      <c r="N2" s="93"/>
      <c r="O2" s="93"/>
      <c r="P2" s="207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" customHeight="1" x14ac:dyDescent="0.2">
      <c r="A3" s="28"/>
      <c r="B3" s="193" t="s">
        <v>242</v>
      </c>
      <c r="C3" s="193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0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6" customHeight="1" x14ac:dyDescent="0.2">
      <c r="A4" s="28"/>
      <c r="B4" s="202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0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6" customHeight="1" x14ac:dyDescent="0.2">
      <c r="A5" s="28"/>
      <c r="B5" s="87" t="s">
        <v>83</v>
      </c>
      <c r="C5" s="88" t="s">
        <v>84</v>
      </c>
      <c r="D5" s="89" t="s">
        <v>85</v>
      </c>
      <c r="E5" s="90" t="s">
        <v>84</v>
      </c>
      <c r="F5" s="89" t="s">
        <v>86</v>
      </c>
      <c r="G5" s="91" t="s">
        <v>84</v>
      </c>
      <c r="H5" s="89" t="s">
        <v>87</v>
      </c>
      <c r="I5" s="92" t="s">
        <v>84</v>
      </c>
      <c r="J5" s="89" t="s">
        <v>88</v>
      </c>
      <c r="K5" s="93"/>
      <c r="L5" s="93"/>
      <c r="M5" s="93"/>
      <c r="N5" s="93"/>
      <c r="O5" s="93"/>
      <c r="P5" s="20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6" customHeight="1" x14ac:dyDescent="0.2">
      <c r="A6" s="28"/>
      <c r="B6" s="203"/>
      <c r="C6" s="204"/>
      <c r="D6" s="28"/>
      <c r="E6" s="28"/>
      <c r="F6" s="205"/>
      <c r="G6" s="28"/>
      <c r="H6" s="28"/>
      <c r="I6" s="28"/>
      <c r="J6" s="28"/>
      <c r="K6" s="28"/>
      <c r="L6" s="28"/>
      <c r="M6" s="28"/>
      <c r="N6" s="28"/>
      <c r="O6" s="28"/>
      <c r="P6" s="207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16" customHeight="1" x14ac:dyDescent="0.2">
      <c r="A7" s="28"/>
      <c r="B7" s="202" t="s">
        <v>89</v>
      </c>
      <c r="C7" s="206"/>
      <c r="D7" s="28"/>
      <c r="E7" s="28"/>
      <c r="F7" s="205"/>
      <c r="G7" s="28"/>
      <c r="H7" s="28"/>
      <c r="I7" s="28"/>
      <c r="J7" s="28"/>
      <c r="K7" s="28"/>
      <c r="L7" s="28"/>
      <c r="M7" s="28"/>
      <c r="N7" s="28"/>
      <c r="O7" s="28"/>
      <c r="P7" s="20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16" customHeight="1" x14ac:dyDescent="0.2">
      <c r="A8" s="28"/>
      <c r="B8" s="97" t="s">
        <v>90</v>
      </c>
      <c r="C8" s="214" t="s">
        <v>91</v>
      </c>
      <c r="D8" s="215"/>
      <c r="E8" s="215"/>
      <c r="F8" s="215"/>
      <c r="G8" s="216"/>
      <c r="H8" s="47"/>
      <c r="I8" s="47"/>
      <c r="J8" s="47"/>
      <c r="K8" s="47"/>
      <c r="L8" s="47"/>
      <c r="M8" s="47"/>
      <c r="N8" s="47"/>
      <c r="O8" s="47"/>
      <c r="P8" s="207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16" customHeight="1" x14ac:dyDescent="0.2">
      <c r="A9" s="28"/>
      <c r="B9" s="97" t="s">
        <v>92</v>
      </c>
      <c r="C9" s="214" t="s">
        <v>93</v>
      </c>
      <c r="D9" s="216"/>
      <c r="E9" s="47"/>
      <c r="F9" s="51"/>
      <c r="G9" s="47"/>
      <c r="H9" s="47"/>
      <c r="I9" s="47"/>
      <c r="J9" s="47"/>
      <c r="K9" s="47"/>
      <c r="L9" s="47"/>
      <c r="M9" s="47"/>
      <c r="N9" s="47"/>
      <c r="O9" s="47"/>
      <c r="P9" s="20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16" customHeight="1" x14ac:dyDescent="0.2">
      <c r="A10" s="28"/>
      <c r="B10" s="97" t="s">
        <v>94</v>
      </c>
      <c r="C10" s="225">
        <v>46174</v>
      </c>
      <c r="D10" s="216"/>
      <c r="E10" s="47"/>
      <c r="F10" s="51"/>
      <c r="G10" s="47"/>
      <c r="H10" s="47"/>
      <c r="I10" s="47"/>
      <c r="J10" s="47"/>
      <c r="K10" s="47"/>
      <c r="L10" s="47"/>
      <c r="M10" s="47"/>
      <c r="N10" s="47"/>
      <c r="O10" s="47"/>
      <c r="P10" s="20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16" customHeight="1" x14ac:dyDescent="0.2">
      <c r="A11" s="28"/>
      <c r="B11" s="97" t="s">
        <v>95</v>
      </c>
      <c r="C11" s="220">
        <v>420000</v>
      </c>
      <c r="D11" s="216"/>
      <c r="E11" s="47"/>
      <c r="F11" s="51"/>
      <c r="G11" s="47"/>
      <c r="H11" s="47"/>
      <c r="I11" s="47"/>
      <c r="J11" s="47"/>
      <c r="K11" s="47"/>
      <c r="L11" s="47"/>
      <c r="M11" s="47"/>
      <c r="N11" s="47"/>
      <c r="O11" s="47"/>
      <c r="P11" s="20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16" customHeight="1" x14ac:dyDescent="0.2">
      <c r="A12" s="28"/>
      <c r="B12" s="97" t="s">
        <v>96</v>
      </c>
      <c r="C12" s="220">
        <v>250000</v>
      </c>
      <c r="D12" s="216"/>
      <c r="E12" s="56"/>
      <c r="F12" s="51"/>
      <c r="G12" s="47"/>
      <c r="H12" s="47"/>
      <c r="I12" s="47"/>
      <c r="J12" s="47"/>
      <c r="K12" s="47"/>
      <c r="L12" s="47"/>
      <c r="M12" s="47"/>
      <c r="N12" s="47"/>
      <c r="O12" s="47"/>
      <c r="P12" s="20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6" customHeight="1" x14ac:dyDescent="0.2">
      <c r="A13" s="28"/>
      <c r="B13" s="63"/>
      <c r="C13" s="53"/>
      <c r="D13" s="52"/>
      <c r="E13" s="57"/>
      <c r="F13" s="51"/>
      <c r="G13" s="47"/>
      <c r="H13" s="47"/>
      <c r="I13" s="47"/>
      <c r="J13" s="47"/>
      <c r="K13" s="47"/>
      <c r="L13" s="47"/>
      <c r="M13" s="47"/>
      <c r="N13" s="47"/>
      <c r="O13" s="47"/>
      <c r="P13" s="20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2" customHeight="1" x14ac:dyDescent="0.2">
      <c r="A14" s="28"/>
      <c r="B14" s="94" t="s">
        <v>97</v>
      </c>
      <c r="C14" s="101" t="s">
        <v>98</v>
      </c>
      <c r="D14" s="95"/>
      <c r="E14" s="102"/>
      <c r="F14" s="103"/>
      <c r="G14" s="93"/>
      <c r="H14" s="93"/>
      <c r="I14" s="93"/>
      <c r="J14" s="93"/>
      <c r="K14" s="93"/>
      <c r="L14" s="93"/>
      <c r="M14" s="93"/>
      <c r="N14" s="93"/>
      <c r="O14" s="93"/>
      <c r="P14" s="20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2" customHeight="1" x14ac:dyDescent="0.2">
      <c r="A15" s="28"/>
      <c r="B15" s="104" t="s">
        <v>99</v>
      </c>
      <c r="C15" s="136">
        <f>$C$10+7*0</f>
        <v>46174</v>
      </c>
      <c r="D15" s="136">
        <f>$C$10+7*1</f>
        <v>46181</v>
      </c>
      <c r="E15" s="136">
        <f>$C$10+7*2</f>
        <v>46188</v>
      </c>
      <c r="F15" s="136">
        <f>$C$10+7*3</f>
        <v>46195</v>
      </c>
      <c r="G15" s="136">
        <f>$C$10+7*4</f>
        <v>46202</v>
      </c>
      <c r="H15" s="136">
        <f>$C$10+7*5</f>
        <v>46209</v>
      </c>
      <c r="I15" s="136">
        <f>$C$10+7*6</f>
        <v>46216</v>
      </c>
      <c r="J15" s="136">
        <f>$C$10+7*7</f>
        <v>46223</v>
      </c>
      <c r="K15" s="136">
        <f>$C$10+7*8</f>
        <v>46230</v>
      </c>
      <c r="L15" s="136">
        <f>$C$10+7*9</f>
        <v>46237</v>
      </c>
      <c r="M15" s="136">
        <f>$C$10+7*10</f>
        <v>46244</v>
      </c>
      <c r="N15" s="136">
        <f>$C$10+7*11</f>
        <v>46251</v>
      </c>
      <c r="O15" s="136">
        <f>$C$10+7*12</f>
        <v>46258</v>
      </c>
      <c r="P15" s="20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18" customHeight="1" x14ac:dyDescent="0.2">
      <c r="A16" s="28"/>
      <c r="B16" s="97" t="s">
        <v>211</v>
      </c>
      <c r="C16" s="100">
        <v>95000</v>
      </c>
      <c r="D16" s="137"/>
      <c r="E16" s="138"/>
      <c r="F16" s="139"/>
      <c r="G16" s="127"/>
      <c r="H16" s="127"/>
      <c r="I16" s="127"/>
      <c r="J16" s="127"/>
      <c r="K16" s="127"/>
      <c r="L16" s="127"/>
      <c r="M16" s="127"/>
      <c r="N16" s="127"/>
      <c r="O16" s="127"/>
      <c r="P16" s="20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8" customHeight="1" x14ac:dyDescent="0.2">
      <c r="A17" s="28"/>
      <c r="B17" s="97" t="s">
        <v>212</v>
      </c>
      <c r="C17" s="140"/>
      <c r="D17" s="100">
        <v>62000</v>
      </c>
      <c r="E17" s="138"/>
      <c r="F17" s="139"/>
      <c r="G17" s="127"/>
      <c r="H17" s="127"/>
      <c r="I17" s="127"/>
      <c r="J17" s="127"/>
      <c r="K17" s="127"/>
      <c r="L17" s="127"/>
      <c r="M17" s="127"/>
      <c r="N17" s="127"/>
      <c r="O17" s="127"/>
      <c r="P17" s="20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8" customHeight="1" x14ac:dyDescent="0.2">
      <c r="A18" s="28"/>
      <c r="B18" s="97" t="s">
        <v>213</v>
      </c>
      <c r="C18" s="140"/>
      <c r="D18" s="137"/>
      <c r="E18" s="100">
        <v>40000</v>
      </c>
      <c r="F18" s="139"/>
      <c r="G18" s="127"/>
      <c r="H18" s="127"/>
      <c r="I18" s="127"/>
      <c r="J18" s="127"/>
      <c r="K18" s="127"/>
      <c r="L18" s="127"/>
      <c r="M18" s="127"/>
      <c r="N18" s="127"/>
      <c r="O18" s="127"/>
      <c r="P18" s="20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18" customHeight="1" x14ac:dyDescent="0.2">
      <c r="A19" s="28"/>
      <c r="B19" s="97" t="s">
        <v>214</v>
      </c>
      <c r="C19" s="140"/>
      <c r="D19" s="137"/>
      <c r="E19" s="138"/>
      <c r="F19" s="100">
        <v>28000</v>
      </c>
      <c r="G19" s="127"/>
      <c r="H19" s="127"/>
      <c r="I19" s="127"/>
      <c r="J19" s="127"/>
      <c r="K19" s="127"/>
      <c r="L19" s="127"/>
      <c r="M19" s="127"/>
      <c r="N19" s="127"/>
      <c r="O19" s="127"/>
      <c r="P19" s="20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18" customHeight="1" x14ac:dyDescent="0.2">
      <c r="A20" s="28"/>
      <c r="B20" s="97" t="s">
        <v>215</v>
      </c>
      <c r="C20" s="140"/>
      <c r="D20" s="137"/>
      <c r="E20" s="138"/>
      <c r="F20" s="141"/>
      <c r="G20" s="100">
        <v>33000</v>
      </c>
      <c r="H20" s="141"/>
      <c r="I20" s="141"/>
      <c r="J20" s="141"/>
      <c r="K20" s="141"/>
      <c r="L20" s="141"/>
      <c r="M20" s="141"/>
      <c r="N20" s="141"/>
      <c r="O20" s="141"/>
      <c r="P20" s="207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18" customHeight="1" x14ac:dyDescent="0.2">
      <c r="A21" s="28"/>
      <c r="B21" s="97" t="s">
        <v>216</v>
      </c>
      <c r="C21" s="140"/>
      <c r="D21" s="137"/>
      <c r="E21" s="138"/>
      <c r="F21" s="142"/>
      <c r="G21" s="142"/>
      <c r="H21" s="100">
        <v>88000</v>
      </c>
      <c r="I21" s="142"/>
      <c r="J21" s="142"/>
      <c r="K21" s="142"/>
      <c r="L21" s="142"/>
      <c r="M21" s="142"/>
      <c r="N21" s="142"/>
      <c r="O21" s="142"/>
      <c r="P21" s="207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18" customHeight="1" x14ac:dyDescent="0.2">
      <c r="A22" s="28"/>
      <c r="B22" s="97" t="s">
        <v>217</v>
      </c>
      <c r="C22" s="140"/>
      <c r="D22" s="137"/>
      <c r="E22" s="138"/>
      <c r="F22" s="142"/>
      <c r="G22" s="142"/>
      <c r="H22" s="142"/>
      <c r="I22" s="100">
        <v>16000</v>
      </c>
      <c r="J22" s="142"/>
      <c r="K22" s="142"/>
      <c r="L22" s="142"/>
      <c r="M22" s="142"/>
      <c r="N22" s="142"/>
      <c r="O22" s="142"/>
      <c r="P22" s="207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18" customHeight="1" x14ac:dyDescent="0.2">
      <c r="A23" s="28"/>
      <c r="B23" s="97" t="s">
        <v>218</v>
      </c>
      <c r="C23" s="140"/>
      <c r="D23" s="137"/>
      <c r="E23" s="138"/>
      <c r="F23" s="142"/>
      <c r="G23" s="142"/>
      <c r="H23" s="142"/>
      <c r="I23" s="142"/>
      <c r="J23" s="100">
        <v>54000</v>
      </c>
      <c r="K23" s="142"/>
      <c r="L23" s="142"/>
      <c r="M23" s="142"/>
      <c r="N23" s="142"/>
      <c r="O23" s="142"/>
      <c r="P23" s="20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8" customHeight="1" x14ac:dyDescent="0.2">
      <c r="A24" s="28"/>
      <c r="B24" s="97" t="s">
        <v>219</v>
      </c>
      <c r="C24" s="140"/>
      <c r="D24" s="137"/>
      <c r="E24" s="138"/>
      <c r="F24" s="142"/>
      <c r="G24" s="142"/>
      <c r="H24" s="142"/>
      <c r="I24" s="142"/>
      <c r="J24" s="142"/>
      <c r="K24" s="100">
        <v>18500</v>
      </c>
      <c r="L24" s="100">
        <v>18500</v>
      </c>
      <c r="M24" s="142"/>
      <c r="N24" s="142"/>
      <c r="O24" s="142"/>
      <c r="P24" s="207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8" customHeight="1" x14ac:dyDescent="0.2">
      <c r="A25" s="28"/>
      <c r="B25" s="97" t="s">
        <v>220</v>
      </c>
      <c r="C25" s="127"/>
      <c r="D25" s="127"/>
      <c r="E25" s="127"/>
      <c r="F25" s="127"/>
      <c r="G25" s="127"/>
      <c r="H25" s="127"/>
      <c r="I25" s="127"/>
      <c r="J25" s="127"/>
      <c r="K25" s="127"/>
      <c r="L25" s="100">
        <v>24000</v>
      </c>
      <c r="M25" s="127"/>
      <c r="N25" s="127"/>
      <c r="O25" s="127"/>
      <c r="P25" s="207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8" customHeight="1" x14ac:dyDescent="0.2">
      <c r="A26" s="28"/>
      <c r="B26" s="97" t="s">
        <v>221</v>
      </c>
      <c r="C26" s="143"/>
      <c r="D26" s="143"/>
      <c r="E26" s="127"/>
      <c r="F26" s="144"/>
      <c r="G26" s="127"/>
      <c r="H26" s="127"/>
      <c r="I26" s="127"/>
      <c r="J26" s="127"/>
      <c r="K26" s="127"/>
      <c r="L26" s="127"/>
      <c r="M26" s="100">
        <v>30000</v>
      </c>
      <c r="N26" s="127"/>
      <c r="O26" s="127"/>
      <c r="P26" s="207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8" customHeight="1" x14ac:dyDescent="0.2">
      <c r="A27" s="28"/>
      <c r="B27" s="97" t="s">
        <v>222</v>
      </c>
      <c r="C27" s="145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00">
        <v>92000</v>
      </c>
      <c r="O27" s="127"/>
      <c r="P27" s="20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8" customHeight="1" x14ac:dyDescent="0.2">
      <c r="A28" s="28"/>
      <c r="B28" s="97"/>
      <c r="C28" s="61"/>
      <c r="D28" s="61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207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8" customHeight="1" x14ac:dyDescent="0.2">
      <c r="A29" s="28"/>
      <c r="B29" s="97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207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8" customHeight="1" x14ac:dyDescent="0.2">
      <c r="A30" s="28"/>
      <c r="B30" s="97"/>
      <c r="C30" s="54"/>
      <c r="D30" s="54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207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8" customHeight="1" x14ac:dyDescent="0.2">
      <c r="A31" s="28"/>
      <c r="B31" s="9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20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8" customHeight="1" x14ac:dyDescent="0.2">
      <c r="A32" s="28"/>
      <c r="B32" s="97"/>
      <c r="C32" s="61"/>
      <c r="D32" s="61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207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8" customHeight="1" x14ac:dyDescent="0.2">
      <c r="A33" s="28"/>
      <c r="B33" s="97"/>
      <c r="C33" s="53"/>
      <c r="D33" s="52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20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8" customHeight="1" x14ac:dyDescent="0.2">
      <c r="A34" s="28"/>
      <c r="B34" s="97"/>
      <c r="C34" s="53"/>
      <c r="D34" s="52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20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8" customHeight="1" x14ac:dyDescent="0.2">
      <c r="A35" s="28"/>
      <c r="B35" s="97"/>
      <c r="C35" s="53"/>
      <c r="D35" s="52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207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8" customHeight="1" x14ac:dyDescent="0.2">
      <c r="A36" s="28"/>
      <c r="B36" s="97"/>
      <c r="C36" s="53"/>
      <c r="D36" s="52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20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8" customHeight="1" x14ac:dyDescent="0.2">
      <c r="A37" s="28"/>
      <c r="B37" s="97"/>
      <c r="C37" s="54"/>
      <c r="D37" s="54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207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8" customHeight="1" x14ac:dyDescent="0.2">
      <c r="A38" s="28"/>
      <c r="B38" s="97"/>
      <c r="C38" s="54"/>
      <c r="D38" s="54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207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8" customHeight="1" x14ac:dyDescent="0.2">
      <c r="A39" s="28"/>
      <c r="B39" s="97"/>
      <c r="C39" s="54"/>
      <c r="D39" s="54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20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8" customHeight="1" x14ac:dyDescent="0.2">
      <c r="A40" s="28"/>
      <c r="B40" s="97"/>
      <c r="C40" s="60"/>
      <c r="D40" s="54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20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6" customHeight="1" x14ac:dyDescent="0.2">
      <c r="A41" s="28"/>
      <c r="B41" s="55"/>
      <c r="C41" s="61"/>
      <c r="D41" s="61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20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2" customHeight="1" x14ac:dyDescent="0.2">
      <c r="A42" s="28"/>
      <c r="B42" s="94" t="s">
        <v>100</v>
      </c>
      <c r="C42" s="101" t="s">
        <v>101</v>
      </c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207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2" customHeight="1" x14ac:dyDescent="0.2">
      <c r="A43" s="28"/>
      <c r="B43" s="97" t="s">
        <v>102</v>
      </c>
      <c r="C43" s="222">
        <v>30</v>
      </c>
      <c r="D43" s="216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207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22" customHeight="1" x14ac:dyDescent="0.2">
      <c r="A44" s="28"/>
      <c r="B44" s="104" t="s">
        <v>103</v>
      </c>
      <c r="C44" s="136">
        <f>$C$10+7*0</f>
        <v>46174</v>
      </c>
      <c r="D44" s="136">
        <f>$C$10+7*1</f>
        <v>46181</v>
      </c>
      <c r="E44" s="136">
        <f>$C$10+7*2</f>
        <v>46188</v>
      </c>
      <c r="F44" s="136">
        <f>$C$10+7*3</f>
        <v>46195</v>
      </c>
      <c r="G44" s="136">
        <f>$C$10+7*4</f>
        <v>46202</v>
      </c>
      <c r="H44" s="136">
        <f>$C$10+7*5</f>
        <v>46209</v>
      </c>
      <c r="I44" s="136">
        <f>$C$10+7*6</f>
        <v>46216</v>
      </c>
      <c r="J44" s="136">
        <f>$C$10+7*7</f>
        <v>46223</v>
      </c>
      <c r="K44" s="136">
        <f>$C$10+7*8</f>
        <v>46230</v>
      </c>
      <c r="L44" s="136">
        <f>$C$10+7*9</f>
        <v>46237</v>
      </c>
      <c r="M44" s="136">
        <f>$C$10+7*10</f>
        <v>46244</v>
      </c>
      <c r="N44" s="136">
        <f>$C$10+7*11</f>
        <v>46251</v>
      </c>
      <c r="O44" s="136">
        <f>$C$10+7*12</f>
        <v>46258</v>
      </c>
      <c r="P44" s="20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48" customHeight="1" x14ac:dyDescent="0.2">
      <c r="A45" s="28"/>
      <c r="B45" s="67"/>
      <c r="C45" s="100">
        <v>0</v>
      </c>
      <c r="D45" s="100">
        <v>0</v>
      </c>
      <c r="E45" s="100">
        <v>0</v>
      </c>
      <c r="F45" s="100">
        <v>40000</v>
      </c>
      <c r="G45" s="100">
        <v>55000</v>
      </c>
      <c r="H45" s="100">
        <v>60000</v>
      </c>
      <c r="I45" s="100">
        <v>70000</v>
      </c>
      <c r="J45" s="100">
        <v>65000</v>
      </c>
      <c r="K45" s="100">
        <v>72000</v>
      </c>
      <c r="L45" s="100">
        <v>80000</v>
      </c>
      <c r="M45" s="100">
        <v>78000</v>
      </c>
      <c r="N45" s="100">
        <v>82000</v>
      </c>
      <c r="O45" s="100">
        <v>90000</v>
      </c>
      <c r="P45" s="207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6" customHeight="1" x14ac:dyDescent="0.2">
      <c r="A46" s="28"/>
      <c r="B46" s="79"/>
      <c r="C46" s="53"/>
      <c r="D46" s="57"/>
      <c r="E46" s="73"/>
      <c r="F46" s="66"/>
      <c r="G46" s="66"/>
      <c r="H46" s="62"/>
      <c r="I46" s="62"/>
      <c r="J46" s="51"/>
      <c r="K46" s="47"/>
      <c r="L46" s="47"/>
      <c r="M46" s="47"/>
      <c r="N46" s="47"/>
      <c r="O46" s="47"/>
      <c r="P46" s="207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48" customHeight="1" x14ac:dyDescent="0.2">
      <c r="A47" s="28"/>
      <c r="B47" s="107" t="s">
        <v>104</v>
      </c>
      <c r="C47" s="101" t="s">
        <v>105</v>
      </c>
      <c r="D47" s="102"/>
      <c r="E47" s="108"/>
      <c r="F47" s="109"/>
      <c r="G47" s="109"/>
      <c r="H47" s="110"/>
      <c r="I47" s="110"/>
      <c r="J47" s="96"/>
      <c r="K47" s="93"/>
      <c r="L47" s="93"/>
      <c r="M47" s="93"/>
      <c r="N47" s="93"/>
      <c r="O47" s="93"/>
      <c r="P47" s="20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48" customHeight="1" x14ac:dyDescent="0.2">
      <c r="A48" s="28"/>
      <c r="B48" s="111" t="s">
        <v>106</v>
      </c>
      <c r="C48" s="146" t="s">
        <v>107</v>
      </c>
      <c r="D48" s="147" t="s">
        <v>108</v>
      </c>
      <c r="E48" s="148" t="s">
        <v>109</v>
      </c>
      <c r="F48" s="112"/>
      <c r="G48" s="112"/>
      <c r="H48" s="113"/>
      <c r="I48" s="113"/>
      <c r="J48" s="114"/>
      <c r="K48" s="115"/>
      <c r="L48" s="115"/>
      <c r="M48" s="115"/>
      <c r="N48" s="115"/>
      <c r="O48" s="115"/>
      <c r="P48" s="207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48" customHeight="1" x14ac:dyDescent="0.2">
      <c r="A49" s="28"/>
      <c r="B49" s="116" t="s">
        <v>110</v>
      </c>
      <c r="C49" s="100">
        <v>60000</v>
      </c>
      <c r="D49" s="117">
        <v>0.95</v>
      </c>
      <c r="E49" s="118">
        <v>2</v>
      </c>
      <c r="F49" s="66"/>
      <c r="G49" s="66"/>
      <c r="H49" s="62"/>
      <c r="I49" s="62"/>
      <c r="J49" s="51"/>
      <c r="K49" s="47"/>
      <c r="L49" s="47"/>
      <c r="M49" s="47"/>
      <c r="N49" s="47"/>
      <c r="O49" s="47"/>
      <c r="P49" s="20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22" customHeight="1" x14ac:dyDescent="0.2">
      <c r="A50" s="28"/>
      <c r="B50" s="97" t="s">
        <v>111</v>
      </c>
      <c r="C50" s="100">
        <v>35000</v>
      </c>
      <c r="D50" s="117">
        <v>0.85</v>
      </c>
      <c r="E50" s="118">
        <v>4</v>
      </c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207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22" customHeight="1" x14ac:dyDescent="0.2">
      <c r="A51" s="28"/>
      <c r="B51" s="97" t="s">
        <v>112</v>
      </c>
      <c r="C51" s="100">
        <v>18000</v>
      </c>
      <c r="D51" s="117">
        <v>0.65</v>
      </c>
      <c r="E51" s="118">
        <v>6</v>
      </c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207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22" customHeight="1" x14ac:dyDescent="0.2">
      <c r="A52" s="28"/>
      <c r="B52" s="97" t="s">
        <v>113</v>
      </c>
      <c r="C52" s="100">
        <v>9000</v>
      </c>
      <c r="D52" s="117">
        <v>0.35</v>
      </c>
      <c r="E52" s="118">
        <v>9</v>
      </c>
      <c r="F52" s="48"/>
      <c r="G52" s="47"/>
      <c r="H52" s="47"/>
      <c r="I52" s="47"/>
      <c r="J52" s="47"/>
      <c r="K52" s="47"/>
      <c r="L52" s="47"/>
      <c r="M52" s="47"/>
      <c r="N52" s="47"/>
      <c r="O52" s="47"/>
      <c r="P52" s="207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6" customHeight="1" x14ac:dyDescent="0.2">
      <c r="A53" s="28"/>
      <c r="B53" s="67"/>
      <c r="C53" s="56"/>
      <c r="D53" s="81"/>
      <c r="E53" s="66"/>
      <c r="F53" s="51"/>
      <c r="G53" s="47"/>
      <c r="H53" s="47"/>
      <c r="I53" s="47"/>
      <c r="J53" s="47"/>
      <c r="K53" s="47"/>
      <c r="L53" s="47"/>
      <c r="M53" s="47"/>
      <c r="N53" s="47"/>
      <c r="O53" s="47"/>
      <c r="P53" s="207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32" customHeight="1" x14ac:dyDescent="0.2">
      <c r="A54" s="28"/>
      <c r="B54" s="107" t="s">
        <v>114</v>
      </c>
      <c r="C54" s="101" t="s">
        <v>115</v>
      </c>
      <c r="D54" s="95"/>
      <c r="E54" s="109"/>
      <c r="F54" s="96"/>
      <c r="G54" s="93"/>
      <c r="H54" s="93"/>
      <c r="I54" s="93"/>
      <c r="J54" s="93"/>
      <c r="K54" s="93"/>
      <c r="L54" s="93"/>
      <c r="M54" s="93"/>
      <c r="N54" s="93"/>
      <c r="O54" s="93"/>
      <c r="P54" s="20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6" customHeight="1" x14ac:dyDescent="0.2">
      <c r="A55" s="28"/>
      <c r="B55" s="111" t="s">
        <v>116</v>
      </c>
      <c r="C55" s="136">
        <f>$C$10+7*0</f>
        <v>46174</v>
      </c>
      <c r="D55" s="136">
        <f>$C$10+7*1</f>
        <v>46181</v>
      </c>
      <c r="E55" s="136">
        <f>$C$10+7*2</f>
        <v>46188</v>
      </c>
      <c r="F55" s="136">
        <f>$C$10+7*3</f>
        <v>46195</v>
      </c>
      <c r="G55" s="136">
        <f>$C$10+7*4</f>
        <v>46202</v>
      </c>
      <c r="H55" s="136">
        <f>$C$10+7*5</f>
        <v>46209</v>
      </c>
      <c r="I55" s="136">
        <f>$C$10+7*6</f>
        <v>46216</v>
      </c>
      <c r="J55" s="136">
        <f>$C$10+7*7</f>
        <v>46223</v>
      </c>
      <c r="K55" s="136">
        <f>$C$10+7*8</f>
        <v>46230</v>
      </c>
      <c r="L55" s="136">
        <f>$C$10+7*9</f>
        <v>46237</v>
      </c>
      <c r="M55" s="136">
        <f>$C$10+7*10</f>
        <v>46244</v>
      </c>
      <c r="N55" s="136">
        <f>$C$10+7*11</f>
        <v>46251</v>
      </c>
      <c r="O55" s="136">
        <f>$C$10+7*12</f>
        <v>46258</v>
      </c>
      <c r="P55" s="207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8" customHeight="1" x14ac:dyDescent="0.2">
      <c r="A56" s="28"/>
      <c r="B56" s="116" t="s">
        <v>117</v>
      </c>
      <c r="C56" s="141"/>
      <c r="D56" s="149"/>
      <c r="E56" s="100">
        <v>18000</v>
      </c>
      <c r="F56" s="139"/>
      <c r="G56" s="127"/>
      <c r="H56" s="127"/>
      <c r="I56" s="127"/>
      <c r="J56" s="127"/>
      <c r="K56" s="127"/>
      <c r="L56" s="127"/>
      <c r="M56" s="127"/>
      <c r="N56" s="127"/>
      <c r="O56" s="127"/>
      <c r="P56" s="207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8" customHeight="1" x14ac:dyDescent="0.2">
      <c r="A57" s="28"/>
      <c r="B57" s="116" t="s">
        <v>118</v>
      </c>
      <c r="C57" s="140"/>
      <c r="D57" s="150"/>
      <c r="E57" s="151"/>
      <c r="F57" s="139"/>
      <c r="G57" s="127"/>
      <c r="H57" s="127"/>
      <c r="I57" s="127"/>
      <c r="J57" s="127"/>
      <c r="K57" s="127"/>
      <c r="L57" s="100">
        <v>6000</v>
      </c>
      <c r="M57" s="127"/>
      <c r="N57" s="127"/>
      <c r="O57" s="127"/>
      <c r="P57" s="20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8" customHeight="1" x14ac:dyDescent="0.2">
      <c r="A58" s="28"/>
      <c r="B58" s="116"/>
      <c r="C58" s="227"/>
      <c r="D58" s="152"/>
      <c r="E58" s="153"/>
      <c r="F58" s="139"/>
      <c r="G58" s="127"/>
      <c r="H58" s="127"/>
      <c r="I58" s="127"/>
      <c r="J58" s="127"/>
      <c r="K58" s="127"/>
      <c r="L58" s="127"/>
      <c r="M58" s="127"/>
      <c r="N58" s="127"/>
      <c r="O58" s="127"/>
      <c r="P58" s="20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8" customHeight="1" x14ac:dyDescent="0.2">
      <c r="A59" s="28"/>
      <c r="B59" s="226" t="s">
        <v>245</v>
      </c>
      <c r="C59" s="228">
        <v>324800</v>
      </c>
      <c r="D59" s="228">
        <v>388900</v>
      </c>
      <c r="E59" s="228">
        <v>331600</v>
      </c>
      <c r="F59" s="228">
        <v>383200</v>
      </c>
      <c r="G59" s="228"/>
      <c r="H59" s="228"/>
      <c r="I59" s="228"/>
      <c r="J59" s="228"/>
      <c r="K59" s="228"/>
      <c r="L59" s="228"/>
      <c r="M59" s="228"/>
      <c r="N59" s="228"/>
      <c r="O59" s="228"/>
      <c r="P59" s="207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6" customHeight="1" x14ac:dyDescent="0.2">
      <c r="A60" s="28"/>
      <c r="B60" s="68"/>
      <c r="C60" s="53"/>
      <c r="D60" s="69"/>
      <c r="E60" s="70"/>
      <c r="F60" s="51"/>
      <c r="G60" s="47"/>
      <c r="H60" s="47"/>
      <c r="I60" s="47"/>
      <c r="J60" s="47"/>
      <c r="K60" s="47"/>
      <c r="L60" s="47"/>
      <c r="M60" s="47"/>
      <c r="N60" s="47"/>
      <c r="O60" s="47"/>
      <c r="P60" s="207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6" customHeight="1" x14ac:dyDescent="0.2">
      <c r="A61" s="28"/>
      <c r="B61" s="107" t="s">
        <v>119</v>
      </c>
      <c r="C61" s="101" t="s">
        <v>120</v>
      </c>
      <c r="D61" s="119"/>
      <c r="E61" s="120"/>
      <c r="F61" s="96"/>
      <c r="G61" s="93"/>
      <c r="H61" s="93"/>
      <c r="I61" s="93"/>
      <c r="J61" s="93"/>
      <c r="K61" s="93"/>
      <c r="L61" s="93"/>
      <c r="M61" s="93"/>
      <c r="N61" s="93"/>
      <c r="O61" s="93"/>
      <c r="P61" s="207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22" customHeight="1" x14ac:dyDescent="0.2">
      <c r="A62" s="28"/>
      <c r="B62" s="104" t="s">
        <v>121</v>
      </c>
      <c r="C62" s="136">
        <f>$C$10+7*0</f>
        <v>46174</v>
      </c>
      <c r="D62" s="136">
        <f>$C$10+7*1</f>
        <v>46181</v>
      </c>
      <c r="E62" s="136">
        <f>$C$10+7*2</f>
        <v>46188</v>
      </c>
      <c r="F62" s="136">
        <f>$C$10+7*3</f>
        <v>46195</v>
      </c>
      <c r="G62" s="136">
        <f>$C$10+7*4</f>
        <v>46202</v>
      </c>
      <c r="H62" s="136">
        <f>$C$10+7*5</f>
        <v>46209</v>
      </c>
      <c r="I62" s="136">
        <f>$C$10+7*6</f>
        <v>46216</v>
      </c>
      <c r="J62" s="136">
        <f>$C$10+7*7</f>
        <v>46223</v>
      </c>
      <c r="K62" s="136">
        <f>$C$10+7*8</f>
        <v>46230</v>
      </c>
      <c r="L62" s="136">
        <f>$C$10+7*9</f>
        <v>46237</v>
      </c>
      <c r="M62" s="136">
        <f>$C$10+7*10</f>
        <v>46244</v>
      </c>
      <c r="N62" s="136">
        <f>$C$10+7*11</f>
        <v>46251</v>
      </c>
      <c r="O62" s="136">
        <f>$C$10+7*12</f>
        <v>46258</v>
      </c>
      <c r="P62" s="207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8" customHeight="1" x14ac:dyDescent="0.2">
      <c r="A63" s="28"/>
      <c r="B63" s="97" t="s">
        <v>223</v>
      </c>
      <c r="C63" s="100">
        <v>42000</v>
      </c>
      <c r="D63" s="141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207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8" customHeight="1" x14ac:dyDescent="0.2">
      <c r="A64" s="28"/>
      <c r="B64" s="97" t="s">
        <v>224</v>
      </c>
      <c r="C64" s="140"/>
      <c r="D64" s="100">
        <v>55000</v>
      </c>
      <c r="E64" s="143"/>
      <c r="F64" s="144"/>
      <c r="G64" s="127"/>
      <c r="H64" s="127"/>
      <c r="I64" s="127"/>
      <c r="J64" s="127"/>
      <c r="K64" s="127"/>
      <c r="L64" s="127"/>
      <c r="M64" s="127"/>
      <c r="N64" s="127"/>
      <c r="O64" s="127"/>
      <c r="P64" s="207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" customHeight="1" x14ac:dyDescent="0.2">
      <c r="A65" s="28"/>
      <c r="B65" s="116" t="s">
        <v>225</v>
      </c>
      <c r="C65" s="140"/>
      <c r="D65" s="137"/>
      <c r="E65" s="154"/>
      <c r="F65" s="139"/>
      <c r="G65" s="100">
        <v>30000</v>
      </c>
      <c r="H65" s="127"/>
      <c r="I65" s="127"/>
      <c r="J65" s="127"/>
      <c r="K65" s="127"/>
      <c r="L65" s="127"/>
      <c r="M65" s="127"/>
      <c r="N65" s="127"/>
      <c r="O65" s="127"/>
      <c r="P65" s="207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8" customHeight="1" x14ac:dyDescent="0.2">
      <c r="A66" s="28"/>
      <c r="B66" s="116" t="s">
        <v>226</v>
      </c>
      <c r="C66" s="140"/>
      <c r="D66" s="137"/>
      <c r="E66" s="154"/>
      <c r="F66" s="139"/>
      <c r="G66" s="127"/>
      <c r="H66" s="127"/>
      <c r="I66" s="100">
        <v>12000</v>
      </c>
      <c r="J66" s="127"/>
      <c r="K66" s="127"/>
      <c r="L66" s="127"/>
      <c r="M66" s="127"/>
      <c r="N66" s="127"/>
      <c r="O66" s="127"/>
      <c r="P66" s="207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8" customHeight="1" x14ac:dyDescent="0.2">
      <c r="A67" s="28"/>
      <c r="B67" s="116" t="s">
        <v>227</v>
      </c>
      <c r="C67" s="140"/>
      <c r="D67" s="137"/>
      <c r="E67" s="100">
        <v>9000</v>
      </c>
      <c r="F67" s="139"/>
      <c r="G67" s="127"/>
      <c r="H67" s="127"/>
      <c r="I67" s="127"/>
      <c r="J67" s="127"/>
      <c r="K67" s="127"/>
      <c r="L67" s="127"/>
      <c r="M67" s="127"/>
      <c r="N67" s="127"/>
      <c r="O67" s="127"/>
      <c r="P67" s="20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8" customHeight="1" x14ac:dyDescent="0.2">
      <c r="A68" s="28"/>
      <c r="B68" s="116" t="s">
        <v>228</v>
      </c>
      <c r="C68" s="140"/>
      <c r="D68" s="137"/>
      <c r="E68" s="154"/>
      <c r="F68" s="139"/>
      <c r="G68" s="127"/>
      <c r="H68" s="100">
        <v>14000</v>
      </c>
      <c r="I68" s="127"/>
      <c r="J68" s="127"/>
      <c r="K68" s="127"/>
      <c r="L68" s="127"/>
      <c r="M68" s="127"/>
      <c r="N68" s="127"/>
      <c r="O68" s="127"/>
      <c r="P68" s="207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8" customHeight="1" x14ac:dyDescent="0.2">
      <c r="A69" s="28"/>
      <c r="B69" s="116" t="s">
        <v>229</v>
      </c>
      <c r="C69" s="140"/>
      <c r="D69" s="137"/>
      <c r="E69" s="154"/>
      <c r="F69" s="139"/>
      <c r="G69" s="127"/>
      <c r="H69" s="127"/>
      <c r="I69" s="127"/>
      <c r="J69" s="127"/>
      <c r="K69" s="127"/>
      <c r="L69" s="100">
        <v>48000</v>
      </c>
      <c r="M69" s="127"/>
      <c r="N69" s="127"/>
      <c r="O69" s="127"/>
      <c r="P69" s="207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8" customHeight="1" x14ac:dyDescent="0.2">
      <c r="A70" s="28"/>
      <c r="B70" s="97" t="s">
        <v>230</v>
      </c>
      <c r="C70" s="140"/>
      <c r="D70" s="137"/>
      <c r="E70" s="127"/>
      <c r="F70" s="100">
        <v>6500</v>
      </c>
      <c r="G70" s="127"/>
      <c r="H70" s="127"/>
      <c r="I70" s="127"/>
      <c r="J70" s="127"/>
      <c r="K70" s="127"/>
      <c r="L70" s="127"/>
      <c r="M70" s="127"/>
      <c r="N70" s="127"/>
      <c r="O70" s="127"/>
      <c r="P70" s="207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8" customHeight="1" x14ac:dyDescent="0.2">
      <c r="A71" s="28"/>
      <c r="B71" s="97" t="s">
        <v>231</v>
      </c>
      <c r="C71" s="140"/>
      <c r="D71" s="137"/>
      <c r="E71" s="127"/>
      <c r="F71" s="127"/>
      <c r="G71" s="127"/>
      <c r="H71" s="127"/>
      <c r="I71" s="127"/>
      <c r="J71" s="127"/>
      <c r="K71" s="100">
        <v>8000</v>
      </c>
      <c r="L71" s="127"/>
      <c r="M71" s="127"/>
      <c r="N71" s="127"/>
      <c r="O71" s="127"/>
      <c r="P71" s="207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8" customHeight="1" x14ac:dyDescent="0.2">
      <c r="A72" s="28"/>
      <c r="B72" s="97" t="s">
        <v>232</v>
      </c>
      <c r="C72" s="140"/>
      <c r="D72" s="137"/>
      <c r="E72" s="144"/>
      <c r="F72" s="144"/>
      <c r="G72" s="127"/>
      <c r="H72" s="127"/>
      <c r="I72" s="127"/>
      <c r="J72" s="127"/>
      <c r="K72" s="127"/>
      <c r="L72" s="127"/>
      <c r="M72" s="127"/>
      <c r="N72" s="100">
        <v>11000</v>
      </c>
      <c r="O72" s="127"/>
      <c r="P72" s="207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8" customHeight="1" x14ac:dyDescent="0.2">
      <c r="A73" s="28"/>
      <c r="B73" s="116"/>
      <c r="C73" s="53"/>
      <c r="D73" s="52"/>
      <c r="E73" s="62"/>
      <c r="F73" s="51"/>
      <c r="G73" s="47"/>
      <c r="H73" s="47"/>
      <c r="I73" s="47"/>
      <c r="J73" s="47"/>
      <c r="K73" s="47"/>
      <c r="L73" s="47"/>
      <c r="M73" s="47"/>
      <c r="N73" s="47"/>
      <c r="O73" s="47"/>
      <c r="P73" s="207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8" customHeight="1" x14ac:dyDescent="0.2">
      <c r="A74" s="28"/>
      <c r="B74" s="165" t="s">
        <v>186</v>
      </c>
      <c r="C74" s="166" t="s">
        <v>187</v>
      </c>
      <c r="D74" s="167" t="s">
        <v>144</v>
      </c>
      <c r="E74" s="168" t="s">
        <v>188</v>
      </c>
      <c r="F74" s="173" t="s">
        <v>189</v>
      </c>
      <c r="G74" s="47"/>
      <c r="H74" s="47"/>
      <c r="I74" s="47"/>
      <c r="J74" s="47"/>
      <c r="K74" s="47"/>
      <c r="L74" s="47"/>
      <c r="M74" s="47"/>
      <c r="N74" s="47"/>
      <c r="O74" s="47"/>
      <c r="P74" s="207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8" customHeight="1" x14ac:dyDescent="0.2">
      <c r="A75" s="28"/>
      <c r="B75" s="172"/>
      <c r="C75" s="171"/>
      <c r="D75" s="169"/>
      <c r="E75" s="170" t="str">
        <f t="shared" ref="E75:E84" si="0">IF(OR($C75="",$D75=""),"",MAX(1,MIN(13,INT(($C75+In_AP_Days-$C$10)/7)+1)))</f>
        <v/>
      </c>
      <c r="F75" s="51"/>
      <c r="G75" s="47"/>
      <c r="H75" s="47"/>
      <c r="I75" s="47"/>
      <c r="J75" s="47"/>
      <c r="K75" s="47"/>
      <c r="L75" s="47"/>
      <c r="M75" s="47"/>
      <c r="N75" s="47"/>
      <c r="O75" s="47"/>
      <c r="P75" s="207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8" customHeight="1" x14ac:dyDescent="0.2">
      <c r="A76" s="28"/>
      <c r="B76" s="172"/>
      <c r="C76" s="171"/>
      <c r="D76" s="169"/>
      <c r="E76" s="170" t="str">
        <f t="shared" si="0"/>
        <v/>
      </c>
      <c r="F76" s="51"/>
      <c r="G76" s="47"/>
      <c r="H76" s="47"/>
      <c r="I76" s="47"/>
      <c r="J76" s="47"/>
      <c r="K76" s="47"/>
      <c r="L76" s="47"/>
      <c r="M76" s="47"/>
      <c r="N76" s="47"/>
      <c r="O76" s="47"/>
      <c r="P76" s="207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8" customHeight="1" x14ac:dyDescent="0.2">
      <c r="A77" s="28"/>
      <c r="B77" s="172"/>
      <c r="C77" s="171"/>
      <c r="D77" s="169"/>
      <c r="E77" s="170" t="str">
        <f t="shared" si="0"/>
        <v/>
      </c>
      <c r="F77" s="51"/>
      <c r="G77" s="47"/>
      <c r="H77" s="47"/>
      <c r="I77" s="47"/>
      <c r="J77" s="47"/>
      <c r="K77" s="47"/>
      <c r="L77" s="47"/>
      <c r="M77" s="47"/>
      <c r="N77" s="47"/>
      <c r="O77" s="47"/>
      <c r="P77" s="20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8" customHeight="1" x14ac:dyDescent="0.2">
      <c r="A78" s="28"/>
      <c r="B78" s="172"/>
      <c r="C78" s="171"/>
      <c r="D78" s="169"/>
      <c r="E78" s="170" t="str">
        <f t="shared" si="0"/>
        <v/>
      </c>
      <c r="F78" s="51"/>
      <c r="G78" s="47"/>
      <c r="H78" s="47"/>
      <c r="I78" s="47"/>
      <c r="J78" s="47"/>
      <c r="K78" s="47"/>
      <c r="L78" s="47"/>
      <c r="M78" s="47"/>
      <c r="N78" s="47"/>
      <c r="O78" s="47"/>
      <c r="P78" s="207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8" customHeight="1" x14ac:dyDescent="0.2">
      <c r="A79" s="28"/>
      <c r="B79" s="172"/>
      <c r="C79" s="171"/>
      <c r="D79" s="169"/>
      <c r="E79" s="170" t="str">
        <f t="shared" si="0"/>
        <v/>
      </c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207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8" customHeight="1" x14ac:dyDescent="0.2">
      <c r="A80" s="28"/>
      <c r="B80" s="172"/>
      <c r="C80" s="171"/>
      <c r="D80" s="169"/>
      <c r="E80" s="170" t="str">
        <f t="shared" si="0"/>
        <v/>
      </c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207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8" customHeight="1" x14ac:dyDescent="0.2">
      <c r="A81" s="28"/>
      <c r="B81" s="172"/>
      <c r="C81" s="171"/>
      <c r="D81" s="169"/>
      <c r="E81" s="170" t="str">
        <f t="shared" si="0"/>
        <v/>
      </c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207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8" customHeight="1" x14ac:dyDescent="0.2">
      <c r="A82" s="28"/>
      <c r="B82" s="172"/>
      <c r="C82" s="171"/>
      <c r="D82" s="169"/>
      <c r="E82" s="170" t="str">
        <f t="shared" si="0"/>
        <v/>
      </c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207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8" customHeight="1" x14ac:dyDescent="0.2">
      <c r="A83" s="28"/>
      <c r="B83" s="172"/>
      <c r="C83" s="171"/>
      <c r="D83" s="169"/>
      <c r="E83" s="170" t="str">
        <f t="shared" si="0"/>
        <v/>
      </c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207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8" customHeight="1" x14ac:dyDescent="0.2">
      <c r="A84" s="28"/>
      <c r="B84" s="172"/>
      <c r="C84" s="171"/>
      <c r="D84" s="169"/>
      <c r="E84" s="170" t="str">
        <f t="shared" si="0"/>
        <v/>
      </c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207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8" customHeight="1" x14ac:dyDescent="0.2">
      <c r="A85" s="28"/>
      <c r="B85" s="97"/>
      <c r="C85" s="72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207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8" customHeight="1" x14ac:dyDescent="0.2">
      <c r="A86" s="28"/>
      <c r="B86" s="97"/>
      <c r="C86" s="53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207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8" customHeight="1" x14ac:dyDescent="0.2">
      <c r="A87" s="28"/>
      <c r="B87" s="97"/>
      <c r="C87" s="73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20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6" customHeight="1" x14ac:dyDescent="0.2">
      <c r="A88" s="28"/>
      <c r="B88" s="64"/>
      <c r="C88" s="71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207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2" customHeight="1" x14ac:dyDescent="0.2">
      <c r="A89" s="28"/>
      <c r="B89" s="94" t="s">
        <v>122</v>
      </c>
      <c r="C89" s="193" t="s">
        <v>204</v>
      </c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207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2" customHeight="1" x14ac:dyDescent="0.2">
      <c r="A90" s="28"/>
      <c r="B90" s="104" t="s">
        <v>123</v>
      </c>
      <c r="C90" s="155" t="s">
        <v>124</v>
      </c>
      <c r="D90" s="155" t="s">
        <v>125</v>
      </c>
      <c r="E90" s="121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207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2" customHeight="1" x14ac:dyDescent="0.2">
      <c r="A91" s="28"/>
      <c r="B91" s="97" t="s">
        <v>126</v>
      </c>
      <c r="C91" s="100">
        <v>9200</v>
      </c>
      <c r="D91" s="122" t="s">
        <v>127</v>
      </c>
      <c r="E91" s="53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207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2" customHeight="1" x14ac:dyDescent="0.2">
      <c r="A92" s="28"/>
      <c r="B92" s="97" t="s">
        <v>128</v>
      </c>
      <c r="C92" s="100">
        <v>2100</v>
      </c>
      <c r="D92" s="122" t="s">
        <v>127</v>
      </c>
      <c r="E92" s="53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207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22" customHeight="1" x14ac:dyDescent="0.2">
      <c r="A93" s="28"/>
      <c r="B93" s="97" t="s">
        <v>129</v>
      </c>
      <c r="C93" s="100">
        <v>3500</v>
      </c>
      <c r="D93" s="122" t="s">
        <v>127</v>
      </c>
      <c r="E93" s="53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207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2" customHeight="1" x14ac:dyDescent="0.2">
      <c r="A94" s="28"/>
      <c r="B94" s="97" t="s">
        <v>130</v>
      </c>
      <c r="C94" s="100">
        <v>1400</v>
      </c>
      <c r="D94" s="122" t="s">
        <v>127</v>
      </c>
      <c r="E94" s="53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207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2" customHeight="1" x14ac:dyDescent="0.2">
      <c r="A95" s="28"/>
      <c r="B95" s="97" t="s">
        <v>131</v>
      </c>
      <c r="C95" s="100">
        <v>5800</v>
      </c>
      <c r="D95" s="98" t="s">
        <v>132</v>
      </c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207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2" customHeight="1" x14ac:dyDescent="0.2">
      <c r="A96" s="28"/>
      <c r="B96" s="97" t="s">
        <v>133</v>
      </c>
      <c r="C96" s="100">
        <v>1100</v>
      </c>
      <c r="D96" s="98" t="s">
        <v>134</v>
      </c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207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2" customHeight="1" x14ac:dyDescent="0.2">
      <c r="A97" s="28"/>
      <c r="B97" s="97"/>
      <c r="C97" s="53"/>
      <c r="D97" s="50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207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22" customHeight="1" x14ac:dyDescent="0.2">
      <c r="A98" s="28"/>
      <c r="B98" s="97"/>
      <c r="C98" s="53"/>
      <c r="D98" s="50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207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2" customHeight="1" x14ac:dyDescent="0.2">
      <c r="A99" s="28"/>
      <c r="B99" s="97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207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2" customHeight="1" x14ac:dyDescent="0.2">
      <c r="A100" s="28"/>
      <c r="B100" s="97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207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6" customHeight="1" x14ac:dyDescent="0.2">
      <c r="A101" s="28"/>
      <c r="B101" s="191" t="s">
        <v>203</v>
      </c>
      <c r="C101" s="53"/>
      <c r="D101" s="74"/>
      <c r="E101" s="74"/>
      <c r="F101" s="74"/>
      <c r="G101" s="74"/>
      <c r="H101" s="54"/>
      <c r="I101" s="74"/>
      <c r="J101" s="74"/>
      <c r="K101" s="74"/>
      <c r="L101" s="192">
        <f>MAX(1,MIN(13,INT((EDATE($C$10,0)-$C$10)/7)+1))</f>
        <v>1</v>
      </c>
      <c r="M101" s="192">
        <f>MAX(1,MIN(13,INT((EDATE($C$10,1)-$C$10)/7)+1))</f>
        <v>5</v>
      </c>
      <c r="N101" s="192">
        <f>MAX(1,MIN(13,INT((EDATE($C$10,2)-$C$10)/7)+1))</f>
        <v>9</v>
      </c>
      <c r="O101" s="192">
        <f>MAX(1,MIN(13,INT((EDATE($C$10,3)-$C$10)/7)+1))</f>
        <v>13</v>
      </c>
      <c r="P101" s="20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22" customHeight="1" x14ac:dyDescent="0.2">
      <c r="A102" s="28"/>
      <c r="B102" s="94" t="s">
        <v>135</v>
      </c>
      <c r="C102" s="108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207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2" customHeight="1" x14ac:dyDescent="0.2">
      <c r="A103" s="28"/>
      <c r="B103" s="97" t="s">
        <v>136</v>
      </c>
      <c r="C103" s="219" t="s">
        <v>132</v>
      </c>
      <c r="D103" s="216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207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6" customHeight="1" x14ac:dyDescent="0.2">
      <c r="A104" s="28"/>
      <c r="B104" s="97" t="s">
        <v>137</v>
      </c>
      <c r="C104" s="220">
        <v>98000</v>
      </c>
      <c r="D104" s="216"/>
      <c r="E104" s="47"/>
      <c r="F104" s="51"/>
      <c r="G104" s="47"/>
      <c r="H104" s="47"/>
      <c r="I104" s="47"/>
      <c r="J104" s="47"/>
      <c r="K104" s="47"/>
      <c r="L104" s="47"/>
      <c r="M104" s="47"/>
      <c r="N104" s="47"/>
      <c r="O104" s="47"/>
      <c r="P104" s="207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6" customHeight="1" x14ac:dyDescent="0.2">
      <c r="A105" s="28"/>
      <c r="B105" s="97" t="s">
        <v>138</v>
      </c>
      <c r="C105" s="224">
        <v>1</v>
      </c>
      <c r="D105" s="216"/>
      <c r="E105" s="47"/>
      <c r="F105" s="51"/>
      <c r="G105" s="47"/>
      <c r="H105" s="47"/>
      <c r="I105" s="47"/>
      <c r="J105" s="47"/>
      <c r="K105" s="47"/>
      <c r="L105" s="47"/>
      <c r="M105" s="47"/>
      <c r="N105" s="47"/>
      <c r="O105" s="47"/>
      <c r="P105" s="207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6" customHeight="1" x14ac:dyDescent="0.2">
      <c r="A106" s="28"/>
      <c r="B106" s="78"/>
      <c r="C106" s="73"/>
      <c r="D106" s="56"/>
      <c r="E106" s="47"/>
      <c r="F106" s="51"/>
      <c r="G106" s="47"/>
      <c r="H106" s="47"/>
      <c r="I106" s="47"/>
      <c r="J106" s="47"/>
      <c r="K106" s="47"/>
      <c r="L106" s="47"/>
      <c r="M106" s="47"/>
      <c r="N106" s="47"/>
      <c r="O106" s="47"/>
      <c r="P106" s="207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6" customHeight="1" x14ac:dyDescent="0.2">
      <c r="A107" s="28"/>
      <c r="B107" s="94" t="s">
        <v>139</v>
      </c>
      <c r="C107" s="123" t="s">
        <v>140</v>
      </c>
      <c r="D107" s="106"/>
      <c r="E107" s="93"/>
      <c r="F107" s="96"/>
      <c r="G107" s="93"/>
      <c r="H107" s="93"/>
      <c r="I107" s="93"/>
      <c r="J107" s="93"/>
      <c r="K107" s="93"/>
      <c r="L107" s="93"/>
      <c r="M107" s="93"/>
      <c r="N107" s="93"/>
      <c r="O107" s="93"/>
      <c r="P107" s="207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6" customHeight="1" x14ac:dyDescent="0.2">
      <c r="A108" s="28"/>
      <c r="B108" s="104" t="s">
        <v>141</v>
      </c>
      <c r="C108" s="146" t="s">
        <v>142</v>
      </c>
      <c r="D108" s="155" t="s">
        <v>143</v>
      </c>
      <c r="E108" s="155" t="s">
        <v>144</v>
      </c>
      <c r="F108" s="114"/>
      <c r="G108" s="115"/>
      <c r="H108" s="115"/>
      <c r="I108" s="115"/>
      <c r="J108" s="115"/>
      <c r="K108" s="115"/>
      <c r="L108" s="115"/>
      <c r="M108" s="115"/>
      <c r="N108" s="115"/>
      <c r="O108" s="115"/>
      <c r="P108" s="207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6" customHeight="1" x14ac:dyDescent="0.2">
      <c r="A109" s="28"/>
      <c r="B109" s="97" t="s">
        <v>145</v>
      </c>
      <c r="C109" s="98" t="s">
        <v>93</v>
      </c>
      <c r="D109" s="99">
        <v>46224</v>
      </c>
      <c r="E109" s="100">
        <v>142000</v>
      </c>
      <c r="F109" s="51"/>
      <c r="G109" s="47"/>
      <c r="H109" s="47"/>
      <c r="I109" s="47"/>
      <c r="J109" s="47"/>
      <c r="K109" s="47"/>
      <c r="L109" s="47"/>
      <c r="M109" s="47"/>
      <c r="N109" s="47"/>
      <c r="O109" s="47"/>
      <c r="P109" s="207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2" customHeight="1" x14ac:dyDescent="0.2">
      <c r="A110" s="28"/>
      <c r="B110" s="97" t="s">
        <v>146</v>
      </c>
      <c r="C110" s="124" t="s">
        <v>93</v>
      </c>
      <c r="D110" s="99">
        <v>46180</v>
      </c>
      <c r="E110" s="100">
        <v>18000</v>
      </c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207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22" customHeight="1" x14ac:dyDescent="0.2">
      <c r="A111" s="28"/>
      <c r="B111" s="97" t="s">
        <v>147</v>
      </c>
      <c r="C111" s="124" t="s">
        <v>93</v>
      </c>
      <c r="D111" s="99">
        <v>46210</v>
      </c>
      <c r="E111" s="100">
        <v>18000</v>
      </c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207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2" customHeight="1" x14ac:dyDescent="0.2">
      <c r="A112" s="28"/>
      <c r="B112" s="97" t="s">
        <v>148</v>
      </c>
      <c r="C112" s="124" t="s">
        <v>93</v>
      </c>
      <c r="D112" s="99">
        <v>46231</v>
      </c>
      <c r="E112" s="100">
        <v>96000</v>
      </c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207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22" customHeight="1" x14ac:dyDescent="0.2">
      <c r="A113" s="28"/>
      <c r="B113" s="97"/>
      <c r="C113" s="63"/>
      <c r="D113" s="52"/>
      <c r="E113" s="53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207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22" customHeight="1" x14ac:dyDescent="0.2">
      <c r="A114" s="28"/>
      <c r="B114" s="97"/>
      <c r="C114" s="84"/>
      <c r="D114" s="84"/>
      <c r="E114" s="84"/>
      <c r="F114" s="84"/>
      <c r="G114" s="47"/>
      <c r="H114" s="47"/>
      <c r="I114" s="47"/>
      <c r="J114" s="47"/>
      <c r="K114" s="47"/>
      <c r="L114" s="47"/>
      <c r="M114" s="47"/>
      <c r="N114" s="47"/>
      <c r="O114" s="47"/>
      <c r="P114" s="207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22" customHeight="1" x14ac:dyDescent="0.2">
      <c r="A115" s="28"/>
      <c r="B115" s="97"/>
      <c r="C115" s="75"/>
      <c r="D115" s="47"/>
      <c r="E115" s="47"/>
      <c r="F115" s="58"/>
      <c r="G115" s="47"/>
      <c r="H115" s="47"/>
      <c r="I115" s="47"/>
      <c r="J115" s="47"/>
      <c r="K115" s="47"/>
      <c r="L115" s="47"/>
      <c r="M115" s="47"/>
      <c r="N115" s="47"/>
      <c r="O115" s="47"/>
      <c r="P115" s="207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22" customHeight="1" x14ac:dyDescent="0.2">
      <c r="A116" s="28"/>
      <c r="B116" s="97"/>
      <c r="C116" s="60"/>
      <c r="D116" s="47"/>
      <c r="E116" s="47"/>
      <c r="F116" s="58"/>
      <c r="G116" s="47"/>
      <c r="H116" s="47"/>
      <c r="I116" s="47"/>
      <c r="J116" s="47"/>
      <c r="K116" s="47"/>
      <c r="L116" s="47"/>
      <c r="M116" s="47"/>
      <c r="N116" s="47"/>
      <c r="O116" s="47"/>
      <c r="P116" s="207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6" customHeight="1" x14ac:dyDescent="0.2">
      <c r="A117" s="28"/>
      <c r="B117" s="49"/>
      <c r="C117" s="59"/>
      <c r="D117" s="47"/>
      <c r="E117" s="47"/>
      <c r="F117" s="58"/>
      <c r="G117" s="47"/>
      <c r="H117" s="47"/>
      <c r="I117" s="47"/>
      <c r="J117" s="47"/>
      <c r="K117" s="47"/>
      <c r="L117" s="47"/>
      <c r="M117" s="47"/>
      <c r="N117" s="47"/>
      <c r="O117" s="47"/>
      <c r="P117" s="207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22" customHeight="1" x14ac:dyDescent="0.2">
      <c r="A118" s="28"/>
      <c r="B118" s="94" t="s">
        <v>149</v>
      </c>
      <c r="C118" s="106"/>
      <c r="D118" s="93"/>
      <c r="E118" s="93"/>
      <c r="F118" s="103"/>
      <c r="G118" s="93"/>
      <c r="H118" s="93"/>
      <c r="I118" s="93"/>
      <c r="J118" s="93"/>
      <c r="K118" s="93"/>
      <c r="L118" s="93"/>
      <c r="M118" s="93"/>
      <c r="N118" s="93"/>
      <c r="O118" s="93"/>
      <c r="P118" s="207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22" customHeight="1" x14ac:dyDescent="0.2">
      <c r="A119" s="28"/>
      <c r="B119" s="97" t="s">
        <v>150</v>
      </c>
      <c r="C119" s="220">
        <v>8500</v>
      </c>
      <c r="D119" s="216"/>
      <c r="E119" s="47"/>
      <c r="F119" s="58"/>
      <c r="G119" s="47"/>
      <c r="H119" s="47"/>
      <c r="I119" s="47"/>
      <c r="J119" s="47"/>
      <c r="K119" s="47"/>
      <c r="L119" s="47"/>
      <c r="M119" s="47"/>
      <c r="N119" s="47"/>
      <c r="O119" s="47"/>
      <c r="P119" s="207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22" customHeight="1" x14ac:dyDescent="0.2">
      <c r="A120" s="28"/>
      <c r="B120" s="97" t="s">
        <v>151</v>
      </c>
      <c r="C120" s="224">
        <v>4</v>
      </c>
      <c r="D120" s="216"/>
      <c r="E120" s="47"/>
      <c r="F120" s="58"/>
      <c r="G120" s="47"/>
      <c r="H120" s="47"/>
      <c r="I120" s="47"/>
      <c r="J120" s="47"/>
      <c r="K120" s="47"/>
      <c r="L120" s="47"/>
      <c r="M120" s="47"/>
      <c r="N120" s="47"/>
      <c r="O120" s="47"/>
      <c r="P120" s="207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22" customHeight="1" x14ac:dyDescent="0.2">
      <c r="A121" s="28"/>
      <c r="B121" s="97" t="s">
        <v>152</v>
      </c>
      <c r="C121" s="224">
        <v>1</v>
      </c>
      <c r="D121" s="216"/>
      <c r="E121" s="47"/>
      <c r="F121" s="58"/>
      <c r="G121" s="47"/>
      <c r="H121" s="47"/>
      <c r="I121" s="47"/>
      <c r="J121" s="47"/>
      <c r="K121" s="47"/>
      <c r="L121" s="47"/>
      <c r="M121" s="47"/>
      <c r="N121" s="47"/>
      <c r="O121" s="47"/>
      <c r="P121" s="207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6" customHeight="1" x14ac:dyDescent="0.2">
      <c r="A122" s="28"/>
      <c r="B122" s="80"/>
      <c r="C122" s="73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207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2" customHeight="1" x14ac:dyDescent="0.2">
      <c r="A123" s="28"/>
      <c r="B123" s="94" t="s">
        <v>153</v>
      </c>
      <c r="C123" s="101" t="s">
        <v>154</v>
      </c>
      <c r="D123" s="93"/>
      <c r="E123" s="93"/>
      <c r="F123" s="103"/>
      <c r="G123" s="93"/>
      <c r="H123" s="93"/>
      <c r="I123" s="93"/>
      <c r="J123" s="93"/>
      <c r="K123" s="93"/>
      <c r="L123" s="93"/>
      <c r="M123" s="93"/>
      <c r="N123" s="93"/>
      <c r="O123" s="93"/>
      <c r="P123" s="207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22" customHeight="1" x14ac:dyDescent="0.2">
      <c r="A124" s="28"/>
      <c r="B124" s="104" t="s">
        <v>155</v>
      </c>
      <c r="C124" s="105">
        <f>$C$10+7*0</f>
        <v>46174</v>
      </c>
      <c r="D124" s="105">
        <f>$C$10+7*1</f>
        <v>46181</v>
      </c>
      <c r="E124" s="105">
        <f>$C$10+7*2</f>
        <v>46188</v>
      </c>
      <c r="F124" s="105">
        <f>$C$10+7*3</f>
        <v>46195</v>
      </c>
      <c r="G124" s="105">
        <f>$C$10+7*4</f>
        <v>46202</v>
      </c>
      <c r="H124" s="105">
        <f>$C$10+7*5</f>
        <v>46209</v>
      </c>
      <c r="I124" s="105">
        <f>$C$10+7*6</f>
        <v>46216</v>
      </c>
      <c r="J124" s="105">
        <f>$C$10+7*7</f>
        <v>46223</v>
      </c>
      <c r="K124" s="105">
        <f>$C$10+7*8</f>
        <v>46230</v>
      </c>
      <c r="L124" s="105">
        <f>$C$10+7*9</f>
        <v>46237</v>
      </c>
      <c r="M124" s="105">
        <f>$C$10+7*10</f>
        <v>46244</v>
      </c>
      <c r="N124" s="105">
        <f>$C$10+7*11</f>
        <v>46251</v>
      </c>
      <c r="O124" s="105">
        <f>$C$10+7*12</f>
        <v>46258</v>
      </c>
      <c r="P124" s="207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8" customHeight="1" x14ac:dyDescent="0.2">
      <c r="A125" s="28"/>
      <c r="B125" s="97" t="s">
        <v>156</v>
      </c>
      <c r="C125" s="61"/>
      <c r="D125" s="61"/>
      <c r="E125" s="59"/>
      <c r="F125" s="59"/>
      <c r="G125" s="59"/>
      <c r="H125" s="59"/>
      <c r="I125" s="100">
        <v>130000</v>
      </c>
      <c r="J125" s="59"/>
      <c r="K125" s="59"/>
      <c r="L125" s="59"/>
      <c r="M125" s="59"/>
      <c r="N125" s="59"/>
      <c r="O125" s="59"/>
      <c r="P125" s="207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8" customHeight="1" x14ac:dyDescent="0.2">
      <c r="A126" s="28"/>
      <c r="B126" s="97"/>
      <c r="C126" s="52"/>
      <c r="D126" s="53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207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8" customHeight="1" x14ac:dyDescent="0.2">
      <c r="A127" s="28"/>
      <c r="B127" s="97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207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6" customHeight="1" x14ac:dyDescent="0.2">
      <c r="A128" s="28"/>
      <c r="B128" s="4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207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2" customHeight="1" x14ac:dyDescent="0.2">
      <c r="A129" s="28"/>
      <c r="B129" s="94" t="s">
        <v>157</v>
      </c>
      <c r="C129" s="101" t="s">
        <v>158</v>
      </c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5"/>
      <c r="O129" s="125"/>
      <c r="P129" s="207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22" customHeight="1" x14ac:dyDescent="0.2">
      <c r="A130" s="28"/>
      <c r="B130" s="97" t="s">
        <v>37</v>
      </c>
      <c r="C130" s="221">
        <f>C43</f>
        <v>30</v>
      </c>
      <c r="D130" s="218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207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22" customHeight="1" x14ac:dyDescent="0.2">
      <c r="A131" s="28"/>
      <c r="B131" s="97" t="s">
        <v>159</v>
      </c>
      <c r="C131" s="222">
        <v>30</v>
      </c>
      <c r="D131" s="223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207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22" customHeight="1" x14ac:dyDescent="0.2">
      <c r="A132" s="28"/>
      <c r="B132" s="97" t="s">
        <v>160</v>
      </c>
      <c r="C132" s="217">
        <f>C104</f>
        <v>98000</v>
      </c>
      <c r="D132" s="218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207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22" customHeight="1" x14ac:dyDescent="0.2">
      <c r="A133" s="28"/>
      <c r="B133" s="97" t="s">
        <v>161</v>
      </c>
      <c r="C133" s="220">
        <v>142000</v>
      </c>
      <c r="D133" s="216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207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22" customHeight="1" x14ac:dyDescent="0.2">
      <c r="A134" s="28"/>
      <c r="B134" s="97" t="s">
        <v>162</v>
      </c>
      <c r="C134" s="217">
        <f>C119</f>
        <v>8500</v>
      </c>
      <c r="D134" s="218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207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6" customHeight="1" x14ac:dyDescent="0.2">
      <c r="A135" s="28"/>
      <c r="B135" s="49"/>
      <c r="C135" s="60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207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22" customHeight="1" x14ac:dyDescent="0.2">
      <c r="A136" s="28"/>
      <c r="B136" s="94" t="s">
        <v>163</v>
      </c>
      <c r="C136" s="101" t="s">
        <v>164</v>
      </c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207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22" customHeight="1" x14ac:dyDescent="0.2">
      <c r="A137" s="28"/>
      <c r="B137" s="104" t="s">
        <v>66</v>
      </c>
      <c r="C137" s="105">
        <f>$C$10+7*0</f>
        <v>46174</v>
      </c>
      <c r="D137" s="105">
        <f>$C$10+7*1</f>
        <v>46181</v>
      </c>
      <c r="E137" s="105">
        <f>$C$10+7*2</f>
        <v>46188</v>
      </c>
      <c r="F137" s="105">
        <f>$C$10+7*3</f>
        <v>46195</v>
      </c>
      <c r="G137" s="105">
        <f>$C$10+7*4</f>
        <v>46202</v>
      </c>
      <c r="H137" s="105">
        <f>$C$10+7*5</f>
        <v>46209</v>
      </c>
      <c r="I137" s="105">
        <f>$C$10+7*6</f>
        <v>46216</v>
      </c>
      <c r="J137" s="105">
        <f>$C$10+7*7</f>
        <v>46223</v>
      </c>
      <c r="K137" s="105">
        <f>$C$10+7*8</f>
        <v>46230</v>
      </c>
      <c r="L137" s="105">
        <f>$C$10+7*9</f>
        <v>46237</v>
      </c>
      <c r="M137" s="105">
        <f>$C$10+7*10</f>
        <v>46244</v>
      </c>
      <c r="N137" s="105">
        <f>$C$10+7*11</f>
        <v>46251</v>
      </c>
      <c r="O137" s="105">
        <f>$C$10+7*12</f>
        <v>46258</v>
      </c>
      <c r="P137" s="207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22" customHeight="1" x14ac:dyDescent="0.2">
      <c r="A138" s="28"/>
      <c r="B138" s="83" t="s">
        <v>165</v>
      </c>
      <c r="C138" s="126">
        <f>$C$11</f>
        <v>420000</v>
      </c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207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22" customHeight="1" x14ac:dyDescent="0.2">
      <c r="A139" s="28"/>
      <c r="B139" s="83" t="s">
        <v>25</v>
      </c>
      <c r="C139" s="126">
        <f t="shared" ref="C139:O139" si="1">SUMPRODUCT(INDEX($C$16:$O$40,0,COLUMN()-2))+IF((COLUMN()-2)-CEILING($C$43/7,1)&gt;=1,INDEX($C$45:$O$45,1,(COLUMN()-2)-CEILING($C$43/7,1)),0)+SUMPRODUCT(($E$49:$E$52=(COLUMN()-2))*$C$49:$C$52*$D$49:$D$52)</f>
        <v>95000</v>
      </c>
      <c r="D139" s="126">
        <f t="shared" si="1"/>
        <v>119000</v>
      </c>
      <c r="E139" s="126">
        <f t="shared" si="1"/>
        <v>40000</v>
      </c>
      <c r="F139" s="126">
        <f t="shared" si="1"/>
        <v>57750</v>
      </c>
      <c r="G139" s="126">
        <f t="shared" si="1"/>
        <v>33000</v>
      </c>
      <c r="H139" s="126">
        <f t="shared" si="1"/>
        <v>99700</v>
      </c>
      <c r="I139" s="126">
        <f t="shared" si="1"/>
        <v>16000</v>
      </c>
      <c r="J139" s="126">
        <f t="shared" si="1"/>
        <v>54000</v>
      </c>
      <c r="K139" s="126">
        <f t="shared" si="1"/>
        <v>61650</v>
      </c>
      <c r="L139" s="126">
        <f t="shared" si="1"/>
        <v>97500</v>
      </c>
      <c r="M139" s="126">
        <f t="shared" si="1"/>
        <v>90000</v>
      </c>
      <c r="N139" s="126">
        <f t="shared" si="1"/>
        <v>162000</v>
      </c>
      <c r="O139" s="126">
        <f t="shared" si="1"/>
        <v>65000</v>
      </c>
      <c r="P139" s="207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22" customHeight="1" x14ac:dyDescent="0.2">
      <c r="A140" s="28"/>
      <c r="B140" s="83" t="s">
        <v>26</v>
      </c>
      <c r="C140" s="126">
        <f t="shared" ref="C140:O140" si="2">SUMPRODUCT(INDEX($C$56:$O$58,0,COLUMN()-2))</f>
        <v>0</v>
      </c>
      <c r="D140" s="126">
        <f t="shared" si="2"/>
        <v>0</v>
      </c>
      <c r="E140" s="126">
        <f t="shared" si="2"/>
        <v>18000</v>
      </c>
      <c r="F140" s="126">
        <f t="shared" si="2"/>
        <v>0</v>
      </c>
      <c r="G140" s="126">
        <f t="shared" si="2"/>
        <v>0</v>
      </c>
      <c r="H140" s="126">
        <f t="shared" si="2"/>
        <v>0</v>
      </c>
      <c r="I140" s="126">
        <f t="shared" si="2"/>
        <v>0</v>
      </c>
      <c r="J140" s="126">
        <f t="shared" si="2"/>
        <v>0</v>
      </c>
      <c r="K140" s="126">
        <f t="shared" si="2"/>
        <v>0</v>
      </c>
      <c r="L140" s="126">
        <f t="shared" si="2"/>
        <v>6000</v>
      </c>
      <c r="M140" s="126">
        <f t="shared" si="2"/>
        <v>0</v>
      </c>
      <c r="N140" s="126">
        <f t="shared" si="2"/>
        <v>0</v>
      </c>
      <c r="O140" s="126">
        <f t="shared" si="2"/>
        <v>0</v>
      </c>
      <c r="P140" s="207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22" customHeight="1" x14ac:dyDescent="0.2">
      <c r="A141" s="28"/>
      <c r="B141" s="83" t="s">
        <v>28</v>
      </c>
      <c r="C141" s="126">
        <f>IF(OR($C$103="",$C$104="",$C$105=""),0,IF(AND((COLUMN()-2)&gt;=$C$105,MOD((COLUMN()-2)-$C$105,CHOOSE(MATCH($C$103,{"Weekly","Fortnightly","Monthly"},0),1,2,4))=0),-$C$104,0))</f>
        <v>-98000</v>
      </c>
      <c r="D141" s="126">
        <f>IF(OR($C$103="",$C$104="",$C$105=""),0,IF(AND((COLUMN()-2)&gt;=$C$105,MOD((COLUMN()-2)-$C$105,CHOOSE(MATCH($C$103,{"Weekly","Fortnightly","Monthly"},0),1,2,4))=0),-$C$104,0))</f>
        <v>0</v>
      </c>
      <c r="E141" s="126">
        <f>IF(OR($C$103="",$C$104="",$C$105=""),0,IF(AND((COLUMN()-2)&gt;=$C$105,MOD((COLUMN()-2)-$C$105,CHOOSE(MATCH($C$103,{"Weekly","Fortnightly","Monthly"},0),1,2,4))=0),-$C$104,0))</f>
        <v>-98000</v>
      </c>
      <c r="F141" s="126">
        <f>IF(OR($C$103="",$C$104="",$C$105=""),0,IF(AND((COLUMN()-2)&gt;=$C$105,MOD((COLUMN()-2)-$C$105,CHOOSE(MATCH($C$103,{"Weekly","Fortnightly","Monthly"},0),1,2,4))=0),-$C$104,0))</f>
        <v>0</v>
      </c>
      <c r="G141" s="126">
        <f>IF(OR($C$103="",$C$104="",$C$105=""),0,IF(AND((COLUMN()-2)&gt;=$C$105,MOD((COLUMN()-2)-$C$105,CHOOSE(MATCH($C$103,{"Weekly","Fortnightly","Monthly"},0),1,2,4))=0),-$C$104,0))</f>
        <v>-98000</v>
      </c>
      <c r="H141" s="126">
        <f>IF(OR($C$103="",$C$104="",$C$105=""),0,IF(AND((COLUMN()-2)&gt;=$C$105,MOD((COLUMN()-2)-$C$105,CHOOSE(MATCH($C$103,{"Weekly","Fortnightly","Monthly"},0),1,2,4))=0),-$C$104,0))</f>
        <v>0</v>
      </c>
      <c r="I141" s="126">
        <f>IF(OR($C$103="",$C$104="",$C$105=""),0,IF(AND((COLUMN()-2)&gt;=$C$105,MOD((COLUMN()-2)-$C$105,CHOOSE(MATCH($C$103,{"Weekly","Fortnightly","Monthly"},0),1,2,4))=0),-$C$104,0))</f>
        <v>-98000</v>
      </c>
      <c r="J141" s="126">
        <f>IF(OR($C$103="",$C$104="",$C$105=""),0,IF(AND((COLUMN()-2)&gt;=$C$105,MOD((COLUMN()-2)-$C$105,CHOOSE(MATCH($C$103,{"Weekly","Fortnightly","Monthly"},0),1,2,4))=0),-$C$104,0))</f>
        <v>0</v>
      </c>
      <c r="K141" s="126">
        <f>IF(OR($C$103="",$C$104="",$C$105=""),0,IF(AND((COLUMN()-2)&gt;=$C$105,MOD((COLUMN()-2)-$C$105,CHOOSE(MATCH($C$103,{"Weekly","Fortnightly","Monthly"},0),1,2,4))=0),-$C$104,0))</f>
        <v>-98000</v>
      </c>
      <c r="L141" s="126">
        <f>IF(OR($C$103="",$C$104="",$C$105=""),0,IF(AND((COLUMN()-2)&gt;=$C$105,MOD((COLUMN()-2)-$C$105,CHOOSE(MATCH($C$103,{"Weekly","Fortnightly","Monthly"},0),1,2,4))=0),-$C$104,0))</f>
        <v>0</v>
      </c>
      <c r="M141" s="126">
        <f>IF(OR($C$103="",$C$104="",$C$105=""),0,IF(AND((COLUMN()-2)&gt;=$C$105,MOD((COLUMN()-2)-$C$105,CHOOSE(MATCH($C$103,{"Weekly","Fortnightly","Monthly"},0),1,2,4))=0),-$C$104,0))</f>
        <v>-98000</v>
      </c>
      <c r="N141" s="126">
        <f>IF(OR($C$103="",$C$104="",$C$105=""),0,IF(AND((COLUMN()-2)&gt;=$C$105,MOD((COLUMN()-2)-$C$105,CHOOSE(MATCH($C$103,{"Weekly","Fortnightly","Monthly"},0),1,2,4))=0),-$C$104,0))</f>
        <v>0</v>
      </c>
      <c r="O141" s="126">
        <f>IF(OR($C$103="",$C$104="",$C$105=""),0,IF(AND((COLUMN()-2)&gt;=$C$105,MOD((COLUMN()-2)-$C$105,CHOOSE(MATCH($C$103,{"Weekly","Fortnightly","Monthly"},0),1,2,4))=0),-$C$104,0))</f>
        <v>-98000</v>
      </c>
      <c r="P141" s="207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22" customHeight="1" x14ac:dyDescent="0.2">
      <c r="A142" s="28"/>
      <c r="B142" s="83" t="s">
        <v>29</v>
      </c>
      <c r="C142" s="126" cm="1">
        <f t="array" ref="C142">-SUMPRODUCT(INDEX($C$63:$O$73,0,COLUMN()-2))-SUMPRODUCT(($E$75:$E$84=(COLUMN()-2))*($D$75:$D$84&lt;&gt;"")*($D$75:$D$84))</f>
        <v>-42000</v>
      </c>
      <c r="D142" s="126" cm="1">
        <f t="array" ref="D142">-SUMPRODUCT(INDEX($C$63:$O$73,0,COLUMN()-2))-SUMPRODUCT(($E$75:$E$84=(COLUMN()-2))*($D$75:$D$84&lt;&gt;"")*($D$75:$D$84))</f>
        <v>-55000</v>
      </c>
      <c r="E142" s="126" cm="1">
        <f t="array" ref="E142">-SUMPRODUCT(INDEX($C$63:$O$73,0,COLUMN()-2))-SUMPRODUCT(($E$75:$E$84=(COLUMN()-2))*($D$75:$D$84&lt;&gt;"")*($D$75:$D$84))</f>
        <v>-9000</v>
      </c>
      <c r="F142" s="126" cm="1">
        <f t="array" ref="F142">-SUMPRODUCT(INDEX($C$63:$O$73,0,COLUMN()-2))-SUMPRODUCT(($E$75:$E$84=(COLUMN()-2))*($D$75:$D$84&lt;&gt;"")*($D$75:$D$84))</f>
        <v>-6500</v>
      </c>
      <c r="G142" s="126" cm="1">
        <f t="array" ref="G142">-SUMPRODUCT(INDEX($C$63:$O$73,0,COLUMN()-2))-SUMPRODUCT(($E$75:$E$84=(COLUMN()-2))*($D$75:$D$84&lt;&gt;"")*($D$75:$D$84))</f>
        <v>-30000</v>
      </c>
      <c r="H142" s="126" cm="1">
        <f t="array" ref="H142">-SUMPRODUCT(INDEX($C$63:$O$73,0,COLUMN()-2))-SUMPRODUCT(($E$75:$E$84=(COLUMN()-2))*($D$75:$D$84&lt;&gt;"")*($D$75:$D$84))</f>
        <v>-14000</v>
      </c>
      <c r="I142" s="126" cm="1">
        <f t="array" ref="I142">-SUMPRODUCT(INDEX($C$63:$O$73,0,COLUMN()-2))-SUMPRODUCT(($E$75:$E$84=(COLUMN()-2))*($D$75:$D$84&lt;&gt;"")*($D$75:$D$84))</f>
        <v>-12000</v>
      </c>
      <c r="J142" s="126" cm="1">
        <f t="array" ref="J142">-SUMPRODUCT(INDEX($C$63:$O$73,0,COLUMN()-2))-SUMPRODUCT(($E$75:$E$84=(COLUMN()-2))*($D$75:$D$84&lt;&gt;"")*($D$75:$D$84))</f>
        <v>0</v>
      </c>
      <c r="K142" s="126" cm="1">
        <f t="array" ref="K142">-SUMPRODUCT(INDEX($C$63:$O$73,0,COLUMN()-2))-SUMPRODUCT(($E$75:$E$84=(COLUMN()-2))*($D$75:$D$84&lt;&gt;"")*($D$75:$D$84))</f>
        <v>-8000</v>
      </c>
      <c r="L142" s="126" cm="1">
        <f t="array" ref="L142">-SUMPRODUCT(INDEX($C$63:$O$73,0,COLUMN()-2))-SUMPRODUCT(($E$75:$E$84=(COLUMN()-2))*($D$75:$D$84&lt;&gt;"")*($D$75:$D$84))</f>
        <v>-48000</v>
      </c>
      <c r="M142" s="126" cm="1">
        <f t="array" ref="M142">-SUMPRODUCT(INDEX($C$63:$O$73,0,COLUMN()-2))-SUMPRODUCT(($E$75:$E$84=(COLUMN()-2))*($D$75:$D$84&lt;&gt;"")*($D$75:$D$84))</f>
        <v>0</v>
      </c>
      <c r="N142" s="126" cm="1">
        <f t="array" ref="N142">-SUMPRODUCT(INDEX($C$63:$O$73,0,COLUMN()-2))-SUMPRODUCT(($E$75:$E$84=(COLUMN()-2))*($D$75:$D$84&lt;&gt;"")*($D$75:$D$84))</f>
        <v>-11000</v>
      </c>
      <c r="O142" s="126" cm="1">
        <f t="array" ref="O142">-SUMPRODUCT(INDEX($C$63:$O$73,0,COLUMN()-2))-SUMPRODUCT(($E$75:$E$84=(COLUMN()-2))*($D$75:$D$84&lt;&gt;"")*($D$75:$D$84))</f>
        <v>0</v>
      </c>
      <c r="P142" s="207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22" customHeight="1" x14ac:dyDescent="0.2">
      <c r="A143" s="28"/>
      <c r="B143" s="83" t="s">
        <v>30</v>
      </c>
      <c r="C143" s="126">
        <f t="shared" ref="C143:O143" si="3">-SUMPRODUCT((INT(($D$109:$D$116-$C$10)/7)+1=(COLUMN()-2))*($C$109:$C$116=$C$9)*$E$109:$E$116)</f>
        <v>-18000</v>
      </c>
      <c r="D143" s="126">
        <f t="shared" si="3"/>
        <v>0</v>
      </c>
      <c r="E143" s="126">
        <f t="shared" si="3"/>
        <v>0</v>
      </c>
      <c r="F143" s="126">
        <f t="shared" si="3"/>
        <v>0</v>
      </c>
      <c r="G143" s="126">
        <f t="shared" si="3"/>
        <v>0</v>
      </c>
      <c r="H143" s="126">
        <f t="shared" si="3"/>
        <v>-18000</v>
      </c>
      <c r="I143" s="126">
        <f t="shared" si="3"/>
        <v>0</v>
      </c>
      <c r="J143" s="126">
        <f t="shared" si="3"/>
        <v>-142000</v>
      </c>
      <c r="K143" s="126">
        <f t="shared" si="3"/>
        <v>-96000</v>
      </c>
      <c r="L143" s="126">
        <f t="shared" si="3"/>
        <v>0</v>
      </c>
      <c r="M143" s="126">
        <f t="shared" si="3"/>
        <v>0</v>
      </c>
      <c r="N143" s="126">
        <f t="shared" si="3"/>
        <v>0</v>
      </c>
      <c r="O143" s="126">
        <f t="shared" si="3"/>
        <v>0</v>
      </c>
      <c r="P143" s="207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22" customHeight="1" x14ac:dyDescent="0.2">
      <c r="A144" s="28"/>
      <c r="B144" s="83" t="s">
        <v>31</v>
      </c>
      <c r="C144" s="126">
        <f t="shared" ref="C144:O144" si="4">IF(AND((COLUMN()-2)&gt;=$C$121,MOD((COLUMN()-2)-$C$121,$C$120)=0),-$C$119,0)</f>
        <v>-8500</v>
      </c>
      <c r="D144" s="126">
        <f t="shared" si="4"/>
        <v>0</v>
      </c>
      <c r="E144" s="126">
        <f t="shared" si="4"/>
        <v>0</v>
      </c>
      <c r="F144" s="126">
        <f t="shared" si="4"/>
        <v>0</v>
      </c>
      <c r="G144" s="126">
        <f t="shared" si="4"/>
        <v>-8500</v>
      </c>
      <c r="H144" s="126">
        <f t="shared" si="4"/>
        <v>0</v>
      </c>
      <c r="I144" s="126">
        <f t="shared" si="4"/>
        <v>0</v>
      </c>
      <c r="J144" s="126">
        <f t="shared" si="4"/>
        <v>0</v>
      </c>
      <c r="K144" s="126">
        <f t="shared" si="4"/>
        <v>-8500</v>
      </c>
      <c r="L144" s="126">
        <f t="shared" si="4"/>
        <v>0</v>
      </c>
      <c r="M144" s="126">
        <f t="shared" si="4"/>
        <v>0</v>
      </c>
      <c r="N144" s="126">
        <f t="shared" si="4"/>
        <v>0</v>
      </c>
      <c r="O144" s="126">
        <f t="shared" si="4"/>
        <v>-8500</v>
      </c>
      <c r="P144" s="207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2" customHeight="1" x14ac:dyDescent="0.2">
      <c r="A145" s="28"/>
      <c r="B145" s="83" t="s">
        <v>32</v>
      </c>
      <c r="C145" s="126" cm="1">
        <f t="array" ref="C145">-SUMPRODUCT($C$91:$C$100*(($D$91:$D$100="Weekly")*1+($D$91:$D$100="Fortnightly")*(MOD((COLUMN()-2)-1,2)=0)+($D$91:$D$100="Monthly")*(COUNTIF($L$101:$O$101,(COLUMN()-2))&gt;0)))</f>
        <v>-23100</v>
      </c>
      <c r="D145" s="126" cm="1">
        <f t="array" ref="D145">-SUMPRODUCT($C$91:$C$100*(($D$91:$D$100="Weekly")*1+($D$91:$D$100="Fortnightly")*(MOD((COLUMN()-2)-1,2)=0)+($D$91:$D$100="Monthly")*(COUNTIF($L$101:$O$101,(COLUMN()-2))&gt;0)))</f>
        <v>-1100</v>
      </c>
      <c r="E145" s="126" cm="1">
        <f t="array" ref="E145">-SUMPRODUCT($C$91:$C$100*(($D$91:$D$100="Weekly")*1+($D$91:$D$100="Fortnightly")*(MOD((COLUMN()-2)-1,2)=0)+($D$91:$D$100="Monthly")*(COUNTIF($L$101:$O$101,(COLUMN()-2))&gt;0)))</f>
        <v>-6900</v>
      </c>
      <c r="F145" s="126" cm="1">
        <f t="array" ref="F145">-SUMPRODUCT($C$91:$C$100*(($D$91:$D$100="Weekly")*1+($D$91:$D$100="Fortnightly")*(MOD((COLUMN()-2)-1,2)=0)+($D$91:$D$100="Monthly")*(COUNTIF($L$101:$O$101,(COLUMN()-2))&gt;0)))</f>
        <v>-1100</v>
      </c>
      <c r="G145" s="126" cm="1">
        <f t="array" ref="G145">-SUMPRODUCT($C$91:$C$100*(($D$91:$D$100="Weekly")*1+($D$91:$D$100="Fortnightly")*(MOD((COLUMN()-2)-1,2)=0)+($D$91:$D$100="Monthly")*(COUNTIF($L$101:$O$101,(COLUMN()-2))&gt;0)))</f>
        <v>-23100</v>
      </c>
      <c r="H145" s="126" cm="1">
        <f t="array" ref="H145">-SUMPRODUCT($C$91:$C$100*(($D$91:$D$100="Weekly")*1+($D$91:$D$100="Fortnightly")*(MOD((COLUMN()-2)-1,2)=0)+($D$91:$D$100="Monthly")*(COUNTIF($L$101:$O$101,(COLUMN()-2))&gt;0)))</f>
        <v>-1100</v>
      </c>
      <c r="I145" s="126" cm="1">
        <f t="array" ref="I145">-SUMPRODUCT($C$91:$C$100*(($D$91:$D$100="Weekly")*1+($D$91:$D$100="Fortnightly")*(MOD((COLUMN()-2)-1,2)=0)+($D$91:$D$100="Monthly")*(COUNTIF($L$101:$O$101,(COLUMN()-2))&gt;0)))</f>
        <v>-6900</v>
      </c>
      <c r="J145" s="126" cm="1">
        <f t="array" ref="J145">-SUMPRODUCT($C$91:$C$100*(($D$91:$D$100="Weekly")*1+($D$91:$D$100="Fortnightly")*(MOD((COLUMN()-2)-1,2)=0)+($D$91:$D$100="Monthly")*(COUNTIF($L$101:$O$101,(COLUMN()-2))&gt;0)))</f>
        <v>-1100</v>
      </c>
      <c r="K145" s="126" cm="1">
        <f t="array" ref="K145">-SUMPRODUCT($C$91:$C$100*(($D$91:$D$100="Weekly")*1+($D$91:$D$100="Fortnightly")*(MOD((COLUMN()-2)-1,2)=0)+($D$91:$D$100="Monthly")*(COUNTIF($L$101:$O$101,(COLUMN()-2))&gt;0)))</f>
        <v>-23100</v>
      </c>
      <c r="L145" s="126" cm="1">
        <f t="array" ref="L145">-SUMPRODUCT($C$91:$C$100*(($D$91:$D$100="Weekly")*1+($D$91:$D$100="Fortnightly")*(MOD((COLUMN()-2)-1,2)=0)+($D$91:$D$100="Monthly")*(COUNTIF($L$101:$O$101,(COLUMN()-2))&gt;0)))</f>
        <v>-1100</v>
      </c>
      <c r="M145" s="126" cm="1">
        <f t="array" ref="M145">-SUMPRODUCT($C$91:$C$100*(($D$91:$D$100="Weekly")*1+($D$91:$D$100="Fortnightly")*(MOD((COLUMN()-2)-1,2)=0)+($D$91:$D$100="Monthly")*(COUNTIF($L$101:$O$101,(COLUMN()-2))&gt;0)))</f>
        <v>-6900</v>
      </c>
      <c r="N145" s="126" cm="1">
        <f t="array" ref="N145">-SUMPRODUCT($C$91:$C$100*(($D$91:$D$100="Weekly")*1+($D$91:$D$100="Fortnightly")*(MOD((COLUMN()-2)-1,2)=0)+($D$91:$D$100="Monthly")*(COUNTIF($L$101:$O$101,(COLUMN()-2))&gt;0)))</f>
        <v>-1100</v>
      </c>
      <c r="O145" s="126" cm="1">
        <f t="array" ref="O145">-SUMPRODUCT($C$91:$C$100*(($D$91:$D$100="Weekly")*1+($D$91:$D$100="Fortnightly")*(MOD((COLUMN()-2)-1,2)=0)+($D$91:$D$100="Monthly")*(COUNTIF($L$101:$O$101,(COLUMN()-2))&gt;0)))</f>
        <v>-23100</v>
      </c>
      <c r="P145" s="207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22" customHeight="1" x14ac:dyDescent="0.2">
      <c r="A146" s="28"/>
      <c r="B146" s="83" t="s">
        <v>33</v>
      </c>
      <c r="C146" s="126">
        <f t="shared" ref="C146:O146" si="5">-SUMPRODUCT(INDEX($C$125:$O$127,0,COLUMN()-2))</f>
        <v>0</v>
      </c>
      <c r="D146" s="126">
        <f t="shared" si="5"/>
        <v>0</v>
      </c>
      <c r="E146" s="126">
        <f t="shared" si="5"/>
        <v>0</v>
      </c>
      <c r="F146" s="126">
        <f t="shared" si="5"/>
        <v>0</v>
      </c>
      <c r="G146" s="126">
        <f t="shared" si="5"/>
        <v>0</v>
      </c>
      <c r="H146" s="126">
        <f t="shared" si="5"/>
        <v>0</v>
      </c>
      <c r="I146" s="126">
        <f t="shared" si="5"/>
        <v>-130000</v>
      </c>
      <c r="J146" s="126">
        <f t="shared" si="5"/>
        <v>0</v>
      </c>
      <c r="K146" s="126">
        <f t="shared" si="5"/>
        <v>0</v>
      </c>
      <c r="L146" s="126">
        <f t="shared" si="5"/>
        <v>0</v>
      </c>
      <c r="M146" s="126">
        <f t="shared" si="5"/>
        <v>0</v>
      </c>
      <c r="N146" s="126">
        <f t="shared" si="5"/>
        <v>0</v>
      </c>
      <c r="O146" s="126">
        <f t="shared" si="5"/>
        <v>0</v>
      </c>
      <c r="P146" s="207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22" customHeight="1" x14ac:dyDescent="0.2">
      <c r="A147" s="28"/>
      <c r="B147" s="83" t="s">
        <v>36</v>
      </c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207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6" customHeight="1" x14ac:dyDescent="0.2">
      <c r="A148" s="28"/>
      <c r="B148" s="80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207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22" customHeight="1" x14ac:dyDescent="0.2">
      <c r="A149" s="28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207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22" customHeight="1" x14ac:dyDescent="0.2">
      <c r="A150" s="47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22" customHeight="1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22" customHeight="1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x14ac:dyDescent="0.2">
      <c r="A153" s="47"/>
      <c r="B153" s="82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x14ac:dyDescent="0.2">
      <c r="A154" s="47"/>
      <c r="B154" s="80"/>
      <c r="C154" s="63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x14ac:dyDescent="0.2">
      <c r="A155" s="47"/>
      <c r="B155" s="80"/>
      <c r="C155" s="76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x14ac:dyDescent="0.2">
      <c r="A156" s="47"/>
      <c r="B156" s="80"/>
      <c r="C156" s="7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</sheetData>
  <mergeCells count="17">
    <mergeCell ref="C121:D121"/>
    <mergeCell ref="C8:G8"/>
    <mergeCell ref="C9:D9"/>
    <mergeCell ref="C10:D10"/>
    <mergeCell ref="C11:D11"/>
    <mergeCell ref="C12:D12"/>
    <mergeCell ref="C43:D43"/>
    <mergeCell ref="C103:D103"/>
    <mergeCell ref="C104:D104"/>
    <mergeCell ref="C105:D105"/>
    <mergeCell ref="C119:D119"/>
    <mergeCell ref="C120:D120"/>
    <mergeCell ref="C130:D130"/>
    <mergeCell ref="C131:D131"/>
    <mergeCell ref="C132:D132"/>
    <mergeCell ref="C133:D133"/>
    <mergeCell ref="C134:D134"/>
  </mergeCells>
  <dataValidations count="4">
    <dataValidation type="list" allowBlank="1" sqref="C109:C116" xr:uid="{362D8B5F-48C7-5649-A5B8-EA7DAB2F0832}">
      <formula1>"AU,NZ,US"</formula1>
    </dataValidation>
    <dataValidation type="list" allowBlank="1" sqref="D91:D100" xr:uid="{9724C21A-7891-B547-8845-C31AD338E9E7}">
      <formula1>"Weekly,Fortnightly,Monthly"</formula1>
    </dataValidation>
    <dataValidation type="list" sqref="C103" xr:uid="{80BE7ED7-5D9F-7A4E-A365-CA58CD1C2098}">
      <formula1>"Weekly,Fortnightly,Monthly"</formula1>
    </dataValidation>
    <dataValidation type="list" sqref="C9" xr:uid="{5110EE8C-6421-8B46-A872-548F60057CAB}">
      <formula1>"AU,NZ,US"</formula1>
    </dataValidation>
  </dataValidations>
  <pageMargins left="0.75" right="0.75" top="1" bottom="1" header="0.5" footer="0.5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80</vt:i4>
      </vt:variant>
    </vt:vector>
  </HeadingPairs>
  <TitlesOfParts>
    <vt:vector size="85" baseType="lpstr">
      <vt:lpstr>Read Me</vt:lpstr>
      <vt:lpstr>Cashflow</vt:lpstr>
      <vt:lpstr>Inputs</vt:lpstr>
      <vt:lpstr>Sample Cashflow</vt:lpstr>
      <vt:lpstr>Sample Inputs</vt:lpstr>
      <vt:lpstr>'Sample Cashflow'!CashDrv_AR_Down</vt:lpstr>
      <vt:lpstr>CashDrv_AR_Down</vt:lpstr>
      <vt:lpstr>'Sample Cashflow'!CashDrv_AR_Up</vt:lpstr>
      <vt:lpstr>CashDrv_AR_Up</vt:lpstr>
      <vt:lpstr>'Sample Cashflow'!CashDrv_Capex_Down</vt:lpstr>
      <vt:lpstr>CashDrv_Capex_Down</vt:lpstr>
      <vt:lpstr>'Sample Cashflow'!CashDrv_Capex_Up</vt:lpstr>
      <vt:lpstr>CashDrv_Capex_Up</vt:lpstr>
      <vt:lpstr>'Sample Cashflow'!CashDrv_Disc_Down</vt:lpstr>
      <vt:lpstr>CashDrv_Disc_Down</vt:lpstr>
      <vt:lpstr>'Sample Cashflow'!CashDrv_Disc_Up</vt:lpstr>
      <vt:lpstr>CashDrv_Disc_Up</vt:lpstr>
      <vt:lpstr>'Sample Cashflow'!CashDrv_Rev_Down</vt:lpstr>
      <vt:lpstr>CashDrv_Rev_Down</vt:lpstr>
      <vt:lpstr>'Sample Cashflow'!CashDrv_Rev_Up</vt:lpstr>
      <vt:lpstr>CashDrv_Rev_Up</vt:lpstr>
      <vt:lpstr>'Sample Cashflow'!CashScn_Active</vt:lpstr>
      <vt:lpstr>CashScn_Active</vt:lpstr>
      <vt:lpstr>'Sample Cashflow'!In_AP_Days</vt:lpstr>
      <vt:lpstr>'Sample Inputs'!In_AP_Days</vt:lpstr>
      <vt:lpstr>In_AP_Days</vt:lpstr>
      <vt:lpstr>'Sample Cashflow'!In_AR_Days</vt:lpstr>
      <vt:lpstr>'Sample Inputs'!In_AR_Days</vt:lpstr>
      <vt:lpstr>In_AR_Days</vt:lpstr>
      <vt:lpstr>'Sample Cashflow'!In_AsOfDate</vt:lpstr>
      <vt:lpstr>'Sample Inputs'!In_AsOfDate</vt:lpstr>
      <vt:lpstr>In_AsOfDate</vt:lpstr>
      <vt:lpstr>'Sample Cashflow'!In_Cash_Ar</vt:lpstr>
      <vt:lpstr>'Sample Inputs'!In_Cash_Ar</vt:lpstr>
      <vt:lpstr>In_Cash_Ar</vt:lpstr>
      <vt:lpstr>'Sample Cashflow'!In_Cash_Bank</vt:lpstr>
      <vt:lpstr>'Sample Inputs'!In_Cash_Bank</vt:lpstr>
      <vt:lpstr>In_Cash_Bank</vt:lpstr>
      <vt:lpstr>'Sample Cashflow'!In_Cash_Capex</vt:lpstr>
      <vt:lpstr>'Sample Inputs'!In_Cash_Capex</vt:lpstr>
      <vt:lpstr>In_Cash_Capex</vt:lpstr>
      <vt:lpstr>'Sample Cashflow'!In_Cash_Debt</vt:lpstr>
      <vt:lpstr>'Sample Inputs'!In_Cash_Debt</vt:lpstr>
      <vt:lpstr>In_Cash_Debt</vt:lpstr>
      <vt:lpstr>'Sample Cashflow'!In_Cash_Opening</vt:lpstr>
      <vt:lpstr>'Sample Inputs'!In_Cash_Opening</vt:lpstr>
      <vt:lpstr>In_Cash_Opening</vt:lpstr>
      <vt:lpstr>'Sample Cashflow'!In_Cash_OpeningW1</vt:lpstr>
      <vt:lpstr>'Sample Inputs'!In_Cash_OpeningW1</vt:lpstr>
      <vt:lpstr>In_Cash_OpeningW1</vt:lpstr>
      <vt:lpstr>'Sample Cashflow'!In_Cash_Other</vt:lpstr>
      <vt:lpstr>'Sample Inputs'!In_Cash_Other</vt:lpstr>
      <vt:lpstr>In_Cash_Other</vt:lpstr>
      <vt:lpstr>'Sample Cashflow'!In_Cash_Payroll</vt:lpstr>
      <vt:lpstr>'Sample Inputs'!In_Cash_Payroll</vt:lpstr>
      <vt:lpstr>In_Cash_Payroll</vt:lpstr>
      <vt:lpstr>'Sample Cashflow'!In_Cash_Recurring</vt:lpstr>
      <vt:lpstr>'Sample Inputs'!In_Cash_Recurring</vt:lpstr>
      <vt:lpstr>In_Cash_Recurring</vt:lpstr>
      <vt:lpstr>'Sample Cashflow'!In_Cash_Suppliers</vt:lpstr>
      <vt:lpstr>'Sample Inputs'!In_Cash_Suppliers</vt:lpstr>
      <vt:lpstr>In_Cash_Suppliers</vt:lpstr>
      <vt:lpstr>'Sample Cashflow'!In_Cash_Tax</vt:lpstr>
      <vt:lpstr>'Sample Inputs'!In_Cash_Tax</vt:lpstr>
      <vt:lpstr>In_Cash_Tax</vt:lpstr>
      <vt:lpstr>'Sample Cashflow'!In_Debt_Cyc</vt:lpstr>
      <vt:lpstr>'Sample Inputs'!In_Debt_Cyc</vt:lpstr>
      <vt:lpstr>In_Debt_Cyc</vt:lpstr>
      <vt:lpstr>'Sample Inputs'!In_IllusPill</vt:lpstr>
      <vt:lpstr>'Sample Cashflow'!In_MinCashFloor</vt:lpstr>
      <vt:lpstr>'Sample Inputs'!In_MinCashFloor</vt:lpstr>
      <vt:lpstr>In_MinCashFloor</vt:lpstr>
      <vt:lpstr>'Sample Cashflow'!In_OpeningCashW1</vt:lpstr>
      <vt:lpstr>'Sample Inputs'!In_OpeningCashW1</vt:lpstr>
      <vt:lpstr>In_OpeningCashW1</vt:lpstr>
      <vt:lpstr>'Sample Inputs'!In_PackFilename</vt:lpstr>
      <vt:lpstr>'Sample Inputs'!In_PackTitle</vt:lpstr>
      <vt:lpstr>'Sample Cashflow'!In_Payroll_Bi</vt:lpstr>
      <vt:lpstr>'Sample Inputs'!In_Payroll_Bi</vt:lpstr>
      <vt:lpstr>In_Payroll_Bi</vt:lpstr>
      <vt:lpstr>'Sample Cashflow'!In_Tax_Q</vt:lpstr>
      <vt:lpstr>'Sample Inputs'!In_Tax_Q</vt:lpstr>
      <vt:lpstr>In_Tax_Q</vt:lpstr>
      <vt:lpstr>Cashflow!Print_Area</vt:lpstr>
      <vt:lpstr>'Sample Cashflow'!Print_Area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Liam Collier</cp:lastModifiedBy>
  <dcterms:created xsi:type="dcterms:W3CDTF">2026-05-15T21:40:05Z</dcterms:created>
  <dcterms:modified xsi:type="dcterms:W3CDTF">2026-07-19T14:19:31Z</dcterms:modified>
</cp:coreProperties>
</file>