
<file path=[Content_Types].xml><?xml version="1.0" encoding="utf-8"?>
<Types xmlns="http://schemas.openxmlformats.org/package/2006/content-type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liamcollier/Desktop/Final/"/>
    </mc:Choice>
  </mc:AlternateContent>
  <xr:revisionPtr revIDLastSave="0" documentId="13_ncr:1_{D9CD2721-A842-8C4A-95C4-C5A36EEF9D3F}" xr6:coauthVersionLast="47" xr6:coauthVersionMax="47" xr10:uidLastSave="{00000000-0000-0000-0000-000000000000}"/>
  <bookViews>
    <workbookView xWindow="51200" yWindow="620" windowWidth="51200" windowHeight="26700" xr2:uid="{00000000-000D-0000-FFFF-FFFF00000000}"/>
  </bookViews>
  <sheets>
    <sheet name="Read Me" sheetId="7" r:id="rId1"/>
    <sheet name="Plan" sheetId="1" r:id="rId2"/>
    <sheet name="Inputs" sheetId="5" r:id="rId3"/>
    <sheet name="Sample Plan" sheetId="15" r:id="rId4"/>
    <sheet name="Sample Inputs" sheetId="14" r:id="rId5"/>
    <sheet name="Calendar" sheetId="8" state="hidden" r:id="rId6"/>
  </sheets>
  <definedNames>
    <definedName name="active_delivery_payroll_m1m12" localSheetId="4">'Sample Inputs'!$U$225:$AF$225</definedName>
    <definedName name="active_delivery_payroll_m1m12" localSheetId="3">'Sample Inputs'!$U$225:$AF$225</definedName>
    <definedName name="active_delivery_payroll_m1m12">Inputs!$U$225:$AF$225</definedName>
    <definedName name="active_fte_m1m12" localSheetId="4">'Sample Inputs'!$U$227:$AF$227</definedName>
    <definedName name="active_fte_m1m12" localSheetId="3">'Sample Inputs'!$U$227:$AF$227</definedName>
    <definedName name="active_fte_m1m12">Inputs!$U$227:$AF$227</definedName>
    <definedName name="active_overhead_payroll_m1m12" localSheetId="4">'Sample Inputs'!$U$226:$AF$226</definedName>
    <definedName name="active_overhead_payroll_m1m12" localSheetId="3">'Sample Inputs'!$U$226:$AF$226</definedName>
    <definedName name="active_overhead_payroll_m1m12">Inputs!$U$226:$AF$226</definedName>
    <definedName name="active_ox_comms_m1m12" localSheetId="4">'Sample Inputs'!$U$234:$AF$234</definedName>
    <definedName name="active_ox_comms_m1m12" localSheetId="3">'Sample Inputs'!$U$234:$AF$234</definedName>
    <definedName name="active_ox_comms_m1m12">Inputs!$U$234:$AF$234</definedName>
    <definedName name="active_ox_insurance_m1m12" localSheetId="4">'Sample Inputs'!$U$232:$AF$232</definedName>
    <definedName name="active_ox_insurance_m1m12" localSheetId="3">'Sample Inputs'!$U$232:$AF$232</definedName>
    <definedName name="active_ox_insurance_m1m12">Inputs!$U$232:$AF$232</definedName>
    <definedName name="active_ox_other_ox_m1m12" localSheetId="4">'Sample Inputs'!$U$235:$AF$235</definedName>
    <definedName name="active_ox_other_ox_m1m12" localSheetId="3">'Sample Inputs'!$U$235:$AF$235</definedName>
    <definedName name="active_ox_other_ox_m1m12">Inputs!$U$235:$AF$235</definedName>
    <definedName name="active_ox_prof_fees_m1m12" localSheetId="4">'Sample Inputs'!$U$231:$AF$231</definedName>
    <definedName name="active_ox_prof_fees_m1m12" localSheetId="3">'Sample Inputs'!$U$231:$AF$231</definedName>
    <definedName name="active_ox_prof_fees_m1m12">Inputs!$U$231:$AF$231</definedName>
    <definedName name="active_ox_rent_m1m12" localSheetId="4">'Sample Inputs'!$U$228:$AF$228</definedName>
    <definedName name="active_ox_rent_m1m12" localSheetId="3">'Sample Inputs'!$U$228:$AF$228</definedName>
    <definedName name="active_ox_rent_m1m12">Inputs!$U$228:$AF$228</definedName>
    <definedName name="active_ox_sales_mktg_m1m12" localSheetId="4">'Sample Inputs'!$U$230:$AF$230</definedName>
    <definedName name="active_ox_sales_mktg_m1m12" localSheetId="3">'Sample Inputs'!$U$230:$AF$230</definedName>
    <definedName name="active_ox_sales_mktg_m1m12">Inputs!$U$230:$AF$230</definedName>
    <definedName name="active_ox_software_m1m12" localSheetId="4">'Sample Inputs'!$U$229:$AF$229</definedName>
    <definedName name="active_ox_software_m1m12" localSheetId="3">'Sample Inputs'!$U$229:$AF$229</definedName>
    <definedName name="active_ox_software_m1m12">Inputs!$U$229:$AF$229</definedName>
    <definedName name="active_ox_travel_m1m12" localSheetId="4">'Sample Inputs'!$U$233:$AF$233</definedName>
    <definedName name="active_ox_travel_m1m12" localSheetId="3">'Sample Inputs'!$U$233:$AF$233</definedName>
    <definedName name="active_ox_travel_m1m12">Inputs!$U$233:$AF$233</definedName>
    <definedName name="active_sl1_m1m12" localSheetId="4">'Sample Inputs'!$U$220:$AF$220</definedName>
    <definedName name="active_sl1_m1m12" localSheetId="3">'Sample Inputs'!$U$220:$AF$220</definedName>
    <definedName name="active_sl1_m1m12">Inputs!$U$220:$AF$220</definedName>
    <definedName name="active_sl2_m1m12" localSheetId="4">'Sample Inputs'!$U$221:$AF$221</definedName>
    <definedName name="active_sl2_m1m12" localSheetId="3">'Sample Inputs'!$U$221:$AF$221</definedName>
    <definedName name="active_sl2_m1m12">Inputs!$U$221:$AF$221</definedName>
    <definedName name="active_sl3_m1m12" localSheetId="4">'Sample Inputs'!$U$222:$AF$222</definedName>
    <definedName name="active_sl3_m1m12" localSheetId="3">'Sample Inputs'!$U$222:$AF$222</definedName>
    <definedName name="active_sl3_m1m12">Inputs!$U$222:$AF$222</definedName>
    <definedName name="active_sl4_m1m12" localSheetId="4">'Sample Inputs'!$U$223:$AF$223</definedName>
    <definedName name="active_sl4_m1m12" localSheetId="3">'Sample Inputs'!$U$223:$AF$223</definedName>
    <definedName name="active_sl4_m1m12">Inputs!$U$223:$AF$223</definedName>
    <definedName name="active_sl5_m1m12" localSheetId="4">'Sample Inputs'!$U$224:$AF$224</definedName>
    <definedName name="active_sl5_m1m12" localSheetId="3">'Sample Inputs'!$U$224:$AF$224</definedName>
    <definedName name="active_sl5_m1m12">Inputs!$U$224:$AF$224</definedName>
    <definedName name="cal_jurisdictions">Calendar!$B$12:$B$38</definedName>
    <definedName name="cal_m1_date">Calendar!$C$4</definedName>
    <definedName name="cal_month_keys">Calendar!$C$8:$N$8</definedName>
    <definedName name="cal_wd_active">Calendar!$C$12:$N$38</definedName>
    <definedName name="calc_below_buffer_count_ann" localSheetId="3">'Sample Plan'!$N$248</definedName>
    <definedName name="calc_below_buffer_count_ann">Plan!$N$248</definedName>
    <definedName name="calc_below_buffer_count_m1" localSheetId="3">'Sample Plan'!$B$248</definedName>
    <definedName name="calc_below_buffer_count_m1">Plan!$B$248</definedName>
    <definedName name="calc_below_buffer_count_m10" localSheetId="3">'Sample Plan'!$K$248</definedName>
    <definedName name="calc_below_buffer_count_m10">Plan!$K$248</definedName>
    <definedName name="calc_below_buffer_count_m11" localSheetId="3">'Sample Plan'!$L$248</definedName>
    <definedName name="calc_below_buffer_count_m11">Plan!$L$248</definedName>
    <definedName name="calc_below_buffer_count_m12" localSheetId="3">'Sample Plan'!$M$248</definedName>
    <definedName name="calc_below_buffer_count_m12">Plan!$M$248</definedName>
    <definedName name="calc_below_buffer_count_m1m12" localSheetId="3">'Sample Plan'!$B$248:'Sample Plan'!$M$248</definedName>
    <definedName name="calc_below_buffer_count_m1m12">Plan!$B$248:'Plan'!$M$248</definedName>
    <definedName name="calc_below_buffer_count_m2" localSheetId="3">'Sample Plan'!$C$248</definedName>
    <definedName name="calc_below_buffer_count_m2">Plan!$C$248</definedName>
    <definedName name="calc_below_buffer_count_m3" localSheetId="3">'Sample Plan'!$D$248</definedName>
    <definedName name="calc_below_buffer_count_m3">Plan!$D$248</definedName>
    <definedName name="calc_below_buffer_count_m4" localSheetId="3">'Sample Plan'!$E$248</definedName>
    <definedName name="calc_below_buffer_count_m4">Plan!$E$248</definedName>
    <definedName name="calc_below_buffer_count_m5" localSheetId="3">'Sample Plan'!$F$248</definedName>
    <definedName name="calc_below_buffer_count_m5">Plan!$F$248</definedName>
    <definedName name="calc_below_buffer_count_m6" localSheetId="3">'Sample Plan'!$G$248</definedName>
    <definedName name="calc_below_buffer_count_m6">Plan!$G$248</definedName>
    <definedName name="calc_below_buffer_count_m7" localSheetId="3">'Sample Plan'!$H$248</definedName>
    <definedName name="calc_below_buffer_count_m7">Plan!$H$248</definedName>
    <definedName name="calc_below_buffer_count_m8" localSheetId="3">'Sample Plan'!$I$248</definedName>
    <definedName name="calc_below_buffer_count_m8">Plan!$I$248</definedName>
    <definedName name="calc_below_buffer_count_m9" localSheetId="3">'Sample Plan'!$J$248</definedName>
    <definedName name="calc_below_buffer_count_m9">Plan!$J$248</definedName>
    <definedName name="calc_bs_acc_da_neg_ann" localSheetId="3">'Sample Plan'!$N$253</definedName>
    <definedName name="calc_bs_acc_da_neg_ann">Plan!$N$253</definedName>
    <definedName name="calc_bs_acc_da_neg_m1" localSheetId="3">'Sample Plan'!$B$253</definedName>
    <definedName name="calc_bs_acc_da_neg_m1">Plan!$B$253</definedName>
    <definedName name="calc_bs_acc_da_neg_m10" localSheetId="3">'Sample Plan'!$K$253</definedName>
    <definedName name="calc_bs_acc_da_neg_m10">Plan!$K$253</definedName>
    <definedName name="calc_bs_acc_da_neg_m11" localSheetId="3">'Sample Plan'!$L$253</definedName>
    <definedName name="calc_bs_acc_da_neg_m11">Plan!$L$253</definedName>
    <definedName name="calc_bs_acc_da_neg_m12" localSheetId="3">'Sample Plan'!$M$253</definedName>
    <definedName name="calc_bs_acc_da_neg_m12">Plan!$M$253</definedName>
    <definedName name="calc_bs_acc_da_neg_m1m12" localSheetId="3">'Sample Plan'!$B$253:'Sample Plan'!$M$253</definedName>
    <definedName name="calc_bs_acc_da_neg_m1m12">Plan!$B$253:'Plan'!$M$253</definedName>
    <definedName name="calc_bs_acc_da_neg_m2" localSheetId="3">'Sample Plan'!$C$253</definedName>
    <definedName name="calc_bs_acc_da_neg_m2">Plan!$C$253</definedName>
    <definedName name="calc_bs_acc_da_neg_m3" localSheetId="3">'Sample Plan'!$D$253</definedName>
    <definedName name="calc_bs_acc_da_neg_m3">Plan!$D$253</definedName>
    <definedName name="calc_bs_acc_da_neg_m4" localSheetId="3">'Sample Plan'!$E$253</definedName>
    <definedName name="calc_bs_acc_da_neg_m4">Plan!$E$253</definedName>
    <definedName name="calc_bs_acc_da_neg_m5" localSheetId="3">'Sample Plan'!$F$253</definedName>
    <definedName name="calc_bs_acc_da_neg_m5">Plan!$F$253</definedName>
    <definedName name="calc_bs_acc_da_neg_m6" localSheetId="3">'Sample Plan'!$G$253</definedName>
    <definedName name="calc_bs_acc_da_neg_m6">Plan!$G$253</definedName>
    <definedName name="calc_bs_acc_da_neg_m7" localSheetId="3">'Sample Plan'!$H$253</definedName>
    <definedName name="calc_bs_acc_da_neg_m7">Plan!$H$253</definedName>
    <definedName name="calc_bs_acc_da_neg_m8" localSheetId="3">'Sample Plan'!$I$253</definedName>
    <definedName name="calc_bs_acc_da_neg_m8">Plan!$I$253</definedName>
    <definedName name="calc_bs_acc_da_neg_m9" localSheetId="3">'Sample Plan'!$J$253</definedName>
    <definedName name="calc_bs_acc_da_neg_m9">Plan!$J$253</definedName>
    <definedName name="calc_bs_ap_ann" localSheetId="3">'Sample Plan'!$N$233</definedName>
    <definedName name="calc_bs_ap_ann">Plan!$N$233</definedName>
    <definedName name="calc_bs_ap_m1" localSheetId="3">'Sample Plan'!$B$233</definedName>
    <definedName name="calc_bs_ap_m1">Plan!$B$233</definedName>
    <definedName name="calc_bs_ap_m10" localSheetId="3">'Sample Plan'!$K$233</definedName>
    <definedName name="calc_bs_ap_m10">Plan!$K$233</definedName>
    <definedName name="calc_bs_ap_m11" localSheetId="3">'Sample Plan'!$L$233</definedName>
    <definedName name="calc_bs_ap_m11">Plan!$L$233</definedName>
    <definedName name="calc_bs_ap_m12" localSheetId="3">'Sample Plan'!$M$233</definedName>
    <definedName name="calc_bs_ap_m12">Plan!$M$233</definedName>
    <definedName name="calc_bs_ap_m1m12" localSheetId="3">'Sample Plan'!$B$233:'Sample Plan'!$M$233</definedName>
    <definedName name="calc_bs_ap_m1m12">Plan!$B$233:'Plan'!$M$233</definedName>
    <definedName name="calc_bs_ap_m2" localSheetId="3">'Sample Plan'!$C$233</definedName>
    <definedName name="calc_bs_ap_m2">Plan!$C$233</definedName>
    <definedName name="calc_bs_ap_m3" localSheetId="3">'Sample Plan'!$D$233</definedName>
    <definedName name="calc_bs_ap_m3">Plan!$D$233</definedName>
    <definedName name="calc_bs_ap_m4" localSheetId="3">'Sample Plan'!$E$233</definedName>
    <definedName name="calc_bs_ap_m4">Plan!$E$233</definedName>
    <definedName name="calc_bs_ap_m5" localSheetId="3">'Sample Plan'!$F$233</definedName>
    <definedName name="calc_bs_ap_m5">Plan!$F$233</definedName>
    <definedName name="calc_bs_ap_m6" localSheetId="3">'Sample Plan'!$G$233</definedName>
    <definedName name="calc_bs_ap_m6">Plan!$G$233</definedName>
    <definedName name="calc_bs_ap_m7" localSheetId="3">'Sample Plan'!$H$233</definedName>
    <definedName name="calc_bs_ap_m7">Plan!$H$233</definedName>
    <definedName name="calc_bs_ap_m8" localSheetId="3">'Sample Plan'!$I$233</definedName>
    <definedName name="calc_bs_ap_m8">Plan!$I$233</definedName>
    <definedName name="calc_bs_ap_m9" localSheetId="3">'Sample Plan'!$J$233</definedName>
    <definedName name="calc_bs_ap_m9">Plan!$J$233</definedName>
    <definedName name="calc_bs_ar_ann" localSheetId="3">'Sample Plan'!$N$232</definedName>
    <definedName name="calc_bs_ar_ann">Plan!$N$232</definedName>
    <definedName name="calc_bs_ar_m1" localSheetId="3">'Sample Plan'!$B$232</definedName>
    <definedName name="calc_bs_ar_m1">Plan!$B$232</definedName>
    <definedName name="calc_bs_ar_m10" localSheetId="3">'Sample Plan'!$K$232</definedName>
    <definedName name="calc_bs_ar_m10">Plan!$K$232</definedName>
    <definedName name="calc_bs_ar_m11" localSheetId="3">'Sample Plan'!$L$232</definedName>
    <definedName name="calc_bs_ar_m11">Plan!$L$232</definedName>
    <definedName name="calc_bs_ar_m12" localSheetId="3">'Sample Plan'!$M$232</definedName>
    <definedName name="calc_bs_ar_m12">Plan!$M$232</definedName>
    <definedName name="calc_bs_ar_m1m12" localSheetId="3">'Sample Plan'!$B$232:'Sample Plan'!$M$232</definedName>
    <definedName name="calc_bs_ar_m1m12">Plan!$B$232:'Plan'!$M$232</definedName>
    <definedName name="calc_bs_ar_m2" localSheetId="3">'Sample Plan'!$C$232</definedName>
    <definedName name="calc_bs_ar_m2">Plan!$C$232</definedName>
    <definedName name="calc_bs_ar_m3" localSheetId="3">'Sample Plan'!$D$232</definedName>
    <definedName name="calc_bs_ar_m3">Plan!$D$232</definedName>
    <definedName name="calc_bs_ar_m4" localSheetId="3">'Sample Plan'!$E$232</definedName>
    <definedName name="calc_bs_ar_m4">Plan!$E$232</definedName>
    <definedName name="calc_bs_ar_m5" localSheetId="3">'Sample Plan'!$F$232</definedName>
    <definedName name="calc_bs_ar_m5">Plan!$F$232</definedName>
    <definedName name="calc_bs_ar_m6" localSheetId="3">'Sample Plan'!$G$232</definedName>
    <definedName name="calc_bs_ar_m6">Plan!$G$232</definedName>
    <definedName name="calc_bs_ar_m7" localSheetId="3">'Sample Plan'!$H$232</definedName>
    <definedName name="calc_bs_ar_m7">Plan!$H$232</definedName>
    <definedName name="calc_bs_ar_m8" localSheetId="3">'Sample Plan'!$I$232</definedName>
    <definedName name="calc_bs_ar_m8">Plan!$I$232</definedName>
    <definedName name="calc_bs_ar_m9" localSheetId="3">'Sample Plan'!$J$232</definedName>
    <definedName name="calc_bs_ar_m9">Plan!$J$232</definedName>
    <definedName name="calc_bs_cash_ann" localSheetId="3">'Sample Plan'!$N$249</definedName>
    <definedName name="calc_bs_cash_ann">Plan!$N$249</definedName>
    <definedName name="calc_bs_cash_m1" localSheetId="3">'Sample Plan'!$B$249</definedName>
    <definedName name="calc_bs_cash_m1">Plan!$B$249</definedName>
    <definedName name="calc_bs_cash_m10" localSheetId="3">'Sample Plan'!$K$249</definedName>
    <definedName name="calc_bs_cash_m10">Plan!$K$249</definedName>
    <definedName name="calc_bs_cash_m11" localSheetId="3">'Sample Plan'!$L$249</definedName>
    <definedName name="calc_bs_cash_m11">Plan!$L$249</definedName>
    <definedName name="calc_bs_cash_m12" localSheetId="3">'Sample Plan'!$M$249</definedName>
    <definedName name="calc_bs_cash_m12">Plan!$M$249</definedName>
    <definedName name="calc_bs_cash_m1m12" localSheetId="3">'Sample Plan'!$B$249:'Sample Plan'!$M$249</definedName>
    <definedName name="calc_bs_cash_m1m12">Plan!$B$249:'Plan'!$M$249</definedName>
    <definedName name="calc_bs_cash_m2" localSheetId="3">'Sample Plan'!$C$249</definedName>
    <definedName name="calc_bs_cash_m2">Plan!$C$249</definedName>
    <definedName name="calc_bs_cash_m3" localSheetId="3">'Sample Plan'!$D$249</definedName>
    <definedName name="calc_bs_cash_m3">Plan!$D$249</definedName>
    <definedName name="calc_bs_cash_m4" localSheetId="3">'Sample Plan'!$E$249</definedName>
    <definedName name="calc_bs_cash_m4">Plan!$E$249</definedName>
    <definedName name="calc_bs_cash_m5" localSheetId="3">'Sample Plan'!$F$249</definedName>
    <definedName name="calc_bs_cash_m5">Plan!$F$249</definedName>
    <definedName name="calc_bs_cash_m6" localSheetId="3">'Sample Plan'!$G$249</definedName>
    <definedName name="calc_bs_cash_m6">Plan!$G$249</definedName>
    <definedName name="calc_bs_cash_m7" localSheetId="3">'Sample Plan'!$H$249</definedName>
    <definedName name="calc_bs_cash_m7">Plan!$H$249</definedName>
    <definedName name="calc_bs_cash_m8" localSheetId="3">'Sample Plan'!$I$249</definedName>
    <definedName name="calc_bs_cash_m8">Plan!$I$249</definedName>
    <definedName name="calc_bs_cash_m9" localSheetId="3">'Sample Plan'!$J$249</definedName>
    <definedName name="calc_bs_cash_m9">Plan!$J$249</definedName>
    <definedName name="calc_bs_check_ann" localSheetId="3">'Sample Plan'!$N$262</definedName>
    <definedName name="calc_bs_check_ann">Plan!$N$262</definedName>
    <definedName name="calc_bs_check_m1" localSheetId="3">'Sample Plan'!$B$262</definedName>
    <definedName name="calc_bs_check_m1">Plan!$B$262</definedName>
    <definedName name="calc_bs_check_m10" localSheetId="3">'Sample Plan'!$K$262</definedName>
    <definedName name="calc_bs_check_m10">Plan!$K$262</definedName>
    <definedName name="calc_bs_check_m11" localSheetId="3">'Sample Plan'!$L$262</definedName>
    <definedName name="calc_bs_check_m11">Plan!$L$262</definedName>
    <definedName name="calc_bs_check_m12" localSheetId="3">'Sample Plan'!$M$262</definedName>
    <definedName name="calc_bs_check_m12">Plan!$M$262</definedName>
    <definedName name="calc_bs_check_m1m12" localSheetId="3">'Sample Plan'!$B$262:'Sample Plan'!$M$262</definedName>
    <definedName name="calc_bs_check_m1m12">Plan!$B$262:'Plan'!$M$262</definedName>
    <definedName name="calc_bs_check_m2" localSheetId="3">'Sample Plan'!$C$262</definedName>
    <definedName name="calc_bs_check_m2">Plan!$C$262</definedName>
    <definedName name="calc_bs_check_m3" localSheetId="3">'Sample Plan'!$D$262</definedName>
    <definedName name="calc_bs_check_m3">Plan!$D$262</definedName>
    <definedName name="calc_bs_check_m4" localSheetId="3">'Sample Plan'!$E$262</definedName>
    <definedName name="calc_bs_check_m4">Plan!$E$262</definedName>
    <definedName name="calc_bs_check_m5" localSheetId="3">'Sample Plan'!$F$262</definedName>
    <definedName name="calc_bs_check_m5">Plan!$F$262</definedName>
    <definedName name="calc_bs_check_m6" localSheetId="3">'Sample Plan'!$G$262</definedName>
    <definedName name="calc_bs_check_m6">Plan!$G$262</definedName>
    <definedName name="calc_bs_check_m7" localSheetId="3">'Sample Plan'!$H$262</definedName>
    <definedName name="calc_bs_check_m7">Plan!$H$262</definedName>
    <definedName name="calc_bs_check_m8" localSheetId="3">'Sample Plan'!$I$262</definedName>
    <definedName name="calc_bs_check_m8">Plan!$I$262</definedName>
    <definedName name="calc_bs_check_m9" localSheetId="3">'Sample Plan'!$J$262</definedName>
    <definedName name="calc_bs_check_m9">Plan!$J$262</definedName>
    <definedName name="calc_bs_debt_ann" localSheetId="3">'Sample Plan'!$N$257</definedName>
    <definedName name="calc_bs_debt_ann">Plan!$N$257</definedName>
    <definedName name="calc_bs_debt_m1" localSheetId="3">'Sample Plan'!$B$257</definedName>
    <definedName name="calc_bs_debt_m1">Plan!$B$257</definedName>
    <definedName name="calc_bs_debt_m10" localSheetId="3">'Sample Plan'!$K$257</definedName>
    <definedName name="calc_bs_debt_m10">Plan!$K$257</definedName>
    <definedName name="calc_bs_debt_m11" localSheetId="3">'Sample Plan'!$L$257</definedName>
    <definedName name="calc_bs_debt_m11">Plan!$L$257</definedName>
    <definedName name="calc_bs_debt_m12" localSheetId="3">'Sample Plan'!$M$257</definedName>
    <definedName name="calc_bs_debt_m12">Plan!$M$257</definedName>
    <definedName name="calc_bs_debt_m1m12" localSheetId="3">'Sample Plan'!$B$257:'Sample Plan'!$M$257</definedName>
    <definedName name="calc_bs_debt_m1m12">Plan!$B$257:'Plan'!$M$257</definedName>
    <definedName name="calc_bs_debt_m2" localSheetId="3">'Sample Plan'!$C$257</definedName>
    <definedName name="calc_bs_debt_m2">Plan!$C$257</definedName>
    <definedName name="calc_bs_debt_m3" localSheetId="3">'Sample Plan'!$D$257</definedName>
    <definedName name="calc_bs_debt_m3">Plan!$D$257</definedName>
    <definedName name="calc_bs_debt_m4" localSheetId="3">'Sample Plan'!$E$257</definedName>
    <definedName name="calc_bs_debt_m4">Plan!$E$257</definedName>
    <definedName name="calc_bs_debt_m5" localSheetId="3">'Sample Plan'!$F$257</definedName>
    <definedName name="calc_bs_debt_m5">Plan!$F$257</definedName>
    <definedName name="calc_bs_debt_m6" localSheetId="3">'Sample Plan'!$G$257</definedName>
    <definedName name="calc_bs_debt_m6">Plan!$G$257</definedName>
    <definedName name="calc_bs_debt_m7" localSheetId="3">'Sample Plan'!$H$257</definedName>
    <definedName name="calc_bs_debt_m7">Plan!$H$257</definedName>
    <definedName name="calc_bs_debt_m8" localSheetId="3">'Sample Plan'!$I$257</definedName>
    <definedName name="calc_bs_debt_m8">Plan!$I$257</definedName>
    <definedName name="calc_bs_debt_m9" localSheetId="3">'Sample Plan'!$J$257</definedName>
    <definedName name="calc_bs_debt_m9">Plan!$J$257</definedName>
    <definedName name="calc_bs_net_fa_ann" localSheetId="3">'Sample Plan'!$N$254</definedName>
    <definedName name="calc_bs_net_fa_ann">Plan!$N$254</definedName>
    <definedName name="calc_bs_net_fa_m1" localSheetId="3">'Sample Plan'!$B$254</definedName>
    <definedName name="calc_bs_net_fa_m1">Plan!$B$254</definedName>
    <definedName name="calc_bs_net_fa_m10" localSheetId="3">'Sample Plan'!$K$254</definedName>
    <definedName name="calc_bs_net_fa_m10">Plan!$K$254</definedName>
    <definedName name="calc_bs_net_fa_m11" localSheetId="3">'Sample Plan'!$L$254</definedName>
    <definedName name="calc_bs_net_fa_m11">Plan!$L$254</definedName>
    <definedName name="calc_bs_net_fa_m12" localSheetId="3">'Sample Plan'!$M$254</definedName>
    <definedName name="calc_bs_net_fa_m12">Plan!$M$254</definedName>
    <definedName name="calc_bs_net_fa_m1m12" localSheetId="3">'Sample Plan'!$B$254:'Sample Plan'!$M$254</definedName>
    <definedName name="calc_bs_net_fa_m1m12">Plan!$B$254:'Plan'!$M$254</definedName>
    <definedName name="calc_bs_net_fa_m2" localSheetId="3">'Sample Plan'!$C$254</definedName>
    <definedName name="calc_bs_net_fa_m2">Plan!$C$254</definedName>
    <definedName name="calc_bs_net_fa_m3" localSheetId="3">'Sample Plan'!$D$254</definedName>
    <definedName name="calc_bs_net_fa_m3">Plan!$D$254</definedName>
    <definedName name="calc_bs_net_fa_m4" localSheetId="3">'Sample Plan'!$E$254</definedName>
    <definedName name="calc_bs_net_fa_m4">Plan!$E$254</definedName>
    <definedName name="calc_bs_net_fa_m5" localSheetId="3">'Sample Plan'!$F$254</definedName>
    <definedName name="calc_bs_net_fa_m5">Plan!$F$254</definedName>
    <definedName name="calc_bs_net_fa_m6" localSheetId="3">'Sample Plan'!$G$254</definedName>
    <definedName name="calc_bs_net_fa_m6">Plan!$G$254</definedName>
    <definedName name="calc_bs_net_fa_m7" localSheetId="3">'Sample Plan'!$H$254</definedName>
    <definedName name="calc_bs_net_fa_m7">Plan!$H$254</definedName>
    <definedName name="calc_bs_net_fa_m8" localSheetId="3">'Sample Plan'!$I$254</definedName>
    <definedName name="calc_bs_net_fa_m8">Plan!$I$254</definedName>
    <definedName name="calc_bs_net_fa_m9" localSheetId="3">'Sample Plan'!$J$254</definedName>
    <definedName name="calc_bs_net_fa_m9">Plan!$J$254</definedName>
    <definedName name="calc_bs_other_ca_ann" localSheetId="3">'Sample Plan'!$N$250</definedName>
    <definedName name="calc_bs_other_ca_ann">Plan!$N$250</definedName>
    <definedName name="calc_bs_other_ca_m1" localSheetId="3">'Sample Plan'!$B$250</definedName>
    <definedName name="calc_bs_other_ca_m1">Plan!$B$250</definedName>
    <definedName name="calc_bs_other_ca_m10" localSheetId="3">'Sample Plan'!$K$250</definedName>
    <definedName name="calc_bs_other_ca_m10">Plan!$K$250</definedName>
    <definedName name="calc_bs_other_ca_m11" localSheetId="3">'Sample Plan'!$L$250</definedName>
    <definedName name="calc_bs_other_ca_m11">Plan!$L$250</definedName>
    <definedName name="calc_bs_other_ca_m12" localSheetId="3">'Sample Plan'!$M$250</definedName>
    <definedName name="calc_bs_other_ca_m12">Plan!$M$250</definedName>
    <definedName name="calc_bs_other_ca_m1m12" localSheetId="3">'Sample Plan'!$B$250:'Sample Plan'!$M$250</definedName>
    <definedName name="calc_bs_other_ca_m1m12">Plan!$B$250:'Plan'!$M$250</definedName>
    <definedName name="calc_bs_other_ca_m2" localSheetId="3">'Sample Plan'!$C$250</definedName>
    <definedName name="calc_bs_other_ca_m2">Plan!$C$250</definedName>
    <definedName name="calc_bs_other_ca_m3" localSheetId="3">'Sample Plan'!$D$250</definedName>
    <definedName name="calc_bs_other_ca_m3">Plan!$D$250</definedName>
    <definedName name="calc_bs_other_ca_m4" localSheetId="3">'Sample Plan'!$E$250</definedName>
    <definedName name="calc_bs_other_ca_m4">Plan!$E$250</definedName>
    <definedName name="calc_bs_other_ca_m5" localSheetId="3">'Sample Plan'!$F$250</definedName>
    <definedName name="calc_bs_other_ca_m5">Plan!$F$250</definedName>
    <definedName name="calc_bs_other_ca_m6" localSheetId="3">'Sample Plan'!$G$250</definedName>
    <definedName name="calc_bs_other_ca_m6">Plan!$G$250</definedName>
    <definedName name="calc_bs_other_ca_m7" localSheetId="3">'Sample Plan'!$H$250</definedName>
    <definedName name="calc_bs_other_ca_m7">Plan!$H$250</definedName>
    <definedName name="calc_bs_other_ca_m8" localSheetId="3">'Sample Plan'!$I$250</definedName>
    <definedName name="calc_bs_other_ca_m8">Plan!$I$250</definedName>
    <definedName name="calc_bs_other_ca_m9" localSheetId="3">'Sample Plan'!$J$250</definedName>
    <definedName name="calc_bs_other_ca_m9">Plan!$J$250</definedName>
    <definedName name="calc_bs_paid_in_ann" localSheetId="3">'Sample Plan'!$N$259</definedName>
    <definedName name="calc_bs_paid_in_ann">Plan!$N$259</definedName>
    <definedName name="calc_bs_paid_in_m1" localSheetId="3">'Sample Plan'!$B$259</definedName>
    <definedName name="calc_bs_paid_in_m1">Plan!$B$259</definedName>
    <definedName name="calc_bs_paid_in_m10" localSheetId="3">'Sample Plan'!$K$259</definedName>
    <definedName name="calc_bs_paid_in_m10">Plan!$K$259</definedName>
    <definedName name="calc_bs_paid_in_m11" localSheetId="3">'Sample Plan'!$L$259</definedName>
    <definedName name="calc_bs_paid_in_m11">Plan!$L$259</definedName>
    <definedName name="calc_bs_paid_in_m12" localSheetId="3">'Sample Plan'!$M$259</definedName>
    <definedName name="calc_bs_paid_in_m12">Plan!$M$259</definedName>
    <definedName name="calc_bs_paid_in_m1m12" localSheetId="3">'Sample Plan'!$B$259:'Sample Plan'!$M$259</definedName>
    <definedName name="calc_bs_paid_in_m1m12">Plan!$B$259:'Plan'!$M$259</definedName>
    <definedName name="calc_bs_paid_in_m2" localSheetId="3">'Sample Plan'!$C$259</definedName>
    <definedName name="calc_bs_paid_in_m2">Plan!$C$259</definedName>
    <definedName name="calc_bs_paid_in_m3" localSheetId="3">'Sample Plan'!$D$259</definedName>
    <definedName name="calc_bs_paid_in_m3">Plan!$D$259</definedName>
    <definedName name="calc_bs_paid_in_m4" localSheetId="3">'Sample Plan'!$E$259</definedName>
    <definedName name="calc_bs_paid_in_m4">Plan!$E$259</definedName>
    <definedName name="calc_bs_paid_in_m5" localSheetId="3">'Sample Plan'!$F$259</definedName>
    <definedName name="calc_bs_paid_in_m5">Plan!$F$259</definedName>
    <definedName name="calc_bs_paid_in_m6" localSheetId="3">'Sample Plan'!$G$259</definedName>
    <definedName name="calc_bs_paid_in_m6">Plan!$G$259</definedName>
    <definedName name="calc_bs_paid_in_m7" localSheetId="3">'Sample Plan'!$H$259</definedName>
    <definedName name="calc_bs_paid_in_m7">Plan!$H$259</definedName>
    <definedName name="calc_bs_paid_in_m8" localSheetId="3">'Sample Plan'!$I$259</definedName>
    <definedName name="calc_bs_paid_in_m8">Plan!$I$259</definedName>
    <definedName name="calc_bs_paid_in_m9" localSheetId="3">'Sample Plan'!$J$259</definedName>
    <definedName name="calc_bs_paid_in_m9">Plan!$J$259</definedName>
    <definedName name="calc_bs_ppe_cost_ann" localSheetId="3">'Sample Plan'!$N$252</definedName>
    <definedName name="calc_bs_ppe_cost_ann">Plan!$N$252</definedName>
    <definedName name="calc_bs_ppe_cost_m1" localSheetId="3">'Sample Plan'!$B$252</definedName>
    <definedName name="calc_bs_ppe_cost_m1">Plan!$B$252</definedName>
    <definedName name="calc_bs_ppe_cost_m10" localSheetId="3">'Sample Plan'!$K$252</definedName>
    <definedName name="calc_bs_ppe_cost_m10">Plan!$K$252</definedName>
    <definedName name="calc_bs_ppe_cost_m11" localSheetId="3">'Sample Plan'!$L$252</definedName>
    <definedName name="calc_bs_ppe_cost_m11">Plan!$L$252</definedName>
    <definedName name="calc_bs_ppe_cost_m12" localSheetId="3">'Sample Plan'!$M$252</definedName>
    <definedName name="calc_bs_ppe_cost_m12">Plan!$M$252</definedName>
    <definedName name="calc_bs_ppe_cost_m1m12" localSheetId="3">'Sample Plan'!$B$252:'Sample Plan'!$M$252</definedName>
    <definedName name="calc_bs_ppe_cost_m1m12">Plan!$B$252:'Plan'!$M$252</definedName>
    <definedName name="calc_bs_ppe_cost_m2" localSheetId="3">'Sample Plan'!$C$252</definedName>
    <definedName name="calc_bs_ppe_cost_m2">Plan!$C$252</definedName>
    <definedName name="calc_bs_ppe_cost_m3" localSheetId="3">'Sample Plan'!$D$252</definedName>
    <definedName name="calc_bs_ppe_cost_m3">Plan!$D$252</definedName>
    <definedName name="calc_bs_ppe_cost_m4" localSheetId="3">'Sample Plan'!$E$252</definedName>
    <definedName name="calc_bs_ppe_cost_m4">Plan!$E$252</definedName>
    <definedName name="calc_bs_ppe_cost_m5" localSheetId="3">'Sample Plan'!$F$252</definedName>
    <definedName name="calc_bs_ppe_cost_m5">Plan!$F$252</definedName>
    <definedName name="calc_bs_ppe_cost_m6" localSheetId="3">'Sample Plan'!$G$252</definedName>
    <definedName name="calc_bs_ppe_cost_m6">Plan!$G$252</definedName>
    <definedName name="calc_bs_ppe_cost_m7" localSheetId="3">'Sample Plan'!$H$252</definedName>
    <definedName name="calc_bs_ppe_cost_m7">Plan!$H$252</definedName>
    <definedName name="calc_bs_ppe_cost_m8" localSheetId="3">'Sample Plan'!$I$252</definedName>
    <definedName name="calc_bs_ppe_cost_m8">Plan!$I$252</definedName>
    <definedName name="calc_bs_ppe_cost_m9" localSheetId="3">'Sample Plan'!$J$252</definedName>
    <definedName name="calc_bs_ppe_cost_m9">Plan!$J$252</definedName>
    <definedName name="calc_bs_ret_earn_ann" localSheetId="3">'Sample Plan'!$N$260</definedName>
    <definedName name="calc_bs_ret_earn_ann">Plan!$N$260</definedName>
    <definedName name="calc_bs_ret_earn_m1" localSheetId="3">'Sample Plan'!$B$260</definedName>
    <definedName name="calc_bs_ret_earn_m1">Plan!$B$260</definedName>
    <definedName name="calc_bs_ret_earn_m10" localSheetId="3">'Sample Plan'!$K$260</definedName>
    <definedName name="calc_bs_ret_earn_m10">Plan!$K$260</definedName>
    <definedName name="calc_bs_ret_earn_m11" localSheetId="3">'Sample Plan'!$L$260</definedName>
    <definedName name="calc_bs_ret_earn_m11">Plan!$L$260</definedName>
    <definedName name="calc_bs_ret_earn_m12" localSheetId="3">'Sample Plan'!$M$260</definedName>
    <definedName name="calc_bs_ret_earn_m12">Plan!$M$260</definedName>
    <definedName name="calc_bs_ret_earn_m1m12" localSheetId="3">'Sample Plan'!$B$260:'Sample Plan'!$M$260</definedName>
    <definedName name="calc_bs_ret_earn_m1m12">Plan!$B$260:'Plan'!$M$260</definedName>
    <definedName name="calc_bs_ret_earn_m2" localSheetId="3">'Sample Plan'!$C$260</definedName>
    <definedName name="calc_bs_ret_earn_m2">Plan!$C$260</definedName>
    <definedName name="calc_bs_ret_earn_m3" localSheetId="3">'Sample Plan'!$D$260</definedName>
    <definedName name="calc_bs_ret_earn_m3">Plan!$D$260</definedName>
    <definedName name="calc_bs_ret_earn_m4" localSheetId="3">'Sample Plan'!$E$260</definedName>
    <definedName name="calc_bs_ret_earn_m4">Plan!$E$260</definedName>
    <definedName name="calc_bs_ret_earn_m5" localSheetId="3">'Sample Plan'!$F$260</definedName>
    <definedName name="calc_bs_ret_earn_m5">Plan!$F$260</definedName>
    <definedName name="calc_bs_ret_earn_m6" localSheetId="3">'Sample Plan'!$G$260</definedName>
    <definedName name="calc_bs_ret_earn_m6">Plan!$G$260</definedName>
    <definedName name="calc_bs_ret_earn_m7" localSheetId="3">'Sample Plan'!$H$260</definedName>
    <definedName name="calc_bs_ret_earn_m7">Plan!$H$260</definedName>
    <definedName name="calc_bs_ret_earn_m8" localSheetId="3">'Sample Plan'!$I$260</definedName>
    <definedName name="calc_bs_ret_earn_m8">Plan!$I$260</definedName>
    <definedName name="calc_bs_ret_earn_m9" localSheetId="3">'Sample Plan'!$J$260</definedName>
    <definedName name="calc_bs_ret_earn_m9">Plan!$J$260</definedName>
    <definedName name="calc_bs_tax_pay_ann" localSheetId="3">'Sample Plan'!$N$256</definedName>
    <definedName name="calc_bs_tax_pay_ann">Plan!$N$256</definedName>
    <definedName name="calc_bs_tax_pay_m1" localSheetId="3">'Sample Plan'!$B$256</definedName>
    <definedName name="calc_bs_tax_pay_m1">Plan!$B$256</definedName>
    <definedName name="calc_bs_tax_pay_m10" localSheetId="3">'Sample Plan'!$K$256</definedName>
    <definedName name="calc_bs_tax_pay_m10">Plan!$K$256</definedName>
    <definedName name="calc_bs_tax_pay_m11" localSheetId="3">'Sample Plan'!$L$256</definedName>
    <definedName name="calc_bs_tax_pay_m11">Plan!$L$256</definedName>
    <definedName name="calc_bs_tax_pay_m12" localSheetId="3">'Sample Plan'!$M$256</definedName>
    <definedName name="calc_bs_tax_pay_m12">Plan!$M$256</definedName>
    <definedName name="calc_bs_tax_pay_m1m12" localSheetId="3">'Sample Plan'!$B$256:'Sample Plan'!$M$256</definedName>
    <definedName name="calc_bs_tax_pay_m1m12">Plan!$B$256:'Plan'!$M$256</definedName>
    <definedName name="calc_bs_tax_pay_m2" localSheetId="3">'Sample Plan'!$C$256</definedName>
    <definedName name="calc_bs_tax_pay_m2">Plan!$C$256</definedName>
    <definedName name="calc_bs_tax_pay_m3" localSheetId="3">'Sample Plan'!$D$256</definedName>
    <definedName name="calc_bs_tax_pay_m3">Plan!$D$256</definedName>
    <definedName name="calc_bs_tax_pay_m4" localSheetId="3">'Sample Plan'!$E$256</definedName>
    <definedName name="calc_bs_tax_pay_m4">Plan!$E$256</definedName>
    <definedName name="calc_bs_tax_pay_m5" localSheetId="3">'Sample Plan'!$F$256</definedName>
    <definedName name="calc_bs_tax_pay_m5">Plan!$F$256</definedName>
    <definedName name="calc_bs_tax_pay_m6" localSheetId="3">'Sample Plan'!$G$256</definedName>
    <definedName name="calc_bs_tax_pay_m6">Plan!$G$256</definedName>
    <definedName name="calc_bs_tax_pay_m7" localSheetId="3">'Sample Plan'!$H$256</definedName>
    <definedName name="calc_bs_tax_pay_m7">Plan!$H$256</definedName>
    <definedName name="calc_bs_tax_pay_m8" localSheetId="3">'Sample Plan'!$I$256</definedName>
    <definedName name="calc_bs_tax_pay_m8">Plan!$I$256</definedName>
    <definedName name="calc_bs_tax_pay_m9" localSheetId="3">'Sample Plan'!$J$256</definedName>
    <definedName name="calc_bs_tax_pay_m9">Plan!$J$256</definedName>
    <definedName name="calc_bs_total_assets_ann" localSheetId="3">'Sample Plan'!$N$255</definedName>
    <definedName name="calc_bs_total_assets_ann">Plan!$N$255</definedName>
    <definedName name="calc_bs_total_assets_m1" localSheetId="3">'Sample Plan'!$B$255</definedName>
    <definedName name="calc_bs_total_assets_m1">Plan!$B$255</definedName>
    <definedName name="calc_bs_total_assets_m10" localSheetId="3">'Sample Plan'!$K$255</definedName>
    <definedName name="calc_bs_total_assets_m10">Plan!$K$255</definedName>
    <definedName name="calc_bs_total_assets_m11" localSheetId="3">'Sample Plan'!$L$255</definedName>
    <definedName name="calc_bs_total_assets_m11">Plan!$L$255</definedName>
    <definedName name="calc_bs_total_assets_m12" localSheetId="3">'Sample Plan'!$M$255</definedName>
    <definedName name="calc_bs_total_assets_m12">Plan!$M$255</definedName>
    <definedName name="calc_bs_total_assets_m1m12" localSheetId="3">'Sample Plan'!$B$255:'Sample Plan'!$M$255</definedName>
    <definedName name="calc_bs_total_assets_m1m12">Plan!$B$255:'Plan'!$M$255</definedName>
    <definedName name="calc_bs_total_assets_m2" localSheetId="3">'Sample Plan'!$C$255</definedName>
    <definedName name="calc_bs_total_assets_m2">Plan!$C$255</definedName>
    <definedName name="calc_bs_total_assets_m3" localSheetId="3">'Sample Plan'!$D$255</definedName>
    <definedName name="calc_bs_total_assets_m3">Plan!$D$255</definedName>
    <definedName name="calc_bs_total_assets_m4" localSheetId="3">'Sample Plan'!$E$255</definedName>
    <definedName name="calc_bs_total_assets_m4">Plan!$E$255</definedName>
    <definedName name="calc_bs_total_assets_m5" localSheetId="3">'Sample Plan'!$F$255</definedName>
    <definedName name="calc_bs_total_assets_m5">Plan!$F$255</definedName>
    <definedName name="calc_bs_total_assets_m6" localSheetId="3">'Sample Plan'!$G$255</definedName>
    <definedName name="calc_bs_total_assets_m6">Plan!$G$255</definedName>
    <definedName name="calc_bs_total_assets_m7" localSheetId="3">'Sample Plan'!$H$255</definedName>
    <definedName name="calc_bs_total_assets_m7">Plan!$H$255</definedName>
    <definedName name="calc_bs_total_assets_m8" localSheetId="3">'Sample Plan'!$I$255</definedName>
    <definedName name="calc_bs_total_assets_m8">Plan!$I$255</definedName>
    <definedName name="calc_bs_total_assets_m9" localSheetId="3">'Sample Plan'!$J$255</definedName>
    <definedName name="calc_bs_total_assets_m9">Plan!$J$255</definedName>
    <definedName name="calc_bs_total_ca_ann" localSheetId="3">'Sample Plan'!$N$251</definedName>
    <definedName name="calc_bs_total_ca_ann">Plan!$N$251</definedName>
    <definedName name="calc_bs_total_ca_m1" localSheetId="3">'Sample Plan'!$B$251</definedName>
    <definedName name="calc_bs_total_ca_m1">Plan!$B$251</definedName>
    <definedName name="calc_bs_total_ca_m10" localSheetId="3">'Sample Plan'!$K$251</definedName>
    <definedName name="calc_bs_total_ca_m10">Plan!$K$251</definedName>
    <definedName name="calc_bs_total_ca_m11" localSheetId="3">'Sample Plan'!$L$251</definedName>
    <definedName name="calc_bs_total_ca_m11">Plan!$L$251</definedName>
    <definedName name="calc_bs_total_ca_m12" localSheetId="3">'Sample Plan'!$M$251</definedName>
    <definedName name="calc_bs_total_ca_m12">Plan!$M$251</definedName>
    <definedName name="calc_bs_total_ca_m1m12" localSheetId="3">'Sample Plan'!$B$251:'Sample Plan'!$M$251</definedName>
    <definedName name="calc_bs_total_ca_m1m12">Plan!$B$251:'Plan'!$M$251</definedName>
    <definedName name="calc_bs_total_ca_m2" localSheetId="3">'Sample Plan'!$C$251</definedName>
    <definedName name="calc_bs_total_ca_m2">Plan!$C$251</definedName>
    <definedName name="calc_bs_total_ca_m3" localSheetId="3">'Sample Plan'!$D$251</definedName>
    <definedName name="calc_bs_total_ca_m3">Plan!$D$251</definedName>
    <definedName name="calc_bs_total_ca_m4" localSheetId="3">'Sample Plan'!$E$251</definedName>
    <definedName name="calc_bs_total_ca_m4">Plan!$E$251</definedName>
    <definedName name="calc_bs_total_ca_m5" localSheetId="3">'Sample Plan'!$F$251</definedName>
    <definedName name="calc_bs_total_ca_m5">Plan!$F$251</definedName>
    <definedName name="calc_bs_total_ca_m6" localSheetId="3">'Sample Plan'!$G$251</definedName>
    <definedName name="calc_bs_total_ca_m6">Plan!$G$251</definedName>
    <definedName name="calc_bs_total_ca_m7" localSheetId="3">'Sample Plan'!$H$251</definedName>
    <definedName name="calc_bs_total_ca_m7">Plan!$H$251</definedName>
    <definedName name="calc_bs_total_ca_m8" localSheetId="3">'Sample Plan'!$I$251</definedName>
    <definedName name="calc_bs_total_ca_m8">Plan!$I$251</definedName>
    <definedName name="calc_bs_total_ca_m9" localSheetId="3">'Sample Plan'!$J$251</definedName>
    <definedName name="calc_bs_total_ca_m9">Plan!$J$251</definedName>
    <definedName name="calc_bs_total_le_ann" localSheetId="3">'Sample Plan'!$N$261</definedName>
    <definedName name="calc_bs_total_le_ann">Plan!$N$261</definedName>
    <definedName name="calc_bs_total_le_m1" localSheetId="3">'Sample Plan'!$B$261</definedName>
    <definedName name="calc_bs_total_le_m1">Plan!$B$261</definedName>
    <definedName name="calc_bs_total_le_m10" localSheetId="3">'Sample Plan'!$K$261</definedName>
    <definedName name="calc_bs_total_le_m10">Plan!$K$261</definedName>
    <definedName name="calc_bs_total_le_m11" localSheetId="3">'Sample Plan'!$L$261</definedName>
    <definedName name="calc_bs_total_le_m11">Plan!$L$261</definedName>
    <definedName name="calc_bs_total_le_m12" localSheetId="3">'Sample Plan'!$M$261</definedName>
    <definedName name="calc_bs_total_le_m12">Plan!$M$261</definedName>
    <definedName name="calc_bs_total_le_m1m12" localSheetId="3">'Sample Plan'!$B$261:'Sample Plan'!$M$261</definedName>
    <definedName name="calc_bs_total_le_m1m12">Plan!$B$261:'Plan'!$M$261</definedName>
    <definedName name="calc_bs_total_le_m2" localSheetId="3">'Sample Plan'!$C$261</definedName>
    <definedName name="calc_bs_total_le_m2">Plan!$C$261</definedName>
    <definedName name="calc_bs_total_le_m3" localSheetId="3">'Sample Plan'!$D$261</definedName>
    <definedName name="calc_bs_total_le_m3">Plan!$D$261</definedName>
    <definedName name="calc_bs_total_le_m4" localSheetId="3">'Sample Plan'!$E$261</definedName>
    <definedName name="calc_bs_total_le_m4">Plan!$E$261</definedName>
    <definedName name="calc_bs_total_le_m5" localSheetId="3">'Sample Plan'!$F$261</definedName>
    <definedName name="calc_bs_total_le_m5">Plan!$F$261</definedName>
    <definedName name="calc_bs_total_le_m6" localSheetId="3">'Sample Plan'!$G$261</definedName>
    <definedName name="calc_bs_total_le_m6">Plan!$G$261</definedName>
    <definedName name="calc_bs_total_le_m7" localSheetId="3">'Sample Plan'!$H$261</definedName>
    <definedName name="calc_bs_total_le_m7">Plan!$H$261</definedName>
    <definedName name="calc_bs_total_le_m8" localSheetId="3">'Sample Plan'!$I$261</definedName>
    <definedName name="calc_bs_total_le_m8">Plan!$I$261</definedName>
    <definedName name="calc_bs_total_le_m9" localSheetId="3">'Sample Plan'!$J$261</definedName>
    <definedName name="calc_bs_total_le_m9">Plan!$J$261</definedName>
    <definedName name="calc_bs_total_liab_ann" localSheetId="3">'Sample Plan'!$N$258</definedName>
    <definedName name="calc_bs_total_liab_ann">Plan!$N$258</definedName>
    <definedName name="calc_bs_total_liab_m1" localSheetId="3">'Sample Plan'!$B$258</definedName>
    <definedName name="calc_bs_total_liab_m1">Plan!$B$258</definedName>
    <definedName name="calc_bs_total_liab_m10" localSheetId="3">'Sample Plan'!$K$258</definedName>
    <definedName name="calc_bs_total_liab_m10">Plan!$K$258</definedName>
    <definedName name="calc_bs_total_liab_m11" localSheetId="3">'Sample Plan'!$L$258</definedName>
    <definedName name="calc_bs_total_liab_m11">Plan!$L$258</definedName>
    <definedName name="calc_bs_total_liab_m12" localSheetId="3">'Sample Plan'!$M$258</definedName>
    <definedName name="calc_bs_total_liab_m12">Plan!$M$258</definedName>
    <definedName name="calc_bs_total_liab_m1m12" localSheetId="3">'Sample Plan'!$B$258:'Sample Plan'!$M$258</definedName>
    <definedName name="calc_bs_total_liab_m1m12">Plan!$B$258:'Plan'!$M$258</definedName>
    <definedName name="calc_bs_total_liab_m2" localSheetId="3">'Sample Plan'!$C$258</definedName>
    <definedName name="calc_bs_total_liab_m2">Plan!$C$258</definedName>
    <definedName name="calc_bs_total_liab_m3" localSheetId="3">'Sample Plan'!$D$258</definedName>
    <definedName name="calc_bs_total_liab_m3">Plan!$D$258</definedName>
    <definedName name="calc_bs_total_liab_m4" localSheetId="3">'Sample Plan'!$E$258</definedName>
    <definedName name="calc_bs_total_liab_m4">Plan!$E$258</definedName>
    <definedName name="calc_bs_total_liab_m5" localSheetId="3">'Sample Plan'!$F$258</definedName>
    <definedName name="calc_bs_total_liab_m5">Plan!$F$258</definedName>
    <definedName name="calc_bs_total_liab_m6" localSheetId="3">'Sample Plan'!$G$258</definedName>
    <definedName name="calc_bs_total_liab_m6">Plan!$G$258</definedName>
    <definedName name="calc_bs_total_liab_m7" localSheetId="3">'Sample Plan'!$H$258</definedName>
    <definedName name="calc_bs_total_liab_m7">Plan!$H$258</definedName>
    <definedName name="calc_bs_total_liab_m8" localSheetId="3">'Sample Plan'!$I$258</definedName>
    <definedName name="calc_bs_total_liab_m8">Plan!$I$258</definedName>
    <definedName name="calc_bs_total_liab_m9" localSheetId="3">'Sample Plan'!$J$258</definedName>
    <definedName name="calc_bs_total_liab_m9">Plan!$J$258</definedName>
    <definedName name="calc_capex_neg_ann" localSheetId="3">'Sample Plan'!$N$238</definedName>
    <definedName name="calc_capex_neg_ann">Plan!$N$238</definedName>
    <definedName name="calc_capex_neg_m1" localSheetId="3">'Sample Plan'!$B$238</definedName>
    <definedName name="calc_capex_neg_m1">Plan!$B$238</definedName>
    <definedName name="calc_capex_neg_m10" localSheetId="3">'Sample Plan'!$K$238</definedName>
    <definedName name="calc_capex_neg_m10">Plan!$K$238</definedName>
    <definedName name="calc_capex_neg_m11" localSheetId="3">'Sample Plan'!$L$238</definedName>
    <definedName name="calc_capex_neg_m11">Plan!$L$238</definedName>
    <definedName name="calc_capex_neg_m12" localSheetId="3">'Sample Plan'!$M$238</definedName>
    <definedName name="calc_capex_neg_m12">Plan!$M$238</definedName>
    <definedName name="calc_capex_neg_m1m12" localSheetId="3">'Sample Plan'!$B$238:'Sample Plan'!$M$238</definedName>
    <definedName name="calc_capex_neg_m1m12">Plan!$B$238:'Plan'!$M$238</definedName>
    <definedName name="calc_capex_neg_m2" localSheetId="3">'Sample Plan'!$C$238</definedName>
    <definedName name="calc_capex_neg_m2">Plan!$C$238</definedName>
    <definedName name="calc_capex_neg_m3" localSheetId="3">'Sample Plan'!$D$238</definedName>
    <definedName name="calc_capex_neg_m3">Plan!$D$238</definedName>
    <definedName name="calc_capex_neg_m4" localSheetId="3">'Sample Plan'!$E$238</definedName>
    <definedName name="calc_capex_neg_m4">Plan!$E$238</definedName>
    <definedName name="calc_capex_neg_m5" localSheetId="3">'Sample Plan'!$F$238</definedName>
    <definedName name="calc_capex_neg_m5">Plan!$F$238</definedName>
    <definedName name="calc_capex_neg_m6" localSheetId="3">'Sample Plan'!$G$238</definedName>
    <definedName name="calc_capex_neg_m6">Plan!$G$238</definedName>
    <definedName name="calc_capex_neg_m7" localSheetId="3">'Sample Plan'!$H$238</definedName>
    <definedName name="calc_capex_neg_m7">Plan!$H$238</definedName>
    <definedName name="calc_capex_neg_m8" localSheetId="3">'Sample Plan'!$I$238</definedName>
    <definedName name="calc_capex_neg_m8">Plan!$I$238</definedName>
    <definedName name="calc_capex_neg_m9" localSheetId="3">'Sample Plan'!$J$238</definedName>
    <definedName name="calc_capex_neg_m9">Plan!$J$238</definedName>
    <definedName name="calc_close_cash_ann" localSheetId="3">'Sample Plan'!$N$247</definedName>
    <definedName name="calc_close_cash_ann">Plan!$N$247</definedName>
    <definedName name="calc_close_cash_m1" localSheetId="3">'Sample Plan'!$B$247</definedName>
    <definedName name="calc_close_cash_m1">Plan!$B$247</definedName>
    <definedName name="calc_close_cash_m10" localSheetId="3">'Sample Plan'!$K$247</definedName>
    <definedName name="calc_close_cash_m10">Plan!$K$247</definedName>
    <definedName name="calc_close_cash_m11" localSheetId="3">'Sample Plan'!$L$247</definedName>
    <definedName name="calc_close_cash_m11">Plan!$L$247</definedName>
    <definedName name="calc_close_cash_m12" localSheetId="3">'Sample Plan'!$M$247</definedName>
    <definedName name="calc_close_cash_m12">Plan!$M$247</definedName>
    <definedName name="calc_close_cash_m1m12" localSheetId="3">'Sample Plan'!$B$247:'Sample Plan'!$M$247</definedName>
    <definedName name="calc_close_cash_m1m12">Plan!$B$247:'Plan'!$M$247</definedName>
    <definedName name="calc_close_cash_m2" localSheetId="3">'Sample Plan'!$C$247</definedName>
    <definedName name="calc_close_cash_m2">Plan!$C$247</definedName>
    <definedName name="calc_close_cash_m3" localSheetId="3">'Sample Plan'!$D$247</definedName>
    <definedName name="calc_close_cash_m3">Plan!$D$247</definedName>
    <definedName name="calc_close_cash_m4" localSheetId="3">'Sample Plan'!$E$247</definedName>
    <definedName name="calc_close_cash_m4">Plan!$E$247</definedName>
    <definedName name="calc_close_cash_m5" localSheetId="3">'Sample Plan'!$F$247</definedName>
    <definedName name="calc_close_cash_m5">Plan!$F$247</definedName>
    <definedName name="calc_close_cash_m6" localSheetId="3">'Sample Plan'!$G$247</definedName>
    <definedName name="calc_close_cash_m6">Plan!$G$247</definedName>
    <definedName name="calc_close_cash_m7" localSheetId="3">'Sample Plan'!$H$247</definedName>
    <definedName name="calc_close_cash_m7">Plan!$H$247</definedName>
    <definedName name="calc_close_cash_m8" localSheetId="3">'Sample Plan'!$I$247</definedName>
    <definedName name="calc_close_cash_m8">Plan!$I$247</definedName>
    <definedName name="calc_close_cash_m9" localSheetId="3">'Sample Plan'!$J$247</definedName>
    <definedName name="calc_close_cash_m9">Plan!$J$247</definedName>
    <definedName name="calc_da_ann" localSheetId="3">'Sample Plan'!$N$226</definedName>
    <definedName name="calc_da_ann">Plan!$N$226</definedName>
    <definedName name="calc_da_m1" localSheetId="3">'Sample Plan'!$B$226</definedName>
    <definedName name="calc_da_m1">Plan!$B$226</definedName>
    <definedName name="calc_da_m10" localSheetId="3">'Sample Plan'!$K$226</definedName>
    <definedName name="calc_da_m10">Plan!$K$226</definedName>
    <definedName name="calc_da_m11" localSheetId="3">'Sample Plan'!$L$226</definedName>
    <definedName name="calc_da_m11">Plan!$L$226</definedName>
    <definedName name="calc_da_m12" localSheetId="3">'Sample Plan'!$M$226</definedName>
    <definedName name="calc_da_m12">Plan!$M$226</definedName>
    <definedName name="calc_da_m1m12" localSheetId="3">'Sample Plan'!$B$226:'Sample Plan'!$M$226</definedName>
    <definedName name="calc_da_m1m12">Plan!$B$226:'Plan'!$M$226</definedName>
    <definedName name="calc_da_m2" localSheetId="3">'Sample Plan'!$C$226</definedName>
    <definedName name="calc_da_m2">Plan!$C$226</definedName>
    <definedName name="calc_da_m3" localSheetId="3">'Sample Plan'!$D$226</definedName>
    <definedName name="calc_da_m3">Plan!$D$226</definedName>
    <definedName name="calc_da_m4" localSheetId="3">'Sample Plan'!$E$226</definedName>
    <definedName name="calc_da_m4">Plan!$E$226</definedName>
    <definedName name="calc_da_m5" localSheetId="3">'Sample Plan'!$F$226</definedName>
    <definedName name="calc_da_m5">Plan!$F$226</definedName>
    <definedName name="calc_da_m6" localSheetId="3">'Sample Plan'!$G$226</definedName>
    <definedName name="calc_da_m6">Plan!$G$226</definedName>
    <definedName name="calc_da_m7" localSheetId="3">'Sample Plan'!$H$226</definedName>
    <definedName name="calc_da_m7">Plan!$H$226</definedName>
    <definedName name="calc_da_m8" localSheetId="3">'Sample Plan'!$I$226</definedName>
    <definedName name="calc_da_m8">Plan!$I$226</definedName>
    <definedName name="calc_da_m9" localSheetId="3">'Sample Plan'!$J$226</definedName>
    <definedName name="calc_da_m9">Plan!$J$226</definedName>
    <definedName name="calc_dc_contractors_ann" localSheetId="3">'Sample Plan'!$N$205</definedName>
    <definedName name="calc_dc_contractors_ann">Plan!$N$205</definedName>
    <definedName name="calc_dc_contractors_m1" localSheetId="3">'Sample Plan'!$B$205</definedName>
    <definedName name="calc_dc_contractors_m1">Plan!$B$205</definedName>
    <definedName name="calc_dc_contractors_m10" localSheetId="3">'Sample Plan'!$K$205</definedName>
    <definedName name="calc_dc_contractors_m10">Plan!$K$205</definedName>
    <definedName name="calc_dc_contractors_m11" localSheetId="3">'Sample Plan'!$L$205</definedName>
    <definedName name="calc_dc_contractors_m11">Plan!$L$205</definedName>
    <definedName name="calc_dc_contractors_m12" localSheetId="3">'Sample Plan'!$M$205</definedName>
    <definedName name="calc_dc_contractors_m12">Plan!$M$205</definedName>
    <definedName name="calc_dc_contractors_m1m12" localSheetId="3">'Sample Plan'!$B$205:'Sample Plan'!$M$205</definedName>
    <definedName name="calc_dc_contractors_m1m12">Plan!$B$205:'Plan'!$M$205</definedName>
    <definedName name="calc_dc_contractors_m2" localSheetId="3">'Sample Plan'!$C$205</definedName>
    <definedName name="calc_dc_contractors_m2">Plan!$C$205</definedName>
    <definedName name="calc_dc_contractors_m3" localSheetId="3">'Sample Plan'!$D$205</definedName>
    <definedName name="calc_dc_contractors_m3">Plan!$D$205</definedName>
    <definedName name="calc_dc_contractors_m4" localSheetId="3">'Sample Plan'!$E$205</definedName>
    <definedName name="calc_dc_contractors_m4">Plan!$E$205</definedName>
    <definedName name="calc_dc_contractors_m5" localSheetId="3">'Sample Plan'!$F$205</definedName>
    <definedName name="calc_dc_contractors_m5">Plan!$F$205</definedName>
    <definedName name="calc_dc_contractors_m6" localSheetId="3">'Sample Plan'!$G$205</definedName>
    <definedName name="calc_dc_contractors_m6">Plan!$G$205</definedName>
    <definedName name="calc_dc_contractors_m7" localSheetId="3">'Sample Plan'!$H$205</definedName>
    <definedName name="calc_dc_contractors_m7">Plan!$H$205</definedName>
    <definedName name="calc_dc_contractors_m8" localSheetId="3">'Sample Plan'!$I$205</definedName>
    <definedName name="calc_dc_contractors_m8">Plan!$I$205</definedName>
    <definedName name="calc_dc_contractors_m9" localSheetId="3">'Sample Plan'!$J$205</definedName>
    <definedName name="calc_dc_contractors_m9">Plan!$J$205</definedName>
    <definedName name="calc_dc_other_dc_ann" localSheetId="3">'Sample Plan'!$N$208</definedName>
    <definedName name="calc_dc_other_dc_ann">Plan!$N$208</definedName>
    <definedName name="calc_dc_other_dc_m1" localSheetId="3">'Sample Plan'!$B$208</definedName>
    <definedName name="calc_dc_other_dc_m1">Plan!$B$208</definedName>
    <definedName name="calc_dc_other_dc_m10" localSheetId="3">'Sample Plan'!$K$208</definedName>
    <definedName name="calc_dc_other_dc_m10">Plan!$K$208</definedName>
    <definedName name="calc_dc_other_dc_m11" localSheetId="3">'Sample Plan'!$L$208</definedName>
    <definedName name="calc_dc_other_dc_m11">Plan!$L$208</definedName>
    <definedName name="calc_dc_other_dc_m12" localSheetId="3">'Sample Plan'!$M$208</definedName>
    <definedName name="calc_dc_other_dc_m12">Plan!$M$208</definedName>
    <definedName name="calc_dc_other_dc_m1m12" localSheetId="3">'Sample Plan'!$B$208:'Sample Plan'!$M$208</definedName>
    <definedName name="calc_dc_other_dc_m1m12">Plan!$B$208:'Plan'!$M$208</definedName>
    <definedName name="calc_dc_other_dc_m2" localSheetId="3">'Sample Plan'!$C$208</definedName>
    <definedName name="calc_dc_other_dc_m2">Plan!$C$208</definedName>
    <definedName name="calc_dc_other_dc_m3" localSheetId="3">'Sample Plan'!$D$208</definedName>
    <definedName name="calc_dc_other_dc_m3">Plan!$D$208</definedName>
    <definedName name="calc_dc_other_dc_m4" localSheetId="3">'Sample Plan'!$E$208</definedName>
    <definedName name="calc_dc_other_dc_m4">Plan!$E$208</definedName>
    <definedName name="calc_dc_other_dc_m5" localSheetId="3">'Sample Plan'!$F$208</definedName>
    <definedName name="calc_dc_other_dc_m5">Plan!$F$208</definedName>
    <definedName name="calc_dc_other_dc_m6" localSheetId="3">'Sample Plan'!$G$208</definedName>
    <definedName name="calc_dc_other_dc_m6">Plan!$G$208</definedName>
    <definedName name="calc_dc_other_dc_m7" localSheetId="3">'Sample Plan'!$H$208</definedName>
    <definedName name="calc_dc_other_dc_m7">Plan!$H$208</definedName>
    <definedName name="calc_dc_other_dc_m8" localSheetId="3">'Sample Plan'!$I$208</definedName>
    <definedName name="calc_dc_other_dc_m8">Plan!$I$208</definedName>
    <definedName name="calc_dc_other_dc_m9" localSheetId="3">'Sample Plan'!$J$208</definedName>
    <definedName name="calc_dc_other_dc_m9">Plan!$J$208</definedName>
    <definedName name="calc_dc_passthrough_ann" localSheetId="3">'Sample Plan'!$N$207</definedName>
    <definedName name="calc_dc_passthrough_ann">Plan!$N$207</definedName>
    <definedName name="calc_dc_passthrough_m1" localSheetId="3">'Sample Plan'!$B$207</definedName>
    <definedName name="calc_dc_passthrough_m1">Plan!$B$207</definedName>
    <definedName name="calc_dc_passthrough_m10" localSheetId="3">'Sample Plan'!$K$207</definedName>
    <definedName name="calc_dc_passthrough_m10">Plan!$K$207</definedName>
    <definedName name="calc_dc_passthrough_m11" localSheetId="3">'Sample Plan'!$L$207</definedName>
    <definedName name="calc_dc_passthrough_m11">Plan!$L$207</definedName>
    <definedName name="calc_dc_passthrough_m12" localSheetId="3">'Sample Plan'!$M$207</definedName>
    <definedName name="calc_dc_passthrough_m12">Plan!$M$207</definedName>
    <definedName name="calc_dc_passthrough_m1m12" localSheetId="3">'Sample Plan'!$B$207:'Sample Plan'!$M$207</definedName>
    <definedName name="calc_dc_passthrough_m1m12">Plan!$B$207:'Plan'!$M$207</definedName>
    <definedName name="calc_dc_passthrough_m2" localSheetId="3">'Sample Plan'!$C$207</definedName>
    <definedName name="calc_dc_passthrough_m2">Plan!$C$207</definedName>
    <definedName name="calc_dc_passthrough_m3" localSheetId="3">'Sample Plan'!$D$207</definedName>
    <definedName name="calc_dc_passthrough_m3">Plan!$D$207</definedName>
    <definedName name="calc_dc_passthrough_m4" localSheetId="3">'Sample Plan'!$E$207</definedName>
    <definedName name="calc_dc_passthrough_m4">Plan!$E$207</definedName>
    <definedName name="calc_dc_passthrough_m5" localSheetId="3">'Sample Plan'!$F$207</definedName>
    <definedName name="calc_dc_passthrough_m5">Plan!$F$207</definedName>
    <definedName name="calc_dc_passthrough_m6" localSheetId="3">'Sample Plan'!$G$207</definedName>
    <definedName name="calc_dc_passthrough_m6">Plan!$G$207</definedName>
    <definedName name="calc_dc_passthrough_m7" localSheetId="3">'Sample Plan'!$H$207</definedName>
    <definedName name="calc_dc_passthrough_m7">Plan!$H$207</definedName>
    <definedName name="calc_dc_passthrough_m8" localSheetId="3">'Sample Plan'!$I$207</definedName>
    <definedName name="calc_dc_passthrough_m8">Plan!$I$207</definedName>
    <definedName name="calc_dc_passthrough_m9" localSheetId="3">'Sample Plan'!$J$207</definedName>
    <definedName name="calc_dc_passthrough_m9">Plan!$J$207</definedName>
    <definedName name="calc_dc_payroll_ann" localSheetId="3">'Sample Plan'!$N$204</definedName>
    <definedName name="calc_dc_payroll_ann">Plan!$N$204</definedName>
    <definedName name="calc_dc_payroll_m1" localSheetId="3">'Sample Plan'!$B$204</definedName>
    <definedName name="calc_dc_payroll_m1">Plan!$B$204</definedName>
    <definedName name="calc_dc_payroll_m10" localSheetId="3">'Sample Plan'!$K$204</definedName>
    <definedName name="calc_dc_payroll_m10">Plan!$K$204</definedName>
    <definedName name="calc_dc_payroll_m11" localSheetId="3">'Sample Plan'!$L$204</definedName>
    <definedName name="calc_dc_payroll_m11">Plan!$L$204</definedName>
    <definedName name="calc_dc_payroll_m12" localSheetId="3">'Sample Plan'!$M$204</definedName>
    <definedName name="calc_dc_payroll_m12">Plan!$M$204</definedName>
    <definedName name="calc_dc_payroll_m1m12" localSheetId="3">'Sample Plan'!$B$204:'Sample Plan'!$M$204</definedName>
    <definedName name="calc_dc_payroll_m1m12">Plan!$B$204:'Plan'!$M$204</definedName>
    <definedName name="calc_dc_payroll_m2" localSheetId="3">'Sample Plan'!$C$204</definedName>
    <definedName name="calc_dc_payroll_m2">Plan!$C$204</definedName>
    <definedName name="calc_dc_payroll_m3" localSheetId="3">'Sample Plan'!$D$204</definedName>
    <definedName name="calc_dc_payroll_m3">Plan!$D$204</definedName>
    <definedName name="calc_dc_payroll_m4" localSheetId="3">'Sample Plan'!$E$204</definedName>
    <definedName name="calc_dc_payroll_m4">Plan!$E$204</definedName>
    <definedName name="calc_dc_payroll_m5" localSheetId="3">'Sample Plan'!$F$204</definedName>
    <definedName name="calc_dc_payroll_m5">Plan!$F$204</definedName>
    <definedName name="calc_dc_payroll_m6" localSheetId="3">'Sample Plan'!$G$204</definedName>
    <definedName name="calc_dc_payroll_m6">Plan!$G$204</definedName>
    <definedName name="calc_dc_payroll_m7" localSheetId="3">'Sample Plan'!$H$204</definedName>
    <definedName name="calc_dc_payroll_m7">Plan!$H$204</definedName>
    <definedName name="calc_dc_payroll_m8" localSheetId="3">'Sample Plan'!$I$204</definedName>
    <definedName name="calc_dc_payroll_m8">Plan!$I$204</definedName>
    <definedName name="calc_dc_payroll_m9" localSheetId="3">'Sample Plan'!$J$204</definedName>
    <definedName name="calc_dc_payroll_m9">Plan!$J$204</definedName>
    <definedName name="calc_dc_tools_ann" localSheetId="3">'Sample Plan'!$N$206</definedName>
    <definedName name="calc_dc_tools_ann">Plan!$N$206</definedName>
    <definedName name="calc_dc_tools_m1" localSheetId="3">'Sample Plan'!$B$206</definedName>
    <definedName name="calc_dc_tools_m1">Plan!$B$206</definedName>
    <definedName name="calc_dc_tools_m10" localSheetId="3">'Sample Plan'!$K$206</definedName>
    <definedName name="calc_dc_tools_m10">Plan!$K$206</definedName>
    <definedName name="calc_dc_tools_m11" localSheetId="3">'Sample Plan'!$L$206</definedName>
    <definedName name="calc_dc_tools_m11">Plan!$L$206</definedName>
    <definedName name="calc_dc_tools_m12" localSheetId="3">'Sample Plan'!$M$206</definedName>
    <definedName name="calc_dc_tools_m12">Plan!$M$206</definedName>
    <definedName name="calc_dc_tools_m1m12" localSheetId="3">'Sample Plan'!$B$206:'Sample Plan'!$M$206</definedName>
    <definedName name="calc_dc_tools_m1m12">Plan!$B$206:'Plan'!$M$206</definedName>
    <definedName name="calc_dc_tools_m2" localSheetId="3">'Sample Plan'!$C$206</definedName>
    <definedName name="calc_dc_tools_m2">Plan!$C$206</definedName>
    <definedName name="calc_dc_tools_m3" localSheetId="3">'Sample Plan'!$D$206</definedName>
    <definedName name="calc_dc_tools_m3">Plan!$D$206</definedName>
    <definedName name="calc_dc_tools_m4" localSheetId="3">'Sample Plan'!$E$206</definedName>
    <definedName name="calc_dc_tools_m4">Plan!$E$206</definedName>
    <definedName name="calc_dc_tools_m5" localSheetId="3">'Sample Plan'!$F$206</definedName>
    <definedName name="calc_dc_tools_m5">Plan!$F$206</definedName>
    <definedName name="calc_dc_tools_m6" localSheetId="3">'Sample Plan'!$G$206</definedName>
    <definedName name="calc_dc_tools_m6">Plan!$G$206</definedName>
    <definedName name="calc_dc_tools_m7" localSheetId="3">'Sample Plan'!$H$206</definedName>
    <definedName name="calc_dc_tools_m7">Plan!$H$206</definedName>
    <definedName name="calc_dc_tools_m8" localSheetId="3">'Sample Plan'!$I$206</definedName>
    <definedName name="calc_dc_tools_m8">Plan!$I$206</definedName>
    <definedName name="calc_dc_tools_m9" localSheetId="3">'Sample Plan'!$J$206</definedName>
    <definedName name="calc_dc_tools_m9">Plan!$J$206</definedName>
    <definedName name="calc_dc_total_ann" localSheetId="3">'Sample Plan'!$N$209</definedName>
    <definedName name="calc_dc_total_ann">Plan!$N$209</definedName>
    <definedName name="calc_dc_total_m1" localSheetId="3">'Sample Plan'!$B$209</definedName>
    <definedName name="calc_dc_total_m1">Plan!$B$209</definedName>
    <definedName name="calc_dc_total_m10" localSheetId="3">'Sample Plan'!$K$209</definedName>
    <definedName name="calc_dc_total_m10">Plan!$K$209</definedName>
    <definedName name="calc_dc_total_m11" localSheetId="3">'Sample Plan'!$L$209</definedName>
    <definedName name="calc_dc_total_m11">Plan!$L$209</definedName>
    <definedName name="calc_dc_total_m12" localSheetId="3">'Sample Plan'!$M$209</definedName>
    <definedName name="calc_dc_total_m12">Plan!$M$209</definedName>
    <definedName name="calc_dc_total_m1m12" localSheetId="3">'Sample Plan'!$B$209:'Sample Plan'!$M$209</definedName>
    <definedName name="calc_dc_total_m1m12">Plan!$B$209:'Plan'!$M$209</definedName>
    <definedName name="calc_dc_total_m2" localSheetId="3">'Sample Plan'!$C$209</definedName>
    <definedName name="calc_dc_total_m2">Plan!$C$209</definedName>
    <definedName name="calc_dc_total_m3" localSheetId="3">'Sample Plan'!$D$209</definedName>
    <definedName name="calc_dc_total_m3">Plan!$D$209</definedName>
    <definedName name="calc_dc_total_m4" localSheetId="3">'Sample Plan'!$E$209</definedName>
    <definedName name="calc_dc_total_m4">Plan!$E$209</definedName>
    <definedName name="calc_dc_total_m5" localSheetId="3">'Sample Plan'!$F$209</definedName>
    <definedName name="calc_dc_total_m5">Plan!$F$209</definedName>
    <definedName name="calc_dc_total_m6" localSheetId="3">'Sample Plan'!$G$209</definedName>
    <definedName name="calc_dc_total_m6">Plan!$G$209</definedName>
    <definedName name="calc_dc_total_m7" localSheetId="3">'Sample Plan'!$H$209</definedName>
    <definedName name="calc_dc_total_m7">Plan!$H$209</definedName>
    <definedName name="calc_dc_total_m8" localSheetId="3">'Sample Plan'!$I$209</definedName>
    <definedName name="calc_dc_total_m8">Plan!$I$209</definedName>
    <definedName name="calc_dc_total_m9" localSheetId="3">'Sample Plan'!$J$209</definedName>
    <definedName name="calc_dc_total_m9">Plan!$J$209</definedName>
    <definedName name="calc_debt_draw_ann" localSheetId="3">'Sample Plan'!$N$240</definedName>
    <definedName name="calc_debt_draw_ann">Plan!$N$240</definedName>
    <definedName name="calc_debt_draw_m1" localSheetId="3">'Sample Plan'!$B$240</definedName>
    <definedName name="calc_debt_draw_m1">Plan!$B$240</definedName>
    <definedName name="calc_debt_draw_m10" localSheetId="3">'Sample Plan'!$K$240</definedName>
    <definedName name="calc_debt_draw_m10">Plan!$K$240</definedName>
    <definedName name="calc_debt_draw_m11" localSheetId="3">'Sample Plan'!$L$240</definedName>
    <definedName name="calc_debt_draw_m11">Plan!$L$240</definedName>
    <definedName name="calc_debt_draw_m12" localSheetId="3">'Sample Plan'!$M$240</definedName>
    <definedName name="calc_debt_draw_m12">Plan!$M$240</definedName>
    <definedName name="calc_debt_draw_m1m12" localSheetId="3">'Sample Plan'!$B$240:'Sample Plan'!$M$240</definedName>
    <definedName name="calc_debt_draw_m1m12">Plan!$B$240:'Plan'!$M$240</definedName>
    <definedName name="calc_debt_draw_m2" localSheetId="3">'Sample Plan'!$C$240</definedName>
    <definedName name="calc_debt_draw_m2">Plan!$C$240</definedName>
    <definedName name="calc_debt_draw_m3" localSheetId="3">'Sample Plan'!$D$240</definedName>
    <definedName name="calc_debt_draw_m3">Plan!$D$240</definedName>
    <definedName name="calc_debt_draw_m4" localSheetId="3">'Sample Plan'!$E$240</definedName>
    <definedName name="calc_debt_draw_m4">Plan!$E$240</definedName>
    <definedName name="calc_debt_draw_m5" localSheetId="3">'Sample Plan'!$F$240</definedName>
    <definedName name="calc_debt_draw_m5">Plan!$F$240</definedName>
    <definedName name="calc_debt_draw_m6" localSheetId="3">'Sample Plan'!$G$240</definedName>
    <definedName name="calc_debt_draw_m6">Plan!$G$240</definedName>
    <definedName name="calc_debt_draw_m7" localSheetId="3">'Sample Plan'!$H$240</definedName>
    <definedName name="calc_debt_draw_m7">Plan!$H$240</definedName>
    <definedName name="calc_debt_draw_m8" localSheetId="3">'Sample Plan'!$I$240</definedName>
    <definedName name="calc_debt_draw_m8">Plan!$I$240</definedName>
    <definedName name="calc_debt_draw_m9" localSheetId="3">'Sample Plan'!$J$240</definedName>
    <definedName name="calc_debt_draw_m9">Plan!$J$240</definedName>
    <definedName name="calc_debt_repay_neg_ann" localSheetId="3">'Sample Plan'!$N$241</definedName>
    <definedName name="calc_debt_repay_neg_ann">Plan!$N$241</definedName>
    <definedName name="calc_debt_repay_neg_m1" localSheetId="3">'Sample Plan'!$B$241</definedName>
    <definedName name="calc_debt_repay_neg_m1">Plan!$B$241</definedName>
    <definedName name="calc_debt_repay_neg_m10" localSheetId="3">'Sample Plan'!$K$241</definedName>
    <definedName name="calc_debt_repay_neg_m10">Plan!$K$241</definedName>
    <definedName name="calc_debt_repay_neg_m11" localSheetId="3">'Sample Plan'!$L$241</definedName>
    <definedName name="calc_debt_repay_neg_m11">Plan!$L$241</definedName>
    <definedName name="calc_debt_repay_neg_m12" localSheetId="3">'Sample Plan'!$M$241</definedName>
    <definedName name="calc_debt_repay_neg_m12">Plan!$M$241</definedName>
    <definedName name="calc_debt_repay_neg_m1m12" localSheetId="3">'Sample Plan'!$B$241:'Sample Plan'!$M$241</definedName>
    <definedName name="calc_debt_repay_neg_m1m12">Plan!$B$241:'Plan'!$M$241</definedName>
    <definedName name="calc_debt_repay_neg_m2" localSheetId="3">'Sample Plan'!$C$241</definedName>
    <definedName name="calc_debt_repay_neg_m2">Plan!$C$241</definedName>
    <definedName name="calc_debt_repay_neg_m3" localSheetId="3">'Sample Plan'!$D$241</definedName>
    <definedName name="calc_debt_repay_neg_m3">Plan!$D$241</definedName>
    <definedName name="calc_debt_repay_neg_m4" localSheetId="3">'Sample Plan'!$E$241</definedName>
    <definedName name="calc_debt_repay_neg_m4">Plan!$E$241</definedName>
    <definedName name="calc_debt_repay_neg_m5" localSheetId="3">'Sample Plan'!$F$241</definedName>
    <definedName name="calc_debt_repay_neg_m5">Plan!$F$241</definedName>
    <definedName name="calc_debt_repay_neg_m6" localSheetId="3">'Sample Plan'!$G$241</definedName>
    <definedName name="calc_debt_repay_neg_m6">Plan!$G$241</definedName>
    <definedName name="calc_debt_repay_neg_m7" localSheetId="3">'Sample Plan'!$H$241</definedName>
    <definedName name="calc_debt_repay_neg_m7">Plan!$H$241</definedName>
    <definedName name="calc_debt_repay_neg_m8" localSheetId="3">'Sample Plan'!$I$241</definedName>
    <definedName name="calc_debt_repay_neg_m8">Plan!$I$241</definedName>
    <definedName name="calc_debt_repay_neg_m9" localSheetId="3">'Sample Plan'!$J$241</definedName>
    <definedName name="calc_debt_repay_neg_m9">Plan!$J$241</definedName>
    <definedName name="calc_delta_ap_pos_ann" localSheetId="3">'Sample Plan'!$N$235</definedName>
    <definedName name="calc_delta_ap_pos_ann">Plan!$N$235</definedName>
    <definedName name="calc_delta_ap_pos_m1" localSheetId="3">'Sample Plan'!$B$235</definedName>
    <definedName name="calc_delta_ap_pos_m1">Plan!$B$235</definedName>
    <definedName name="calc_delta_ap_pos_m10" localSheetId="3">'Sample Plan'!$K$235</definedName>
    <definedName name="calc_delta_ap_pos_m10">Plan!$K$235</definedName>
    <definedName name="calc_delta_ap_pos_m11" localSheetId="3">'Sample Plan'!$L$235</definedName>
    <definedName name="calc_delta_ap_pos_m11">Plan!$L$235</definedName>
    <definedName name="calc_delta_ap_pos_m12" localSheetId="3">'Sample Plan'!$M$235</definedName>
    <definedName name="calc_delta_ap_pos_m12">Plan!$M$235</definedName>
    <definedName name="calc_delta_ap_pos_m1m12" localSheetId="3">'Sample Plan'!$B$235:'Sample Plan'!$M$235</definedName>
    <definedName name="calc_delta_ap_pos_m1m12">Plan!$B$235:'Plan'!$M$235</definedName>
    <definedName name="calc_delta_ap_pos_m2" localSheetId="3">'Sample Plan'!$C$235</definedName>
    <definedName name="calc_delta_ap_pos_m2">Plan!$C$235</definedName>
    <definedName name="calc_delta_ap_pos_m3" localSheetId="3">'Sample Plan'!$D$235</definedName>
    <definedName name="calc_delta_ap_pos_m3">Plan!$D$235</definedName>
    <definedName name="calc_delta_ap_pos_m4" localSheetId="3">'Sample Plan'!$E$235</definedName>
    <definedName name="calc_delta_ap_pos_m4">Plan!$E$235</definedName>
    <definedName name="calc_delta_ap_pos_m5" localSheetId="3">'Sample Plan'!$F$235</definedName>
    <definedName name="calc_delta_ap_pos_m5">Plan!$F$235</definedName>
    <definedName name="calc_delta_ap_pos_m6" localSheetId="3">'Sample Plan'!$G$235</definedName>
    <definedName name="calc_delta_ap_pos_m6">Plan!$G$235</definedName>
    <definedName name="calc_delta_ap_pos_m7" localSheetId="3">'Sample Plan'!$H$235</definedName>
    <definedName name="calc_delta_ap_pos_m7">Plan!$H$235</definedName>
    <definedName name="calc_delta_ap_pos_m8" localSheetId="3">'Sample Plan'!$I$235</definedName>
    <definedName name="calc_delta_ap_pos_m8">Plan!$I$235</definedName>
    <definedName name="calc_delta_ap_pos_m9" localSheetId="3">'Sample Plan'!$J$235</definedName>
    <definedName name="calc_delta_ap_pos_m9">Plan!$J$235</definedName>
    <definedName name="calc_delta_ar_neg_ann" localSheetId="3">'Sample Plan'!$N$234</definedName>
    <definedName name="calc_delta_ar_neg_ann">Plan!$N$234</definedName>
    <definedName name="calc_delta_ar_neg_m1" localSheetId="3">'Sample Plan'!$B$234</definedName>
    <definedName name="calc_delta_ar_neg_m1">Plan!$B$234</definedName>
    <definedName name="calc_delta_ar_neg_m10" localSheetId="3">'Sample Plan'!$K$234</definedName>
    <definedName name="calc_delta_ar_neg_m10">Plan!$K$234</definedName>
    <definedName name="calc_delta_ar_neg_m11" localSheetId="3">'Sample Plan'!$L$234</definedName>
    <definedName name="calc_delta_ar_neg_m11">Plan!$L$234</definedName>
    <definedName name="calc_delta_ar_neg_m12" localSheetId="3">'Sample Plan'!$M$234</definedName>
    <definedName name="calc_delta_ar_neg_m12">Plan!$M$234</definedName>
    <definedName name="calc_delta_ar_neg_m1m12" localSheetId="3">'Sample Plan'!$B$234:'Sample Plan'!$M$234</definedName>
    <definedName name="calc_delta_ar_neg_m1m12">Plan!$B$234:'Plan'!$M$234</definedName>
    <definedName name="calc_delta_ar_neg_m2" localSheetId="3">'Sample Plan'!$C$234</definedName>
    <definedName name="calc_delta_ar_neg_m2">Plan!$C$234</definedName>
    <definedName name="calc_delta_ar_neg_m3" localSheetId="3">'Sample Plan'!$D$234</definedName>
    <definedName name="calc_delta_ar_neg_m3">Plan!$D$234</definedName>
    <definedName name="calc_delta_ar_neg_m4" localSheetId="3">'Sample Plan'!$E$234</definedName>
    <definedName name="calc_delta_ar_neg_m4">Plan!$E$234</definedName>
    <definedName name="calc_delta_ar_neg_m5" localSheetId="3">'Sample Plan'!$F$234</definedName>
    <definedName name="calc_delta_ar_neg_m5">Plan!$F$234</definedName>
    <definedName name="calc_delta_ar_neg_m6" localSheetId="3">'Sample Plan'!$G$234</definedName>
    <definedName name="calc_delta_ar_neg_m6">Plan!$G$234</definedName>
    <definedName name="calc_delta_ar_neg_m7" localSheetId="3">'Sample Plan'!$H$234</definedName>
    <definedName name="calc_delta_ar_neg_m7">Plan!$H$234</definedName>
    <definedName name="calc_delta_ar_neg_m8" localSheetId="3">'Sample Plan'!$I$234</definedName>
    <definedName name="calc_delta_ar_neg_m8">Plan!$I$234</definedName>
    <definedName name="calc_delta_ar_neg_m9" localSheetId="3">'Sample Plan'!$J$234</definedName>
    <definedName name="calc_delta_ar_neg_m9">Plan!$J$234</definedName>
    <definedName name="calc_dist_neg_ann" localSheetId="3">'Sample Plan'!$N$242</definedName>
    <definedName name="calc_dist_neg_ann">Plan!$N$242</definedName>
    <definedName name="calc_dist_neg_m1" localSheetId="3">'Sample Plan'!$B$242</definedName>
    <definedName name="calc_dist_neg_m1">Plan!$B$242</definedName>
    <definedName name="calc_dist_neg_m10" localSheetId="3">'Sample Plan'!$K$242</definedName>
    <definedName name="calc_dist_neg_m10">Plan!$K$242</definedName>
    <definedName name="calc_dist_neg_m11" localSheetId="3">'Sample Plan'!$L$242</definedName>
    <definedName name="calc_dist_neg_m11">Plan!$L$242</definedName>
    <definedName name="calc_dist_neg_m12" localSheetId="3">'Sample Plan'!$M$242</definedName>
    <definedName name="calc_dist_neg_m12">Plan!$M$242</definedName>
    <definedName name="calc_dist_neg_m1m12" localSheetId="3">'Sample Plan'!$B$242:'Sample Plan'!$M$242</definedName>
    <definedName name="calc_dist_neg_m1m12">Plan!$B$242:'Plan'!$M$242</definedName>
    <definedName name="calc_dist_neg_m2" localSheetId="3">'Sample Plan'!$C$242</definedName>
    <definedName name="calc_dist_neg_m2">Plan!$C$242</definedName>
    <definedName name="calc_dist_neg_m3" localSheetId="3">'Sample Plan'!$D$242</definedName>
    <definedName name="calc_dist_neg_m3">Plan!$D$242</definedName>
    <definedName name="calc_dist_neg_m4" localSheetId="3">'Sample Plan'!$E$242</definedName>
    <definedName name="calc_dist_neg_m4">Plan!$E$242</definedName>
    <definedName name="calc_dist_neg_m5" localSheetId="3">'Sample Plan'!$F$242</definedName>
    <definedName name="calc_dist_neg_m5">Plan!$F$242</definedName>
    <definedName name="calc_dist_neg_m6" localSheetId="3">'Sample Plan'!$G$242</definedName>
    <definedName name="calc_dist_neg_m6">Plan!$G$242</definedName>
    <definedName name="calc_dist_neg_m7" localSheetId="3">'Sample Plan'!$H$242</definedName>
    <definedName name="calc_dist_neg_m7">Plan!$H$242</definedName>
    <definedName name="calc_dist_neg_m8" localSheetId="3">'Sample Plan'!$I$242</definedName>
    <definedName name="calc_dist_neg_m8">Plan!$I$242</definedName>
    <definedName name="calc_dist_neg_m9" localSheetId="3">'Sample Plan'!$J$242</definedName>
    <definedName name="calc_dist_neg_m9">Plan!$J$242</definedName>
    <definedName name="calc_ebitda_ann" localSheetId="3">'Sample Plan'!$N$224</definedName>
    <definedName name="calc_ebitda_ann">Plan!$N$224</definedName>
    <definedName name="calc_ebitda_m1" localSheetId="3">'Sample Plan'!$B$224</definedName>
    <definedName name="calc_ebitda_m1">Plan!$B$224</definedName>
    <definedName name="calc_ebitda_m10" localSheetId="3">'Sample Plan'!$K$224</definedName>
    <definedName name="calc_ebitda_m10">Plan!$K$224</definedName>
    <definedName name="calc_ebitda_m11" localSheetId="3">'Sample Plan'!$L$224</definedName>
    <definedName name="calc_ebitda_m11">Plan!$L$224</definedName>
    <definedName name="calc_ebitda_m12" localSheetId="3">'Sample Plan'!$M$224</definedName>
    <definedName name="calc_ebitda_m12">Plan!$M$224</definedName>
    <definedName name="calc_ebitda_m1m12" localSheetId="3">'Sample Plan'!$B$224:'Sample Plan'!$M$224</definedName>
    <definedName name="calc_ebitda_m1m12">Plan!$B$224:'Plan'!$M$224</definedName>
    <definedName name="calc_ebitda_m2" localSheetId="3">'Sample Plan'!$C$224</definedName>
    <definedName name="calc_ebitda_m2">Plan!$C$224</definedName>
    <definedName name="calc_ebitda_m3" localSheetId="3">'Sample Plan'!$D$224</definedName>
    <definedName name="calc_ebitda_m3">Plan!$D$224</definedName>
    <definedName name="calc_ebitda_m4" localSheetId="3">'Sample Plan'!$E$224</definedName>
    <definedName name="calc_ebitda_m4">Plan!$E$224</definedName>
    <definedName name="calc_ebitda_m5" localSheetId="3">'Sample Plan'!$F$224</definedName>
    <definedName name="calc_ebitda_m5">Plan!$F$224</definedName>
    <definedName name="calc_ebitda_m6" localSheetId="3">'Sample Plan'!$G$224</definedName>
    <definedName name="calc_ebitda_m6">Plan!$G$224</definedName>
    <definedName name="calc_ebitda_m7" localSheetId="3">'Sample Plan'!$H$224</definedName>
    <definedName name="calc_ebitda_m7">Plan!$H$224</definedName>
    <definedName name="calc_ebitda_m8" localSheetId="3">'Sample Plan'!$I$224</definedName>
    <definedName name="calc_ebitda_m8">Plan!$I$224</definedName>
    <definedName name="calc_ebitda_m9" localSheetId="3">'Sample Plan'!$J$224</definedName>
    <definedName name="calc_ebitda_m9">Plan!$J$224</definedName>
    <definedName name="calc_ebitda_pct_ann" localSheetId="3">'Sample Plan'!$N$225</definedName>
    <definedName name="calc_ebitda_pct_ann">Plan!$N$225</definedName>
    <definedName name="calc_ebitda_pct_m1" localSheetId="3">'Sample Plan'!$B$225</definedName>
    <definedName name="calc_ebitda_pct_m1">Plan!$B$225</definedName>
    <definedName name="calc_ebitda_pct_m10" localSheetId="3">'Sample Plan'!$K$225</definedName>
    <definedName name="calc_ebitda_pct_m10">Plan!$K$225</definedName>
    <definedName name="calc_ebitda_pct_m11" localSheetId="3">'Sample Plan'!$L$225</definedName>
    <definedName name="calc_ebitda_pct_m11">Plan!$L$225</definedName>
    <definedName name="calc_ebitda_pct_m12" localSheetId="3">'Sample Plan'!$M$225</definedName>
    <definedName name="calc_ebitda_pct_m12">Plan!$M$225</definedName>
    <definedName name="calc_ebitda_pct_m1m12" localSheetId="3">'Sample Plan'!$B$225:'Sample Plan'!$M$225</definedName>
    <definedName name="calc_ebitda_pct_m1m12">Plan!$B$225:'Plan'!$M$225</definedName>
    <definedName name="calc_ebitda_pct_m2" localSheetId="3">'Sample Plan'!$C$225</definedName>
    <definedName name="calc_ebitda_pct_m2">Plan!$C$225</definedName>
    <definedName name="calc_ebitda_pct_m3" localSheetId="3">'Sample Plan'!$D$225</definedName>
    <definedName name="calc_ebitda_pct_m3">Plan!$D$225</definedName>
    <definedName name="calc_ebitda_pct_m4" localSheetId="3">'Sample Plan'!$E$225</definedName>
    <definedName name="calc_ebitda_pct_m4">Plan!$E$225</definedName>
    <definedName name="calc_ebitda_pct_m5" localSheetId="3">'Sample Plan'!$F$225</definedName>
    <definedName name="calc_ebitda_pct_m5">Plan!$F$225</definedName>
    <definedName name="calc_ebitda_pct_m6" localSheetId="3">'Sample Plan'!$G$225</definedName>
    <definedName name="calc_ebitda_pct_m6">Plan!$G$225</definedName>
    <definedName name="calc_ebitda_pct_m7" localSheetId="3">'Sample Plan'!$H$225</definedName>
    <definedName name="calc_ebitda_pct_m7">Plan!$H$225</definedName>
    <definedName name="calc_ebitda_pct_m8" localSheetId="3">'Sample Plan'!$I$225</definedName>
    <definedName name="calc_ebitda_pct_m8">Plan!$I$225</definedName>
    <definedName name="calc_ebitda_pct_m9" localSheetId="3">'Sample Plan'!$J$225</definedName>
    <definedName name="calc_ebitda_pct_m9">Plan!$J$225</definedName>
    <definedName name="calc_fin_cf_ann" localSheetId="3">'Sample Plan'!$N$244</definedName>
    <definedName name="calc_fin_cf_ann">Plan!$N$244</definedName>
    <definedName name="calc_fin_cf_m1" localSheetId="3">'Sample Plan'!$B$244</definedName>
    <definedName name="calc_fin_cf_m1">Plan!$B$244</definedName>
    <definedName name="calc_fin_cf_m10" localSheetId="3">'Sample Plan'!$K$244</definedName>
    <definedName name="calc_fin_cf_m10">Plan!$K$244</definedName>
    <definedName name="calc_fin_cf_m11" localSheetId="3">'Sample Plan'!$L$244</definedName>
    <definedName name="calc_fin_cf_m11">Plan!$L$244</definedName>
    <definedName name="calc_fin_cf_m12" localSheetId="3">'Sample Plan'!$M$244</definedName>
    <definedName name="calc_fin_cf_m12">Plan!$M$244</definedName>
    <definedName name="calc_fin_cf_m1m12" localSheetId="3">'Sample Plan'!$B$244:'Sample Plan'!$M$244</definedName>
    <definedName name="calc_fin_cf_m1m12">Plan!$B$244:'Plan'!$M$244</definedName>
    <definedName name="calc_fin_cf_m2" localSheetId="3">'Sample Plan'!$C$244</definedName>
    <definedName name="calc_fin_cf_m2">Plan!$C$244</definedName>
    <definedName name="calc_fin_cf_m3" localSheetId="3">'Sample Plan'!$D$244</definedName>
    <definedName name="calc_fin_cf_m3">Plan!$D$244</definedName>
    <definedName name="calc_fin_cf_m4" localSheetId="3">'Sample Plan'!$E$244</definedName>
    <definedName name="calc_fin_cf_m4">Plan!$E$244</definedName>
    <definedName name="calc_fin_cf_m5" localSheetId="3">'Sample Plan'!$F$244</definedName>
    <definedName name="calc_fin_cf_m5">Plan!$F$244</definedName>
    <definedName name="calc_fin_cf_m6" localSheetId="3">'Sample Plan'!$G$244</definedName>
    <definedName name="calc_fin_cf_m6">Plan!$G$244</definedName>
    <definedName name="calc_fin_cf_m7" localSheetId="3">'Sample Plan'!$H$244</definedName>
    <definedName name="calc_fin_cf_m7">Plan!$H$244</definedName>
    <definedName name="calc_fin_cf_m8" localSheetId="3">'Sample Plan'!$I$244</definedName>
    <definedName name="calc_fin_cf_m8">Plan!$I$244</definedName>
    <definedName name="calc_fin_cf_m9" localSheetId="3">'Sample Plan'!$J$244</definedName>
    <definedName name="calc_fin_cf_m9">Plan!$J$244</definedName>
    <definedName name="calc_fte_close_ann" localSheetId="3">'Sample Plan'!$N$231</definedName>
    <definedName name="calc_fte_close_ann">Plan!$N$231</definedName>
    <definedName name="calc_fte_close_m1" localSheetId="3">'Sample Plan'!$B$231</definedName>
    <definedName name="calc_fte_close_m1">Plan!$B$231</definedName>
    <definedName name="calc_fte_close_m10" localSheetId="3">'Sample Plan'!$K$231</definedName>
    <definedName name="calc_fte_close_m10">Plan!$K$231</definedName>
    <definedName name="calc_fte_close_m11" localSheetId="3">'Sample Plan'!$L$231</definedName>
    <definedName name="calc_fte_close_m11">Plan!$L$231</definedName>
    <definedName name="calc_fte_close_m12" localSheetId="3">'Sample Plan'!$M$231</definedName>
    <definedName name="calc_fte_close_m12">Plan!$M$231</definedName>
    <definedName name="calc_fte_close_m1m12" localSheetId="3">'Sample Plan'!$B$231:'Sample Plan'!$M$231</definedName>
    <definedName name="calc_fte_close_m1m12">Plan!$B$231:'Plan'!$M$231</definedName>
    <definedName name="calc_fte_close_m2" localSheetId="3">'Sample Plan'!$C$231</definedName>
    <definedName name="calc_fte_close_m2">Plan!$C$231</definedName>
    <definedName name="calc_fte_close_m3" localSheetId="3">'Sample Plan'!$D$231</definedName>
    <definedName name="calc_fte_close_m3">Plan!$D$231</definedName>
    <definedName name="calc_fte_close_m4" localSheetId="3">'Sample Plan'!$E$231</definedName>
    <definedName name="calc_fte_close_m4">Plan!$E$231</definedName>
    <definedName name="calc_fte_close_m5" localSheetId="3">'Sample Plan'!$F$231</definedName>
    <definedName name="calc_fte_close_m5">Plan!$F$231</definedName>
    <definedName name="calc_fte_close_m6" localSheetId="3">'Sample Plan'!$G$231</definedName>
    <definedName name="calc_fte_close_m6">Plan!$G$231</definedName>
    <definedName name="calc_fte_close_m7" localSheetId="3">'Sample Plan'!$H$231</definedName>
    <definedName name="calc_fte_close_m7">Plan!$H$231</definedName>
    <definedName name="calc_fte_close_m8" localSheetId="3">'Sample Plan'!$I$231</definedName>
    <definedName name="calc_fte_close_m8">Plan!$I$231</definedName>
    <definedName name="calc_fte_close_m9" localSheetId="3">'Sample Plan'!$J$231</definedName>
    <definedName name="calc_fte_close_m9">Plan!$J$231</definedName>
    <definedName name="calc_gm_pct_ann" localSheetId="3">'Sample Plan'!$N$211</definedName>
    <definedName name="calc_gm_pct_ann">Plan!$N$211</definedName>
    <definedName name="calc_gm_pct_m1" localSheetId="3">'Sample Plan'!$B$211</definedName>
    <definedName name="calc_gm_pct_m1">Plan!$B$211</definedName>
    <definedName name="calc_gm_pct_m10" localSheetId="3">'Sample Plan'!$K$211</definedName>
    <definedName name="calc_gm_pct_m10">Plan!$K$211</definedName>
    <definedName name="calc_gm_pct_m11" localSheetId="3">'Sample Plan'!$L$211</definedName>
    <definedName name="calc_gm_pct_m11">Plan!$L$211</definedName>
    <definedName name="calc_gm_pct_m12" localSheetId="3">'Sample Plan'!$M$211</definedName>
    <definedName name="calc_gm_pct_m12">Plan!$M$211</definedName>
    <definedName name="calc_gm_pct_m1m12" localSheetId="3">'Sample Plan'!$B$211:'Sample Plan'!$M$211</definedName>
    <definedName name="calc_gm_pct_m1m12">Plan!$B$211:'Plan'!$M$211</definedName>
    <definedName name="calc_gm_pct_m2" localSheetId="3">'Sample Plan'!$C$211</definedName>
    <definedName name="calc_gm_pct_m2">Plan!$C$211</definedName>
    <definedName name="calc_gm_pct_m3" localSheetId="3">'Sample Plan'!$D$211</definedName>
    <definedName name="calc_gm_pct_m3">Plan!$D$211</definedName>
    <definedName name="calc_gm_pct_m4" localSheetId="3">'Sample Plan'!$E$211</definedName>
    <definedName name="calc_gm_pct_m4">Plan!$E$211</definedName>
    <definedName name="calc_gm_pct_m5" localSheetId="3">'Sample Plan'!$F$211</definedName>
    <definedName name="calc_gm_pct_m5">Plan!$F$211</definedName>
    <definedName name="calc_gm_pct_m6" localSheetId="3">'Sample Plan'!$G$211</definedName>
    <definedName name="calc_gm_pct_m6">Plan!$G$211</definedName>
    <definedName name="calc_gm_pct_m7" localSheetId="3">'Sample Plan'!$H$211</definedName>
    <definedName name="calc_gm_pct_m7">Plan!$H$211</definedName>
    <definedName name="calc_gm_pct_m8" localSheetId="3">'Sample Plan'!$I$211</definedName>
    <definedName name="calc_gm_pct_m8">Plan!$I$211</definedName>
    <definedName name="calc_gm_pct_m9" localSheetId="3">'Sample Plan'!$J$211</definedName>
    <definedName name="calc_gm_pct_m9">Plan!$J$211</definedName>
    <definedName name="calc_gp_ann" localSheetId="3">'Sample Plan'!$N$210</definedName>
    <definedName name="calc_gp_ann">Plan!$N$210</definedName>
    <definedName name="calc_gp_m1" localSheetId="3">'Sample Plan'!$B$210</definedName>
    <definedName name="calc_gp_m1">Plan!$B$210</definedName>
    <definedName name="calc_gp_m10" localSheetId="3">'Sample Plan'!$K$210</definedName>
    <definedName name="calc_gp_m10">Plan!$K$210</definedName>
    <definedName name="calc_gp_m11" localSheetId="3">'Sample Plan'!$L$210</definedName>
    <definedName name="calc_gp_m11">Plan!$L$210</definedName>
    <definedName name="calc_gp_m12" localSheetId="3">'Sample Plan'!$M$210</definedName>
    <definedName name="calc_gp_m12">Plan!$M$210</definedName>
    <definedName name="calc_gp_m1m12" localSheetId="3">'Sample Plan'!$B$210:'Sample Plan'!$M$210</definedName>
    <definedName name="calc_gp_m1m12">Plan!$B$210:'Plan'!$M$210</definedName>
    <definedName name="calc_gp_m2" localSheetId="3">'Sample Plan'!$C$210</definedName>
    <definedName name="calc_gp_m2">Plan!$C$210</definedName>
    <definedName name="calc_gp_m3" localSheetId="3">'Sample Plan'!$D$210</definedName>
    <definedName name="calc_gp_m3">Plan!$D$210</definedName>
    <definedName name="calc_gp_m4" localSheetId="3">'Sample Plan'!$E$210</definedName>
    <definedName name="calc_gp_m4">Plan!$E$210</definedName>
    <definedName name="calc_gp_m5" localSheetId="3">'Sample Plan'!$F$210</definedName>
    <definedName name="calc_gp_m5">Plan!$F$210</definedName>
    <definedName name="calc_gp_m6" localSheetId="3">'Sample Plan'!$G$210</definedName>
    <definedName name="calc_gp_m6">Plan!$G$210</definedName>
    <definedName name="calc_gp_m7" localSheetId="3">'Sample Plan'!$H$210</definedName>
    <definedName name="calc_gp_m7">Plan!$H$210</definedName>
    <definedName name="calc_gp_m8" localSheetId="3">'Sample Plan'!$I$210</definedName>
    <definedName name="calc_gp_m8">Plan!$I$210</definedName>
    <definedName name="calc_gp_m9" localSheetId="3">'Sample Plan'!$J$210</definedName>
    <definedName name="calc_gp_m9">Plan!$J$210</definedName>
    <definedName name="calc_interest_ann" localSheetId="3">'Sample Plan'!$N$227</definedName>
    <definedName name="calc_interest_ann">Plan!$N$227</definedName>
    <definedName name="calc_interest_m1" localSheetId="3">'Sample Plan'!$B$227</definedName>
    <definedName name="calc_interest_m1">Plan!$B$227</definedName>
    <definedName name="calc_interest_m10" localSheetId="3">'Sample Plan'!$K$227</definedName>
    <definedName name="calc_interest_m10">Plan!$K$227</definedName>
    <definedName name="calc_interest_m11" localSheetId="3">'Sample Plan'!$L$227</definedName>
    <definedName name="calc_interest_m11">Plan!$L$227</definedName>
    <definedName name="calc_interest_m12" localSheetId="3">'Sample Plan'!$M$227</definedName>
    <definedName name="calc_interest_m12">Plan!$M$227</definedName>
    <definedName name="calc_interest_m1m12" localSheetId="3">'Sample Plan'!$B$227:'Sample Plan'!$M$227</definedName>
    <definedName name="calc_interest_m1m12">Plan!$B$227:'Plan'!$M$227</definedName>
    <definedName name="calc_interest_m2" localSheetId="3">'Sample Plan'!$C$227</definedName>
    <definedName name="calc_interest_m2">Plan!$C$227</definedName>
    <definedName name="calc_interest_m3" localSheetId="3">'Sample Plan'!$D$227</definedName>
    <definedName name="calc_interest_m3">Plan!$D$227</definedName>
    <definedName name="calc_interest_m4" localSheetId="3">'Sample Plan'!$E$227</definedName>
    <definedName name="calc_interest_m4">Plan!$E$227</definedName>
    <definedName name="calc_interest_m5" localSheetId="3">'Sample Plan'!$F$227</definedName>
    <definedName name="calc_interest_m5">Plan!$F$227</definedName>
    <definedName name="calc_interest_m6" localSheetId="3">'Sample Plan'!$G$227</definedName>
    <definedName name="calc_interest_m6">Plan!$G$227</definedName>
    <definedName name="calc_interest_m7" localSheetId="3">'Sample Plan'!$H$227</definedName>
    <definedName name="calc_interest_m7">Plan!$H$227</definedName>
    <definedName name="calc_interest_m8" localSheetId="3">'Sample Plan'!$I$227</definedName>
    <definedName name="calc_interest_m8">Plan!$I$227</definedName>
    <definedName name="calc_interest_m9" localSheetId="3">'Sample Plan'!$J$227</definedName>
    <definedName name="calc_interest_m9">Plan!$J$227</definedName>
    <definedName name="calc_interest_neg_ann" localSheetId="3">'Sample Plan'!$N$243</definedName>
    <definedName name="calc_interest_neg_ann">Plan!$N$243</definedName>
    <definedName name="calc_interest_neg_m1" localSheetId="3">'Sample Plan'!$B$243</definedName>
    <definedName name="calc_interest_neg_m1">Plan!$B$243</definedName>
    <definedName name="calc_interest_neg_m10" localSheetId="3">'Sample Plan'!$K$243</definedName>
    <definedName name="calc_interest_neg_m10">Plan!$K$243</definedName>
    <definedName name="calc_interest_neg_m11" localSheetId="3">'Sample Plan'!$L$243</definedName>
    <definedName name="calc_interest_neg_m11">Plan!$L$243</definedName>
    <definedName name="calc_interest_neg_m12" localSheetId="3">'Sample Plan'!$M$243</definedName>
    <definedName name="calc_interest_neg_m12">Plan!$M$243</definedName>
    <definedName name="calc_interest_neg_m1m12" localSheetId="3">'Sample Plan'!$B$243:'Sample Plan'!$M$243</definedName>
    <definedName name="calc_interest_neg_m1m12">Plan!$B$243:'Plan'!$M$243</definedName>
    <definedName name="calc_interest_neg_m2" localSheetId="3">'Sample Plan'!$C$243</definedName>
    <definedName name="calc_interest_neg_m2">Plan!$C$243</definedName>
    <definedName name="calc_interest_neg_m3" localSheetId="3">'Sample Plan'!$D$243</definedName>
    <definedName name="calc_interest_neg_m3">Plan!$D$243</definedName>
    <definedName name="calc_interest_neg_m4" localSheetId="3">'Sample Plan'!$E$243</definedName>
    <definedName name="calc_interest_neg_m4">Plan!$E$243</definedName>
    <definedName name="calc_interest_neg_m5" localSheetId="3">'Sample Plan'!$F$243</definedName>
    <definedName name="calc_interest_neg_m5">Plan!$F$243</definedName>
    <definedName name="calc_interest_neg_m6" localSheetId="3">'Sample Plan'!$G$243</definedName>
    <definedName name="calc_interest_neg_m6">Plan!$G$243</definedName>
    <definedName name="calc_interest_neg_m7" localSheetId="3">'Sample Plan'!$H$243</definedName>
    <definedName name="calc_interest_neg_m7">Plan!$H$243</definedName>
    <definedName name="calc_interest_neg_m8" localSheetId="3">'Sample Plan'!$I$243</definedName>
    <definedName name="calc_interest_neg_m8">Plan!$I$243</definedName>
    <definedName name="calc_interest_neg_m9" localSheetId="3">'Sample Plan'!$J$243</definedName>
    <definedName name="calc_interest_neg_m9">Plan!$J$243</definedName>
    <definedName name="calc_inv_cf_ann" localSheetId="3">'Sample Plan'!$N$239</definedName>
    <definedName name="calc_inv_cf_ann">Plan!$N$239</definedName>
    <definedName name="calc_inv_cf_m1" localSheetId="3">'Sample Plan'!$B$239</definedName>
    <definedName name="calc_inv_cf_m1">Plan!$B$239</definedName>
    <definedName name="calc_inv_cf_m10" localSheetId="3">'Sample Plan'!$K$239</definedName>
    <definedName name="calc_inv_cf_m10">Plan!$K$239</definedName>
    <definedName name="calc_inv_cf_m11" localSheetId="3">'Sample Plan'!$L$239</definedName>
    <definedName name="calc_inv_cf_m11">Plan!$L$239</definedName>
    <definedName name="calc_inv_cf_m12" localSheetId="3">'Sample Plan'!$M$239</definedName>
    <definedName name="calc_inv_cf_m12">Plan!$M$239</definedName>
    <definedName name="calc_inv_cf_m1m12" localSheetId="3">'Sample Plan'!$B$239:'Sample Plan'!$M$239</definedName>
    <definedName name="calc_inv_cf_m1m12">Plan!$B$239:'Plan'!$M$239</definedName>
    <definedName name="calc_inv_cf_m2" localSheetId="3">'Sample Plan'!$C$239</definedName>
    <definedName name="calc_inv_cf_m2">Plan!$C$239</definedName>
    <definedName name="calc_inv_cf_m3" localSheetId="3">'Sample Plan'!$D$239</definedName>
    <definedName name="calc_inv_cf_m3">Plan!$D$239</definedName>
    <definedName name="calc_inv_cf_m4" localSheetId="3">'Sample Plan'!$E$239</definedName>
    <definedName name="calc_inv_cf_m4">Plan!$E$239</definedName>
    <definedName name="calc_inv_cf_m5" localSheetId="3">'Sample Plan'!$F$239</definedName>
    <definedName name="calc_inv_cf_m5">Plan!$F$239</definedName>
    <definedName name="calc_inv_cf_m6" localSheetId="3">'Sample Plan'!$G$239</definedName>
    <definedName name="calc_inv_cf_m6">Plan!$G$239</definedName>
    <definedName name="calc_inv_cf_m7" localSheetId="3">'Sample Plan'!$H$239</definedName>
    <definedName name="calc_inv_cf_m7">Plan!$H$239</definedName>
    <definedName name="calc_inv_cf_m8" localSheetId="3">'Sample Plan'!$I$239</definedName>
    <definedName name="calc_inv_cf_m8">Plan!$I$239</definedName>
    <definedName name="calc_inv_cf_m9" localSheetId="3">'Sample Plan'!$J$239</definedName>
    <definedName name="calc_inv_cf_m9">Plan!$J$239</definedName>
    <definedName name="calc_min_cash_month" localSheetId="3">'Sample Plan'!$B$273</definedName>
    <definedName name="calc_min_cash_month">Plan!$B$273</definedName>
    <definedName name="calc_min_cash_value" localSheetId="3">'Sample Plan'!$B$274</definedName>
    <definedName name="calc_min_cash_value">Plan!$B$274</definedName>
    <definedName name="calc_net_change_ann" localSheetId="3">'Sample Plan'!$N$245</definedName>
    <definedName name="calc_net_change_ann">Plan!$N$245</definedName>
    <definedName name="calc_net_change_m1" localSheetId="3">'Sample Plan'!$B$245</definedName>
    <definedName name="calc_net_change_m1">Plan!$B$245</definedName>
    <definedName name="calc_net_change_m10" localSheetId="3">'Sample Plan'!$K$245</definedName>
    <definedName name="calc_net_change_m10">Plan!$K$245</definedName>
    <definedName name="calc_net_change_m11" localSheetId="3">'Sample Plan'!$L$245</definedName>
    <definedName name="calc_net_change_m11">Plan!$L$245</definedName>
    <definedName name="calc_net_change_m12" localSheetId="3">'Sample Plan'!$M$245</definedName>
    <definedName name="calc_net_change_m12">Plan!$M$245</definedName>
    <definedName name="calc_net_change_m1m12" localSheetId="3">'Sample Plan'!$B$245:'Sample Plan'!$M$245</definedName>
    <definedName name="calc_net_change_m1m12">Plan!$B$245:'Plan'!$M$245</definedName>
    <definedName name="calc_net_change_m2" localSheetId="3">'Sample Plan'!$C$245</definedName>
    <definedName name="calc_net_change_m2">Plan!$C$245</definedName>
    <definedName name="calc_net_change_m3" localSheetId="3">'Sample Plan'!$D$245</definedName>
    <definedName name="calc_net_change_m3">Plan!$D$245</definedName>
    <definedName name="calc_net_change_m4" localSheetId="3">'Sample Plan'!$E$245</definedName>
    <definedName name="calc_net_change_m4">Plan!$E$245</definedName>
    <definedName name="calc_net_change_m5" localSheetId="3">'Sample Plan'!$F$245</definedName>
    <definedName name="calc_net_change_m5">Plan!$F$245</definedName>
    <definedName name="calc_net_change_m6" localSheetId="3">'Sample Plan'!$G$245</definedName>
    <definedName name="calc_net_change_m6">Plan!$G$245</definedName>
    <definedName name="calc_net_change_m7" localSheetId="3">'Sample Plan'!$H$245</definedName>
    <definedName name="calc_net_change_m7">Plan!$H$245</definedName>
    <definedName name="calc_net_change_m8" localSheetId="3">'Sample Plan'!$I$245</definedName>
    <definedName name="calc_net_change_m8">Plan!$I$245</definedName>
    <definedName name="calc_net_change_m9" localSheetId="3">'Sample Plan'!$J$245</definedName>
    <definedName name="calc_net_change_m9">Plan!$J$245</definedName>
    <definedName name="calc_net_profit_ann" localSheetId="3">'Sample Plan'!$N$229</definedName>
    <definedName name="calc_net_profit_ann">Plan!$N$229</definedName>
    <definedName name="calc_net_profit_m1" localSheetId="3">'Sample Plan'!$B$229</definedName>
    <definedName name="calc_net_profit_m1">Plan!$B$229</definedName>
    <definedName name="calc_net_profit_m10" localSheetId="3">'Sample Plan'!$K$229</definedName>
    <definedName name="calc_net_profit_m10">Plan!$K$229</definedName>
    <definedName name="calc_net_profit_m11" localSheetId="3">'Sample Plan'!$L$229</definedName>
    <definedName name="calc_net_profit_m11">Plan!$L$229</definedName>
    <definedName name="calc_net_profit_m12" localSheetId="3">'Sample Plan'!$M$229</definedName>
    <definedName name="calc_net_profit_m12">Plan!$M$229</definedName>
    <definedName name="calc_net_profit_m1m12" localSheetId="3">'Sample Plan'!$B$229:'Sample Plan'!$M$229</definedName>
    <definedName name="calc_net_profit_m1m12">Plan!$B$229:'Plan'!$M$229</definedName>
    <definedName name="calc_net_profit_m2" localSheetId="3">'Sample Plan'!$C$229</definedName>
    <definedName name="calc_net_profit_m2">Plan!$C$229</definedName>
    <definedName name="calc_net_profit_m3" localSheetId="3">'Sample Plan'!$D$229</definedName>
    <definedName name="calc_net_profit_m3">Plan!$D$229</definedName>
    <definedName name="calc_net_profit_m4" localSheetId="3">'Sample Plan'!$E$229</definedName>
    <definedName name="calc_net_profit_m4">Plan!$E$229</definedName>
    <definedName name="calc_net_profit_m5" localSheetId="3">'Sample Plan'!$F$229</definedName>
    <definedName name="calc_net_profit_m5">Plan!$F$229</definedName>
    <definedName name="calc_net_profit_m6" localSheetId="3">'Sample Plan'!$G$229</definedName>
    <definedName name="calc_net_profit_m6">Plan!$G$229</definedName>
    <definedName name="calc_net_profit_m7" localSheetId="3">'Sample Plan'!$H$229</definedName>
    <definedName name="calc_net_profit_m7">Plan!$H$229</definedName>
    <definedName name="calc_net_profit_m8" localSheetId="3">'Sample Plan'!$I$229</definedName>
    <definedName name="calc_net_profit_m8">Plan!$I$229</definedName>
    <definedName name="calc_net_profit_m9" localSheetId="3">'Sample Plan'!$J$229</definedName>
    <definedName name="calc_net_profit_m9">Plan!$J$229</definedName>
    <definedName name="calc_np_pct_ann" localSheetId="3">'Sample Plan'!$N$230</definedName>
    <definedName name="calc_np_pct_ann">Plan!$N$230</definedName>
    <definedName name="calc_np_pct_m1" localSheetId="3">'Sample Plan'!$B$230</definedName>
    <definedName name="calc_np_pct_m1">Plan!$B$230</definedName>
    <definedName name="calc_np_pct_m10" localSheetId="3">'Sample Plan'!$K$230</definedName>
    <definedName name="calc_np_pct_m10">Plan!$K$230</definedName>
    <definedName name="calc_np_pct_m11" localSheetId="3">'Sample Plan'!$L$230</definedName>
    <definedName name="calc_np_pct_m11">Plan!$L$230</definedName>
    <definedName name="calc_np_pct_m12" localSheetId="3">'Sample Plan'!$M$230</definedName>
    <definedName name="calc_np_pct_m12">Plan!$M$230</definedName>
    <definedName name="calc_np_pct_m1m12" localSheetId="3">'Sample Plan'!$B$230:'Sample Plan'!$M$230</definedName>
    <definedName name="calc_np_pct_m1m12">Plan!$B$230:'Plan'!$M$230</definedName>
    <definedName name="calc_np_pct_m2" localSheetId="3">'Sample Plan'!$C$230</definedName>
    <definedName name="calc_np_pct_m2">Plan!$C$230</definedName>
    <definedName name="calc_np_pct_m3" localSheetId="3">'Sample Plan'!$D$230</definedName>
    <definedName name="calc_np_pct_m3">Plan!$D$230</definedName>
    <definedName name="calc_np_pct_m4" localSheetId="3">'Sample Plan'!$E$230</definedName>
    <definedName name="calc_np_pct_m4">Plan!$E$230</definedName>
    <definedName name="calc_np_pct_m5" localSheetId="3">'Sample Plan'!$F$230</definedName>
    <definedName name="calc_np_pct_m5">Plan!$F$230</definedName>
    <definedName name="calc_np_pct_m6" localSheetId="3">'Sample Plan'!$G$230</definedName>
    <definedName name="calc_np_pct_m6">Plan!$G$230</definedName>
    <definedName name="calc_np_pct_m7" localSheetId="3">'Sample Plan'!$H$230</definedName>
    <definedName name="calc_np_pct_m7">Plan!$H$230</definedName>
    <definedName name="calc_np_pct_m8" localSheetId="3">'Sample Plan'!$I$230</definedName>
    <definedName name="calc_np_pct_m8">Plan!$I$230</definedName>
    <definedName name="calc_np_pct_m9" localSheetId="3">'Sample Plan'!$J$230</definedName>
    <definedName name="calc_np_pct_m9">Plan!$J$230</definedName>
    <definedName name="calc_op_cf_ann" localSheetId="3">'Sample Plan'!$N$237</definedName>
    <definedName name="calc_op_cf_ann">Plan!$N$237</definedName>
    <definedName name="calc_op_cf_m1" localSheetId="3">'Sample Plan'!$B$237</definedName>
    <definedName name="calc_op_cf_m1">Plan!$B$237</definedName>
    <definedName name="calc_op_cf_m10" localSheetId="3">'Sample Plan'!$K$237</definedName>
    <definedName name="calc_op_cf_m10">Plan!$K$237</definedName>
    <definedName name="calc_op_cf_m11" localSheetId="3">'Sample Plan'!$L$237</definedName>
    <definedName name="calc_op_cf_m11">Plan!$L$237</definedName>
    <definedName name="calc_op_cf_m12" localSheetId="3">'Sample Plan'!$M$237</definedName>
    <definedName name="calc_op_cf_m12">Plan!$M$237</definedName>
    <definedName name="calc_op_cf_m1m12" localSheetId="3">'Sample Plan'!$B$237:'Sample Plan'!$M$237</definedName>
    <definedName name="calc_op_cf_m1m12">Plan!$B$237:'Plan'!$M$237</definedName>
    <definedName name="calc_op_cf_m2" localSheetId="3">'Sample Plan'!$C$237</definedName>
    <definedName name="calc_op_cf_m2">Plan!$C$237</definedName>
    <definedName name="calc_op_cf_m3" localSheetId="3">'Sample Plan'!$D$237</definedName>
    <definedName name="calc_op_cf_m3">Plan!$D$237</definedName>
    <definedName name="calc_op_cf_m4" localSheetId="3">'Sample Plan'!$E$237</definedName>
    <definedName name="calc_op_cf_m4">Plan!$E$237</definedName>
    <definedName name="calc_op_cf_m5" localSheetId="3">'Sample Plan'!$F$237</definedName>
    <definedName name="calc_op_cf_m5">Plan!$F$237</definedName>
    <definedName name="calc_op_cf_m6" localSheetId="3">'Sample Plan'!$G$237</definedName>
    <definedName name="calc_op_cf_m6">Plan!$G$237</definedName>
    <definedName name="calc_op_cf_m7" localSheetId="3">'Sample Plan'!$H$237</definedName>
    <definedName name="calc_op_cf_m7">Plan!$H$237</definedName>
    <definedName name="calc_op_cf_m8" localSheetId="3">'Sample Plan'!$I$237</definedName>
    <definedName name="calc_op_cf_m8">Plan!$I$237</definedName>
    <definedName name="calc_op_cf_m9" localSheetId="3">'Sample Plan'!$J$237</definedName>
    <definedName name="calc_op_cf_m9">Plan!$J$237</definedName>
    <definedName name="calc_open_cash_ann" localSheetId="3">'Sample Plan'!$N$246</definedName>
    <definedName name="calc_open_cash_ann">Plan!$N$246</definedName>
    <definedName name="calc_open_cash_m1" localSheetId="3">'Sample Plan'!$B$246</definedName>
    <definedName name="calc_open_cash_m1">Plan!$B$246</definedName>
    <definedName name="calc_open_cash_m10" localSheetId="3">'Sample Plan'!$K$246</definedName>
    <definedName name="calc_open_cash_m10">Plan!$K$246</definedName>
    <definedName name="calc_open_cash_m11" localSheetId="3">'Sample Plan'!$L$246</definedName>
    <definedName name="calc_open_cash_m11">Plan!$L$246</definedName>
    <definedName name="calc_open_cash_m12" localSheetId="3">'Sample Plan'!$M$246</definedName>
    <definedName name="calc_open_cash_m12">Plan!$M$246</definedName>
    <definedName name="calc_open_cash_m1m12" localSheetId="3">'Sample Plan'!$B$246:'Sample Plan'!$M$246</definedName>
    <definedName name="calc_open_cash_m1m12">Plan!$B$246:'Plan'!$M$246</definedName>
    <definedName name="calc_open_cash_m2" localSheetId="3">'Sample Plan'!$C$246</definedName>
    <definedName name="calc_open_cash_m2">Plan!$C$246</definedName>
    <definedName name="calc_open_cash_m3" localSheetId="3">'Sample Plan'!$D$246</definedName>
    <definedName name="calc_open_cash_m3">Plan!$D$246</definedName>
    <definedName name="calc_open_cash_m4" localSheetId="3">'Sample Plan'!$E$246</definedName>
    <definedName name="calc_open_cash_m4">Plan!$E$246</definedName>
    <definedName name="calc_open_cash_m5" localSheetId="3">'Sample Plan'!$F$246</definedName>
    <definedName name="calc_open_cash_m5">Plan!$F$246</definedName>
    <definedName name="calc_open_cash_m6" localSheetId="3">'Sample Plan'!$G$246</definedName>
    <definedName name="calc_open_cash_m6">Plan!$G$246</definedName>
    <definedName name="calc_open_cash_m7" localSheetId="3">'Sample Plan'!$H$246</definedName>
    <definedName name="calc_open_cash_m7">Plan!$H$246</definedName>
    <definedName name="calc_open_cash_m8" localSheetId="3">'Sample Plan'!$I$246</definedName>
    <definedName name="calc_open_cash_m8">Plan!$I$246</definedName>
    <definedName name="calc_open_cash_m9" localSheetId="3">'Sample Plan'!$J$246</definedName>
    <definedName name="calc_open_cash_m9">Plan!$J$246</definedName>
    <definedName name="calc_ox_commission_ann" localSheetId="3">'Sample Plan'!$N$221</definedName>
    <definedName name="calc_ox_commission_ann">Plan!$N$221</definedName>
    <definedName name="calc_ox_commission_m1" localSheetId="3">'Sample Plan'!$B$221</definedName>
    <definedName name="calc_ox_commission_m1">Plan!$B$221</definedName>
    <definedName name="calc_ox_commission_m10" localSheetId="3">'Sample Plan'!$K$221</definedName>
    <definedName name="calc_ox_commission_m10">Plan!$K$221</definedName>
    <definedName name="calc_ox_commission_m11" localSheetId="3">'Sample Plan'!$L$221</definedName>
    <definedName name="calc_ox_commission_m11">Plan!$L$221</definedName>
    <definedName name="calc_ox_commission_m12" localSheetId="3">'Sample Plan'!$M$221</definedName>
    <definedName name="calc_ox_commission_m12">Plan!$M$221</definedName>
    <definedName name="calc_ox_commission_m1m12" localSheetId="3">'Sample Plan'!$B$221:'Sample Plan'!$M$221</definedName>
    <definedName name="calc_ox_commission_m1m12">Plan!$B$221:'Plan'!$M$221</definedName>
    <definedName name="calc_ox_commission_m2" localSheetId="3">'Sample Plan'!$C$221</definedName>
    <definedName name="calc_ox_commission_m2">Plan!$C$221</definedName>
    <definedName name="calc_ox_commission_m3" localSheetId="3">'Sample Plan'!$D$221</definedName>
    <definedName name="calc_ox_commission_m3">Plan!$D$221</definedName>
    <definedName name="calc_ox_commission_m4" localSheetId="3">'Sample Plan'!$E$221</definedName>
    <definedName name="calc_ox_commission_m4">Plan!$E$221</definedName>
    <definedName name="calc_ox_commission_m5" localSheetId="3">'Sample Plan'!$F$221</definedName>
    <definedName name="calc_ox_commission_m5">Plan!$F$221</definedName>
    <definedName name="calc_ox_commission_m6" localSheetId="3">'Sample Plan'!$G$221</definedName>
    <definedName name="calc_ox_commission_m6">Plan!$G$221</definedName>
    <definedName name="calc_ox_commission_m7" localSheetId="3">'Sample Plan'!$H$221</definedName>
    <definedName name="calc_ox_commission_m7">Plan!$H$221</definedName>
    <definedName name="calc_ox_commission_m8" localSheetId="3">'Sample Plan'!$I$221</definedName>
    <definedName name="calc_ox_commission_m8">Plan!$I$221</definedName>
    <definedName name="calc_ox_commission_m9" localSheetId="3">'Sample Plan'!$J$221</definedName>
    <definedName name="calc_ox_commission_m9">Plan!$J$221</definedName>
    <definedName name="calc_ox_comms_ann" localSheetId="3">'Sample Plan'!$N$219</definedName>
    <definedName name="calc_ox_comms_ann">Plan!$N$219</definedName>
    <definedName name="calc_ox_comms_m1" localSheetId="3">'Sample Plan'!$B$219</definedName>
    <definedName name="calc_ox_comms_m1">Plan!$B$219</definedName>
    <definedName name="calc_ox_comms_m10" localSheetId="3">'Sample Plan'!$K$219</definedName>
    <definedName name="calc_ox_comms_m10">Plan!$K$219</definedName>
    <definedName name="calc_ox_comms_m11" localSheetId="3">'Sample Plan'!$L$219</definedName>
    <definedName name="calc_ox_comms_m11">Plan!$L$219</definedName>
    <definedName name="calc_ox_comms_m12" localSheetId="3">'Sample Plan'!$M$219</definedName>
    <definedName name="calc_ox_comms_m12">Plan!$M$219</definedName>
    <definedName name="calc_ox_comms_m1m12" localSheetId="3">'Sample Plan'!$B$219:'Sample Plan'!$M$219</definedName>
    <definedName name="calc_ox_comms_m1m12">Plan!$B$219:'Plan'!$M$219</definedName>
    <definedName name="calc_ox_comms_m2" localSheetId="3">'Sample Plan'!$C$219</definedName>
    <definedName name="calc_ox_comms_m2">Plan!$C$219</definedName>
    <definedName name="calc_ox_comms_m3" localSheetId="3">'Sample Plan'!$D$219</definedName>
    <definedName name="calc_ox_comms_m3">Plan!$D$219</definedName>
    <definedName name="calc_ox_comms_m4" localSheetId="3">'Sample Plan'!$E$219</definedName>
    <definedName name="calc_ox_comms_m4">Plan!$E$219</definedName>
    <definedName name="calc_ox_comms_m5" localSheetId="3">'Sample Plan'!$F$219</definedName>
    <definedName name="calc_ox_comms_m5">Plan!$F$219</definedName>
    <definedName name="calc_ox_comms_m6" localSheetId="3">'Sample Plan'!$G$219</definedName>
    <definedName name="calc_ox_comms_m6">Plan!$G$219</definedName>
    <definedName name="calc_ox_comms_m7" localSheetId="3">'Sample Plan'!$H$219</definedName>
    <definedName name="calc_ox_comms_m7">Plan!$H$219</definedName>
    <definedName name="calc_ox_comms_m8" localSheetId="3">'Sample Plan'!$I$219</definedName>
    <definedName name="calc_ox_comms_m8">Plan!$I$219</definedName>
    <definedName name="calc_ox_comms_m9" localSheetId="3">'Sample Plan'!$J$219</definedName>
    <definedName name="calc_ox_comms_m9">Plan!$J$219</definedName>
    <definedName name="calc_ox_insurance_ann" localSheetId="3">'Sample Plan'!$N$217</definedName>
    <definedName name="calc_ox_insurance_ann">Plan!$N$217</definedName>
    <definedName name="calc_ox_insurance_m1" localSheetId="3">'Sample Plan'!$B$217</definedName>
    <definedName name="calc_ox_insurance_m1">Plan!$B$217</definedName>
    <definedName name="calc_ox_insurance_m10" localSheetId="3">'Sample Plan'!$K$217</definedName>
    <definedName name="calc_ox_insurance_m10">Plan!$K$217</definedName>
    <definedName name="calc_ox_insurance_m11" localSheetId="3">'Sample Plan'!$L$217</definedName>
    <definedName name="calc_ox_insurance_m11">Plan!$L$217</definedName>
    <definedName name="calc_ox_insurance_m12" localSheetId="3">'Sample Plan'!$M$217</definedName>
    <definedName name="calc_ox_insurance_m12">Plan!$M$217</definedName>
    <definedName name="calc_ox_insurance_m1m12" localSheetId="3">'Sample Plan'!$B$217:'Sample Plan'!$M$217</definedName>
    <definedName name="calc_ox_insurance_m1m12">Plan!$B$217:'Plan'!$M$217</definedName>
    <definedName name="calc_ox_insurance_m2" localSheetId="3">'Sample Plan'!$C$217</definedName>
    <definedName name="calc_ox_insurance_m2">Plan!$C$217</definedName>
    <definedName name="calc_ox_insurance_m3" localSheetId="3">'Sample Plan'!$D$217</definedName>
    <definedName name="calc_ox_insurance_m3">Plan!$D$217</definedName>
    <definedName name="calc_ox_insurance_m4" localSheetId="3">'Sample Plan'!$E$217</definedName>
    <definedName name="calc_ox_insurance_m4">Plan!$E$217</definedName>
    <definedName name="calc_ox_insurance_m5" localSheetId="3">'Sample Plan'!$F$217</definedName>
    <definedName name="calc_ox_insurance_m5">Plan!$F$217</definedName>
    <definedName name="calc_ox_insurance_m6" localSheetId="3">'Sample Plan'!$G$217</definedName>
    <definedName name="calc_ox_insurance_m6">Plan!$G$217</definedName>
    <definedName name="calc_ox_insurance_m7" localSheetId="3">'Sample Plan'!$H$217</definedName>
    <definedName name="calc_ox_insurance_m7">Plan!$H$217</definedName>
    <definedName name="calc_ox_insurance_m8" localSheetId="3">'Sample Plan'!$I$217</definedName>
    <definedName name="calc_ox_insurance_m8">Plan!$I$217</definedName>
    <definedName name="calc_ox_insurance_m9" localSheetId="3">'Sample Plan'!$J$217</definedName>
    <definedName name="calc_ox_insurance_m9">Plan!$J$217</definedName>
    <definedName name="calc_ox_other_bundle_ann" localSheetId="3">'Sample Plan'!$N$222</definedName>
    <definedName name="calc_ox_other_bundle_ann">Plan!$N$222</definedName>
    <definedName name="calc_ox_other_bundle_m1" localSheetId="3">'Sample Plan'!$B$222</definedName>
    <definedName name="calc_ox_other_bundle_m1">Plan!$B$222</definedName>
    <definedName name="calc_ox_other_bundle_m10" localSheetId="3">'Sample Plan'!$K$222</definedName>
    <definedName name="calc_ox_other_bundle_m10">Plan!$K$222</definedName>
    <definedName name="calc_ox_other_bundle_m11" localSheetId="3">'Sample Plan'!$L$222</definedName>
    <definedName name="calc_ox_other_bundle_m11">Plan!$L$222</definedName>
    <definedName name="calc_ox_other_bundle_m12" localSheetId="3">'Sample Plan'!$M$222</definedName>
    <definedName name="calc_ox_other_bundle_m12">Plan!$M$222</definedName>
    <definedName name="calc_ox_other_bundle_m1m12" localSheetId="3">'Sample Plan'!$B$222:'Sample Plan'!$M$222</definedName>
    <definedName name="calc_ox_other_bundle_m1m12">Plan!$B$222:'Plan'!$M$222</definedName>
    <definedName name="calc_ox_other_bundle_m2" localSheetId="3">'Sample Plan'!$C$222</definedName>
    <definedName name="calc_ox_other_bundle_m2">Plan!$C$222</definedName>
    <definedName name="calc_ox_other_bundle_m3" localSheetId="3">'Sample Plan'!$D$222</definedName>
    <definedName name="calc_ox_other_bundle_m3">Plan!$D$222</definedName>
    <definedName name="calc_ox_other_bundle_m4" localSheetId="3">'Sample Plan'!$E$222</definedName>
    <definedName name="calc_ox_other_bundle_m4">Plan!$E$222</definedName>
    <definedName name="calc_ox_other_bundle_m5" localSheetId="3">'Sample Plan'!$F$222</definedName>
    <definedName name="calc_ox_other_bundle_m5">Plan!$F$222</definedName>
    <definedName name="calc_ox_other_bundle_m6" localSheetId="3">'Sample Plan'!$G$222</definedName>
    <definedName name="calc_ox_other_bundle_m6">Plan!$G$222</definedName>
    <definedName name="calc_ox_other_bundle_m7" localSheetId="3">'Sample Plan'!$H$222</definedName>
    <definedName name="calc_ox_other_bundle_m7">Plan!$H$222</definedName>
    <definedName name="calc_ox_other_bundle_m8" localSheetId="3">'Sample Plan'!$I$222</definedName>
    <definedName name="calc_ox_other_bundle_m8">Plan!$I$222</definedName>
    <definedName name="calc_ox_other_bundle_m9" localSheetId="3">'Sample Plan'!$J$222</definedName>
    <definedName name="calc_ox_other_bundle_m9">Plan!$J$222</definedName>
    <definedName name="calc_ox_other_ox_ann" localSheetId="3">'Sample Plan'!$N$220</definedName>
    <definedName name="calc_ox_other_ox_ann">Plan!$N$220</definedName>
    <definedName name="calc_ox_other_ox_m1" localSheetId="3">'Sample Plan'!$B$220</definedName>
    <definedName name="calc_ox_other_ox_m1">Plan!$B$220</definedName>
    <definedName name="calc_ox_other_ox_m10" localSheetId="3">'Sample Plan'!$K$220</definedName>
    <definedName name="calc_ox_other_ox_m10">Plan!$K$220</definedName>
    <definedName name="calc_ox_other_ox_m11" localSheetId="3">'Sample Plan'!$L$220</definedName>
    <definedName name="calc_ox_other_ox_m11">Plan!$L$220</definedName>
    <definedName name="calc_ox_other_ox_m12" localSheetId="3">'Sample Plan'!$M$220</definedName>
    <definedName name="calc_ox_other_ox_m12">Plan!$M$220</definedName>
    <definedName name="calc_ox_other_ox_m1m12" localSheetId="3">'Sample Plan'!$B$220:'Sample Plan'!$M$220</definedName>
    <definedName name="calc_ox_other_ox_m1m12">Plan!$B$220:'Plan'!$M$220</definedName>
    <definedName name="calc_ox_other_ox_m2" localSheetId="3">'Sample Plan'!$C$220</definedName>
    <definedName name="calc_ox_other_ox_m2">Plan!$C$220</definedName>
    <definedName name="calc_ox_other_ox_m3" localSheetId="3">'Sample Plan'!$D$220</definedName>
    <definedName name="calc_ox_other_ox_m3">Plan!$D$220</definedName>
    <definedName name="calc_ox_other_ox_m4" localSheetId="3">'Sample Plan'!$E$220</definedName>
    <definedName name="calc_ox_other_ox_m4">Plan!$E$220</definedName>
    <definedName name="calc_ox_other_ox_m5" localSheetId="3">'Sample Plan'!$F$220</definedName>
    <definedName name="calc_ox_other_ox_m5">Plan!$F$220</definedName>
    <definedName name="calc_ox_other_ox_m6" localSheetId="3">'Sample Plan'!$G$220</definedName>
    <definedName name="calc_ox_other_ox_m6">Plan!$G$220</definedName>
    <definedName name="calc_ox_other_ox_m7" localSheetId="3">'Sample Plan'!$H$220</definedName>
    <definedName name="calc_ox_other_ox_m7">Plan!$H$220</definedName>
    <definedName name="calc_ox_other_ox_m8" localSheetId="3">'Sample Plan'!$I$220</definedName>
    <definedName name="calc_ox_other_ox_m8">Plan!$I$220</definedName>
    <definedName name="calc_ox_other_ox_m9" localSheetId="3">'Sample Plan'!$J$220</definedName>
    <definedName name="calc_ox_other_ox_m9">Plan!$J$220</definedName>
    <definedName name="calc_ox_payroll_ann" localSheetId="3">'Sample Plan'!$N$212</definedName>
    <definedName name="calc_ox_payroll_ann">Plan!$N$212</definedName>
    <definedName name="calc_ox_payroll_m1" localSheetId="3">'Sample Plan'!$B$212</definedName>
    <definedName name="calc_ox_payroll_m1">Plan!$B$212</definedName>
    <definedName name="calc_ox_payroll_m10" localSheetId="3">'Sample Plan'!$K$212</definedName>
    <definedName name="calc_ox_payroll_m10">Plan!$K$212</definedName>
    <definedName name="calc_ox_payroll_m11" localSheetId="3">'Sample Plan'!$L$212</definedName>
    <definedName name="calc_ox_payroll_m11">Plan!$L$212</definedName>
    <definedName name="calc_ox_payroll_m12" localSheetId="3">'Sample Plan'!$M$212</definedName>
    <definedName name="calc_ox_payroll_m12">Plan!$M$212</definedName>
    <definedName name="calc_ox_payroll_m1m12" localSheetId="3">'Sample Plan'!$B$212:'Sample Plan'!$M$212</definedName>
    <definedName name="calc_ox_payroll_m1m12">Plan!$B$212:'Plan'!$M$212</definedName>
    <definedName name="calc_ox_payroll_m2" localSheetId="3">'Sample Plan'!$C$212</definedName>
    <definedName name="calc_ox_payroll_m2">Plan!$C$212</definedName>
    <definedName name="calc_ox_payroll_m3" localSheetId="3">'Sample Plan'!$D$212</definedName>
    <definedName name="calc_ox_payroll_m3">Plan!$D$212</definedName>
    <definedName name="calc_ox_payroll_m4" localSheetId="3">'Sample Plan'!$E$212</definedName>
    <definedName name="calc_ox_payroll_m4">Plan!$E$212</definedName>
    <definedName name="calc_ox_payroll_m5" localSheetId="3">'Sample Plan'!$F$212</definedName>
    <definedName name="calc_ox_payroll_m5">Plan!$F$212</definedName>
    <definedName name="calc_ox_payroll_m6" localSheetId="3">'Sample Plan'!$G$212</definedName>
    <definedName name="calc_ox_payroll_m6">Plan!$G$212</definedName>
    <definedName name="calc_ox_payroll_m7" localSheetId="3">'Sample Plan'!$H$212</definedName>
    <definedName name="calc_ox_payroll_m7">Plan!$H$212</definedName>
    <definedName name="calc_ox_payroll_m8" localSheetId="3">'Sample Plan'!$I$212</definedName>
    <definedName name="calc_ox_payroll_m8">Plan!$I$212</definedName>
    <definedName name="calc_ox_payroll_m9" localSheetId="3">'Sample Plan'!$J$212</definedName>
    <definedName name="calc_ox_payroll_m9">Plan!$J$212</definedName>
    <definedName name="calc_ox_prof_fees_ann" localSheetId="3">'Sample Plan'!$N$216</definedName>
    <definedName name="calc_ox_prof_fees_ann">Plan!$N$216</definedName>
    <definedName name="calc_ox_prof_fees_m1" localSheetId="3">'Sample Plan'!$B$216</definedName>
    <definedName name="calc_ox_prof_fees_m1">Plan!$B$216</definedName>
    <definedName name="calc_ox_prof_fees_m10" localSheetId="3">'Sample Plan'!$K$216</definedName>
    <definedName name="calc_ox_prof_fees_m10">Plan!$K$216</definedName>
    <definedName name="calc_ox_prof_fees_m11" localSheetId="3">'Sample Plan'!$L$216</definedName>
    <definedName name="calc_ox_prof_fees_m11">Plan!$L$216</definedName>
    <definedName name="calc_ox_prof_fees_m12" localSheetId="3">'Sample Plan'!$M$216</definedName>
    <definedName name="calc_ox_prof_fees_m12">Plan!$M$216</definedName>
    <definedName name="calc_ox_prof_fees_m1m12" localSheetId="3">'Sample Plan'!$B$216:'Sample Plan'!$M$216</definedName>
    <definedName name="calc_ox_prof_fees_m1m12">Plan!$B$216:'Plan'!$M$216</definedName>
    <definedName name="calc_ox_prof_fees_m2" localSheetId="3">'Sample Plan'!$C$216</definedName>
    <definedName name="calc_ox_prof_fees_m2">Plan!$C$216</definedName>
    <definedName name="calc_ox_prof_fees_m3" localSheetId="3">'Sample Plan'!$D$216</definedName>
    <definedName name="calc_ox_prof_fees_m3">Plan!$D$216</definedName>
    <definedName name="calc_ox_prof_fees_m4" localSheetId="3">'Sample Plan'!$E$216</definedName>
    <definedName name="calc_ox_prof_fees_m4">Plan!$E$216</definedName>
    <definedName name="calc_ox_prof_fees_m5" localSheetId="3">'Sample Plan'!$F$216</definedName>
    <definedName name="calc_ox_prof_fees_m5">Plan!$F$216</definedName>
    <definedName name="calc_ox_prof_fees_m6" localSheetId="3">'Sample Plan'!$G$216</definedName>
    <definedName name="calc_ox_prof_fees_m6">Plan!$G$216</definedName>
    <definedName name="calc_ox_prof_fees_m7" localSheetId="3">'Sample Plan'!$H$216</definedName>
    <definedName name="calc_ox_prof_fees_m7">Plan!$H$216</definedName>
    <definedName name="calc_ox_prof_fees_m8" localSheetId="3">'Sample Plan'!$I$216</definedName>
    <definedName name="calc_ox_prof_fees_m8">Plan!$I$216</definedName>
    <definedName name="calc_ox_prof_fees_m9" localSheetId="3">'Sample Plan'!$J$216</definedName>
    <definedName name="calc_ox_prof_fees_m9">Plan!$J$216</definedName>
    <definedName name="calc_ox_rent_ann" localSheetId="3">'Sample Plan'!$N$213</definedName>
    <definedName name="calc_ox_rent_ann">Plan!$N$213</definedName>
    <definedName name="calc_ox_rent_m1" localSheetId="3">'Sample Plan'!$B$213</definedName>
    <definedName name="calc_ox_rent_m1">Plan!$B$213</definedName>
    <definedName name="calc_ox_rent_m10" localSheetId="3">'Sample Plan'!$K$213</definedName>
    <definedName name="calc_ox_rent_m10">Plan!$K$213</definedName>
    <definedName name="calc_ox_rent_m11" localSheetId="3">'Sample Plan'!$L$213</definedName>
    <definedName name="calc_ox_rent_m11">Plan!$L$213</definedName>
    <definedName name="calc_ox_rent_m12" localSheetId="3">'Sample Plan'!$M$213</definedName>
    <definedName name="calc_ox_rent_m12">Plan!$M$213</definedName>
    <definedName name="calc_ox_rent_m1m12" localSheetId="3">'Sample Plan'!$B$213:'Sample Plan'!$M$213</definedName>
    <definedName name="calc_ox_rent_m1m12">Plan!$B$213:'Plan'!$M$213</definedName>
    <definedName name="calc_ox_rent_m2" localSheetId="3">'Sample Plan'!$C$213</definedName>
    <definedName name="calc_ox_rent_m2">Plan!$C$213</definedName>
    <definedName name="calc_ox_rent_m3" localSheetId="3">'Sample Plan'!$D$213</definedName>
    <definedName name="calc_ox_rent_m3">Plan!$D$213</definedName>
    <definedName name="calc_ox_rent_m4" localSheetId="3">'Sample Plan'!$E$213</definedName>
    <definedName name="calc_ox_rent_m4">Plan!$E$213</definedName>
    <definedName name="calc_ox_rent_m5" localSheetId="3">'Sample Plan'!$F$213</definedName>
    <definedName name="calc_ox_rent_m5">Plan!$F$213</definedName>
    <definedName name="calc_ox_rent_m6" localSheetId="3">'Sample Plan'!$G$213</definedName>
    <definedName name="calc_ox_rent_m6">Plan!$G$213</definedName>
    <definedName name="calc_ox_rent_m7" localSheetId="3">'Sample Plan'!$H$213</definedName>
    <definedName name="calc_ox_rent_m7">Plan!$H$213</definedName>
    <definedName name="calc_ox_rent_m8" localSheetId="3">'Sample Plan'!$I$213</definedName>
    <definedName name="calc_ox_rent_m8">Plan!$I$213</definedName>
    <definedName name="calc_ox_rent_m9" localSheetId="3">'Sample Plan'!$J$213</definedName>
    <definedName name="calc_ox_rent_m9">Plan!$J$213</definedName>
    <definedName name="calc_ox_sales_mktg_ann" localSheetId="3">'Sample Plan'!$N$215</definedName>
    <definedName name="calc_ox_sales_mktg_ann">Plan!$N$215</definedName>
    <definedName name="calc_ox_sales_mktg_m1" localSheetId="3">'Sample Plan'!$B$215</definedName>
    <definedName name="calc_ox_sales_mktg_m1">Plan!$B$215</definedName>
    <definedName name="calc_ox_sales_mktg_m10" localSheetId="3">'Sample Plan'!$K$215</definedName>
    <definedName name="calc_ox_sales_mktg_m10">Plan!$K$215</definedName>
    <definedName name="calc_ox_sales_mktg_m11" localSheetId="3">'Sample Plan'!$L$215</definedName>
    <definedName name="calc_ox_sales_mktg_m11">Plan!$L$215</definedName>
    <definedName name="calc_ox_sales_mktg_m12" localSheetId="3">'Sample Plan'!$M$215</definedName>
    <definedName name="calc_ox_sales_mktg_m12">Plan!$M$215</definedName>
    <definedName name="calc_ox_sales_mktg_m1m12" localSheetId="3">'Sample Plan'!$B$215:'Sample Plan'!$M$215</definedName>
    <definedName name="calc_ox_sales_mktg_m1m12">Plan!$B$215:'Plan'!$M$215</definedName>
    <definedName name="calc_ox_sales_mktg_m2" localSheetId="3">'Sample Plan'!$C$215</definedName>
    <definedName name="calc_ox_sales_mktg_m2">Plan!$C$215</definedName>
    <definedName name="calc_ox_sales_mktg_m3" localSheetId="3">'Sample Plan'!$D$215</definedName>
    <definedName name="calc_ox_sales_mktg_m3">Plan!$D$215</definedName>
    <definedName name="calc_ox_sales_mktg_m4" localSheetId="3">'Sample Plan'!$E$215</definedName>
    <definedName name="calc_ox_sales_mktg_m4">Plan!$E$215</definedName>
    <definedName name="calc_ox_sales_mktg_m5" localSheetId="3">'Sample Plan'!$F$215</definedName>
    <definedName name="calc_ox_sales_mktg_m5">Plan!$F$215</definedName>
    <definedName name="calc_ox_sales_mktg_m6" localSheetId="3">'Sample Plan'!$G$215</definedName>
    <definedName name="calc_ox_sales_mktg_m6">Plan!$G$215</definedName>
    <definedName name="calc_ox_sales_mktg_m7" localSheetId="3">'Sample Plan'!$H$215</definedName>
    <definedName name="calc_ox_sales_mktg_m7">Plan!$H$215</definedName>
    <definedName name="calc_ox_sales_mktg_m8" localSheetId="3">'Sample Plan'!$I$215</definedName>
    <definedName name="calc_ox_sales_mktg_m8">Plan!$I$215</definedName>
    <definedName name="calc_ox_sales_mktg_m9" localSheetId="3">'Sample Plan'!$J$215</definedName>
    <definedName name="calc_ox_sales_mktg_m9">Plan!$J$215</definedName>
    <definedName name="calc_ox_software_ann" localSheetId="3">'Sample Plan'!$N$214</definedName>
    <definedName name="calc_ox_software_ann">Plan!$N$214</definedName>
    <definedName name="calc_ox_software_m1" localSheetId="3">'Sample Plan'!$B$214</definedName>
    <definedName name="calc_ox_software_m1">Plan!$B$214</definedName>
    <definedName name="calc_ox_software_m10" localSheetId="3">'Sample Plan'!$K$214</definedName>
    <definedName name="calc_ox_software_m10">Plan!$K$214</definedName>
    <definedName name="calc_ox_software_m11" localSheetId="3">'Sample Plan'!$L$214</definedName>
    <definedName name="calc_ox_software_m11">Plan!$L$214</definedName>
    <definedName name="calc_ox_software_m12" localSheetId="3">'Sample Plan'!$M$214</definedName>
    <definedName name="calc_ox_software_m12">Plan!$M$214</definedName>
    <definedName name="calc_ox_software_m1m12" localSheetId="3">'Sample Plan'!$B$214:'Sample Plan'!$M$214</definedName>
    <definedName name="calc_ox_software_m1m12">Plan!$B$214:'Plan'!$M$214</definedName>
    <definedName name="calc_ox_software_m2" localSheetId="3">'Sample Plan'!$C$214</definedName>
    <definedName name="calc_ox_software_m2">Plan!$C$214</definedName>
    <definedName name="calc_ox_software_m3" localSheetId="3">'Sample Plan'!$D$214</definedName>
    <definedName name="calc_ox_software_m3">Plan!$D$214</definedName>
    <definedName name="calc_ox_software_m4" localSheetId="3">'Sample Plan'!$E$214</definedName>
    <definedName name="calc_ox_software_m4">Plan!$E$214</definedName>
    <definedName name="calc_ox_software_m5" localSheetId="3">'Sample Plan'!$F$214</definedName>
    <definedName name="calc_ox_software_m5">Plan!$F$214</definedName>
    <definedName name="calc_ox_software_m6" localSheetId="3">'Sample Plan'!$G$214</definedName>
    <definedName name="calc_ox_software_m6">Plan!$G$214</definedName>
    <definedName name="calc_ox_software_m7" localSheetId="3">'Sample Plan'!$H$214</definedName>
    <definedName name="calc_ox_software_m7">Plan!$H$214</definedName>
    <definedName name="calc_ox_software_m8" localSheetId="3">'Sample Plan'!$I$214</definedName>
    <definedName name="calc_ox_software_m8">Plan!$I$214</definedName>
    <definedName name="calc_ox_software_m9" localSheetId="3">'Sample Plan'!$J$214</definedName>
    <definedName name="calc_ox_software_m9">Plan!$J$214</definedName>
    <definedName name="calc_ox_total_ann" localSheetId="3">'Sample Plan'!$N$223</definedName>
    <definedName name="calc_ox_total_ann">Plan!$N$223</definedName>
    <definedName name="calc_ox_total_m1" localSheetId="3">'Sample Plan'!$B$223</definedName>
    <definedName name="calc_ox_total_m1">Plan!$B$223</definedName>
    <definedName name="calc_ox_total_m10" localSheetId="3">'Sample Plan'!$K$223</definedName>
    <definedName name="calc_ox_total_m10">Plan!$K$223</definedName>
    <definedName name="calc_ox_total_m11" localSheetId="3">'Sample Plan'!$L$223</definedName>
    <definedName name="calc_ox_total_m11">Plan!$L$223</definedName>
    <definedName name="calc_ox_total_m12" localSheetId="3">'Sample Plan'!$M$223</definedName>
    <definedName name="calc_ox_total_m12">Plan!$M$223</definedName>
    <definedName name="calc_ox_total_m1m12" localSheetId="3">'Sample Plan'!$B$223:'Sample Plan'!$M$223</definedName>
    <definedName name="calc_ox_total_m1m12">Plan!$B$223:'Plan'!$M$223</definedName>
    <definedName name="calc_ox_total_m2" localSheetId="3">'Sample Plan'!$C$223</definedName>
    <definedName name="calc_ox_total_m2">Plan!$C$223</definedName>
    <definedName name="calc_ox_total_m3" localSheetId="3">'Sample Plan'!$D$223</definedName>
    <definedName name="calc_ox_total_m3">Plan!$D$223</definedName>
    <definedName name="calc_ox_total_m4" localSheetId="3">'Sample Plan'!$E$223</definedName>
    <definedName name="calc_ox_total_m4">Plan!$E$223</definedName>
    <definedName name="calc_ox_total_m5" localSheetId="3">'Sample Plan'!$F$223</definedName>
    <definedName name="calc_ox_total_m5">Plan!$F$223</definedName>
    <definedName name="calc_ox_total_m6" localSheetId="3">'Sample Plan'!$G$223</definedName>
    <definedName name="calc_ox_total_m6">Plan!$G$223</definedName>
    <definedName name="calc_ox_total_m7" localSheetId="3">'Sample Plan'!$H$223</definedName>
    <definedName name="calc_ox_total_m7">Plan!$H$223</definedName>
    <definedName name="calc_ox_total_m8" localSheetId="3">'Sample Plan'!$I$223</definedName>
    <definedName name="calc_ox_total_m8">Plan!$I$223</definedName>
    <definedName name="calc_ox_total_m9" localSheetId="3">'Sample Plan'!$J$223</definedName>
    <definedName name="calc_ox_total_m9">Plan!$J$223</definedName>
    <definedName name="calc_ox_travel_ann" localSheetId="3">'Sample Plan'!$N$218</definedName>
    <definedName name="calc_ox_travel_ann">Plan!$N$218</definedName>
    <definedName name="calc_ox_travel_m1" localSheetId="3">'Sample Plan'!$B$218</definedName>
    <definedName name="calc_ox_travel_m1">Plan!$B$218</definedName>
    <definedName name="calc_ox_travel_m10" localSheetId="3">'Sample Plan'!$K$218</definedName>
    <definedName name="calc_ox_travel_m10">Plan!$K$218</definedName>
    <definedName name="calc_ox_travel_m11" localSheetId="3">'Sample Plan'!$L$218</definedName>
    <definedName name="calc_ox_travel_m11">Plan!$L$218</definedName>
    <definedName name="calc_ox_travel_m12" localSheetId="3">'Sample Plan'!$M$218</definedName>
    <definedName name="calc_ox_travel_m12">Plan!$M$218</definedName>
    <definedName name="calc_ox_travel_m1m12" localSheetId="3">'Sample Plan'!$B$218:'Sample Plan'!$M$218</definedName>
    <definedName name="calc_ox_travel_m1m12">Plan!$B$218:'Plan'!$M$218</definedName>
    <definedName name="calc_ox_travel_m2" localSheetId="3">'Sample Plan'!$C$218</definedName>
    <definedName name="calc_ox_travel_m2">Plan!$C$218</definedName>
    <definedName name="calc_ox_travel_m3" localSheetId="3">'Sample Plan'!$D$218</definedName>
    <definedName name="calc_ox_travel_m3">Plan!$D$218</definedName>
    <definedName name="calc_ox_travel_m4" localSheetId="3">'Sample Plan'!$E$218</definedName>
    <definedName name="calc_ox_travel_m4">Plan!$E$218</definedName>
    <definedName name="calc_ox_travel_m5" localSheetId="3">'Sample Plan'!$F$218</definedName>
    <definedName name="calc_ox_travel_m5">Plan!$F$218</definedName>
    <definedName name="calc_ox_travel_m6" localSheetId="3">'Sample Plan'!$G$218</definedName>
    <definedName name="calc_ox_travel_m6">Plan!$G$218</definedName>
    <definedName name="calc_ox_travel_m7" localSheetId="3">'Sample Plan'!$H$218</definedName>
    <definedName name="calc_ox_travel_m7">Plan!$H$218</definedName>
    <definedName name="calc_ox_travel_m8" localSheetId="3">'Sample Plan'!$I$218</definedName>
    <definedName name="calc_ox_travel_m8">Plan!$I$218</definedName>
    <definedName name="calc_ox_travel_m9" localSheetId="3">'Sample Plan'!$J$218</definedName>
    <definedName name="calc_ox_travel_m9">Plan!$J$218</definedName>
    <definedName name="calc_peak_fte" localSheetId="3">'Sample Plan'!$B$272</definedName>
    <definedName name="calc_peak_fte">Plan!$B$272</definedName>
    <definedName name="calc_plan_ebitda_pct" localSheetId="3">'Sample Plan'!$B$276</definedName>
    <definedName name="calc_plan_ebitda_pct">Plan!$B$276</definedName>
    <definedName name="calc_plan_gm_pct" localSheetId="3">'Sample Plan'!$B$277</definedName>
    <definedName name="calc_plan_gm_pct">Plan!$B$277</definedName>
    <definedName name="calc_plan_rpe" localSheetId="3">'Sample Plan'!$B$275</definedName>
    <definedName name="calc_plan_rpe">Plan!$B$275</definedName>
    <definedName name="calc_plan_util" localSheetId="3">'Sample Plan'!$B$278</definedName>
    <definedName name="calc_plan_util">Plan!$B$278</definedName>
    <definedName name="calc_rev_sl1_ann" localSheetId="3">'Sample Plan'!$N$198</definedName>
    <definedName name="calc_rev_sl1_ann">Plan!$N$198</definedName>
    <definedName name="calc_rev_sl1_m1" localSheetId="3">'Sample Plan'!$B$198</definedName>
    <definedName name="calc_rev_sl1_m1">Plan!$B$198</definedName>
    <definedName name="calc_rev_sl1_m10" localSheetId="3">'Sample Plan'!$K$198</definedName>
    <definedName name="calc_rev_sl1_m10">Plan!$K$198</definedName>
    <definedName name="calc_rev_sl1_m11" localSheetId="3">'Sample Plan'!$L$198</definedName>
    <definedName name="calc_rev_sl1_m11">Plan!$L$198</definedName>
    <definedName name="calc_rev_sl1_m12" localSheetId="3">'Sample Plan'!$M$198</definedName>
    <definedName name="calc_rev_sl1_m12">Plan!$M$198</definedName>
    <definedName name="calc_rev_sl1_m1m12" localSheetId="3">'Sample Plan'!$B$198:'Sample Plan'!$M$198</definedName>
    <definedName name="calc_rev_sl1_m1m12">Plan!$B$198:'Plan'!$M$198</definedName>
    <definedName name="calc_rev_sl1_m2" localSheetId="3">'Sample Plan'!$C$198</definedName>
    <definedName name="calc_rev_sl1_m2">Plan!$C$198</definedName>
    <definedName name="calc_rev_sl1_m3" localSheetId="3">'Sample Plan'!$D$198</definedName>
    <definedName name="calc_rev_sl1_m3">Plan!$D$198</definedName>
    <definedName name="calc_rev_sl1_m4" localSheetId="3">'Sample Plan'!$E$198</definedName>
    <definedName name="calc_rev_sl1_m4">Plan!$E$198</definedName>
    <definedName name="calc_rev_sl1_m5" localSheetId="3">'Sample Plan'!$F$198</definedName>
    <definedName name="calc_rev_sl1_m5">Plan!$F$198</definedName>
    <definedName name="calc_rev_sl1_m6" localSheetId="3">'Sample Plan'!$G$198</definedName>
    <definedName name="calc_rev_sl1_m6">Plan!$G$198</definedName>
    <definedName name="calc_rev_sl1_m7" localSheetId="3">'Sample Plan'!$H$198</definedName>
    <definedName name="calc_rev_sl1_m7">Plan!$H$198</definedName>
    <definedName name="calc_rev_sl1_m8" localSheetId="3">'Sample Plan'!$I$198</definedName>
    <definedName name="calc_rev_sl1_m8">Plan!$I$198</definedName>
    <definedName name="calc_rev_sl1_m9" localSheetId="3">'Sample Plan'!$J$198</definedName>
    <definedName name="calc_rev_sl1_m9">Plan!$J$198</definedName>
    <definedName name="calc_rev_sl2_ann" localSheetId="3">'Sample Plan'!$N$199</definedName>
    <definedName name="calc_rev_sl2_ann">Plan!$N$199</definedName>
    <definedName name="calc_rev_sl2_m1" localSheetId="3">'Sample Plan'!$B$199</definedName>
    <definedName name="calc_rev_sl2_m1">Plan!$B$199</definedName>
    <definedName name="calc_rev_sl2_m10" localSheetId="3">'Sample Plan'!$K$199</definedName>
    <definedName name="calc_rev_sl2_m10">Plan!$K$199</definedName>
    <definedName name="calc_rev_sl2_m11" localSheetId="3">'Sample Plan'!$L$199</definedName>
    <definedName name="calc_rev_sl2_m11">Plan!$L$199</definedName>
    <definedName name="calc_rev_sl2_m12" localSheetId="3">'Sample Plan'!$M$199</definedName>
    <definedName name="calc_rev_sl2_m12">Plan!$M$199</definedName>
    <definedName name="calc_rev_sl2_m1m12" localSheetId="3">'Sample Plan'!$B$199:'Sample Plan'!$M$199</definedName>
    <definedName name="calc_rev_sl2_m1m12">Plan!$B$199:'Plan'!$M$199</definedName>
    <definedName name="calc_rev_sl2_m2" localSheetId="3">'Sample Plan'!$C$199</definedName>
    <definedName name="calc_rev_sl2_m2">Plan!$C$199</definedName>
    <definedName name="calc_rev_sl2_m3" localSheetId="3">'Sample Plan'!$D$199</definedName>
    <definedName name="calc_rev_sl2_m3">Plan!$D$199</definedName>
    <definedName name="calc_rev_sl2_m4" localSheetId="3">'Sample Plan'!$E$199</definedName>
    <definedName name="calc_rev_sl2_m4">Plan!$E$199</definedName>
    <definedName name="calc_rev_sl2_m5" localSheetId="3">'Sample Plan'!$F$199</definedName>
    <definedName name="calc_rev_sl2_m5">Plan!$F$199</definedName>
    <definedName name="calc_rev_sl2_m6" localSheetId="3">'Sample Plan'!$G$199</definedName>
    <definedName name="calc_rev_sl2_m6">Plan!$G$199</definedName>
    <definedName name="calc_rev_sl2_m7" localSheetId="3">'Sample Plan'!$H$199</definedName>
    <definedName name="calc_rev_sl2_m7">Plan!$H$199</definedName>
    <definedName name="calc_rev_sl2_m8" localSheetId="3">'Sample Plan'!$I$199</definedName>
    <definedName name="calc_rev_sl2_m8">Plan!$I$199</definedName>
    <definedName name="calc_rev_sl2_m9" localSheetId="3">'Sample Plan'!$J$199</definedName>
    <definedName name="calc_rev_sl2_m9">Plan!$J$199</definedName>
    <definedName name="calc_rev_sl3_ann" localSheetId="3">'Sample Plan'!$N$200</definedName>
    <definedName name="calc_rev_sl3_ann">Plan!$N$200</definedName>
    <definedName name="calc_rev_sl3_m1" localSheetId="3">'Sample Plan'!$B$200</definedName>
    <definedName name="calc_rev_sl3_m1">Plan!$B$200</definedName>
    <definedName name="calc_rev_sl3_m10" localSheetId="3">'Sample Plan'!$K$200</definedName>
    <definedName name="calc_rev_sl3_m10">Plan!$K$200</definedName>
    <definedName name="calc_rev_sl3_m11" localSheetId="3">'Sample Plan'!$L$200</definedName>
    <definedName name="calc_rev_sl3_m11">Plan!$L$200</definedName>
    <definedName name="calc_rev_sl3_m12" localSheetId="3">'Sample Plan'!$M$200</definedName>
    <definedName name="calc_rev_sl3_m12">Plan!$M$200</definedName>
    <definedName name="calc_rev_sl3_m1m12" localSheetId="3">'Sample Plan'!$B$200:'Sample Plan'!$M$200</definedName>
    <definedName name="calc_rev_sl3_m1m12">Plan!$B$200:'Plan'!$M$200</definedName>
    <definedName name="calc_rev_sl3_m2" localSheetId="3">'Sample Plan'!$C$200</definedName>
    <definedName name="calc_rev_sl3_m2">Plan!$C$200</definedName>
    <definedName name="calc_rev_sl3_m3" localSheetId="3">'Sample Plan'!$D$200</definedName>
    <definedName name="calc_rev_sl3_m3">Plan!$D$200</definedName>
    <definedName name="calc_rev_sl3_m4" localSheetId="3">'Sample Plan'!$E$200</definedName>
    <definedName name="calc_rev_sl3_m4">Plan!$E$200</definedName>
    <definedName name="calc_rev_sl3_m5" localSheetId="3">'Sample Plan'!$F$200</definedName>
    <definedName name="calc_rev_sl3_m5">Plan!$F$200</definedName>
    <definedName name="calc_rev_sl3_m6" localSheetId="3">'Sample Plan'!$G$200</definedName>
    <definedName name="calc_rev_sl3_m6">Plan!$G$200</definedName>
    <definedName name="calc_rev_sl3_m7" localSheetId="3">'Sample Plan'!$H$200</definedName>
    <definedName name="calc_rev_sl3_m7">Plan!$H$200</definedName>
    <definedName name="calc_rev_sl3_m8" localSheetId="3">'Sample Plan'!$I$200</definedName>
    <definedName name="calc_rev_sl3_m8">Plan!$I$200</definedName>
    <definedName name="calc_rev_sl3_m9" localSheetId="3">'Sample Plan'!$J$200</definedName>
    <definedName name="calc_rev_sl3_m9">Plan!$J$200</definedName>
    <definedName name="calc_rev_sl4_ann" localSheetId="3">'Sample Plan'!$N$201</definedName>
    <definedName name="calc_rev_sl4_ann">Plan!$N$201</definedName>
    <definedName name="calc_rev_sl4_m1" localSheetId="3">'Sample Plan'!$B$201</definedName>
    <definedName name="calc_rev_sl4_m1">Plan!$B$201</definedName>
    <definedName name="calc_rev_sl4_m10" localSheetId="3">'Sample Plan'!$K$201</definedName>
    <definedName name="calc_rev_sl4_m10">Plan!$K$201</definedName>
    <definedName name="calc_rev_sl4_m11" localSheetId="3">'Sample Plan'!$L$201</definedName>
    <definedName name="calc_rev_sl4_m11">Plan!$L$201</definedName>
    <definedName name="calc_rev_sl4_m12" localSheetId="3">'Sample Plan'!$M$201</definedName>
    <definedName name="calc_rev_sl4_m12">Plan!$M$201</definedName>
    <definedName name="calc_rev_sl4_m1m12" localSheetId="3">'Sample Plan'!$B$201:'Sample Plan'!$M$201</definedName>
    <definedName name="calc_rev_sl4_m1m12">Plan!$B$201:'Plan'!$M$201</definedName>
    <definedName name="calc_rev_sl4_m2" localSheetId="3">'Sample Plan'!$C$201</definedName>
    <definedName name="calc_rev_sl4_m2">Plan!$C$201</definedName>
    <definedName name="calc_rev_sl4_m3" localSheetId="3">'Sample Plan'!$D$201</definedName>
    <definedName name="calc_rev_sl4_m3">Plan!$D$201</definedName>
    <definedName name="calc_rev_sl4_m4" localSheetId="3">'Sample Plan'!$E$201</definedName>
    <definedName name="calc_rev_sl4_m4">Plan!$E$201</definedName>
    <definedName name="calc_rev_sl4_m5" localSheetId="3">'Sample Plan'!$F$201</definedName>
    <definedName name="calc_rev_sl4_m5">Plan!$F$201</definedName>
    <definedName name="calc_rev_sl4_m6" localSheetId="3">'Sample Plan'!$G$201</definedName>
    <definedName name="calc_rev_sl4_m6">Plan!$G$201</definedName>
    <definedName name="calc_rev_sl4_m7" localSheetId="3">'Sample Plan'!$H$201</definedName>
    <definedName name="calc_rev_sl4_m7">Plan!$H$201</definedName>
    <definedName name="calc_rev_sl4_m8" localSheetId="3">'Sample Plan'!$I$201</definedName>
    <definedName name="calc_rev_sl4_m8">Plan!$I$201</definedName>
    <definedName name="calc_rev_sl4_m9" localSheetId="3">'Sample Plan'!$J$201</definedName>
    <definedName name="calc_rev_sl4_m9">Plan!$J$201</definedName>
    <definedName name="calc_rev_sl5_ann" localSheetId="3">'Sample Plan'!$N$202</definedName>
    <definedName name="calc_rev_sl5_ann">Plan!$N$202</definedName>
    <definedName name="calc_rev_sl5_m1" localSheetId="3">'Sample Plan'!$B$202</definedName>
    <definedName name="calc_rev_sl5_m1">Plan!$B$202</definedName>
    <definedName name="calc_rev_sl5_m10" localSheetId="3">'Sample Plan'!$K$202</definedName>
    <definedName name="calc_rev_sl5_m10">Plan!$K$202</definedName>
    <definedName name="calc_rev_sl5_m11" localSheetId="3">'Sample Plan'!$L$202</definedName>
    <definedName name="calc_rev_sl5_m11">Plan!$L$202</definedName>
    <definedName name="calc_rev_sl5_m12" localSheetId="3">'Sample Plan'!$M$202</definedName>
    <definedName name="calc_rev_sl5_m12">Plan!$M$202</definedName>
    <definedName name="calc_rev_sl5_m1m12" localSheetId="3">'Sample Plan'!$B$202:'Sample Plan'!$M$202</definedName>
    <definedName name="calc_rev_sl5_m1m12">Plan!$B$202:'Plan'!$M$202</definedName>
    <definedName name="calc_rev_sl5_m2" localSheetId="3">'Sample Plan'!$C$202</definedName>
    <definedName name="calc_rev_sl5_m2">Plan!$C$202</definedName>
    <definedName name="calc_rev_sl5_m3" localSheetId="3">'Sample Plan'!$D$202</definedName>
    <definedName name="calc_rev_sl5_m3">Plan!$D$202</definedName>
    <definedName name="calc_rev_sl5_m4" localSheetId="3">'Sample Plan'!$E$202</definedName>
    <definedName name="calc_rev_sl5_m4">Plan!$E$202</definedName>
    <definedName name="calc_rev_sl5_m5" localSheetId="3">'Sample Plan'!$F$202</definedName>
    <definedName name="calc_rev_sl5_m5">Plan!$F$202</definedName>
    <definedName name="calc_rev_sl5_m6" localSheetId="3">'Sample Plan'!$G$202</definedName>
    <definedName name="calc_rev_sl5_m6">Plan!$G$202</definedName>
    <definedName name="calc_rev_sl5_m7" localSheetId="3">'Sample Plan'!$H$202</definedName>
    <definedName name="calc_rev_sl5_m7">Plan!$H$202</definedName>
    <definedName name="calc_rev_sl5_m8" localSheetId="3">'Sample Plan'!$I$202</definedName>
    <definedName name="calc_rev_sl5_m8">Plan!$I$202</definedName>
    <definedName name="calc_rev_sl5_m9" localSheetId="3">'Sample Plan'!$J$202</definedName>
    <definedName name="calc_rev_sl5_m9">Plan!$J$202</definedName>
    <definedName name="calc_rev_total_ann" localSheetId="3">'Sample Plan'!$N$203</definedName>
    <definedName name="calc_rev_total_ann">Plan!$N$203</definedName>
    <definedName name="calc_rev_total_m1" localSheetId="3">'Sample Plan'!$B$203</definedName>
    <definedName name="calc_rev_total_m1">Plan!$B$203</definedName>
    <definedName name="calc_rev_total_m10" localSheetId="3">'Sample Plan'!$K$203</definedName>
    <definedName name="calc_rev_total_m10">Plan!$K$203</definedName>
    <definedName name="calc_rev_total_m11" localSheetId="3">'Sample Plan'!$L$203</definedName>
    <definedName name="calc_rev_total_m11">Plan!$L$203</definedName>
    <definedName name="calc_rev_total_m12" localSheetId="3">'Sample Plan'!$M$203</definedName>
    <definedName name="calc_rev_total_m12">Plan!$M$203</definedName>
    <definedName name="calc_rev_total_m1m12" localSheetId="3">'Sample Plan'!$B$203:'Sample Plan'!$M$203</definedName>
    <definedName name="calc_rev_total_m1m12">Plan!$B$203:'Plan'!$M$203</definedName>
    <definedName name="calc_rev_total_m2" localSheetId="3">'Sample Plan'!$C$203</definedName>
    <definedName name="calc_rev_total_m2">Plan!$C$203</definedName>
    <definedName name="calc_rev_total_m3" localSheetId="3">'Sample Plan'!$D$203</definedName>
    <definedName name="calc_rev_total_m3">Plan!$D$203</definedName>
    <definedName name="calc_rev_total_m4" localSheetId="3">'Sample Plan'!$E$203</definedName>
    <definedName name="calc_rev_total_m4">Plan!$E$203</definedName>
    <definedName name="calc_rev_total_m5" localSheetId="3">'Sample Plan'!$F$203</definedName>
    <definedName name="calc_rev_total_m5">Plan!$F$203</definedName>
    <definedName name="calc_rev_total_m6" localSheetId="3">'Sample Plan'!$G$203</definedName>
    <definedName name="calc_rev_total_m6">Plan!$G$203</definedName>
    <definedName name="calc_rev_total_m7" localSheetId="3">'Sample Plan'!$H$203</definedName>
    <definedName name="calc_rev_total_m7">Plan!$H$203</definedName>
    <definedName name="calc_rev_total_m8" localSheetId="3">'Sample Plan'!$I$203</definedName>
    <definedName name="calc_rev_total_m8">Plan!$I$203</definedName>
    <definedName name="calc_rev_total_m9" localSheetId="3">'Sample Plan'!$J$203</definedName>
    <definedName name="calc_rev_total_m9">Plan!$J$203</definedName>
    <definedName name="calc_roster_capacity_m1m12" localSheetId="4">'Sample Inputs'!$U$204:$AF$204</definedName>
    <definedName name="calc_roster_capacity_m1m12" localSheetId="3">'Sample Inputs'!$U$204:$AF$204</definedName>
    <definedName name="calc_roster_capacity_m1m12">Inputs!$U$204:$AF$204</definedName>
    <definedName name="calc_roster_delivery_payroll_m1m12" localSheetId="4">'Sample Inputs'!$U$203:$AF$203</definedName>
    <definedName name="calc_roster_delivery_payroll_m1m12" localSheetId="3">'Sample Inputs'!$U$203:$AF$203</definedName>
    <definedName name="calc_roster_delivery_payroll_m1m12">Inputs!$U$203:$AF$203</definedName>
    <definedName name="calc_roster_fte_m1m12" localSheetId="4">'Sample Inputs'!$U$204:$AF$204</definedName>
    <definedName name="calc_roster_fte_m1m12" localSheetId="3">'Sample Inputs'!$U$204:$AF$204</definedName>
    <definedName name="calc_roster_fte_m1m12">Inputs!$U$204:$AF$204</definedName>
    <definedName name="calc_roster_overhead_payroll_m1m12" localSheetId="4">'Sample Inputs'!$U$212:$AF$212</definedName>
    <definedName name="calc_roster_overhead_payroll_m1m12" localSheetId="3">'Sample Inputs'!$U$212:$AF$212</definedName>
    <definedName name="calc_roster_overhead_payroll_m1m12">Inputs!$U$212:$AF$212</definedName>
    <definedName name="calc_roster_revcap_annual" localSheetId="4">'Sample Inputs'!$U$211</definedName>
    <definedName name="calc_roster_revcap_annual" localSheetId="3">'Sample Inputs'!$U$211</definedName>
    <definedName name="calc_roster_revcap_annual">Inputs!$U$211</definedName>
    <definedName name="calc_roster_revcap_grid" localSheetId="4">'Sample Inputs'!$U$206:$AF$210</definedName>
    <definedName name="calc_roster_revcap_grid" localSheetId="3">'Sample Inputs'!$U$206:$AF$210</definedName>
    <definedName name="calc_roster_revcap_grid">Inputs!$U$206:$AF$210</definedName>
    <definedName name="calc_roster_revcap_m1m12" localSheetId="4">'Sample Inputs'!$U$202:$AF$202</definedName>
    <definedName name="calc_roster_revcap_m1m12" localSheetId="3">'Sample Inputs'!$U$202:$AF$202</definedName>
    <definedName name="calc_roster_revcap_m1m12">Inputs!$U$202:$AF$202</definedName>
    <definedName name="calc_roster_weighted_util" localSheetId="4">'Sample Inputs'!$U$205</definedName>
    <definedName name="calc_roster_weighted_util" localSheetId="3">'Sample Inputs'!$U$205</definedName>
    <definedName name="calc_roster_weighted_util">Inputs!$U$205</definedName>
    <definedName name="calc_scn_cash_base" localSheetId="3">'Sample Plan'!$B$265</definedName>
    <definedName name="calc_scn_cash_base">Plan!$B$265</definedName>
    <definedName name="calc_scn_cash_downside" localSheetId="3">'Sample Plan'!$B$268</definedName>
    <definedName name="calc_scn_cash_downside">Plan!$B$268</definedName>
    <definedName name="calc_scn_cash_upside" localSheetId="3">'Sample Plan'!$B$271</definedName>
    <definedName name="calc_scn_cash_upside">Plan!$B$271</definedName>
    <definedName name="calc_scn_cost_ann" localSheetId="3">'Sample Plan'!$N$197</definedName>
    <definedName name="calc_scn_cost_ann">Plan!$N$197</definedName>
    <definedName name="calc_scn_cost_m1" localSheetId="3">'Sample Plan'!$B$197</definedName>
    <definedName name="calc_scn_cost_m1">Plan!$B$197</definedName>
    <definedName name="calc_scn_cost_m10" localSheetId="3">'Sample Plan'!$K$197</definedName>
    <definedName name="calc_scn_cost_m10">Plan!$K$197</definedName>
    <definedName name="calc_scn_cost_m11" localSheetId="3">'Sample Plan'!$L$197</definedName>
    <definedName name="calc_scn_cost_m11">Plan!$L$197</definedName>
    <definedName name="calc_scn_cost_m12" localSheetId="3">'Sample Plan'!$M$197</definedName>
    <definedName name="calc_scn_cost_m12">Plan!$M$197</definedName>
    <definedName name="calc_scn_cost_m1m12" localSheetId="3">'Sample Plan'!$B$197:'Sample Plan'!$M$197</definedName>
    <definedName name="calc_scn_cost_m1m12">Plan!$B$197:'Plan'!$M$197</definedName>
    <definedName name="calc_scn_cost_m2" localSheetId="3">'Sample Plan'!$C$197</definedName>
    <definedName name="calc_scn_cost_m2">Plan!$C$197</definedName>
    <definedName name="calc_scn_cost_m3" localSheetId="3">'Sample Plan'!$D$197</definedName>
    <definedName name="calc_scn_cost_m3">Plan!$D$197</definedName>
    <definedName name="calc_scn_cost_m4" localSheetId="3">'Sample Plan'!$E$197</definedName>
    <definedName name="calc_scn_cost_m4">Plan!$E$197</definedName>
    <definedName name="calc_scn_cost_m5" localSheetId="3">'Sample Plan'!$F$197</definedName>
    <definedName name="calc_scn_cost_m5">Plan!$F$197</definedName>
    <definedName name="calc_scn_cost_m6" localSheetId="3">'Sample Plan'!$G$197</definedName>
    <definedName name="calc_scn_cost_m6">Plan!$G$197</definedName>
    <definedName name="calc_scn_cost_m7" localSheetId="3">'Sample Plan'!$H$197</definedName>
    <definedName name="calc_scn_cost_m7">Plan!$H$197</definedName>
    <definedName name="calc_scn_cost_m8" localSheetId="3">'Sample Plan'!$I$197</definedName>
    <definedName name="calc_scn_cost_m8">Plan!$I$197</definedName>
    <definedName name="calc_scn_cost_m9" localSheetId="3">'Sample Plan'!$J$197</definedName>
    <definedName name="calc_scn_cost_m9">Plan!$J$197</definedName>
    <definedName name="calc_scn_ebitda_base" localSheetId="3">'Sample Plan'!$B$264</definedName>
    <definedName name="calc_scn_ebitda_base">Plan!$B$264</definedName>
    <definedName name="calc_scn_ebitda_downside" localSheetId="3">'Sample Plan'!$B$267</definedName>
    <definedName name="calc_scn_ebitda_downside">Plan!$B$267</definedName>
    <definedName name="calc_scn_ebitda_upside" localSheetId="3">'Sample Plan'!$B$270</definedName>
    <definedName name="calc_scn_ebitda_upside">Plan!$B$270</definedName>
    <definedName name="calc_scn_lag" localSheetId="3">'Sample Plan'!$B$191</definedName>
    <definedName name="calc_scn_lag">Plan!$B$191</definedName>
    <definedName name="calc_scn_rev_ann" localSheetId="3">'Sample Plan'!$N$195</definedName>
    <definedName name="calc_scn_rev_ann">Plan!$N$195</definedName>
    <definedName name="calc_scn_rev_base" localSheetId="3">'Sample Plan'!$B$263</definedName>
    <definedName name="calc_scn_rev_base">Plan!$B$263</definedName>
    <definedName name="calc_scn_rev_downside" localSheetId="3">'Sample Plan'!$B$266</definedName>
    <definedName name="calc_scn_rev_downside">Plan!$B$266</definedName>
    <definedName name="calc_scn_rev_m1" localSheetId="3">'Sample Plan'!$B$195</definedName>
    <definedName name="calc_scn_rev_m1">Plan!$B$195</definedName>
    <definedName name="calc_scn_rev_m10" localSheetId="3">'Sample Plan'!$K$195</definedName>
    <definedName name="calc_scn_rev_m10">Plan!$K$195</definedName>
    <definedName name="calc_scn_rev_m11" localSheetId="3">'Sample Plan'!$L$195</definedName>
    <definedName name="calc_scn_rev_m11">Plan!$L$195</definedName>
    <definedName name="calc_scn_rev_m12" localSheetId="3">'Sample Plan'!$M$195</definedName>
    <definedName name="calc_scn_rev_m12">Plan!$M$195</definedName>
    <definedName name="calc_scn_rev_m1m12" localSheetId="3">'Sample Plan'!$B$195:'Sample Plan'!$M$195</definedName>
    <definedName name="calc_scn_rev_m1m12">Plan!$B$195:'Plan'!$M$195</definedName>
    <definedName name="calc_scn_rev_m2" localSheetId="3">'Sample Plan'!$C$195</definedName>
    <definedName name="calc_scn_rev_m2">Plan!$C$195</definedName>
    <definedName name="calc_scn_rev_m3" localSheetId="3">'Sample Plan'!$D$195</definedName>
    <definedName name="calc_scn_rev_m3">Plan!$D$195</definedName>
    <definedName name="calc_scn_rev_m4" localSheetId="3">'Sample Plan'!$E$195</definedName>
    <definedName name="calc_scn_rev_m4">Plan!$E$195</definedName>
    <definedName name="calc_scn_rev_m5" localSheetId="3">'Sample Plan'!$F$195</definedName>
    <definedName name="calc_scn_rev_m5">Plan!$F$195</definedName>
    <definedName name="calc_scn_rev_m6" localSheetId="3">'Sample Plan'!$G$195</definedName>
    <definedName name="calc_scn_rev_m6">Plan!$G$195</definedName>
    <definedName name="calc_scn_rev_m7" localSheetId="3">'Sample Plan'!$H$195</definedName>
    <definedName name="calc_scn_rev_m7">Plan!$H$195</definedName>
    <definedName name="calc_scn_rev_m8" localSheetId="3">'Sample Plan'!$I$195</definedName>
    <definedName name="calc_scn_rev_m8">Plan!$I$195</definedName>
    <definedName name="calc_scn_rev_m9" localSheetId="3">'Sample Plan'!$J$195</definedName>
    <definedName name="calc_scn_rev_m9">Plan!$J$195</definedName>
    <definedName name="calc_scn_rev_upside" localSheetId="3">'Sample Plan'!$B$269</definedName>
    <definedName name="calc_scn_rev_upside">Plan!$B$269</definedName>
    <definedName name="calc_scn_util_ann" localSheetId="3">'Sample Plan'!$N$196</definedName>
    <definedName name="calc_scn_util_ann">Plan!$N$196</definedName>
    <definedName name="calc_scn_util_m1" localSheetId="3">'Sample Plan'!$B$196</definedName>
    <definedName name="calc_scn_util_m1">Plan!$B$196</definedName>
    <definedName name="calc_scn_util_m10" localSheetId="3">'Sample Plan'!$K$196</definedName>
    <definedName name="calc_scn_util_m10">Plan!$K$196</definedName>
    <definedName name="calc_scn_util_m11" localSheetId="3">'Sample Plan'!$L$196</definedName>
    <definedName name="calc_scn_util_m11">Plan!$L$196</definedName>
    <definedName name="calc_scn_util_m12" localSheetId="3">'Sample Plan'!$M$196</definedName>
    <definedName name="calc_scn_util_m12">Plan!$M$196</definedName>
    <definedName name="calc_scn_util_m1m12" localSheetId="3">'Sample Plan'!$B$196:'Sample Plan'!$M$196</definedName>
    <definedName name="calc_scn_util_m1m12">Plan!$B$196:'Plan'!$M$196</definedName>
    <definedName name="calc_scn_util_m2" localSheetId="3">'Sample Plan'!$C$196</definedName>
    <definedName name="calc_scn_util_m2">Plan!$C$196</definedName>
    <definedName name="calc_scn_util_m3" localSheetId="3">'Sample Plan'!$D$196</definedName>
    <definedName name="calc_scn_util_m3">Plan!$D$196</definedName>
    <definedName name="calc_scn_util_m4" localSheetId="3">'Sample Plan'!$E$196</definedName>
    <definedName name="calc_scn_util_m4">Plan!$E$196</definedName>
    <definedName name="calc_scn_util_m5" localSheetId="3">'Sample Plan'!$F$196</definedName>
    <definedName name="calc_scn_util_m5">Plan!$F$196</definedName>
    <definedName name="calc_scn_util_m6" localSheetId="3">'Sample Plan'!$G$196</definedName>
    <definedName name="calc_scn_util_m6">Plan!$G$196</definedName>
    <definedName name="calc_scn_util_m7" localSheetId="3">'Sample Plan'!$H$196</definedName>
    <definedName name="calc_scn_util_m7">Plan!$H$196</definedName>
    <definedName name="calc_scn_util_m8" localSheetId="3">'Sample Plan'!$I$196</definedName>
    <definedName name="calc_scn_util_m8">Plan!$I$196</definedName>
    <definedName name="calc_scn_util_m9" localSheetId="3">'Sample Plan'!$J$196</definedName>
    <definedName name="calc_scn_util_m9">Plan!$J$196</definedName>
    <definedName name="calc_tax_ann" localSheetId="3">'Sample Plan'!$N$228</definedName>
    <definedName name="calc_tax_ann">Plan!$N$228</definedName>
    <definedName name="calc_tax_m1" localSheetId="3">'Sample Plan'!$B$228</definedName>
    <definedName name="calc_tax_m1">Plan!$B$228</definedName>
    <definedName name="calc_tax_m10" localSheetId="3">'Sample Plan'!$K$228</definedName>
    <definedName name="calc_tax_m10">Plan!$K$228</definedName>
    <definedName name="calc_tax_m11" localSheetId="3">'Sample Plan'!$L$228</definedName>
    <definedName name="calc_tax_m11">Plan!$L$228</definedName>
    <definedName name="calc_tax_m12" localSheetId="3">'Sample Plan'!$M$228</definedName>
    <definedName name="calc_tax_m12">Plan!$M$228</definedName>
    <definedName name="calc_tax_m1m12" localSheetId="3">'Sample Plan'!$B$228:'Sample Plan'!$M$228</definedName>
    <definedName name="calc_tax_m1m12">Plan!$B$228:'Plan'!$M$228</definedName>
    <definedName name="calc_tax_m2" localSheetId="3">'Sample Plan'!$C$228</definedName>
    <definedName name="calc_tax_m2">Plan!$C$228</definedName>
    <definedName name="calc_tax_m3" localSheetId="3">'Sample Plan'!$D$228</definedName>
    <definedName name="calc_tax_m3">Plan!$D$228</definedName>
    <definedName name="calc_tax_m4" localSheetId="3">'Sample Plan'!$E$228</definedName>
    <definedName name="calc_tax_m4">Plan!$E$228</definedName>
    <definedName name="calc_tax_m5" localSheetId="3">'Sample Plan'!$F$228</definedName>
    <definedName name="calc_tax_m5">Plan!$F$228</definedName>
    <definedName name="calc_tax_m6" localSheetId="3">'Sample Plan'!$G$228</definedName>
    <definedName name="calc_tax_m6">Plan!$G$228</definedName>
    <definedName name="calc_tax_m7" localSheetId="3">'Sample Plan'!$H$228</definedName>
    <definedName name="calc_tax_m7">Plan!$H$228</definedName>
    <definedName name="calc_tax_m8" localSheetId="3">'Sample Plan'!$I$228</definedName>
    <definedName name="calc_tax_m8">Plan!$I$228</definedName>
    <definedName name="calc_tax_m9" localSheetId="3">'Sample Plan'!$J$228</definedName>
    <definedName name="calc_tax_m9">Plan!$J$228</definedName>
    <definedName name="calc_tax_paid_neg_ann" localSheetId="3">'Sample Plan'!$N$236</definedName>
    <definedName name="calc_tax_paid_neg_ann">Plan!$N$236</definedName>
    <definedName name="calc_tax_paid_neg_m1" localSheetId="3">'Sample Plan'!$B$236</definedName>
    <definedName name="calc_tax_paid_neg_m1">Plan!$B$236</definedName>
    <definedName name="calc_tax_paid_neg_m10" localSheetId="3">'Sample Plan'!$K$236</definedName>
    <definedName name="calc_tax_paid_neg_m10">Plan!$K$236</definedName>
    <definedName name="calc_tax_paid_neg_m11" localSheetId="3">'Sample Plan'!$L$236</definedName>
    <definedName name="calc_tax_paid_neg_m11">Plan!$L$236</definedName>
    <definedName name="calc_tax_paid_neg_m12" localSheetId="3">'Sample Plan'!$M$236</definedName>
    <definedName name="calc_tax_paid_neg_m12">Plan!$M$236</definedName>
    <definedName name="calc_tax_paid_neg_m1m12" localSheetId="3">'Sample Plan'!$B$236:'Sample Plan'!$M$236</definedName>
    <definedName name="calc_tax_paid_neg_m1m12">Plan!$B$236:'Plan'!$M$236</definedName>
    <definedName name="calc_tax_paid_neg_m2" localSheetId="3">'Sample Plan'!$C$236</definedName>
    <definedName name="calc_tax_paid_neg_m2">Plan!$C$236</definedName>
    <definedName name="calc_tax_paid_neg_m3" localSheetId="3">'Sample Plan'!$D$236</definedName>
    <definedName name="calc_tax_paid_neg_m3">Plan!$D$236</definedName>
    <definedName name="calc_tax_paid_neg_m4" localSheetId="3">'Sample Plan'!$E$236</definedName>
    <definedName name="calc_tax_paid_neg_m4">Plan!$E$236</definedName>
    <definedName name="calc_tax_paid_neg_m5" localSheetId="3">'Sample Plan'!$F$236</definedName>
    <definedName name="calc_tax_paid_neg_m5">Plan!$F$236</definedName>
    <definedName name="calc_tax_paid_neg_m6" localSheetId="3">'Sample Plan'!$G$236</definedName>
    <definedName name="calc_tax_paid_neg_m6">Plan!$G$236</definedName>
    <definedName name="calc_tax_paid_neg_m7" localSheetId="3">'Sample Plan'!$H$236</definedName>
    <definedName name="calc_tax_paid_neg_m7">Plan!$H$236</definedName>
    <definedName name="calc_tax_paid_neg_m8" localSheetId="3">'Sample Plan'!$I$236</definedName>
    <definedName name="calc_tax_paid_neg_m8">Plan!$I$236</definedName>
    <definedName name="calc_tax_paid_neg_m9" localSheetId="3">'Sample Plan'!$J$236</definedName>
    <definedName name="calc_tax_paid_neg_m9">Plan!$J$236</definedName>
    <definedName name="capacity_weighted_util" localSheetId="4">'Sample Inputs'!$U$205</definedName>
    <definedName name="capacity_weighted_util" localSheetId="3">'Sample Inputs'!$U$205</definedName>
    <definedName name="capacity_weighted_util">Inputs!$U$205</definedName>
    <definedName name="chk_ap_nonneg" localSheetId="3">'Sample Plan'!$N$107</definedName>
    <definedName name="chk_ap_nonneg">Plan!$N$107</definedName>
    <definedName name="chk_ar_nonneg" localSheetId="3">'Sample Plan'!$N$106</definedName>
    <definedName name="chk_ar_nonneg">Plan!$N$106</definedName>
    <definedName name="chk_bs_ties_m1" localSheetId="3">'Sample Plan'!$N$75</definedName>
    <definedName name="chk_bs_ties_m1">Plan!$N$75</definedName>
    <definedName name="chk_bs_ties_m10" localSheetId="3">'Sample Plan'!$N$84</definedName>
    <definedName name="chk_bs_ties_m10">Plan!$N$84</definedName>
    <definedName name="chk_bs_ties_m11" localSheetId="3">'Sample Plan'!$N$85</definedName>
    <definedName name="chk_bs_ties_m11">Plan!$N$85</definedName>
    <definedName name="chk_bs_ties_m12" localSheetId="3">'Sample Plan'!$N$86</definedName>
    <definedName name="chk_bs_ties_m12">Plan!$N$86</definedName>
    <definedName name="chk_bs_ties_m2" localSheetId="3">'Sample Plan'!$N$76</definedName>
    <definedName name="chk_bs_ties_m2">Plan!$N$76</definedName>
    <definedName name="chk_bs_ties_m3" localSheetId="3">'Sample Plan'!$N$77</definedName>
    <definedName name="chk_bs_ties_m3">Plan!$N$77</definedName>
    <definedName name="chk_bs_ties_m4" localSheetId="3">'Sample Plan'!$N$78</definedName>
    <definedName name="chk_bs_ties_m4">Plan!$N$78</definedName>
    <definedName name="chk_bs_ties_m5" localSheetId="3">'Sample Plan'!$N$79</definedName>
    <definedName name="chk_bs_ties_m5">Plan!$N$79</definedName>
    <definedName name="chk_bs_ties_m6" localSheetId="3">'Sample Plan'!$N$80</definedName>
    <definedName name="chk_bs_ties_m6">Plan!$N$80</definedName>
    <definedName name="chk_bs_ties_m7" localSheetId="3">'Sample Plan'!$N$81</definedName>
    <definedName name="chk_bs_ties_m7">Plan!$N$81</definedName>
    <definedName name="chk_bs_ties_m8" localSheetId="3">'Sample Plan'!$N$82</definedName>
    <definedName name="chk_bs_ties_m8">Plan!$N$82</definedName>
    <definedName name="chk_bs_ties_m9" localSheetId="3">'Sample Plan'!$N$83</definedName>
    <definedName name="chk_bs_ties_m9">Plan!$N$83</definedName>
    <definedName name="chk_cash_cont_m1" localSheetId="3">'Sample Plan'!$N$89</definedName>
    <definedName name="chk_cash_cont_m1">Plan!$N$89</definedName>
    <definedName name="chk_cash_cont_m10" localSheetId="3">'Sample Plan'!$N$98</definedName>
    <definedName name="chk_cash_cont_m10">Plan!$N$98</definedName>
    <definedName name="chk_cash_cont_m11" localSheetId="3">'Sample Plan'!$N$99</definedName>
    <definedName name="chk_cash_cont_m11">Plan!$N$99</definedName>
    <definedName name="chk_cash_cont_m2" localSheetId="3">'Sample Plan'!$N$90</definedName>
    <definedName name="chk_cash_cont_m2">Plan!$N$90</definedName>
    <definedName name="chk_cash_cont_m3" localSheetId="3">'Sample Plan'!$N$91</definedName>
    <definedName name="chk_cash_cont_m3">Plan!$N$91</definedName>
    <definedName name="chk_cash_cont_m4" localSheetId="3">'Sample Plan'!$N$92</definedName>
    <definedName name="chk_cash_cont_m4">Plan!$N$92</definedName>
    <definedName name="chk_cash_cont_m5" localSheetId="3">'Sample Plan'!$N$93</definedName>
    <definedName name="chk_cash_cont_m5">Plan!$N$93</definedName>
    <definedName name="chk_cash_cont_m6" localSheetId="3">'Sample Plan'!$N$94</definedName>
    <definedName name="chk_cash_cont_m6">Plan!$N$94</definedName>
    <definedName name="chk_cash_cont_m7" localSheetId="3">'Sample Plan'!$N$95</definedName>
    <definedName name="chk_cash_cont_m7">Plan!$N$95</definedName>
    <definedName name="chk_cash_cont_m8" localSheetId="3">'Sample Plan'!$N$96</definedName>
    <definedName name="chk_cash_cont_m8">Plan!$N$96</definedName>
    <definedName name="chk_cash_cont_m9" localSheetId="3">'Sample Plan'!$N$97</definedName>
    <definedName name="chk_cash_cont_m9">Plan!$N$97</definedName>
    <definedName name="chk_cf_components" localSheetId="3">'Sample Plan'!$N$100</definedName>
    <definedName name="chk_cf_components">Plan!$N$100</definedName>
    <definedName name="chk_dc_payroll_sum" localSheetId="3">'Sample Plan'!$N$101</definedName>
    <definedName name="chk_dc_payroll_sum">Plan!$N$101</definedName>
    <definedName name="chk_debt_nonneg_m1" localSheetId="3">'Sample Plan'!$N$108</definedName>
    <definedName name="chk_debt_nonneg_m1">Plan!$N$108</definedName>
    <definedName name="chk_debt_nonneg_m12" localSheetId="3">'Sample Plan'!$N$110</definedName>
    <definedName name="chk_debt_nonneg_m12">Plan!$N$110</definedName>
    <definedName name="chk_debt_nonneg_m6" localSheetId="3">'Sample Plan'!$N$109</definedName>
    <definedName name="chk_debt_nonneg_m6">Plan!$N$109</definedName>
    <definedName name="chk_ebitda_annual_sum" localSheetId="3">'Sample Plan'!$N$88</definedName>
    <definedName name="chk_ebitda_annual_sum">Plan!$N$88</definedName>
    <definedName name="chk_re_flow" localSheetId="3">'Sample Plan'!$N$102</definedName>
    <definedName name="chk_re_flow">Plan!$N$102</definedName>
    <definedName name="chk_region_valid" localSheetId="3">'Sample Plan'!$N$103</definedName>
    <definedName name="chk_region_valid">Plan!$N$103</definedName>
    <definedName name="chk_rev_annual_sum" localSheetId="3">'Sample Plan'!$N$87</definedName>
    <definedName name="chk_rev_annual_sum">Plan!$N$87</definedName>
    <definedName name="chk_scenario_valid" localSheetId="3">'Sample Plan'!$N$104</definedName>
    <definedName name="chk_scenario_valid">Plan!$N$104</definedName>
    <definedName name="chk_view_valid" localSheetId="3">'Sample Plan'!$N$105</definedName>
    <definedName name="chk_view_valid">Plan!$N$105</definedName>
    <definedName name="inp_act_cash_m1m12" localSheetId="4">'Sample Inputs'!$C$181:$N$181</definedName>
    <definedName name="inp_act_cash_m1m12" localSheetId="3">'Sample Inputs'!$C$181:$N$181</definedName>
    <definedName name="inp_act_cash_m1m12">Inputs!$C$181:$N$181</definedName>
    <definedName name="inp_act_dc_m1m12" localSheetId="4">'Sample Inputs'!$C$177:$N$177</definedName>
    <definedName name="inp_act_dc_m1m12" localSheetId="3">'Sample Inputs'!$C$177:$N$177</definedName>
    <definedName name="inp_act_dc_m1m12">Inputs!$C$177:$N$177</definedName>
    <definedName name="inp_act_ebitda_m1m12" localSheetId="4">'Sample Inputs'!$C$179:$N$179</definedName>
    <definedName name="inp_act_ebitda_m1m12" localSheetId="3">'Sample Inputs'!$C$179:$N$179</definedName>
    <definedName name="inp_act_ebitda_m1m12">Inputs!$C$179:$N$179</definedName>
    <definedName name="inp_act_np_m1m12" localSheetId="4">'Sample Inputs'!$C$180:$N$180</definedName>
    <definedName name="inp_act_np_m1m12" localSheetId="3">'Sample Inputs'!$C$180:$N$180</definedName>
    <definedName name="inp_act_np_m1m12">Inputs!$C$180:$N$180</definedName>
    <definedName name="inp_act_ox_m1m12" localSheetId="4">'Sample Inputs'!$C$178:$N$178</definedName>
    <definedName name="inp_act_ox_m1m12" localSheetId="3">'Sample Inputs'!$C$178:$N$178</definedName>
    <definedName name="inp_act_ox_m1m12">Inputs!$C$178:$N$178</definedName>
    <definedName name="inp_act_rev_m1m12" localSheetId="4">'Sample Inputs'!$C$176:$N$176</definedName>
    <definedName name="inp_act_rev_m1m12" localSheetId="3">'Sample Inputs'!$C$176:$N$176</definedName>
    <definedName name="inp_act_rev_m1m12">Inputs!$C$176:$N$176</definedName>
    <definedName name="inp_alloc_sl1" localSheetId="4">'Sample Inputs'!$C$144:$C$149</definedName>
    <definedName name="inp_alloc_sl1" localSheetId="3">'Sample Inputs'!$C$144:$C$149</definedName>
    <definedName name="inp_alloc_sl1">Inputs!$C$144:$C$149</definedName>
    <definedName name="inp_alloc_sl2" localSheetId="4">'Sample Inputs'!$D$144:$D$149</definedName>
    <definedName name="inp_alloc_sl2" localSheetId="3">'Sample Inputs'!$D$144:$D$149</definedName>
    <definedName name="inp_alloc_sl2">Inputs!$D$144:$D$149</definedName>
    <definedName name="inp_alloc_sl3" localSheetId="4">'Sample Inputs'!$E$144:$E$149</definedName>
    <definedName name="inp_alloc_sl3" localSheetId="3">'Sample Inputs'!$E$144:$E$149</definedName>
    <definedName name="inp_alloc_sl3">Inputs!$E$144:$E$149</definedName>
    <definedName name="inp_alloc_sl4" localSheetId="4">'Sample Inputs'!$F$144:$F$149</definedName>
    <definedName name="inp_alloc_sl4" localSheetId="3">'Sample Inputs'!$F$144:$F$149</definedName>
    <definedName name="inp_alloc_sl4">Inputs!$F$144:$F$149</definedName>
    <definedName name="inp_alloc_sl5" localSheetId="4">'Sample Inputs'!$G$144:$G$149</definedName>
    <definedName name="inp_alloc_sl5" localSheetId="3">'Sample Inputs'!$G$144:$G$149</definedName>
    <definedName name="inp_alloc_sl5">Inputs!$G$144:$G$149</definedName>
    <definedName name="inp_biz_name" localSheetId="4">'Sample Inputs'!$C$9</definedName>
    <definedName name="inp_biz_name" localSheetId="3">'Sample Inputs'!$C$9</definedName>
    <definedName name="inp_biz_name">Inputs!$C$9</definedName>
    <definedName name="inp_build_method" localSheetId="4">'Sample Inputs'!$C$18</definedName>
    <definedName name="inp_build_method" localSheetId="3">'Sample Inputs'!$C$18</definedName>
    <definedName name="inp_build_method">Inputs!$C$18</definedName>
    <definedName name="inp_capex_m1m12" localSheetId="4">'Sample Inputs'!$C$73:$N$73</definedName>
    <definedName name="inp_capex_m1m12" localSheetId="3">'Sample Inputs'!$C$73:$N$73</definedName>
    <definedName name="inp_capex_m1m12">Inputs!$C$73:$N$73</definedName>
    <definedName name="inp_da_existing" localSheetId="4">'Sample Inputs'!$C$50</definedName>
    <definedName name="inp_da_existing" localSheetId="3">'Sample Inputs'!$C$50</definedName>
    <definedName name="inp_da_existing">Inputs!$C$50</definedName>
    <definedName name="inp_dc_contractors_m1m12" localSheetId="4">'Sample Inputs'!$U$219:$AF$219</definedName>
    <definedName name="inp_dc_contractors_m1m12" localSheetId="3">'Sample Inputs'!$U$219:$AF$219</definedName>
    <definedName name="inp_dc_contractors_m1m12">Inputs!$U$219:$AF$219</definedName>
    <definedName name="inp_dc_contractors_typed_m1m12" localSheetId="4">'Sample Inputs'!$C$67:$N$67</definedName>
    <definedName name="inp_dc_contractors_typed_m1m12" localSheetId="3">'Sample Inputs'!$C$67:$N$67</definedName>
    <definedName name="inp_dc_contractors_typed_m1m12">Inputs!$C$67:$N$67</definedName>
    <definedName name="inp_dc_other_dc_m1m12" localSheetId="4">'Sample Inputs'!$C$70:$N$70</definedName>
    <definedName name="inp_dc_other_dc_m1m12" localSheetId="3">'Sample Inputs'!$C$70:$N$70</definedName>
    <definedName name="inp_dc_other_dc_m1m12">Inputs!$C$70:$N$70</definedName>
    <definedName name="inp_dc_passthrough_m1m12" localSheetId="4">'Sample Inputs'!$C$69:$N$69</definedName>
    <definedName name="inp_dc_passthrough_m1m12" localSheetId="3">'Sample Inputs'!$C$69:$N$69</definedName>
    <definedName name="inp_dc_passthrough_m1m12">Inputs!$C$69:$N$69</definedName>
    <definedName name="inp_dc_tools_m1m12" localSheetId="4">'Sample Inputs'!$C$68:$N$68</definedName>
    <definedName name="inp_dc_tools_m1m12" localSheetId="3">'Sample Inputs'!$C$68:$N$68</definedName>
    <definedName name="inp_dc_tools_m1m12">Inputs!$C$68:$N$68</definedName>
    <definedName name="inp_debt_draw_m1m12" localSheetId="4">'Sample Inputs'!$C$74:$N$74</definedName>
    <definedName name="inp_debt_draw_m1m12" localSheetId="3">'Sample Inputs'!$C$74:$N$74</definedName>
    <definedName name="inp_debt_draw_m1m12">Inputs!$C$74:$N$74</definedName>
    <definedName name="inp_debt_repay_m1m12" localSheetId="4">'Sample Inputs'!$C$75:$N$75</definedName>
    <definedName name="inp_debt_repay_m1m12" localSheetId="3">'Sample Inputs'!$C$75:$N$75</definedName>
    <definedName name="inp_debt_repay_m1m12">Inputs!$C$75:$N$75</definedName>
    <definedName name="inp_dist_m1m12" localSheetId="4">'Sample Inputs'!$C$76:$N$76</definedName>
    <definedName name="inp_dist_m1m12" localSheetId="3">'Sample Inputs'!$C$76:$N$76</definedName>
    <definedName name="inp_dist_m1m12">Inputs!$C$76:$N$76</definedName>
    <definedName name="inp_dpo" localSheetId="4">'Sample Inputs'!$C$42</definedName>
    <definedName name="inp_dpo" localSheetId="3">'Sample Inputs'!$C$42</definedName>
    <definedName name="inp_dpo">Inputs!$C$42</definedName>
    <definedName name="inp_dso" localSheetId="4">'Sample Inputs'!$C$41</definedName>
    <definedName name="inp_dso" localSheetId="3">'Sample Inputs'!$C$41</definedName>
    <definedName name="inp_dso">Inputs!$C$41</definedName>
    <definedName name="inp_int_rate" localSheetId="4">'Sample Inputs'!$C$49</definedName>
    <definedName name="inp_int_rate" localSheetId="3">'Sample Inputs'!$C$49</definedName>
    <definedName name="inp_int_rate">Inputs!$C$49</definedName>
    <definedName name="inp_min_buffer" localSheetId="4">'Sample Inputs'!$C$14</definedName>
    <definedName name="inp_min_buffer" localSheetId="3">'Sample Inputs'!$C$14</definedName>
    <definedName name="inp_min_buffer">Inputs!$C$14</definedName>
    <definedName name="inp_open_ap" localSheetId="4">'Sample Inputs'!$C$44</definedName>
    <definedName name="inp_open_ap" localSheetId="3">'Sample Inputs'!$C$44</definedName>
    <definedName name="inp_open_ap">Inputs!$C$44</definedName>
    <definedName name="inp_open_ar" localSheetId="4">'Sample Inputs'!$C$43</definedName>
    <definedName name="inp_open_ar" localSheetId="3">'Sample Inputs'!$C$43</definedName>
    <definedName name="inp_open_ar">Inputs!$C$43</definedName>
    <definedName name="inp_open_cash" localSheetId="4">'Sample Inputs'!$C$13</definedName>
    <definedName name="inp_open_cash" localSheetId="3">'Sample Inputs'!$C$13</definedName>
    <definedName name="inp_open_cash">Inputs!$C$13</definedName>
    <definedName name="inp_open_debt" localSheetId="4">'Sample Inputs'!$C$46</definedName>
    <definedName name="inp_open_debt" localSheetId="3">'Sample Inputs'!$C$46</definedName>
    <definedName name="inp_open_debt">Inputs!$C$46</definedName>
    <definedName name="inp_open_equity" localSheetId="4">'Sample Inputs'!$C$47</definedName>
    <definedName name="inp_open_equity" localSheetId="3">'Sample Inputs'!$C$47</definedName>
    <definedName name="inp_open_equity">Inputs!$C$47</definedName>
    <definedName name="inp_open_fa" localSheetId="4">'Sample Inputs'!$C$45</definedName>
    <definedName name="inp_open_fa" localSheetId="3">'Sample Inputs'!$C$45</definedName>
    <definedName name="inp_open_fa">Inputs!$C$45</definedName>
    <definedName name="inp_other_ca" localSheetId="4">'Sample Inputs'!$C$48</definedName>
    <definedName name="inp_other_ca" localSheetId="3">'Sample Inputs'!$C$48</definedName>
    <definedName name="inp_other_ca">Inputs!$C$48</definedName>
    <definedName name="inp_ox_commission_pct" localSheetId="4">'Sample Inputs'!$C$63</definedName>
    <definedName name="inp_ox_commission_pct" localSheetId="3">'Sample Inputs'!$C$63</definedName>
    <definedName name="inp_ox_commission_pct">Inputs!$C$63</definedName>
    <definedName name="inp_ox_comms_m1m12" localSheetId="4">'Sample Inputs'!$C$61:$N$61</definedName>
    <definedName name="inp_ox_comms_m1m12" localSheetId="3">'Sample Inputs'!$C$61:$N$61</definedName>
    <definedName name="inp_ox_comms_m1m12">Inputs!$C$61:$N$61</definedName>
    <definedName name="inp_ox_insurance_m1m12" localSheetId="4">'Sample Inputs'!$C$59:$N$59</definedName>
    <definedName name="inp_ox_insurance_m1m12" localSheetId="3">'Sample Inputs'!$C$59:$N$59</definedName>
    <definedName name="inp_ox_insurance_m1m12">Inputs!$C$59:$N$59</definedName>
    <definedName name="inp_ox_other_ox_m1m12" localSheetId="4">'Sample Inputs'!$C$62:$N$62</definedName>
    <definedName name="inp_ox_other_ox_m1m12" localSheetId="3">'Sample Inputs'!$C$62:$N$62</definedName>
    <definedName name="inp_ox_other_ox_m1m12">Inputs!$C$62:$N$62</definedName>
    <definedName name="inp_ox_prof_fees_m1m12" localSheetId="4">'Sample Inputs'!$C$58:$N$58</definedName>
    <definedName name="inp_ox_prof_fees_m1m12" localSheetId="3">'Sample Inputs'!$C$58:$N$58</definedName>
    <definedName name="inp_ox_prof_fees_m1m12">Inputs!$C$58:$N$58</definedName>
    <definedName name="inp_ox_rent_m1m12" localSheetId="4">'Sample Inputs'!$C$55:$N$55</definedName>
    <definedName name="inp_ox_rent_m1m12" localSheetId="3">'Sample Inputs'!$C$55:$N$55</definedName>
    <definedName name="inp_ox_rent_m1m12">Inputs!$C$55:$N$55</definedName>
    <definedName name="inp_ox_sales_mktg_m1m12" localSheetId="4">'Sample Inputs'!$C$57:$N$57</definedName>
    <definedName name="inp_ox_sales_mktg_m1m12" localSheetId="3">'Sample Inputs'!$C$57:$N$57</definedName>
    <definedName name="inp_ox_sales_mktg_m1m12">Inputs!$C$57:$N$57</definedName>
    <definedName name="inp_ox_software_m1m12" localSheetId="4">'Sample Inputs'!$C$56:$N$56</definedName>
    <definedName name="inp_ox_software_m1m12" localSheetId="3">'Sample Inputs'!$C$56:$N$56</definedName>
    <definedName name="inp_ox_software_m1m12">Inputs!$C$56:$N$56</definedName>
    <definedName name="inp_ox_travel_m1m12" localSheetId="4">'Sample Inputs'!$C$60:$N$60</definedName>
    <definedName name="inp_ox_travel_m1m12" localSheetId="3">'Sample Inputs'!$C$60:$N$60</definedName>
    <definedName name="inp_ox_travel_m1m12">Inputs!$C$60:$N$60</definedName>
    <definedName name="inp_plan_year" localSheetId="4">'Sample Inputs'!$C$10</definedName>
    <definedName name="inp_plan_year" localSheetId="3">'Sample Inputs'!$C$10</definedName>
    <definedName name="inp_plan_year">Inputs!$C$10</definedName>
    <definedName name="inp_prior_ebitda" localSheetId="4">'Sample Inputs'!$C$12</definedName>
    <definedName name="inp_prior_ebitda" localSheetId="3">'Sample Inputs'!$C$12</definedName>
    <definedName name="inp_prior_ebitda">Inputs!$C$12</definedName>
    <definedName name="inp_prior_rev" localSheetId="4">'Sample Inputs'!$C$11</definedName>
    <definedName name="inp_prior_rev" localSheetId="3">'Sample Inputs'!$C$11</definedName>
    <definedName name="inp_prior_rev">Inputs!$C$11</definedName>
    <definedName name="inp_region" localSheetId="4">'Sample Inputs'!$C$8</definedName>
    <definedName name="inp_region" localSheetId="3">'Sample Inputs'!$C$8</definedName>
    <definedName name="inp_region">Inputs!$C$8</definedName>
    <definedName name="inp_scenario" localSheetId="3">'Sample Plan'!$L$2</definedName>
    <definedName name="inp_scenario">Plan!$L$2</definedName>
    <definedName name="inp_sl1_committed_m1m12" localSheetId="4">'Sample Inputs'!$C$82:$N$82</definedName>
    <definedName name="inp_sl1_committed_m1m12" localSheetId="3">'Sample Inputs'!$C$82:$N$82</definedName>
    <definedName name="inp_sl1_committed_m1m12">Inputs!$C$82:$N$82</definedName>
    <definedName name="inp_sl1_name" localSheetId="4">'Sample Inputs'!$B$82</definedName>
    <definedName name="inp_sl1_name" localSheetId="3">'Sample Inputs'!$B$82</definedName>
    <definedName name="inp_sl1_name">Inputs!$B$82</definedName>
    <definedName name="inp_sl2_committed_m1m12" localSheetId="4">'Sample Inputs'!$C$83:$N$83</definedName>
    <definedName name="inp_sl2_committed_m1m12" localSheetId="3">'Sample Inputs'!$C$83:$N$83</definedName>
    <definedName name="inp_sl2_committed_m1m12">Inputs!$C$83:$N$83</definedName>
    <definedName name="inp_sl2_name" localSheetId="4">'Sample Inputs'!$B$83</definedName>
    <definedName name="inp_sl2_name" localSheetId="3">'Sample Inputs'!$B$83</definedName>
    <definedName name="inp_sl2_name">Inputs!$B$83</definedName>
    <definedName name="inp_sl3_committed_m1m12" localSheetId="4">'Sample Inputs'!$C$84:$N$84</definedName>
    <definedName name="inp_sl3_committed_m1m12" localSheetId="3">'Sample Inputs'!$C$84:$N$84</definedName>
    <definedName name="inp_sl3_committed_m1m12">Inputs!$C$84:$N$84</definedName>
    <definedName name="inp_sl3_name" localSheetId="4">'Sample Inputs'!$B$84</definedName>
    <definedName name="inp_sl3_name" localSheetId="3">'Sample Inputs'!$B$84</definedName>
    <definedName name="inp_sl3_name">Inputs!$B$84</definedName>
    <definedName name="inp_sl4_committed_m1m12" localSheetId="4">'Sample Inputs'!$C$85:$N$85</definedName>
    <definedName name="inp_sl4_committed_m1m12" localSheetId="3">'Sample Inputs'!$C$85:$N$85</definedName>
    <definedName name="inp_sl4_committed_m1m12">Inputs!$C$85:$N$85</definedName>
    <definedName name="inp_sl4_name" localSheetId="4">'Sample Inputs'!$B$85</definedName>
    <definedName name="inp_sl4_name" localSheetId="3">'Sample Inputs'!$B$85</definedName>
    <definedName name="inp_sl4_name">Inputs!$B$85</definedName>
    <definedName name="inp_sl5_committed_m1m12" localSheetId="4">'Sample Inputs'!$C$86:$N$86</definedName>
    <definedName name="inp_sl5_committed_m1m12" localSheetId="3">'Sample Inputs'!$C$86:$N$86</definedName>
    <definedName name="inp_sl5_committed_m1m12">Inputs!$C$86:$N$86</definedName>
    <definedName name="inp_sl5_name" localSheetId="4">'Sample Inputs'!$B$86</definedName>
    <definedName name="inp_sl5_name" localSheetId="3">'Sample Inputs'!$B$86</definedName>
    <definedName name="inp_sl5_name">Inputs!$B$86</definedName>
    <definedName name="inp_tax_rate" localSheetId="4">'Sample Inputs'!$C$51</definedName>
    <definedName name="inp_tax_rate" localSheetId="3">'Sample Inputs'!$C$51</definedName>
    <definedName name="inp_tax_rate">Inputs!$C$51</definedName>
    <definedName name="inp_view" localSheetId="3">'Sample Plan'!$L$3</definedName>
    <definedName name="inp_view">Plan!$L$3</definedName>
    <definedName name="mst_pass" localSheetId="3">'Sample Plan'!$L$73</definedName>
    <definedName name="mst_pass">Plan!$L$73</definedName>
    <definedName name="_xlnm.Print_Area" localSheetId="2">Inputs!$A$1:$Q$94</definedName>
    <definedName name="_xlnm.Print_Area" localSheetId="1">Plan!$A$1:$O$111</definedName>
    <definedName name="_xlnm.Print_Area" localSheetId="4">'Sample Inputs'!$A$1:$Q$94</definedName>
    <definedName name="_xlnm.Print_Area" localSheetId="3">'Sample Plan'!$A$1:$O$111</definedName>
    <definedName name="ref_au_fy_start" localSheetId="4">'Sample Inputs'!$C$31</definedName>
    <definedName name="ref_au_fy_start" localSheetId="3">'Sample Inputs'!$C$31</definedName>
    <definedName name="ref_au_fy_start">Inputs!$C$31</definedName>
    <definedName name="ref_au_gst" localSheetId="4">'Sample Inputs'!$C$35</definedName>
    <definedName name="ref_au_gst" localSheetId="3">'Sample Inputs'!$C$35</definedName>
    <definedName name="ref_au_gst">Inputs!$C$35</definedName>
    <definedName name="ref_au_oncost_total" localSheetId="4">'Sample Inputs'!$C$36</definedName>
    <definedName name="ref_au_oncost_total" localSheetId="3">'Sample Inputs'!$C$36</definedName>
    <definedName name="ref_au_oncost_total">Inputs!$C$36</definedName>
    <definedName name="ref_au_payroll_tax" localSheetId="4">'Sample Inputs'!$C$33</definedName>
    <definedName name="ref_au_payroll_tax" localSheetId="3">'Sample Inputs'!$C$33</definedName>
    <definedName name="ref_au_payroll_tax">Inputs!$C$33</definedName>
    <definedName name="ref_au_super" localSheetId="4">'Sample Inputs'!$C$32</definedName>
    <definedName name="ref_au_super" localSheetId="3">'Sample Inputs'!$C$32</definedName>
    <definedName name="ref_au_super">Inputs!$C$32</definedName>
    <definedName name="ref_au_workers_comp" localSheetId="4">'Sample Inputs'!$C$34</definedName>
    <definedName name="ref_au_workers_comp" localSheetId="3">'Sample Inputs'!$C$34</definedName>
    <definedName name="ref_au_workers_comp">Inputs!$C$34</definedName>
    <definedName name="ref_nz_fy_start" localSheetId="4">'Sample Inputs'!$D$31</definedName>
    <definedName name="ref_nz_fy_start" localSheetId="3">'Sample Inputs'!$D$31</definedName>
    <definedName name="ref_nz_fy_start">Inputs!$D$31</definedName>
    <definedName name="ref_nz_gst" localSheetId="4">'Sample Inputs'!$D$35</definedName>
    <definedName name="ref_nz_gst" localSheetId="3">'Sample Inputs'!$D$35</definedName>
    <definedName name="ref_nz_gst">Inputs!$D$35</definedName>
    <definedName name="ref_nz_oncost_total" localSheetId="4">'Sample Inputs'!$D$36</definedName>
    <definedName name="ref_nz_oncost_total" localSheetId="3">'Sample Inputs'!$D$36</definedName>
    <definedName name="ref_nz_oncost_total">Inputs!$D$36</definedName>
    <definedName name="ref_nz_payroll_tax" localSheetId="4">'Sample Inputs'!$D$33</definedName>
    <definedName name="ref_nz_payroll_tax" localSheetId="3">'Sample Inputs'!$D$33</definedName>
    <definedName name="ref_nz_payroll_tax">Inputs!$D$33</definedName>
    <definedName name="ref_nz_super" localSheetId="4">'Sample Inputs'!$D$32</definedName>
    <definedName name="ref_nz_super" localSheetId="3">'Sample Inputs'!$D$32</definedName>
    <definedName name="ref_nz_super">Inputs!$D$32</definedName>
    <definedName name="ref_nz_workers_comp" localSheetId="4">'Sample Inputs'!$D$34</definedName>
    <definedName name="ref_nz_workers_comp" localSheetId="3">'Sample Inputs'!$D$34</definedName>
    <definedName name="ref_nz_workers_comp">Inputs!$D$34</definedName>
    <definedName name="ref_us_fy_start" localSheetId="4">'Sample Inputs'!$E$31</definedName>
    <definedName name="ref_us_fy_start" localSheetId="3">'Sample Inputs'!$E$31</definedName>
    <definedName name="ref_us_fy_start">Inputs!$E$31</definedName>
    <definedName name="ref_us_gst" localSheetId="4">'Sample Inputs'!$E$35</definedName>
    <definedName name="ref_us_gst" localSheetId="3">'Sample Inputs'!$E$35</definedName>
    <definedName name="ref_us_gst">Inputs!$E$35</definedName>
    <definedName name="ref_us_oncost_total" localSheetId="4">'Sample Inputs'!$E$36</definedName>
    <definedName name="ref_us_oncost_total" localSheetId="3">'Sample Inputs'!$E$36</definedName>
    <definedName name="ref_us_oncost_total">Inputs!$E$36</definedName>
    <definedName name="ref_us_payroll_tax" localSheetId="4">'Sample Inputs'!$E$33</definedName>
    <definedName name="ref_us_payroll_tax" localSheetId="3">'Sample Inputs'!$E$33</definedName>
    <definedName name="ref_us_payroll_tax">Inputs!$E$33</definedName>
    <definedName name="ref_us_super" localSheetId="4">'Sample Inputs'!$E$32</definedName>
    <definedName name="ref_us_super" localSheetId="3">'Sample Inputs'!$E$32</definedName>
    <definedName name="ref_us_super">Inputs!$E$32</definedName>
    <definedName name="ref_us_workers_comp" localSheetId="4">'Sample Inputs'!$E$34</definedName>
    <definedName name="ref_us_workers_comp" localSheetId="3">'Sample Inputs'!$E$34</definedName>
    <definedName name="ref_us_workers_comp">Inputs!$E$34</definedName>
    <definedName name="scn_cost_base" localSheetId="4">'Sample Inputs'!$C$26</definedName>
    <definedName name="scn_cost_base" localSheetId="3">'Sample Inputs'!$C$26</definedName>
    <definedName name="scn_cost_base">Inputs!$C$26</definedName>
    <definedName name="scn_cost_downside" localSheetId="4">'Sample Inputs'!$D$26</definedName>
    <definedName name="scn_cost_downside" localSheetId="3">'Sample Inputs'!$D$26</definedName>
    <definedName name="scn_cost_downside">Inputs!$D$26</definedName>
    <definedName name="scn_cost_upside" localSheetId="4">'Sample Inputs'!$E$26</definedName>
    <definedName name="scn_cost_upside" localSheetId="3">'Sample Inputs'!$E$26</definedName>
    <definedName name="scn_cost_upside">Inputs!$E$26</definedName>
    <definedName name="scn_lag_base" localSheetId="4">'Sample Inputs'!$C$27</definedName>
    <definedName name="scn_lag_base" localSheetId="3">'Sample Inputs'!$C$27</definedName>
    <definedName name="scn_lag_base">Inputs!$C$27</definedName>
    <definedName name="scn_lag_downside" localSheetId="4">'Sample Inputs'!$D$27</definedName>
    <definedName name="scn_lag_downside" localSheetId="3">'Sample Inputs'!$D$27</definedName>
    <definedName name="scn_lag_downside">Inputs!$D$27</definedName>
    <definedName name="scn_lag_upside" localSheetId="4">'Sample Inputs'!$E$27</definedName>
    <definedName name="scn_lag_upside" localSheetId="3">'Sample Inputs'!$E$27</definedName>
    <definedName name="scn_lag_upside">Inputs!$E$27</definedName>
    <definedName name="scn_rev_base" localSheetId="4">'Sample Inputs'!$C$24</definedName>
    <definedName name="scn_rev_base" localSheetId="3">'Sample Inputs'!$C$24</definedName>
    <definedName name="scn_rev_base">Inputs!$C$24</definedName>
    <definedName name="scn_rev_downside" localSheetId="4">'Sample Inputs'!$D$24</definedName>
    <definedName name="scn_rev_downside" localSheetId="3">'Sample Inputs'!$D$24</definedName>
    <definedName name="scn_rev_downside">Inputs!$D$24</definedName>
    <definedName name="scn_rev_upside" localSheetId="4">'Sample Inputs'!$E$24</definedName>
    <definedName name="scn_rev_upside" localSheetId="3">'Sample Inputs'!$E$24</definedName>
    <definedName name="scn_rev_upside">Inputs!$E$24</definedName>
    <definedName name="scn_util_base" localSheetId="4">'Sample Inputs'!$C$25</definedName>
    <definedName name="scn_util_base" localSheetId="3">'Sample Inputs'!$C$25</definedName>
    <definedName name="scn_util_base">Inputs!$C$25</definedName>
    <definedName name="scn_util_downside" localSheetId="4">'Sample Inputs'!$D$25</definedName>
    <definedName name="scn_util_downside" localSheetId="3">'Sample Inputs'!$D$25</definedName>
    <definedName name="scn_util_downside">Inputs!$D$25</definedName>
    <definedName name="scn_util_upside" localSheetId="4">'Sample Inputs'!$E$25</definedName>
    <definedName name="scn_util_upside" localSheetId="3">'Sample Inputs'!$E$25</definedName>
    <definedName name="scn_util_upside">Inputs!$E$25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5" l="1"/>
  <c r="J17" i="15"/>
  <c r="C18" i="15"/>
  <c r="D18" i="15"/>
  <c r="E18" i="15"/>
  <c r="F18" i="15"/>
  <c r="G18" i="15"/>
  <c r="H18" i="15"/>
  <c r="I18" i="15"/>
  <c r="J18" i="15"/>
  <c r="K18" i="15"/>
  <c r="L18" i="15"/>
  <c r="M18" i="15"/>
  <c r="N18" i="15"/>
  <c r="B19" i="15"/>
  <c r="C19" i="15"/>
  <c r="D19" i="15"/>
  <c r="E19" i="15"/>
  <c r="F19" i="15"/>
  <c r="G19" i="15"/>
  <c r="H19" i="15"/>
  <c r="I19" i="15"/>
  <c r="J19" i="15"/>
  <c r="K19" i="15"/>
  <c r="L19" i="15"/>
  <c r="M19" i="15"/>
  <c r="N19" i="15"/>
  <c r="O19" i="15"/>
  <c r="B20" i="15"/>
  <c r="B21" i="15"/>
  <c r="B22" i="15"/>
  <c r="B23" i="15"/>
  <c r="B24" i="15"/>
  <c r="B25" i="15"/>
  <c r="B26" i="15"/>
  <c r="C26" i="15"/>
  <c r="D26" i="15"/>
  <c r="E26" i="15"/>
  <c r="F26" i="15"/>
  <c r="G26" i="15"/>
  <c r="H26" i="15"/>
  <c r="I26" i="15"/>
  <c r="J26" i="15"/>
  <c r="K26" i="15"/>
  <c r="L26" i="15"/>
  <c r="M26" i="15"/>
  <c r="N26" i="15"/>
  <c r="O26" i="15"/>
  <c r="B27" i="15"/>
  <c r="C27" i="15"/>
  <c r="D27" i="15"/>
  <c r="E27" i="15"/>
  <c r="F27" i="15"/>
  <c r="G27" i="15"/>
  <c r="H27" i="15"/>
  <c r="I27" i="15"/>
  <c r="J27" i="15"/>
  <c r="K27" i="15"/>
  <c r="L27" i="15"/>
  <c r="M27" i="15"/>
  <c r="N27" i="15"/>
  <c r="O27" i="15"/>
  <c r="B28" i="15"/>
  <c r="B29" i="15"/>
  <c r="B30" i="15"/>
  <c r="B31" i="15"/>
  <c r="B32" i="15"/>
  <c r="B33" i="15"/>
  <c r="B34" i="15"/>
  <c r="B35" i="15"/>
  <c r="C35" i="15"/>
  <c r="D35" i="15"/>
  <c r="E35" i="15"/>
  <c r="F35" i="15"/>
  <c r="G35" i="15"/>
  <c r="H35" i="15"/>
  <c r="I35" i="15"/>
  <c r="J35" i="15"/>
  <c r="K35" i="15"/>
  <c r="L35" i="15"/>
  <c r="M35" i="15"/>
  <c r="N35" i="15"/>
  <c r="O35" i="15"/>
  <c r="B36" i="15"/>
  <c r="B37" i="15"/>
  <c r="B38" i="15"/>
  <c r="B39" i="15"/>
  <c r="B40" i="15"/>
  <c r="B41" i="15"/>
  <c r="B42" i="15"/>
  <c r="B43" i="15"/>
  <c r="B44" i="15"/>
  <c r="B45" i="15"/>
  <c r="B46" i="15"/>
  <c r="B47" i="15"/>
  <c r="B48" i="15"/>
  <c r="B49" i="15"/>
  <c r="B50" i="15"/>
  <c r="H54" i="15"/>
  <c r="H55" i="15"/>
  <c r="H56" i="15"/>
  <c r="H57" i="15"/>
  <c r="H58" i="15"/>
  <c r="H59" i="15"/>
  <c r="E60" i="15"/>
  <c r="H60" i="15"/>
  <c r="E70" i="15"/>
  <c r="K70" i="15"/>
  <c r="H103" i="15"/>
  <c r="H104" i="15"/>
  <c r="H105" i="15"/>
  <c r="B191" i="15"/>
  <c r="B195" i="15"/>
  <c r="C195" i="15"/>
  <c r="D195" i="15"/>
  <c r="E195" i="15"/>
  <c r="F195" i="15"/>
  <c r="G195" i="15"/>
  <c r="H195" i="15"/>
  <c r="I195" i="15"/>
  <c r="J195" i="15"/>
  <c r="K195" i="15"/>
  <c r="L195" i="15"/>
  <c r="M195" i="15"/>
  <c r="B196" i="15"/>
  <c r="C196" i="15"/>
  <c r="D196" i="15"/>
  <c r="E196" i="15"/>
  <c r="F196" i="15"/>
  <c r="G196" i="15"/>
  <c r="H196" i="15"/>
  <c r="I196" i="15"/>
  <c r="J196" i="15"/>
  <c r="K196" i="15"/>
  <c r="L196" i="15"/>
  <c r="M196" i="15"/>
  <c r="B197" i="15"/>
  <c r="C197" i="15"/>
  <c r="D197" i="15"/>
  <c r="E197" i="15"/>
  <c r="F197" i="15"/>
  <c r="G197" i="15"/>
  <c r="H197" i="15"/>
  <c r="I197" i="15"/>
  <c r="J197" i="15"/>
  <c r="K197" i="15"/>
  <c r="L197" i="15"/>
  <c r="M197" i="15"/>
  <c r="B205" i="15"/>
  <c r="C205" i="15"/>
  <c r="D205" i="15"/>
  <c r="E205" i="15"/>
  <c r="F205" i="15"/>
  <c r="G205" i="15"/>
  <c r="H205" i="15"/>
  <c r="I205" i="15"/>
  <c r="J205" i="15"/>
  <c r="K205" i="15"/>
  <c r="L205" i="15"/>
  <c r="M205" i="15"/>
  <c r="B206" i="15"/>
  <c r="C206" i="15"/>
  <c r="D206" i="15"/>
  <c r="E206" i="15"/>
  <c r="F206" i="15"/>
  <c r="G206" i="15"/>
  <c r="H206" i="15"/>
  <c r="I206" i="15"/>
  <c r="J206" i="15"/>
  <c r="K206" i="15"/>
  <c r="L206" i="15"/>
  <c r="M206" i="15"/>
  <c r="B207" i="15"/>
  <c r="C207" i="15"/>
  <c r="D207" i="15"/>
  <c r="E207" i="15"/>
  <c r="F207" i="15"/>
  <c r="G207" i="15"/>
  <c r="H207" i="15"/>
  <c r="I207" i="15"/>
  <c r="J207" i="15"/>
  <c r="K207" i="15"/>
  <c r="L207" i="15"/>
  <c r="M207" i="15"/>
  <c r="B208" i="15"/>
  <c r="C208" i="15"/>
  <c r="D208" i="15"/>
  <c r="E208" i="15"/>
  <c r="F208" i="15"/>
  <c r="G208" i="15"/>
  <c r="H208" i="15"/>
  <c r="I208" i="15"/>
  <c r="J208" i="15"/>
  <c r="K208" i="15"/>
  <c r="L208" i="15"/>
  <c r="M208" i="15"/>
  <c r="B226" i="15"/>
  <c r="C226" i="15"/>
  <c r="D226" i="15"/>
  <c r="E226" i="15"/>
  <c r="F226" i="15"/>
  <c r="G226" i="15"/>
  <c r="H226" i="15"/>
  <c r="I226" i="15"/>
  <c r="J226" i="15"/>
  <c r="K226" i="15"/>
  <c r="L226" i="15"/>
  <c r="M226" i="15"/>
  <c r="B227" i="15"/>
  <c r="C227" i="15"/>
  <c r="D227" i="15"/>
  <c r="E227" i="15"/>
  <c r="F227" i="15"/>
  <c r="G227" i="15"/>
  <c r="H227" i="15"/>
  <c r="I227" i="15"/>
  <c r="J227" i="15"/>
  <c r="K227" i="15"/>
  <c r="L227" i="15"/>
  <c r="M227" i="15"/>
  <c r="B238" i="15"/>
  <c r="C238" i="15"/>
  <c r="D238" i="15"/>
  <c r="E238" i="15"/>
  <c r="F238" i="15"/>
  <c r="G238" i="15"/>
  <c r="H238" i="15"/>
  <c r="I238" i="15"/>
  <c r="J238" i="15"/>
  <c r="K238" i="15"/>
  <c r="L238" i="15"/>
  <c r="M238" i="15"/>
  <c r="B240" i="15"/>
  <c r="C240" i="15"/>
  <c r="D240" i="15"/>
  <c r="E240" i="15"/>
  <c r="F240" i="15"/>
  <c r="G240" i="15"/>
  <c r="H240" i="15"/>
  <c r="I240" i="15"/>
  <c r="J240" i="15"/>
  <c r="K240" i="15"/>
  <c r="L240" i="15"/>
  <c r="M240" i="15"/>
  <c r="B241" i="15"/>
  <c r="C241" i="15"/>
  <c r="D241" i="15"/>
  <c r="E241" i="15"/>
  <c r="F241" i="15"/>
  <c r="G241" i="15"/>
  <c r="H241" i="15"/>
  <c r="I241" i="15"/>
  <c r="J241" i="15"/>
  <c r="K241" i="15"/>
  <c r="L241" i="15"/>
  <c r="M241" i="15"/>
  <c r="B242" i="15"/>
  <c r="C242" i="15"/>
  <c r="D242" i="15"/>
  <c r="E242" i="15"/>
  <c r="F242" i="15"/>
  <c r="G242" i="15"/>
  <c r="H242" i="15"/>
  <c r="I242" i="15"/>
  <c r="J242" i="15"/>
  <c r="K242" i="15"/>
  <c r="L242" i="15"/>
  <c r="M242" i="15"/>
  <c r="B246" i="15"/>
  <c r="B250" i="15"/>
  <c r="C250" i="15"/>
  <c r="D250" i="15"/>
  <c r="E250" i="15"/>
  <c r="F250" i="15"/>
  <c r="G250" i="15"/>
  <c r="H250" i="15"/>
  <c r="I250" i="15"/>
  <c r="J250" i="15"/>
  <c r="K250" i="15"/>
  <c r="L250" i="15"/>
  <c r="M250" i="15"/>
  <c r="B252" i="15"/>
  <c r="C252" i="15"/>
  <c r="D252" i="15"/>
  <c r="E252" i="15"/>
  <c r="F252" i="15"/>
  <c r="G252" i="15"/>
  <c r="H252" i="15"/>
  <c r="I252" i="15"/>
  <c r="J252" i="15"/>
  <c r="K252" i="15"/>
  <c r="L252" i="15"/>
  <c r="M252" i="15"/>
  <c r="B257" i="15"/>
  <c r="C257" i="15"/>
  <c r="D257" i="15"/>
  <c r="E257" i="15"/>
  <c r="F257" i="15"/>
  <c r="G257" i="15"/>
  <c r="H257" i="15"/>
  <c r="I257" i="15"/>
  <c r="J257" i="15"/>
  <c r="K257" i="15"/>
  <c r="L257" i="15"/>
  <c r="M257" i="15"/>
  <c r="B278" i="15"/>
  <c r="S4" i="14"/>
  <c r="S8" i="14"/>
  <c r="U220" i="14"/>
  <c r="V220" i="14"/>
  <c r="W220" i="14"/>
  <c r="X220" i="14"/>
  <c r="Y220" i="14"/>
  <c r="Z220" i="14"/>
  <c r="AA220" i="14"/>
  <c r="AB220" i="14"/>
  <c r="AC220" i="14"/>
  <c r="AD220" i="14"/>
  <c r="AE220" i="14"/>
  <c r="AF220" i="14"/>
  <c r="U221" i="14"/>
  <c r="V221" i="14"/>
  <c r="W221" i="14"/>
  <c r="X221" i="14"/>
  <c r="Y221" i="14"/>
  <c r="Z221" i="14"/>
  <c r="AA221" i="14"/>
  <c r="AB221" i="14"/>
  <c r="AC221" i="14"/>
  <c r="AD221" i="14"/>
  <c r="AE221" i="14"/>
  <c r="AF221" i="14"/>
  <c r="U222" i="14"/>
  <c r="V222" i="14"/>
  <c r="W222" i="14"/>
  <c r="X222" i="14"/>
  <c r="Y222" i="14"/>
  <c r="Z222" i="14"/>
  <c r="AA222" i="14"/>
  <c r="AB222" i="14"/>
  <c r="AC222" i="14"/>
  <c r="AD222" i="14"/>
  <c r="AE222" i="14"/>
  <c r="AF222" i="14"/>
  <c r="U223" i="14"/>
  <c r="V223" i="14"/>
  <c r="W223" i="14"/>
  <c r="X223" i="14"/>
  <c r="Y223" i="14"/>
  <c r="Z223" i="14"/>
  <c r="AA223" i="14"/>
  <c r="AB223" i="14"/>
  <c r="AC223" i="14"/>
  <c r="AD223" i="14"/>
  <c r="AE223" i="14"/>
  <c r="AF223" i="14"/>
  <c r="U224" i="14"/>
  <c r="V224" i="14"/>
  <c r="W224" i="14"/>
  <c r="X224" i="14"/>
  <c r="Y224" i="14"/>
  <c r="Z224" i="14"/>
  <c r="AA224" i="14"/>
  <c r="AB224" i="14"/>
  <c r="AC224" i="14"/>
  <c r="AD224" i="14"/>
  <c r="AE224" i="14"/>
  <c r="AF224" i="14"/>
  <c r="U225" i="14"/>
  <c r="V225" i="14"/>
  <c r="W225" i="14"/>
  <c r="X225" i="14"/>
  <c r="Y225" i="14"/>
  <c r="Z225" i="14"/>
  <c r="AA225" i="14"/>
  <c r="AB225" i="14"/>
  <c r="AC225" i="14"/>
  <c r="AD225" i="14"/>
  <c r="AE225" i="14"/>
  <c r="AF225" i="14"/>
  <c r="U226" i="14"/>
  <c r="V226" i="14"/>
  <c r="W226" i="14"/>
  <c r="X226" i="14"/>
  <c r="Y226" i="14"/>
  <c r="Z226" i="14"/>
  <c r="AA226" i="14"/>
  <c r="AB226" i="14"/>
  <c r="AC226" i="14"/>
  <c r="AD226" i="14"/>
  <c r="AE226" i="14"/>
  <c r="AF226" i="14"/>
  <c r="U227" i="14"/>
  <c r="V227" i="14"/>
  <c r="W227" i="14"/>
  <c r="X227" i="14"/>
  <c r="Y227" i="14"/>
  <c r="Z227" i="14"/>
  <c r="AA227" i="14"/>
  <c r="AB227" i="14"/>
  <c r="AC227" i="14"/>
  <c r="AD227" i="14"/>
  <c r="AE227" i="14"/>
  <c r="AF227" i="14"/>
  <c r="U228" i="14"/>
  <c r="V228" i="14"/>
  <c r="W228" i="14"/>
  <c r="X228" i="14"/>
  <c r="Y228" i="14"/>
  <c r="Z228" i="14"/>
  <c r="AA228" i="14"/>
  <c r="AB228" i="14"/>
  <c r="AC228" i="14"/>
  <c r="AD228" i="14"/>
  <c r="AE228" i="14"/>
  <c r="AF228" i="14"/>
  <c r="U229" i="14"/>
  <c r="V229" i="14"/>
  <c r="W229" i="14"/>
  <c r="X229" i="14"/>
  <c r="Y229" i="14"/>
  <c r="Z229" i="14"/>
  <c r="AA229" i="14"/>
  <c r="AB229" i="14"/>
  <c r="AC229" i="14"/>
  <c r="AD229" i="14"/>
  <c r="AE229" i="14"/>
  <c r="AF229" i="14"/>
  <c r="U230" i="14"/>
  <c r="V230" i="14"/>
  <c r="W230" i="14"/>
  <c r="X230" i="14"/>
  <c r="Y230" i="14"/>
  <c r="Z230" i="14"/>
  <c r="AA230" i="14"/>
  <c r="AB230" i="14"/>
  <c r="AC230" i="14"/>
  <c r="AD230" i="14"/>
  <c r="AE230" i="14"/>
  <c r="AF230" i="14"/>
  <c r="U231" i="14"/>
  <c r="V231" i="14"/>
  <c r="W231" i="14"/>
  <c r="X231" i="14"/>
  <c r="Y231" i="14"/>
  <c r="Z231" i="14"/>
  <c r="AA231" i="14"/>
  <c r="AB231" i="14"/>
  <c r="AC231" i="14"/>
  <c r="AD231" i="14"/>
  <c r="AE231" i="14"/>
  <c r="AF231" i="14"/>
  <c r="U232" i="14"/>
  <c r="V232" i="14"/>
  <c r="W232" i="14"/>
  <c r="X232" i="14"/>
  <c r="Y232" i="14"/>
  <c r="Z232" i="14"/>
  <c r="AA232" i="14"/>
  <c r="AB232" i="14"/>
  <c r="AC232" i="14"/>
  <c r="AD232" i="14"/>
  <c r="AE232" i="14"/>
  <c r="AF232" i="14"/>
  <c r="U233" i="14"/>
  <c r="V233" i="14"/>
  <c r="W233" i="14"/>
  <c r="X233" i="14"/>
  <c r="Y233" i="14"/>
  <c r="Z233" i="14"/>
  <c r="AA233" i="14"/>
  <c r="AB233" i="14"/>
  <c r="AC233" i="14"/>
  <c r="AD233" i="14"/>
  <c r="AE233" i="14"/>
  <c r="AF233" i="14"/>
  <c r="U234" i="14"/>
  <c r="V234" i="14"/>
  <c r="W234" i="14"/>
  <c r="X234" i="14"/>
  <c r="Y234" i="14"/>
  <c r="Z234" i="14"/>
  <c r="AA234" i="14"/>
  <c r="AB234" i="14"/>
  <c r="AC234" i="14"/>
  <c r="AD234" i="14"/>
  <c r="AE234" i="14"/>
  <c r="AF234" i="14"/>
  <c r="U235" i="14"/>
  <c r="V235" i="14"/>
  <c r="W235" i="14"/>
  <c r="X235" i="14"/>
  <c r="Y235" i="14"/>
  <c r="Z235" i="14"/>
  <c r="AA235" i="14"/>
  <c r="AB235" i="14"/>
  <c r="AC235" i="14"/>
  <c r="AD235" i="14"/>
  <c r="AE235" i="14"/>
  <c r="AF235" i="14"/>
  <c r="P122" i="5"/>
  <c r="P123" i="5"/>
  <c r="P124" i="5"/>
  <c r="P125" i="5"/>
  <c r="P126" i="5"/>
  <c r="P127" i="5"/>
  <c r="P128" i="5"/>
  <c r="P129" i="5"/>
  <c r="P130" i="5"/>
  <c r="P131" i="5"/>
  <c r="P132" i="5"/>
  <c r="P133" i="5"/>
  <c r="P134" i="5"/>
  <c r="P135" i="5"/>
  <c r="P136" i="5"/>
  <c r="P137" i="5"/>
  <c r="P138" i="5"/>
  <c r="P139" i="5"/>
  <c r="P140" i="5"/>
  <c r="P121" i="5"/>
  <c r="M256" i="15"/>
  <c r="L256" i="15"/>
  <c r="K256" i="15"/>
  <c r="J256" i="15"/>
  <c r="I256" i="15"/>
  <c r="H256" i="15"/>
  <c r="G256" i="15"/>
  <c r="F256" i="15"/>
  <c r="E256" i="15"/>
  <c r="D256" i="15"/>
  <c r="C256" i="15"/>
  <c r="B256" i="15"/>
  <c r="J110" i="15"/>
  <c r="J109" i="15"/>
  <c r="J108" i="15"/>
  <c r="J107" i="15"/>
  <c r="J106" i="15"/>
  <c r="J105" i="15"/>
  <c r="J104" i="15"/>
  <c r="J103" i="15"/>
  <c r="AF247" i="14" a="1"/>
  <c r="AE247" i="14" a="1"/>
  <c r="AD247" i="14" a="1"/>
  <c r="AC247" i="14" a="1"/>
  <c r="AB247" i="14" a="1"/>
  <c r="AA247" i="14" a="1"/>
  <c r="Z247" i="14" a="1"/>
  <c r="Y247" i="14" a="1"/>
  <c r="X247" i="14" a="1"/>
  <c r="W247" i="14" a="1"/>
  <c r="V247" i="14" a="1"/>
  <c r="U247" i="14" a="1"/>
  <c r="AF246" i="14" a="1"/>
  <c r="AE246" i="14" a="1"/>
  <c r="AD246" i="14" a="1"/>
  <c r="AC246" i="14" a="1"/>
  <c r="AB246" i="14" a="1"/>
  <c r="AA246" i="14" a="1"/>
  <c r="Z246" i="14" a="1"/>
  <c r="Y246" i="14" a="1"/>
  <c r="X246" i="14" a="1"/>
  <c r="W246" i="14" a="1"/>
  <c r="V246" i="14" a="1"/>
  <c r="U246" i="14" a="1"/>
  <c r="AF245" i="14" a="1"/>
  <c r="AE245" i="14" a="1"/>
  <c r="AD245" i="14" a="1"/>
  <c r="AC245" i="14" a="1"/>
  <c r="AB245" i="14" a="1"/>
  <c r="AA245" i="14" a="1"/>
  <c r="Z245" i="14" a="1"/>
  <c r="Y245" i="14" a="1"/>
  <c r="X245" i="14" a="1"/>
  <c r="W245" i="14" a="1"/>
  <c r="V245" i="14" a="1"/>
  <c r="U245" i="14" a="1"/>
  <c r="AF244" i="14" a="1"/>
  <c r="AE244" i="14" a="1"/>
  <c r="AD244" i="14" a="1"/>
  <c r="AC244" i="14" a="1"/>
  <c r="AB244" i="14" a="1"/>
  <c r="AA244" i="14" a="1"/>
  <c r="Z244" i="14" a="1"/>
  <c r="Y244" i="14" a="1"/>
  <c r="X244" i="14" a="1"/>
  <c r="W244" i="14" a="1"/>
  <c r="V244" i="14" a="1"/>
  <c r="U244" i="14" a="1"/>
  <c r="AF243" i="14" a="1"/>
  <c r="AE243" i="14" a="1"/>
  <c r="AD243" i="14" a="1"/>
  <c r="AC243" i="14" a="1"/>
  <c r="AB243" i="14" a="1"/>
  <c r="AA243" i="14" a="1"/>
  <c r="Z243" i="14" a="1"/>
  <c r="Y243" i="14" a="1"/>
  <c r="X243" i="14" a="1"/>
  <c r="W243" i="14" a="1"/>
  <c r="V243" i="14" a="1"/>
  <c r="U243" i="14" a="1"/>
  <c r="AF242" i="14" a="1"/>
  <c r="AE242" i="14" a="1"/>
  <c r="AD242" i="14" a="1"/>
  <c r="AC242" i="14" a="1"/>
  <c r="AB242" i="14" a="1"/>
  <c r="AA242" i="14" a="1"/>
  <c r="Z242" i="14" a="1"/>
  <c r="Y242" i="14" a="1"/>
  <c r="X242" i="14" a="1"/>
  <c r="W242" i="14" a="1"/>
  <c r="V242" i="14" a="1"/>
  <c r="U242" i="14" a="1"/>
  <c r="AF241" i="14" a="1"/>
  <c r="AE241" i="14" a="1"/>
  <c r="AD241" i="14" a="1"/>
  <c r="AC241" i="14" a="1"/>
  <c r="AB241" i="14" a="1"/>
  <c r="AA241" i="14" a="1"/>
  <c r="Z241" i="14" a="1"/>
  <c r="Y241" i="14" a="1"/>
  <c r="X241" i="14" a="1"/>
  <c r="W241" i="14" a="1"/>
  <c r="V241" i="14" a="1"/>
  <c r="U241" i="14" a="1"/>
  <c r="AF240" i="14" a="1"/>
  <c r="AE240" i="14" a="1"/>
  <c r="AD240" i="14" a="1"/>
  <c r="AC240" i="14" a="1"/>
  <c r="AB240" i="14" a="1"/>
  <c r="AA240" i="14" a="1"/>
  <c r="Z240" i="14" a="1"/>
  <c r="Y240" i="14" a="1"/>
  <c r="X240" i="14" a="1"/>
  <c r="W240" i="14" a="1"/>
  <c r="V240" i="14" a="1"/>
  <c r="U240" i="14" a="1"/>
  <c r="AF218" i="14" a="1"/>
  <c r="AE218" i="14" a="1"/>
  <c r="AD218" i="14" a="1"/>
  <c r="AC218" i="14" a="1"/>
  <c r="AB218" i="14" a="1"/>
  <c r="AA218" i="14" a="1"/>
  <c r="Z218" i="14" a="1"/>
  <c r="Y218" i="14" a="1"/>
  <c r="X218" i="14" a="1"/>
  <c r="W218" i="14" a="1"/>
  <c r="V218" i="14" a="1"/>
  <c r="U218" i="14" a="1"/>
  <c r="AF217" i="14" a="1"/>
  <c r="AE217" i="14" a="1"/>
  <c r="AD217" i="14" a="1"/>
  <c r="AC217" i="14" a="1"/>
  <c r="AB217" i="14" a="1"/>
  <c r="AA217" i="14" a="1"/>
  <c r="Z217" i="14" a="1"/>
  <c r="Y217" i="14" a="1"/>
  <c r="X217" i="14" a="1"/>
  <c r="W217" i="14" a="1"/>
  <c r="V217" i="14" a="1"/>
  <c r="U217" i="14" a="1"/>
  <c r="AF216" i="14" a="1"/>
  <c r="AE216" i="14" a="1"/>
  <c r="AD216" i="14" a="1"/>
  <c r="AC216" i="14" a="1"/>
  <c r="AB216" i="14" a="1"/>
  <c r="AA216" i="14" a="1"/>
  <c r="Z216" i="14" a="1"/>
  <c r="Y216" i="14" a="1"/>
  <c r="X216" i="14" a="1"/>
  <c r="W216" i="14" a="1"/>
  <c r="V216" i="14" a="1"/>
  <c r="U216" i="14" a="1"/>
  <c r="AF215" i="14" a="1"/>
  <c r="AE215" i="14" a="1"/>
  <c r="AD215" i="14" a="1"/>
  <c r="AC215" i="14" a="1"/>
  <c r="AB215" i="14" a="1"/>
  <c r="AA215" i="14" a="1"/>
  <c r="Z215" i="14" a="1"/>
  <c r="Y215" i="14" a="1"/>
  <c r="X215" i="14" a="1"/>
  <c r="W215" i="14" a="1"/>
  <c r="V215" i="14" a="1"/>
  <c r="U215" i="14" a="1"/>
  <c r="AF214" i="14" a="1"/>
  <c r="AE214" i="14" a="1"/>
  <c r="AD214" i="14" a="1"/>
  <c r="AC214" i="14" a="1"/>
  <c r="AB214" i="14" a="1"/>
  <c r="AA214" i="14" a="1"/>
  <c r="Z214" i="14" a="1"/>
  <c r="Y214" i="14" a="1"/>
  <c r="X214" i="14" a="1"/>
  <c r="W214" i="14" a="1"/>
  <c r="V214" i="14" a="1"/>
  <c r="U214" i="14" a="1"/>
  <c r="AF213" i="14" a="1"/>
  <c r="AE213" i="14" a="1"/>
  <c r="AD213" i="14" a="1"/>
  <c r="AC213" i="14" a="1"/>
  <c r="AB213" i="14" a="1"/>
  <c r="AA213" i="14" a="1"/>
  <c r="Z213" i="14" a="1"/>
  <c r="Y213" i="14" a="1"/>
  <c r="X213" i="14" a="1"/>
  <c r="W213" i="14" a="1"/>
  <c r="V213" i="14" a="1"/>
  <c r="U213" i="14" a="1"/>
  <c r="U205" i="14" a="1"/>
  <c r="AF192" i="14"/>
  <c r="AE192" i="14"/>
  <c r="AD192" i="14"/>
  <c r="AC192" i="14"/>
  <c r="AB192" i="14"/>
  <c r="AA192" i="14"/>
  <c r="Z192" i="14"/>
  <c r="Y192" i="14"/>
  <c r="X192" i="14"/>
  <c r="W192" i="14"/>
  <c r="V192" i="14"/>
  <c r="U192" i="14"/>
  <c r="N175" i="14"/>
  <c r="M175" i="14"/>
  <c r="L175" i="14"/>
  <c r="K175" i="14"/>
  <c r="J175" i="14"/>
  <c r="I175" i="14"/>
  <c r="H175" i="14"/>
  <c r="G175" i="14"/>
  <c r="F175" i="14"/>
  <c r="E175" i="14"/>
  <c r="D175" i="14"/>
  <c r="C175" i="14"/>
  <c r="H149" i="14"/>
  <c r="H148" i="14"/>
  <c r="H147" i="14"/>
  <c r="H146" i="14"/>
  <c r="H145" i="14"/>
  <c r="H144" i="14"/>
  <c r="I143" i="14"/>
  <c r="G143" i="14"/>
  <c r="F143" i="14"/>
  <c r="E143" i="14"/>
  <c r="D143" i="14"/>
  <c r="C143" i="14"/>
  <c r="BF140" i="14"/>
  <c r="BE140" i="14"/>
  <c r="BD140" i="14"/>
  <c r="BC140" i="14"/>
  <c r="BB140" i="14"/>
  <c r="BA140" i="14"/>
  <c r="AZ140" i="14"/>
  <c r="AY140" i="14"/>
  <c r="AX140" i="14"/>
  <c r="AW140" i="14"/>
  <c r="AV140" i="14"/>
  <c r="AU140" i="14"/>
  <c r="AS140" i="14"/>
  <c r="AR140" i="14"/>
  <c r="AQ140" i="14"/>
  <c r="AP140" i="14"/>
  <c r="AO140" i="14"/>
  <c r="AN140" i="14"/>
  <c r="AM140" i="14"/>
  <c r="AL140" i="14"/>
  <c r="AK140" i="14"/>
  <c r="AJ140" i="14"/>
  <c r="AI140" i="14"/>
  <c r="AH140" i="14"/>
  <c r="AF140" i="14" a="1"/>
  <c r="AE140" i="14" a="1"/>
  <c r="AD140" i="14" a="1"/>
  <c r="AC140" i="14" a="1"/>
  <c r="AB140" i="14" a="1"/>
  <c r="AA140" i="14" a="1"/>
  <c r="Z140" i="14" a="1"/>
  <c r="Y140" i="14" a="1"/>
  <c r="X140" i="14" a="1"/>
  <c r="W140" i="14" a="1"/>
  <c r="V140" i="14" a="1"/>
  <c r="U140" i="14" a="1"/>
  <c r="P140" i="14"/>
  <c r="BF139" i="14"/>
  <c r="BE139" i="14"/>
  <c r="BD139" i="14"/>
  <c r="BC139" i="14"/>
  <c r="BB139" i="14"/>
  <c r="BA139" i="14"/>
  <c r="AZ139" i="14"/>
  <c r="AY139" i="14"/>
  <c r="AX139" i="14"/>
  <c r="AW139" i="14"/>
  <c r="AV139" i="14"/>
  <c r="AU139" i="14"/>
  <c r="AS139" i="14"/>
  <c r="AR139" i="14"/>
  <c r="AQ139" i="14"/>
  <c r="AP139" i="14"/>
  <c r="AO139" i="14"/>
  <c r="AN139" i="14"/>
  <c r="AM139" i="14"/>
  <c r="AL139" i="14"/>
  <c r="AK139" i="14"/>
  <c r="AJ139" i="14"/>
  <c r="AI139" i="14"/>
  <c r="AH139" i="14"/>
  <c r="AF139" i="14" a="1"/>
  <c r="AE139" i="14" a="1"/>
  <c r="AD139" i="14" a="1"/>
  <c r="AC139" i="14" a="1"/>
  <c r="AB139" i="14" a="1"/>
  <c r="AA139" i="14" a="1"/>
  <c r="Z139" i="14" a="1"/>
  <c r="Y139" i="14" a="1"/>
  <c r="X139" i="14" a="1"/>
  <c r="W139" i="14" a="1"/>
  <c r="V139" i="14" a="1"/>
  <c r="U139" i="14" a="1"/>
  <c r="P139" i="14"/>
  <c r="BF138" i="14"/>
  <c r="BE138" i="14"/>
  <c r="BD138" i="14"/>
  <c r="BC138" i="14"/>
  <c r="BB138" i="14"/>
  <c r="BA138" i="14"/>
  <c r="AZ138" i="14"/>
  <c r="AY138" i="14"/>
  <c r="AX138" i="14"/>
  <c r="AW138" i="14"/>
  <c r="AV138" i="14"/>
  <c r="AU138" i="14"/>
  <c r="AS138" i="14"/>
  <c r="AR138" i="14"/>
  <c r="AQ138" i="14"/>
  <c r="AP138" i="14"/>
  <c r="AO138" i="14"/>
  <c r="AN138" i="14"/>
  <c r="AM138" i="14"/>
  <c r="AL138" i="14"/>
  <c r="AK138" i="14"/>
  <c r="AJ138" i="14"/>
  <c r="AI138" i="14"/>
  <c r="AH138" i="14"/>
  <c r="AF138" i="14" a="1"/>
  <c r="AE138" i="14" a="1"/>
  <c r="AD138" i="14" a="1"/>
  <c r="AC138" i="14" a="1"/>
  <c r="AB138" i="14" a="1"/>
  <c r="AA138" i="14" a="1"/>
  <c r="Z138" i="14" a="1"/>
  <c r="Y138" i="14" a="1"/>
  <c r="X138" i="14" a="1"/>
  <c r="W138" i="14" a="1"/>
  <c r="V138" i="14" a="1"/>
  <c r="U138" i="14" a="1"/>
  <c r="P138" i="14"/>
  <c r="BF137" i="14"/>
  <c r="BE137" i="14"/>
  <c r="BD137" i="14"/>
  <c r="BC137" i="14"/>
  <c r="BB137" i="14"/>
  <c r="BA137" i="14"/>
  <c r="AZ137" i="14"/>
  <c r="AY137" i="14"/>
  <c r="AX137" i="14"/>
  <c r="AW137" i="14"/>
  <c r="AV137" i="14"/>
  <c r="AU137" i="14"/>
  <c r="AS137" i="14"/>
  <c r="AR137" i="14"/>
  <c r="AQ137" i="14"/>
  <c r="AP137" i="14"/>
  <c r="AO137" i="14"/>
  <c r="AN137" i="14"/>
  <c r="AM137" i="14"/>
  <c r="AL137" i="14"/>
  <c r="AK137" i="14"/>
  <c r="AJ137" i="14"/>
  <c r="AI137" i="14"/>
  <c r="AH137" i="14"/>
  <c r="AF137" i="14" a="1"/>
  <c r="AE137" i="14" a="1"/>
  <c r="AD137" i="14" a="1"/>
  <c r="AC137" i="14" a="1"/>
  <c r="AB137" i="14" a="1"/>
  <c r="AA137" i="14" a="1"/>
  <c r="Z137" i="14" a="1"/>
  <c r="Y137" i="14" a="1"/>
  <c r="X137" i="14" a="1"/>
  <c r="W137" i="14" a="1"/>
  <c r="V137" i="14" a="1"/>
  <c r="U137" i="14" a="1"/>
  <c r="P137" i="14"/>
  <c r="BF136" i="14"/>
  <c r="BE136" i="14"/>
  <c r="BD136" i="14"/>
  <c r="BC136" i="14"/>
  <c r="BB136" i="14"/>
  <c r="BA136" i="14"/>
  <c r="AZ136" i="14"/>
  <c r="AY136" i="14"/>
  <c r="AX136" i="14"/>
  <c r="AW136" i="14"/>
  <c r="AV136" i="14"/>
  <c r="AU136" i="14"/>
  <c r="AS136" i="14"/>
  <c r="AR136" i="14"/>
  <c r="AQ136" i="14"/>
  <c r="AP136" i="14"/>
  <c r="AO136" i="14"/>
  <c r="AN136" i="14"/>
  <c r="AM136" i="14"/>
  <c r="AL136" i="14"/>
  <c r="AK136" i="14"/>
  <c r="AJ136" i="14"/>
  <c r="AI136" i="14"/>
  <c r="AH136" i="14"/>
  <c r="AF136" i="14" a="1"/>
  <c r="AE136" i="14" a="1"/>
  <c r="AD136" i="14" a="1"/>
  <c r="AC136" i="14" a="1"/>
  <c r="AB136" i="14" a="1"/>
  <c r="AA136" i="14" a="1"/>
  <c r="Z136" i="14" a="1"/>
  <c r="Y136" i="14" a="1"/>
  <c r="X136" i="14" a="1"/>
  <c r="W136" i="14" a="1"/>
  <c r="V136" i="14" a="1"/>
  <c r="U136" i="14" a="1"/>
  <c r="P136" i="14"/>
  <c r="BF135" i="14"/>
  <c r="BE135" i="14"/>
  <c r="BD135" i="14"/>
  <c r="BC135" i="14"/>
  <c r="BB135" i="14"/>
  <c r="BA135" i="14"/>
  <c r="AZ135" i="14"/>
  <c r="AY135" i="14"/>
  <c r="AX135" i="14"/>
  <c r="AW135" i="14"/>
  <c r="AV135" i="14"/>
  <c r="AU135" i="14"/>
  <c r="AS135" i="14"/>
  <c r="AR135" i="14"/>
  <c r="AQ135" i="14"/>
  <c r="AP135" i="14"/>
  <c r="AO135" i="14"/>
  <c r="AN135" i="14"/>
  <c r="AM135" i="14"/>
  <c r="AL135" i="14"/>
  <c r="AK135" i="14"/>
  <c r="AJ135" i="14"/>
  <c r="AI135" i="14"/>
  <c r="AH135" i="14"/>
  <c r="AF135" i="14" a="1"/>
  <c r="AE135" i="14" a="1"/>
  <c r="AD135" i="14" a="1"/>
  <c r="AC135" i="14" a="1"/>
  <c r="AB135" i="14" a="1"/>
  <c r="AA135" i="14" a="1"/>
  <c r="Z135" i="14" a="1"/>
  <c r="Y135" i="14" a="1"/>
  <c r="X135" i="14" a="1"/>
  <c r="W135" i="14" a="1"/>
  <c r="V135" i="14" a="1"/>
  <c r="U135" i="14" a="1"/>
  <c r="P135" i="14"/>
  <c r="BF134" i="14"/>
  <c r="BE134" i="14"/>
  <c r="BD134" i="14"/>
  <c r="BC134" i="14"/>
  <c r="BB134" i="14"/>
  <c r="BA134" i="14"/>
  <c r="AZ134" i="14"/>
  <c r="AY134" i="14"/>
  <c r="AX134" i="14"/>
  <c r="AW134" i="14"/>
  <c r="AV134" i="14"/>
  <c r="AU134" i="14"/>
  <c r="AS134" i="14"/>
  <c r="AR134" i="14"/>
  <c r="AQ134" i="14"/>
  <c r="AP134" i="14"/>
  <c r="AO134" i="14"/>
  <c r="AN134" i="14"/>
  <c r="AM134" i="14"/>
  <c r="AL134" i="14"/>
  <c r="AK134" i="14"/>
  <c r="AJ134" i="14"/>
  <c r="AI134" i="14"/>
  <c r="AH134" i="14"/>
  <c r="AF134" i="14" a="1"/>
  <c r="AE134" i="14" a="1"/>
  <c r="AD134" i="14" a="1"/>
  <c r="AC134" i="14" a="1"/>
  <c r="AB134" i="14" a="1"/>
  <c r="AA134" i="14" a="1"/>
  <c r="Z134" i="14" a="1"/>
  <c r="Y134" i="14" a="1"/>
  <c r="X134" i="14" a="1"/>
  <c r="W134" i="14" a="1"/>
  <c r="V134" i="14" a="1"/>
  <c r="U134" i="14" a="1"/>
  <c r="P134" i="14"/>
  <c r="BF133" i="14"/>
  <c r="BE133" i="14"/>
  <c r="BD133" i="14"/>
  <c r="BC133" i="14"/>
  <c r="BB133" i="14"/>
  <c r="BA133" i="14"/>
  <c r="AZ133" i="14"/>
  <c r="AY133" i="14"/>
  <c r="AX133" i="14"/>
  <c r="AW133" i="14"/>
  <c r="AV133" i="14"/>
  <c r="AU133" i="14"/>
  <c r="AS133" i="14"/>
  <c r="AR133" i="14"/>
  <c r="AQ133" i="14"/>
  <c r="AP133" i="14"/>
  <c r="AO133" i="14"/>
  <c r="AN133" i="14"/>
  <c r="AM133" i="14"/>
  <c r="AL133" i="14"/>
  <c r="AK133" i="14"/>
  <c r="AJ133" i="14"/>
  <c r="AI133" i="14"/>
  <c r="AH133" i="14"/>
  <c r="AF133" i="14" a="1"/>
  <c r="AE133" i="14" a="1"/>
  <c r="AD133" i="14" a="1"/>
  <c r="AC133" i="14" a="1"/>
  <c r="AB133" i="14" a="1"/>
  <c r="AA133" i="14" a="1"/>
  <c r="Z133" i="14" a="1"/>
  <c r="Y133" i="14" a="1"/>
  <c r="X133" i="14" a="1"/>
  <c r="W133" i="14" a="1"/>
  <c r="V133" i="14" a="1"/>
  <c r="U133" i="14" a="1"/>
  <c r="P133" i="14"/>
  <c r="BF132" i="14"/>
  <c r="BE132" i="14"/>
  <c r="BD132" i="14"/>
  <c r="BC132" i="14"/>
  <c r="BB132" i="14"/>
  <c r="BA132" i="14"/>
  <c r="AZ132" i="14"/>
  <c r="AY132" i="14"/>
  <c r="AX132" i="14"/>
  <c r="AW132" i="14"/>
  <c r="AV132" i="14"/>
  <c r="AU132" i="14"/>
  <c r="AS132" i="14"/>
  <c r="AR132" i="14"/>
  <c r="AQ132" i="14"/>
  <c r="AP132" i="14"/>
  <c r="AO132" i="14"/>
  <c r="AN132" i="14"/>
  <c r="AM132" i="14"/>
  <c r="AL132" i="14"/>
  <c r="AK132" i="14"/>
  <c r="AJ132" i="14"/>
  <c r="AI132" i="14"/>
  <c r="AH132" i="14"/>
  <c r="AF132" i="14" a="1"/>
  <c r="AE132" i="14" a="1"/>
  <c r="AD132" i="14" a="1"/>
  <c r="AC132" i="14" a="1"/>
  <c r="AB132" i="14" a="1"/>
  <c r="AA132" i="14" a="1"/>
  <c r="Z132" i="14" a="1"/>
  <c r="Y132" i="14" a="1"/>
  <c r="X132" i="14" a="1"/>
  <c r="W132" i="14" a="1"/>
  <c r="V132" i="14" a="1"/>
  <c r="U132" i="14" a="1"/>
  <c r="P132" i="14"/>
  <c r="BF131" i="14"/>
  <c r="BE131" i="14"/>
  <c r="BD131" i="14"/>
  <c r="BC131" i="14"/>
  <c r="BB131" i="14"/>
  <c r="BA131" i="14"/>
  <c r="AZ131" i="14"/>
  <c r="AY131" i="14"/>
  <c r="AX131" i="14"/>
  <c r="AW131" i="14"/>
  <c r="AV131" i="14"/>
  <c r="AU131" i="14"/>
  <c r="AS131" i="14"/>
  <c r="AR131" i="14"/>
  <c r="AQ131" i="14"/>
  <c r="AP131" i="14"/>
  <c r="AO131" i="14"/>
  <c r="AN131" i="14"/>
  <c r="AM131" i="14"/>
  <c r="AL131" i="14"/>
  <c r="AK131" i="14"/>
  <c r="AJ131" i="14"/>
  <c r="AI131" i="14"/>
  <c r="AH131" i="14"/>
  <c r="AF131" i="14" a="1"/>
  <c r="AE131" i="14" a="1"/>
  <c r="AD131" i="14" a="1"/>
  <c r="AC131" i="14" a="1"/>
  <c r="AB131" i="14" a="1"/>
  <c r="AA131" i="14" a="1"/>
  <c r="Z131" i="14" a="1"/>
  <c r="Y131" i="14" a="1"/>
  <c r="X131" i="14" a="1"/>
  <c r="W131" i="14" a="1"/>
  <c r="V131" i="14" a="1"/>
  <c r="U131" i="14" a="1"/>
  <c r="P131" i="14"/>
  <c r="BF130" i="14"/>
  <c r="BE130" i="14"/>
  <c r="BD130" i="14"/>
  <c r="BC130" i="14"/>
  <c r="BB130" i="14"/>
  <c r="BA130" i="14"/>
  <c r="AZ130" i="14"/>
  <c r="AY130" i="14"/>
  <c r="AX130" i="14"/>
  <c r="AW130" i="14"/>
  <c r="AV130" i="14"/>
  <c r="AU130" i="14"/>
  <c r="AS130" i="14"/>
  <c r="AR130" i="14"/>
  <c r="AQ130" i="14"/>
  <c r="AP130" i="14"/>
  <c r="AO130" i="14"/>
  <c r="AN130" i="14"/>
  <c r="AM130" i="14"/>
  <c r="AL130" i="14"/>
  <c r="AK130" i="14"/>
  <c r="AJ130" i="14"/>
  <c r="AI130" i="14"/>
  <c r="AH130" i="14"/>
  <c r="P130" i="14"/>
  <c r="BF129" i="14"/>
  <c r="BE129" i="14"/>
  <c r="BD129" i="14"/>
  <c r="BC129" i="14"/>
  <c r="BB129" i="14"/>
  <c r="BA129" i="14"/>
  <c r="AZ129" i="14"/>
  <c r="AY129" i="14"/>
  <c r="AX129" i="14"/>
  <c r="AW129" i="14"/>
  <c r="AV129" i="14"/>
  <c r="AU129" i="14"/>
  <c r="AS129" i="14"/>
  <c r="AR129" i="14"/>
  <c r="AQ129" i="14"/>
  <c r="AP129" i="14"/>
  <c r="AO129" i="14"/>
  <c r="AN129" i="14"/>
  <c r="AM129" i="14"/>
  <c r="AL129" i="14"/>
  <c r="AK129" i="14"/>
  <c r="AJ129" i="14"/>
  <c r="AI129" i="14"/>
  <c r="AH129" i="14"/>
  <c r="V129" i="14" a="1"/>
  <c r="U129" i="14" a="1"/>
  <c r="P129" i="14"/>
  <c r="BF128" i="14"/>
  <c r="BE128" i="14"/>
  <c r="BD128" i="14"/>
  <c r="BC128" i="14"/>
  <c r="BB128" i="14"/>
  <c r="BA128" i="14"/>
  <c r="AZ128" i="14"/>
  <c r="AY128" i="14"/>
  <c r="AX128" i="14"/>
  <c r="AW128" i="14"/>
  <c r="AV128" i="14"/>
  <c r="AU128" i="14"/>
  <c r="AS128" i="14"/>
  <c r="AR128" i="14"/>
  <c r="AQ128" i="14"/>
  <c r="AP128" i="14"/>
  <c r="AO128" i="14"/>
  <c r="AN128" i="14"/>
  <c r="AM128" i="14"/>
  <c r="AL128" i="14"/>
  <c r="AK128" i="14"/>
  <c r="AJ128" i="14"/>
  <c r="AI128" i="14"/>
  <c r="AH128" i="14"/>
  <c r="P128" i="14"/>
  <c r="BF127" i="14"/>
  <c r="BE127" i="14"/>
  <c r="BD127" i="14"/>
  <c r="BC127" i="14"/>
  <c r="BB127" i="14"/>
  <c r="BA127" i="14"/>
  <c r="AZ127" i="14"/>
  <c r="AY127" i="14"/>
  <c r="AX127" i="14"/>
  <c r="AW127" i="14"/>
  <c r="AV127" i="14"/>
  <c r="AU127" i="14"/>
  <c r="AS127" i="14"/>
  <c r="AR127" i="14"/>
  <c r="AQ127" i="14"/>
  <c r="AP127" i="14"/>
  <c r="AO127" i="14"/>
  <c r="AN127" i="14"/>
  <c r="AM127" i="14"/>
  <c r="AL127" i="14"/>
  <c r="AK127" i="14"/>
  <c r="AJ127" i="14"/>
  <c r="AI127" i="14"/>
  <c r="AH127" i="14"/>
  <c r="P127" i="14"/>
  <c r="BF126" i="14"/>
  <c r="BE126" i="14"/>
  <c r="BD126" i="14"/>
  <c r="BC126" i="14"/>
  <c r="BB126" i="14"/>
  <c r="BA126" i="14"/>
  <c r="AZ126" i="14"/>
  <c r="AY126" i="14"/>
  <c r="AX126" i="14"/>
  <c r="AW126" i="14"/>
  <c r="AV126" i="14"/>
  <c r="AU126" i="14"/>
  <c r="AS126" i="14"/>
  <c r="AR126" i="14"/>
  <c r="AQ126" i="14"/>
  <c r="AP126" i="14"/>
  <c r="AO126" i="14"/>
  <c r="AN126" i="14"/>
  <c r="AM126" i="14"/>
  <c r="AL126" i="14"/>
  <c r="AK126" i="14"/>
  <c r="AJ126" i="14"/>
  <c r="AI126" i="14"/>
  <c r="AH126" i="14"/>
  <c r="P126" i="14"/>
  <c r="BF125" i="14"/>
  <c r="BE125" i="14"/>
  <c r="BD125" i="14"/>
  <c r="BC125" i="14"/>
  <c r="BB125" i="14"/>
  <c r="BA125" i="14"/>
  <c r="AZ125" i="14"/>
  <c r="AY125" i="14"/>
  <c r="AX125" i="14"/>
  <c r="AW125" i="14"/>
  <c r="AV125" i="14"/>
  <c r="AU125" i="14"/>
  <c r="AS125" i="14"/>
  <c r="AR125" i="14"/>
  <c r="AQ125" i="14"/>
  <c r="AP125" i="14"/>
  <c r="AO125" i="14"/>
  <c r="AN125" i="14"/>
  <c r="AM125" i="14"/>
  <c r="AL125" i="14"/>
  <c r="AK125" i="14"/>
  <c r="AJ125" i="14"/>
  <c r="AI125" i="14"/>
  <c r="AH125" i="14"/>
  <c r="P125" i="14"/>
  <c r="BF124" i="14"/>
  <c r="BE124" i="14"/>
  <c r="BD124" i="14"/>
  <c r="BC124" i="14"/>
  <c r="BB124" i="14"/>
  <c r="BA124" i="14"/>
  <c r="AZ124" i="14"/>
  <c r="AY124" i="14"/>
  <c r="AX124" i="14"/>
  <c r="AW124" i="14"/>
  <c r="AV124" i="14"/>
  <c r="AU124" i="14"/>
  <c r="AS124" i="14"/>
  <c r="AR124" i="14"/>
  <c r="AQ124" i="14"/>
  <c r="AP124" i="14"/>
  <c r="AO124" i="14"/>
  <c r="AN124" i="14"/>
  <c r="AM124" i="14"/>
  <c r="AL124" i="14"/>
  <c r="AK124" i="14"/>
  <c r="AJ124" i="14"/>
  <c r="AI124" i="14"/>
  <c r="AH124" i="14"/>
  <c r="P124" i="14"/>
  <c r="BF123" i="14"/>
  <c r="BE123" i="14"/>
  <c r="BD123" i="14"/>
  <c r="BC123" i="14"/>
  <c r="BB123" i="14"/>
  <c r="BA123" i="14"/>
  <c r="AZ123" i="14"/>
  <c r="AY123" i="14"/>
  <c r="AX123" i="14"/>
  <c r="AW123" i="14"/>
  <c r="AV123" i="14"/>
  <c r="AU123" i="14"/>
  <c r="AS123" i="14"/>
  <c r="AR123" i="14"/>
  <c r="AQ123" i="14"/>
  <c r="AP123" i="14"/>
  <c r="AO123" i="14"/>
  <c r="AN123" i="14"/>
  <c r="AM123" i="14"/>
  <c r="AL123" i="14"/>
  <c r="AK123" i="14"/>
  <c r="AJ123" i="14"/>
  <c r="AI123" i="14"/>
  <c r="AH123" i="14"/>
  <c r="P123" i="14"/>
  <c r="BF122" i="14"/>
  <c r="BE122" i="14"/>
  <c r="BD122" i="14"/>
  <c r="BC122" i="14"/>
  <c r="BB122" i="14"/>
  <c r="BA122" i="14"/>
  <c r="AZ122" i="14"/>
  <c r="AY122" i="14"/>
  <c r="AX122" i="14"/>
  <c r="AW122" i="14"/>
  <c r="AV122" i="14"/>
  <c r="AU122" i="14"/>
  <c r="AS122" i="14"/>
  <c r="AR122" i="14"/>
  <c r="AQ122" i="14"/>
  <c r="AP122" i="14"/>
  <c r="AO122" i="14"/>
  <c r="AN122" i="14"/>
  <c r="AM122" i="14"/>
  <c r="AL122" i="14"/>
  <c r="AK122" i="14"/>
  <c r="AJ122" i="14"/>
  <c r="AI122" i="14"/>
  <c r="AH122" i="14"/>
  <c r="P122" i="14"/>
  <c r="BF121" i="14"/>
  <c r="BE121" i="14"/>
  <c r="BD121" i="14"/>
  <c r="BC121" i="14"/>
  <c r="BB121" i="14"/>
  <c r="BA121" i="14"/>
  <c r="AZ121" i="14"/>
  <c r="AY121" i="14"/>
  <c r="AX121" i="14"/>
  <c r="AW121" i="14"/>
  <c r="AV121" i="14"/>
  <c r="AU121" i="14"/>
  <c r="AS121" i="14"/>
  <c r="AR121" i="14"/>
  <c r="AQ121" i="14"/>
  <c r="AP121" i="14"/>
  <c r="AO121" i="14"/>
  <c r="AN121" i="14"/>
  <c r="AM121" i="14"/>
  <c r="AL121" i="14"/>
  <c r="AK121" i="14"/>
  <c r="AJ121" i="14"/>
  <c r="AI121" i="14"/>
  <c r="AH121" i="14"/>
  <c r="P121" i="14"/>
  <c r="E116" i="14"/>
  <c r="B115" i="14"/>
  <c r="AS102" i="14"/>
  <c r="AR102" i="14"/>
  <c r="AQ102" i="14"/>
  <c r="AP102" i="14"/>
  <c r="AO102" i="14"/>
  <c r="AN102" i="14"/>
  <c r="AM102" i="14"/>
  <c r="AL102" i="14"/>
  <c r="AK102" i="14"/>
  <c r="AJ102" i="14"/>
  <c r="AI102" i="14"/>
  <c r="AH102" i="14"/>
  <c r="AF102" i="14"/>
  <c r="AE102" i="14"/>
  <c r="AD102" i="14"/>
  <c r="AC102" i="14"/>
  <c r="AB102" i="14"/>
  <c r="AA102" i="14"/>
  <c r="Z102" i="14"/>
  <c r="Y102" i="14"/>
  <c r="X102" i="14"/>
  <c r="W102" i="14"/>
  <c r="V102" i="14"/>
  <c r="U102" i="14"/>
  <c r="AS101" i="14"/>
  <c r="AR101" i="14"/>
  <c r="AQ101" i="14"/>
  <c r="AP101" i="14"/>
  <c r="AO101" i="14"/>
  <c r="AN101" i="14"/>
  <c r="AM101" i="14"/>
  <c r="AL101" i="14"/>
  <c r="AK101" i="14"/>
  <c r="AJ101" i="14"/>
  <c r="AI101" i="14"/>
  <c r="AH101" i="14"/>
  <c r="AF101" i="14"/>
  <c r="AE101" i="14"/>
  <c r="AD101" i="14"/>
  <c r="AC101" i="14"/>
  <c r="AB101" i="14"/>
  <c r="AA101" i="14"/>
  <c r="Z101" i="14"/>
  <c r="Y101" i="14"/>
  <c r="X101" i="14"/>
  <c r="W101" i="14"/>
  <c r="V101" i="14"/>
  <c r="U101" i="14"/>
  <c r="AS100" i="14"/>
  <c r="AR100" i="14"/>
  <c r="AQ100" i="14"/>
  <c r="AP100" i="14"/>
  <c r="AO100" i="14"/>
  <c r="AN100" i="14"/>
  <c r="AM100" i="14"/>
  <c r="AL100" i="14"/>
  <c r="AK100" i="14"/>
  <c r="AJ100" i="14"/>
  <c r="AI100" i="14"/>
  <c r="AH100" i="14"/>
  <c r="AF100" i="14"/>
  <c r="AE100" i="14"/>
  <c r="AD100" i="14"/>
  <c r="AC100" i="14"/>
  <c r="AB100" i="14"/>
  <c r="AA100" i="14"/>
  <c r="Z100" i="14"/>
  <c r="Y100" i="14"/>
  <c r="X100" i="14"/>
  <c r="W100" i="14"/>
  <c r="V100" i="14"/>
  <c r="U100" i="14"/>
  <c r="AS99" i="14"/>
  <c r="AR99" i="14"/>
  <c r="AQ99" i="14"/>
  <c r="AP99" i="14"/>
  <c r="AO99" i="14"/>
  <c r="AN99" i="14"/>
  <c r="AM99" i="14"/>
  <c r="AL99" i="14"/>
  <c r="AK99" i="14"/>
  <c r="AJ99" i="14"/>
  <c r="AI99" i="14"/>
  <c r="AH99" i="14"/>
  <c r="AF99" i="14"/>
  <c r="AE99" i="14"/>
  <c r="AD99" i="14"/>
  <c r="AC99" i="14"/>
  <c r="AB99" i="14"/>
  <c r="AA99" i="14"/>
  <c r="Z99" i="14"/>
  <c r="Y99" i="14"/>
  <c r="X99" i="14"/>
  <c r="W99" i="14"/>
  <c r="V99" i="14"/>
  <c r="U99" i="14"/>
  <c r="AS98" i="14"/>
  <c r="AR98" i="14"/>
  <c r="AQ98" i="14"/>
  <c r="AP98" i="14"/>
  <c r="AO98" i="14"/>
  <c r="AN98" i="14"/>
  <c r="AM98" i="14"/>
  <c r="AL98" i="14"/>
  <c r="AK98" i="14"/>
  <c r="AJ98" i="14"/>
  <c r="AI98" i="14"/>
  <c r="AH98" i="14"/>
  <c r="AF98" i="14"/>
  <c r="AE98" i="14"/>
  <c r="AD98" i="14"/>
  <c r="AC98" i="14"/>
  <c r="AB98" i="14"/>
  <c r="AA98" i="14"/>
  <c r="Z98" i="14"/>
  <c r="Y98" i="14"/>
  <c r="X98" i="14"/>
  <c r="W98" i="14"/>
  <c r="V98" i="14"/>
  <c r="U98" i="14"/>
  <c r="AS97" i="14"/>
  <c r="AR97" i="14"/>
  <c r="AQ97" i="14"/>
  <c r="AP97" i="14"/>
  <c r="AO97" i="14"/>
  <c r="AN97" i="14"/>
  <c r="AM97" i="14"/>
  <c r="AL97" i="14"/>
  <c r="AK97" i="14"/>
  <c r="AJ97" i="14"/>
  <c r="AI97" i="14"/>
  <c r="AH97" i="14"/>
  <c r="AF97" i="14"/>
  <c r="AE97" i="14"/>
  <c r="AD97" i="14"/>
  <c r="AC97" i="14"/>
  <c r="AB97" i="14"/>
  <c r="AA97" i="14"/>
  <c r="Z97" i="14"/>
  <c r="Y97" i="14"/>
  <c r="X97" i="14"/>
  <c r="W97" i="14"/>
  <c r="V97" i="14"/>
  <c r="U97" i="14"/>
  <c r="AS96" i="14"/>
  <c r="AR96" i="14"/>
  <c r="AQ96" i="14"/>
  <c r="AP96" i="14"/>
  <c r="AO96" i="14"/>
  <c r="AN96" i="14"/>
  <c r="AM96" i="14"/>
  <c r="AL96" i="14"/>
  <c r="AK96" i="14"/>
  <c r="AJ96" i="14"/>
  <c r="AI96" i="14"/>
  <c r="AH96" i="14"/>
  <c r="AF96" i="14"/>
  <c r="AE96" i="14"/>
  <c r="AD96" i="14"/>
  <c r="AC96" i="14"/>
  <c r="AB96" i="14"/>
  <c r="AA96" i="14"/>
  <c r="Z96" i="14"/>
  <c r="Y96" i="14"/>
  <c r="X96" i="14"/>
  <c r="W96" i="14"/>
  <c r="V96" i="14"/>
  <c r="U96" i="14"/>
  <c r="AS95" i="14"/>
  <c r="AR95" i="14"/>
  <c r="AQ95" i="14"/>
  <c r="AP95" i="14"/>
  <c r="AO95" i="14"/>
  <c r="AN95" i="14"/>
  <c r="AM95" i="14"/>
  <c r="AL95" i="14"/>
  <c r="AK95" i="14"/>
  <c r="AJ95" i="14"/>
  <c r="AI95" i="14"/>
  <c r="AH95" i="14"/>
  <c r="AF95" i="14"/>
  <c r="AE95" i="14"/>
  <c r="AD95" i="14"/>
  <c r="AC95" i="14"/>
  <c r="AB95" i="14"/>
  <c r="AA95" i="14"/>
  <c r="Z95" i="14"/>
  <c r="Y95" i="14"/>
  <c r="X95" i="14"/>
  <c r="W95" i="14"/>
  <c r="V95" i="14"/>
  <c r="U95" i="14"/>
  <c r="AS94" i="14"/>
  <c r="AR94" i="14"/>
  <c r="AQ94" i="14"/>
  <c r="AP94" i="14"/>
  <c r="AO94" i="14"/>
  <c r="AN94" i="14"/>
  <c r="AM94" i="14"/>
  <c r="AL94" i="14"/>
  <c r="AK94" i="14"/>
  <c r="AJ94" i="14"/>
  <c r="AI94" i="14"/>
  <c r="AH94" i="14"/>
  <c r="AF94" i="14"/>
  <c r="AE94" i="14"/>
  <c r="AD94" i="14"/>
  <c r="AC94" i="14"/>
  <c r="AB94" i="14"/>
  <c r="AA94" i="14"/>
  <c r="Z94" i="14"/>
  <c r="Y94" i="14"/>
  <c r="X94" i="14"/>
  <c r="W94" i="14"/>
  <c r="V94" i="14"/>
  <c r="U94" i="14"/>
  <c r="AS93" i="14"/>
  <c r="AR93" i="14"/>
  <c r="AQ93" i="14"/>
  <c r="AP93" i="14"/>
  <c r="AO93" i="14"/>
  <c r="AN93" i="14"/>
  <c r="AM93" i="14"/>
  <c r="AL93" i="14"/>
  <c r="AK93" i="14"/>
  <c r="AJ93" i="14"/>
  <c r="AI93" i="14"/>
  <c r="AH93" i="14"/>
  <c r="AF93" i="14"/>
  <c r="AE93" i="14"/>
  <c r="AD93" i="14"/>
  <c r="AC93" i="14"/>
  <c r="AB93" i="14"/>
  <c r="AA93" i="14"/>
  <c r="Z93" i="14"/>
  <c r="Y93" i="14"/>
  <c r="X93" i="14"/>
  <c r="W93" i="14"/>
  <c r="V93" i="14"/>
  <c r="U93" i="14"/>
  <c r="AS92" i="14"/>
  <c r="AR92" i="14"/>
  <c r="AQ92" i="14"/>
  <c r="AP92" i="14"/>
  <c r="AO92" i="14"/>
  <c r="AN92" i="14"/>
  <c r="AM92" i="14"/>
  <c r="AL92" i="14"/>
  <c r="AK92" i="14"/>
  <c r="AJ92" i="14"/>
  <c r="AI92" i="14"/>
  <c r="AH92" i="14"/>
  <c r="AF92" i="14"/>
  <c r="AE92" i="14"/>
  <c r="AD92" i="14"/>
  <c r="AC92" i="14"/>
  <c r="AB92" i="14"/>
  <c r="AA92" i="14"/>
  <c r="Z92" i="14"/>
  <c r="Y92" i="14"/>
  <c r="X92" i="14"/>
  <c r="W92" i="14"/>
  <c r="V92" i="14"/>
  <c r="U92" i="14"/>
  <c r="AS91" i="14"/>
  <c r="AR91" i="14"/>
  <c r="AQ91" i="14"/>
  <c r="AP91" i="14"/>
  <c r="AO91" i="14"/>
  <c r="AN91" i="14"/>
  <c r="AM91" i="14"/>
  <c r="AL91" i="14"/>
  <c r="AK91" i="14"/>
  <c r="AJ91" i="14"/>
  <c r="AI91" i="14"/>
  <c r="AH91" i="14"/>
  <c r="AF91" i="14"/>
  <c r="AE91" i="14"/>
  <c r="AD91" i="14"/>
  <c r="AC91" i="14"/>
  <c r="AB91" i="14"/>
  <c r="AA91" i="14"/>
  <c r="Z91" i="14"/>
  <c r="Y91" i="14"/>
  <c r="X91" i="14"/>
  <c r="W91" i="14"/>
  <c r="V91" i="14"/>
  <c r="U91" i="14"/>
  <c r="N81" i="14"/>
  <c r="M81" i="14"/>
  <c r="L81" i="14"/>
  <c r="K81" i="14"/>
  <c r="J81" i="14"/>
  <c r="I81" i="14"/>
  <c r="H81" i="14"/>
  <c r="G81" i="14"/>
  <c r="F81" i="14"/>
  <c r="E81" i="14"/>
  <c r="D81" i="14"/>
  <c r="C81" i="14"/>
  <c r="B79" i="14"/>
  <c r="N53" i="14"/>
  <c r="M53" i="14"/>
  <c r="L53" i="14"/>
  <c r="K53" i="14"/>
  <c r="J53" i="14"/>
  <c r="I53" i="14"/>
  <c r="H53" i="14"/>
  <c r="G53" i="14"/>
  <c r="F53" i="14"/>
  <c r="E53" i="14"/>
  <c r="D53" i="14"/>
  <c r="C53" i="14"/>
  <c r="B191" i="1"/>
  <c r="S8" i="5"/>
  <c r="AF247" i="5" a="1"/>
  <c r="AE247" i="5" a="1"/>
  <c r="AD247" i="5" a="1"/>
  <c r="AC247" i="5" a="1"/>
  <c r="AB247" i="5" a="1"/>
  <c r="AA247" i="5" a="1"/>
  <c r="Z247" i="5" a="1"/>
  <c r="Y247" i="5" a="1"/>
  <c r="X247" i="5" a="1"/>
  <c r="W247" i="5" a="1"/>
  <c r="V247" i="5" a="1"/>
  <c r="U247" i="5" a="1"/>
  <c r="AF246" i="5" a="1"/>
  <c r="AE246" i="5" a="1"/>
  <c r="AD246" i="5" a="1"/>
  <c r="AC246" i="5" a="1"/>
  <c r="AB246" i="5" a="1"/>
  <c r="AA246" i="5" a="1"/>
  <c r="Z246" i="5" a="1"/>
  <c r="Y246" i="5" a="1"/>
  <c r="X246" i="5" a="1"/>
  <c r="W246" i="5" a="1"/>
  <c r="V246" i="5" a="1"/>
  <c r="U246" i="5" a="1"/>
  <c r="AF245" i="5" a="1"/>
  <c r="AE245" i="5" a="1"/>
  <c r="AD245" i="5" a="1"/>
  <c r="AC245" i="5" a="1"/>
  <c r="AB245" i="5" a="1"/>
  <c r="AA245" i="5" a="1"/>
  <c r="Z245" i="5" a="1"/>
  <c r="Y245" i="5" a="1"/>
  <c r="X245" i="5" a="1"/>
  <c r="W245" i="5" a="1"/>
  <c r="V245" i="5" a="1"/>
  <c r="U245" i="5" a="1"/>
  <c r="AF244" i="5" a="1"/>
  <c r="AE244" i="5" a="1"/>
  <c r="AD244" i="5" a="1"/>
  <c r="AC244" i="5" a="1"/>
  <c r="AB244" i="5" a="1"/>
  <c r="AA244" i="5" a="1"/>
  <c r="Z244" i="5" a="1"/>
  <c r="Y244" i="5" a="1"/>
  <c r="X244" i="5" a="1"/>
  <c r="W244" i="5" a="1"/>
  <c r="V244" i="5" a="1"/>
  <c r="U244" i="5" a="1"/>
  <c r="AF243" i="5" a="1"/>
  <c r="AE243" i="5" a="1"/>
  <c r="AD243" i="5" a="1"/>
  <c r="AC243" i="5" a="1"/>
  <c r="AB243" i="5" a="1"/>
  <c r="AA243" i="5" a="1"/>
  <c r="Z243" i="5" a="1"/>
  <c r="Y243" i="5" a="1"/>
  <c r="X243" i="5" a="1"/>
  <c r="W243" i="5" a="1"/>
  <c r="V243" i="5" a="1"/>
  <c r="U243" i="5" a="1"/>
  <c r="AF242" i="5" a="1"/>
  <c r="AE242" i="5" a="1"/>
  <c r="AD242" i="5" a="1"/>
  <c r="AC242" i="5" a="1"/>
  <c r="AB242" i="5" a="1"/>
  <c r="AA242" i="5" a="1"/>
  <c r="Z242" i="5" a="1"/>
  <c r="Y242" i="5" a="1"/>
  <c r="X242" i="5" a="1"/>
  <c r="W242" i="5" a="1"/>
  <c r="V242" i="5" a="1"/>
  <c r="U242" i="5" a="1"/>
  <c r="AF241" i="5" a="1"/>
  <c r="AE241" i="5" a="1"/>
  <c r="AD241" i="5" a="1"/>
  <c r="AC241" i="5" a="1"/>
  <c r="AB241" i="5" a="1"/>
  <c r="AA241" i="5" a="1"/>
  <c r="Z241" i="5" a="1"/>
  <c r="Y241" i="5" a="1"/>
  <c r="X241" i="5" a="1"/>
  <c r="W241" i="5" a="1"/>
  <c r="V241" i="5" a="1"/>
  <c r="U241" i="5" a="1"/>
  <c r="AF240" i="5" a="1"/>
  <c r="AE240" i="5" a="1"/>
  <c r="AD240" i="5" a="1"/>
  <c r="AC240" i="5" a="1"/>
  <c r="AB240" i="5" a="1"/>
  <c r="AA240" i="5" a="1"/>
  <c r="Z240" i="5" a="1"/>
  <c r="Y240" i="5" a="1"/>
  <c r="X240" i="5" a="1"/>
  <c r="W240" i="5" a="1"/>
  <c r="V240" i="5" a="1"/>
  <c r="U240" i="5" a="1"/>
  <c r="AF218" i="5" a="1"/>
  <c r="AF217" i="5" a="1"/>
  <c r="AF216" i="5" a="1"/>
  <c r="AF215" i="5" a="1"/>
  <c r="AF214" i="5" a="1"/>
  <c r="AF213" i="5" a="1"/>
  <c r="AE218" i="5" a="1"/>
  <c r="AE217" i="5" a="1"/>
  <c r="AE216" i="5" a="1"/>
  <c r="AE215" i="5" a="1"/>
  <c r="AE214" i="5" a="1"/>
  <c r="AE213" i="5" a="1"/>
  <c r="AD218" i="5" a="1"/>
  <c r="AD217" i="5" a="1"/>
  <c r="AD216" i="5" a="1"/>
  <c r="AD215" i="5" a="1"/>
  <c r="AD214" i="5" a="1"/>
  <c r="AD213" i="5" a="1"/>
  <c r="AC218" i="5" a="1"/>
  <c r="AC217" i="5" a="1"/>
  <c r="AC216" i="5" a="1"/>
  <c r="AC215" i="5" a="1"/>
  <c r="AC214" i="5" a="1"/>
  <c r="AC213" i="5" a="1"/>
  <c r="AB218" i="5" a="1"/>
  <c r="AB217" i="5" a="1"/>
  <c r="AB216" i="5" a="1"/>
  <c r="AB215" i="5" a="1"/>
  <c r="AB214" i="5" a="1"/>
  <c r="AB213" i="5" a="1"/>
  <c r="AA218" i="5" a="1"/>
  <c r="AA217" i="5" a="1"/>
  <c r="AA216" i="5" a="1"/>
  <c r="AA215" i="5" a="1"/>
  <c r="AA214" i="5" a="1"/>
  <c r="AA213" i="5" a="1"/>
  <c r="Z218" i="5" a="1"/>
  <c r="Z217" i="5" a="1"/>
  <c r="Z216" i="5" a="1"/>
  <c r="Z215" i="5" a="1"/>
  <c r="Z214" i="5" a="1"/>
  <c r="Z213" i="5" a="1"/>
  <c r="Y218" i="5" a="1"/>
  <c r="Y217" i="5" a="1"/>
  <c r="Y216" i="5" a="1"/>
  <c r="Y215" i="5" a="1"/>
  <c r="Y214" i="5" a="1"/>
  <c r="Y213" i="5" a="1"/>
  <c r="X218" i="5" a="1"/>
  <c r="X217" i="5" a="1"/>
  <c r="X216" i="5" a="1"/>
  <c r="X215" i="5" a="1"/>
  <c r="X214" i="5" a="1"/>
  <c r="X213" i="5" a="1"/>
  <c r="W218" i="5" a="1"/>
  <c r="W217" i="5" a="1"/>
  <c r="W216" i="5" a="1"/>
  <c r="W215" i="5" a="1"/>
  <c r="W214" i="5" a="1"/>
  <c r="W213" i="5" a="1"/>
  <c r="V218" i="5" a="1"/>
  <c r="V217" i="5" a="1"/>
  <c r="V216" i="5" a="1"/>
  <c r="V215" i="5" a="1"/>
  <c r="V214" i="5" a="1"/>
  <c r="V213" i="5" a="1"/>
  <c r="U218" i="5" a="1"/>
  <c r="U217" i="5" a="1"/>
  <c r="U216" i="5" a="1"/>
  <c r="U215" i="5" a="1"/>
  <c r="U214" i="5" a="1"/>
  <c r="U213" i="5" a="1"/>
  <c r="B17" i="1"/>
  <c r="J17" i="1"/>
  <c r="C18" i="1"/>
  <c r="D18" i="1"/>
  <c r="E18" i="1"/>
  <c r="F18" i="1"/>
  <c r="G18" i="1"/>
  <c r="H18" i="1"/>
  <c r="I18" i="1"/>
  <c r="J18" i="1"/>
  <c r="K18" i="1"/>
  <c r="L18" i="1"/>
  <c r="M18" i="1"/>
  <c r="N18" i="1"/>
  <c r="B19" i="1"/>
  <c r="C19" i="1"/>
  <c r="D19" i="1"/>
  <c r="E19" i="1"/>
  <c r="F19" i="1"/>
  <c r="G19" i="1"/>
  <c r="H19" i="1"/>
  <c r="I19" i="1"/>
  <c r="J19" i="1"/>
  <c r="K19" i="1"/>
  <c r="L19" i="1"/>
  <c r="M19" i="1"/>
  <c r="N19" i="1"/>
  <c r="O19" i="1"/>
  <c r="B20" i="1"/>
  <c r="B21" i="1"/>
  <c r="B22" i="1"/>
  <c r="B23" i="1"/>
  <c r="B24" i="1"/>
  <c r="B25" i="1"/>
  <c r="B26" i="1"/>
  <c r="C26" i="1"/>
  <c r="D26" i="1"/>
  <c r="E26" i="1"/>
  <c r="F26" i="1"/>
  <c r="G26" i="1"/>
  <c r="H26" i="1"/>
  <c r="I26" i="1"/>
  <c r="J26" i="1"/>
  <c r="K26" i="1"/>
  <c r="L26" i="1"/>
  <c r="M26" i="1"/>
  <c r="N26" i="1"/>
  <c r="O26" i="1"/>
  <c r="B27" i="1"/>
  <c r="C27" i="1"/>
  <c r="D27" i="1"/>
  <c r="E27" i="1"/>
  <c r="F27" i="1"/>
  <c r="G27" i="1"/>
  <c r="H27" i="1"/>
  <c r="I27" i="1"/>
  <c r="J27" i="1"/>
  <c r="K27" i="1"/>
  <c r="L27" i="1"/>
  <c r="M27" i="1"/>
  <c r="N27" i="1"/>
  <c r="O27" i="1"/>
  <c r="B28" i="1"/>
  <c r="B29" i="1"/>
  <c r="B30" i="1"/>
  <c r="B31" i="1"/>
  <c r="B32" i="1"/>
  <c r="B33" i="1"/>
  <c r="B34" i="1"/>
  <c r="B35" i="1"/>
  <c r="C35" i="1"/>
  <c r="D35" i="1"/>
  <c r="E35" i="1"/>
  <c r="F35" i="1"/>
  <c r="G35" i="1"/>
  <c r="H35" i="1"/>
  <c r="I35" i="1"/>
  <c r="J35" i="1"/>
  <c r="K35" i="1"/>
  <c r="L35" i="1"/>
  <c r="M35" i="1"/>
  <c r="N35" i="1"/>
  <c r="O35" i="1"/>
  <c r="B36" i="1"/>
  <c r="B37" i="1"/>
  <c r="B38" i="1"/>
  <c r="B39" i="1"/>
  <c r="B40" i="1"/>
  <c r="B41" i="1"/>
  <c r="B42" i="1"/>
  <c r="B43" i="1"/>
  <c r="B44" i="1"/>
  <c r="B45" i="1"/>
  <c r="B46" i="1"/>
  <c r="B47" i="1"/>
  <c r="B48" i="1"/>
  <c r="B49" i="1"/>
  <c r="B50" i="1"/>
  <c r="H54" i="1"/>
  <c r="H55" i="1"/>
  <c r="H56" i="1"/>
  <c r="H57" i="1"/>
  <c r="H58" i="1"/>
  <c r="H59" i="1"/>
  <c r="H60" i="1"/>
  <c r="E70" i="1"/>
  <c r="H103" i="1"/>
  <c r="J103" i="1"/>
  <c r="H104" i="1"/>
  <c r="J104" i="1"/>
  <c r="H105" i="1"/>
  <c r="J105" i="1"/>
  <c r="J106" i="1"/>
  <c r="J107" i="1"/>
  <c r="J108" i="1"/>
  <c r="J109" i="1"/>
  <c r="J110" i="1"/>
  <c r="B195" i="1"/>
  <c r="C195" i="1"/>
  <c r="D195" i="1"/>
  <c r="E195" i="1"/>
  <c r="F195" i="1"/>
  <c r="G195" i="1"/>
  <c r="H195" i="1"/>
  <c r="I195" i="1"/>
  <c r="J195" i="1"/>
  <c r="K195" i="1"/>
  <c r="L195" i="1"/>
  <c r="M195" i="1"/>
  <c r="B196" i="1"/>
  <c r="C196" i="1"/>
  <c r="D196" i="1"/>
  <c r="E196" i="1"/>
  <c r="F196" i="1"/>
  <c r="G196" i="1"/>
  <c r="H196" i="1"/>
  <c r="I196" i="1"/>
  <c r="J196" i="1"/>
  <c r="K196" i="1"/>
  <c r="L196" i="1"/>
  <c r="M196" i="1"/>
  <c r="B197" i="1"/>
  <c r="C197" i="1"/>
  <c r="D197" i="1"/>
  <c r="E197" i="1"/>
  <c r="F197" i="1"/>
  <c r="G197" i="1"/>
  <c r="H197" i="1"/>
  <c r="I197" i="1"/>
  <c r="J197" i="1"/>
  <c r="K197" i="1"/>
  <c r="L197" i="1"/>
  <c r="M197" i="1"/>
  <c r="C206" i="1"/>
  <c r="D206" i="1"/>
  <c r="E206" i="1"/>
  <c r="F206" i="1"/>
  <c r="B226" i="1"/>
  <c r="C226" i="1"/>
  <c r="D226" i="1"/>
  <c r="E226" i="1"/>
  <c r="F226" i="1"/>
  <c r="G226" i="1"/>
  <c r="H226" i="1"/>
  <c r="I226" i="1"/>
  <c r="J226" i="1"/>
  <c r="K226" i="1"/>
  <c r="L226" i="1"/>
  <c r="M226" i="1"/>
  <c r="B227" i="1"/>
  <c r="C227" i="1"/>
  <c r="D227" i="1"/>
  <c r="E227" i="1"/>
  <c r="F227" i="1"/>
  <c r="G227" i="1"/>
  <c r="H227" i="1"/>
  <c r="I227" i="1"/>
  <c r="J227" i="1"/>
  <c r="K227" i="1"/>
  <c r="L227" i="1"/>
  <c r="M227" i="1"/>
  <c r="B238" i="1"/>
  <c r="C238" i="1"/>
  <c r="D238" i="1"/>
  <c r="E238" i="1"/>
  <c r="F238" i="1"/>
  <c r="G238" i="1"/>
  <c r="H238" i="1"/>
  <c r="I238" i="1"/>
  <c r="J238" i="1"/>
  <c r="K238" i="1"/>
  <c r="L238" i="1"/>
  <c r="M238" i="1"/>
  <c r="B239" i="1"/>
  <c r="H239" i="1"/>
  <c r="J239" i="1"/>
  <c r="K239" i="1"/>
  <c r="B240" i="1"/>
  <c r="C240" i="1"/>
  <c r="D240" i="1"/>
  <c r="E240" i="1"/>
  <c r="F240" i="1"/>
  <c r="G240" i="1"/>
  <c r="H240" i="1"/>
  <c r="I240" i="1"/>
  <c r="J240" i="1"/>
  <c r="K240" i="1"/>
  <c r="L240" i="1"/>
  <c r="M240" i="1"/>
  <c r="B241" i="1"/>
  <c r="C241" i="1"/>
  <c r="D241" i="1"/>
  <c r="E241" i="1"/>
  <c r="F241" i="1"/>
  <c r="G241" i="1"/>
  <c r="H241" i="1"/>
  <c r="I241" i="1"/>
  <c r="J241" i="1"/>
  <c r="K241" i="1"/>
  <c r="L241" i="1"/>
  <c r="M241" i="1"/>
  <c r="B242" i="1"/>
  <c r="C242" i="1"/>
  <c r="D242" i="1"/>
  <c r="E242" i="1"/>
  <c r="F242" i="1"/>
  <c r="G242" i="1"/>
  <c r="H242" i="1"/>
  <c r="I242" i="1"/>
  <c r="J242" i="1"/>
  <c r="K242" i="1"/>
  <c r="L242" i="1"/>
  <c r="M242" i="1"/>
  <c r="B246" i="1"/>
  <c r="B250" i="1"/>
  <c r="C250" i="1"/>
  <c r="D250" i="1"/>
  <c r="E250" i="1"/>
  <c r="F250" i="1"/>
  <c r="G250" i="1"/>
  <c r="H250" i="1"/>
  <c r="I250" i="1"/>
  <c r="J250" i="1"/>
  <c r="K250" i="1"/>
  <c r="L250" i="1"/>
  <c r="M250" i="1"/>
  <c r="B252" i="1"/>
  <c r="C252" i="1"/>
  <c r="D252" i="1"/>
  <c r="E252" i="1"/>
  <c r="F252" i="1"/>
  <c r="G252" i="1"/>
  <c r="H252" i="1"/>
  <c r="I252" i="1"/>
  <c r="J252" i="1"/>
  <c r="K252" i="1"/>
  <c r="L252" i="1"/>
  <c r="M252" i="1"/>
  <c r="B256" i="1"/>
  <c r="C256" i="1"/>
  <c r="D256" i="1"/>
  <c r="E256" i="1"/>
  <c r="F256" i="1"/>
  <c r="G256" i="1"/>
  <c r="H256" i="1"/>
  <c r="I256" i="1"/>
  <c r="J256" i="1"/>
  <c r="K256" i="1"/>
  <c r="L256" i="1"/>
  <c r="M256" i="1"/>
  <c r="B257" i="1"/>
  <c r="C257" i="1"/>
  <c r="D257" i="1"/>
  <c r="E257" i="1"/>
  <c r="F257" i="1"/>
  <c r="G257" i="1"/>
  <c r="H257" i="1"/>
  <c r="I257" i="1"/>
  <c r="J257" i="1"/>
  <c r="K257" i="1"/>
  <c r="L257" i="1"/>
  <c r="M257" i="1"/>
  <c r="S4" i="5"/>
  <c r="C53" i="5"/>
  <c r="D53" i="5"/>
  <c r="E53" i="5"/>
  <c r="F53" i="5"/>
  <c r="G53" i="5"/>
  <c r="H53" i="5"/>
  <c r="I53" i="5"/>
  <c r="J53" i="5"/>
  <c r="K53" i="5"/>
  <c r="L53" i="5"/>
  <c r="M53" i="5"/>
  <c r="N53" i="5"/>
  <c r="B79" i="5"/>
  <c r="C81" i="5"/>
  <c r="D81" i="5"/>
  <c r="E81" i="5"/>
  <c r="F81" i="5"/>
  <c r="G81" i="5"/>
  <c r="H81" i="5"/>
  <c r="I81" i="5"/>
  <c r="J81" i="5"/>
  <c r="K81" i="5"/>
  <c r="L81" i="5"/>
  <c r="M81" i="5"/>
  <c r="N81" i="5"/>
  <c r="U91" i="5"/>
  <c r="V91" i="5"/>
  <c r="W91" i="5"/>
  <c r="X91" i="5"/>
  <c r="Y91" i="5"/>
  <c r="Z91" i="5"/>
  <c r="AA91" i="5"/>
  <c r="AB91" i="5"/>
  <c r="AC91" i="5"/>
  <c r="AD91" i="5"/>
  <c r="AE91" i="5"/>
  <c r="AF91" i="5"/>
  <c r="AH91" i="5"/>
  <c r="AI91" i="5"/>
  <c r="AJ91" i="5"/>
  <c r="AK91" i="5"/>
  <c r="AL91" i="5"/>
  <c r="AM91" i="5"/>
  <c r="AN91" i="5"/>
  <c r="AO91" i="5"/>
  <c r="AP91" i="5"/>
  <c r="AQ91" i="5"/>
  <c r="AR91" i="5"/>
  <c r="AS91" i="5"/>
  <c r="U92" i="5"/>
  <c r="V92" i="5"/>
  <c r="W92" i="5"/>
  <c r="X92" i="5"/>
  <c r="Y92" i="5"/>
  <c r="Z92" i="5"/>
  <c r="AA92" i="5"/>
  <c r="AB92" i="5"/>
  <c r="AC92" i="5"/>
  <c r="AD92" i="5"/>
  <c r="AE92" i="5"/>
  <c r="AF92" i="5"/>
  <c r="AH92" i="5"/>
  <c r="AI92" i="5"/>
  <c r="AJ92" i="5"/>
  <c r="AK92" i="5"/>
  <c r="AL92" i="5"/>
  <c r="AM92" i="5"/>
  <c r="AN92" i="5"/>
  <c r="AO92" i="5"/>
  <c r="AP92" i="5"/>
  <c r="AQ92" i="5"/>
  <c r="AR92" i="5"/>
  <c r="AS92" i="5"/>
  <c r="U93" i="5"/>
  <c r="V93" i="5"/>
  <c r="W93" i="5"/>
  <c r="X93" i="5"/>
  <c r="Y93" i="5"/>
  <c r="Z93" i="5"/>
  <c r="AA93" i="5"/>
  <c r="AB93" i="5"/>
  <c r="AC93" i="5"/>
  <c r="AD93" i="5"/>
  <c r="AE93" i="5"/>
  <c r="AF93" i="5"/>
  <c r="AH93" i="5"/>
  <c r="AI93" i="5"/>
  <c r="AJ93" i="5"/>
  <c r="AK93" i="5"/>
  <c r="AL93" i="5"/>
  <c r="AM93" i="5"/>
  <c r="AN93" i="5"/>
  <c r="AO93" i="5"/>
  <c r="AP93" i="5"/>
  <c r="AQ93" i="5"/>
  <c r="AR93" i="5"/>
  <c r="AS93" i="5"/>
  <c r="U94" i="5"/>
  <c r="V94" i="5"/>
  <c r="W94" i="5"/>
  <c r="X94" i="5"/>
  <c r="Y94" i="5"/>
  <c r="Z94" i="5"/>
  <c r="AA94" i="5"/>
  <c r="AB94" i="5"/>
  <c r="AC94" i="5"/>
  <c r="AD94" i="5"/>
  <c r="AE94" i="5"/>
  <c r="AF94" i="5"/>
  <c r="AH94" i="5"/>
  <c r="AI94" i="5"/>
  <c r="AJ94" i="5"/>
  <c r="AK94" i="5"/>
  <c r="AL94" i="5"/>
  <c r="AM94" i="5"/>
  <c r="AN94" i="5"/>
  <c r="AO94" i="5"/>
  <c r="AP94" i="5"/>
  <c r="AQ94" i="5"/>
  <c r="AR94" i="5"/>
  <c r="AS94" i="5"/>
  <c r="U95" i="5"/>
  <c r="V95" i="5"/>
  <c r="W95" i="5"/>
  <c r="X95" i="5"/>
  <c r="Y95" i="5"/>
  <c r="Z95" i="5"/>
  <c r="AA95" i="5"/>
  <c r="AB95" i="5"/>
  <c r="AC95" i="5"/>
  <c r="AD95" i="5"/>
  <c r="AE95" i="5"/>
  <c r="AF95" i="5"/>
  <c r="AH95" i="5"/>
  <c r="AI95" i="5"/>
  <c r="AJ95" i="5"/>
  <c r="AK95" i="5"/>
  <c r="AL95" i="5"/>
  <c r="AM95" i="5"/>
  <c r="AN95" i="5"/>
  <c r="AO95" i="5"/>
  <c r="AP95" i="5"/>
  <c r="AQ95" i="5"/>
  <c r="AR95" i="5"/>
  <c r="AS95" i="5"/>
  <c r="U96" i="5"/>
  <c r="V96" i="5"/>
  <c r="W96" i="5"/>
  <c r="X96" i="5"/>
  <c r="Y96" i="5"/>
  <c r="Z96" i="5"/>
  <c r="AA96" i="5"/>
  <c r="AB96" i="5"/>
  <c r="AC96" i="5"/>
  <c r="AD96" i="5"/>
  <c r="AE96" i="5"/>
  <c r="AF96" i="5"/>
  <c r="AH96" i="5"/>
  <c r="AI96" i="5"/>
  <c r="AJ96" i="5"/>
  <c r="AK96" i="5"/>
  <c r="AL96" i="5"/>
  <c r="AM96" i="5"/>
  <c r="AN96" i="5"/>
  <c r="AO96" i="5"/>
  <c r="AP96" i="5"/>
  <c r="AQ96" i="5"/>
  <c r="AR96" i="5"/>
  <c r="AS96" i="5"/>
  <c r="U97" i="5"/>
  <c r="V97" i="5"/>
  <c r="W97" i="5"/>
  <c r="X97" i="5"/>
  <c r="Y97" i="5"/>
  <c r="Z97" i="5"/>
  <c r="AA97" i="5"/>
  <c r="AB97" i="5"/>
  <c r="AC97" i="5"/>
  <c r="AD97" i="5"/>
  <c r="AE97" i="5"/>
  <c r="AF97" i="5"/>
  <c r="AH97" i="5"/>
  <c r="AI97" i="5"/>
  <c r="AJ97" i="5"/>
  <c r="AK97" i="5"/>
  <c r="AL97" i="5"/>
  <c r="AM97" i="5"/>
  <c r="AN97" i="5"/>
  <c r="AO97" i="5"/>
  <c r="AP97" i="5"/>
  <c r="AQ97" i="5"/>
  <c r="AR97" i="5"/>
  <c r="AS97" i="5"/>
  <c r="U98" i="5"/>
  <c r="V98" i="5"/>
  <c r="W98" i="5"/>
  <c r="X98" i="5"/>
  <c r="Y98" i="5"/>
  <c r="Z98" i="5"/>
  <c r="AA98" i="5"/>
  <c r="AB98" i="5"/>
  <c r="AC98" i="5"/>
  <c r="AD98" i="5"/>
  <c r="AE98" i="5"/>
  <c r="AF98" i="5"/>
  <c r="AH98" i="5"/>
  <c r="AI98" i="5"/>
  <c r="AJ98" i="5"/>
  <c r="AK98" i="5"/>
  <c r="AL98" i="5"/>
  <c r="AM98" i="5"/>
  <c r="AN98" i="5"/>
  <c r="AO98" i="5"/>
  <c r="AP98" i="5"/>
  <c r="AQ98" i="5"/>
  <c r="AR98" i="5"/>
  <c r="AS98" i="5"/>
  <c r="U99" i="5"/>
  <c r="V99" i="5"/>
  <c r="W99" i="5"/>
  <c r="X99" i="5"/>
  <c r="Y99" i="5"/>
  <c r="Z99" i="5"/>
  <c r="AA99" i="5"/>
  <c r="AB99" i="5"/>
  <c r="AC99" i="5"/>
  <c r="AD99" i="5"/>
  <c r="AE99" i="5"/>
  <c r="AF99" i="5"/>
  <c r="AH99" i="5"/>
  <c r="AI99" i="5"/>
  <c r="AJ99" i="5"/>
  <c r="AK99" i="5"/>
  <c r="AL99" i="5"/>
  <c r="AM99" i="5"/>
  <c r="AN99" i="5"/>
  <c r="AO99" i="5"/>
  <c r="AP99" i="5"/>
  <c r="AQ99" i="5"/>
  <c r="AR99" i="5"/>
  <c r="AS99" i="5"/>
  <c r="U100" i="5"/>
  <c r="V100" i="5"/>
  <c r="W100" i="5"/>
  <c r="X100" i="5"/>
  <c r="Y100" i="5"/>
  <c r="Z100" i="5"/>
  <c r="AA100" i="5"/>
  <c r="AB100" i="5"/>
  <c r="AC100" i="5"/>
  <c r="AD100" i="5"/>
  <c r="AE100" i="5"/>
  <c r="AF100" i="5"/>
  <c r="AH100" i="5"/>
  <c r="AI100" i="5"/>
  <c r="AJ100" i="5"/>
  <c r="AK100" i="5"/>
  <c r="AL100" i="5"/>
  <c r="AM100" i="5"/>
  <c r="AN100" i="5"/>
  <c r="AO100" i="5"/>
  <c r="AP100" i="5"/>
  <c r="AQ100" i="5"/>
  <c r="AR100" i="5"/>
  <c r="AS100" i="5"/>
  <c r="U101" i="5"/>
  <c r="V101" i="5"/>
  <c r="W101" i="5"/>
  <c r="X101" i="5"/>
  <c r="Y101" i="5"/>
  <c r="Z101" i="5"/>
  <c r="AA101" i="5"/>
  <c r="AB101" i="5"/>
  <c r="AC101" i="5"/>
  <c r="AD101" i="5"/>
  <c r="AE101" i="5"/>
  <c r="AF101" i="5"/>
  <c r="AH101" i="5"/>
  <c r="AI101" i="5"/>
  <c r="AJ101" i="5"/>
  <c r="AK101" i="5"/>
  <c r="AL101" i="5"/>
  <c r="AM101" i="5"/>
  <c r="AN101" i="5"/>
  <c r="AO101" i="5"/>
  <c r="AP101" i="5"/>
  <c r="AQ101" i="5"/>
  <c r="AR101" i="5"/>
  <c r="AS101" i="5"/>
  <c r="U102" i="5"/>
  <c r="V102" i="5"/>
  <c r="W102" i="5"/>
  <c r="X102" i="5"/>
  <c r="Y102" i="5"/>
  <c r="Z102" i="5"/>
  <c r="AA102" i="5"/>
  <c r="AB102" i="5"/>
  <c r="AC102" i="5"/>
  <c r="AD102" i="5"/>
  <c r="AE102" i="5"/>
  <c r="AF102" i="5"/>
  <c r="AH102" i="5"/>
  <c r="AI102" i="5"/>
  <c r="AJ102" i="5"/>
  <c r="AK102" i="5"/>
  <c r="AL102" i="5"/>
  <c r="AM102" i="5"/>
  <c r="AN102" i="5"/>
  <c r="AO102" i="5"/>
  <c r="AP102" i="5"/>
  <c r="AQ102" i="5"/>
  <c r="AR102" i="5"/>
  <c r="AS102" i="5"/>
  <c r="B115" i="5"/>
  <c r="E116" i="5"/>
  <c r="AH121" i="5"/>
  <c r="AI121" i="5"/>
  <c r="AJ121" i="5"/>
  <c r="AK121" i="5"/>
  <c r="AL121" i="5"/>
  <c r="AM121" i="5"/>
  <c r="AN121" i="5"/>
  <c r="AO121" i="5"/>
  <c r="AP121" i="5"/>
  <c r="AQ121" i="5"/>
  <c r="AR121" i="5"/>
  <c r="AS121" i="5"/>
  <c r="AU121" i="5"/>
  <c r="AV121" i="5"/>
  <c r="AW121" i="5"/>
  <c r="AX121" i="5"/>
  <c r="AY121" i="5"/>
  <c r="AZ121" i="5"/>
  <c r="BA121" i="5"/>
  <c r="BB121" i="5"/>
  <c r="BC121" i="5"/>
  <c r="BD121" i="5"/>
  <c r="BE121" i="5"/>
  <c r="BF121" i="5"/>
  <c r="AH122" i="5"/>
  <c r="AI122" i="5"/>
  <c r="AJ122" i="5"/>
  <c r="AK122" i="5"/>
  <c r="AL122" i="5"/>
  <c r="AM122" i="5"/>
  <c r="AN122" i="5"/>
  <c r="AO122" i="5"/>
  <c r="AP122" i="5"/>
  <c r="AQ122" i="5"/>
  <c r="AR122" i="5"/>
  <c r="AS122" i="5"/>
  <c r="AU122" i="5"/>
  <c r="AV122" i="5"/>
  <c r="AW122" i="5"/>
  <c r="AX122" i="5"/>
  <c r="AY122" i="5"/>
  <c r="AZ122" i="5"/>
  <c r="BA122" i="5"/>
  <c r="BB122" i="5"/>
  <c r="BC122" i="5"/>
  <c r="BD122" i="5"/>
  <c r="BE122" i="5"/>
  <c r="BF122" i="5"/>
  <c r="AH123" i="5"/>
  <c r="AI123" i="5"/>
  <c r="AJ123" i="5"/>
  <c r="AK123" i="5"/>
  <c r="AL123" i="5"/>
  <c r="AM123" i="5"/>
  <c r="AN123" i="5"/>
  <c r="AO123" i="5"/>
  <c r="AP123" i="5"/>
  <c r="AQ123" i="5"/>
  <c r="AR123" i="5"/>
  <c r="AS123" i="5"/>
  <c r="AU123" i="5"/>
  <c r="AV123" i="5"/>
  <c r="AW123" i="5"/>
  <c r="AX123" i="5"/>
  <c r="AY123" i="5"/>
  <c r="AZ123" i="5"/>
  <c r="BA123" i="5"/>
  <c r="BB123" i="5"/>
  <c r="BC123" i="5"/>
  <c r="BD123" i="5"/>
  <c r="BE123" i="5"/>
  <c r="BF123" i="5"/>
  <c r="AH124" i="5"/>
  <c r="AI124" i="5"/>
  <c r="AJ124" i="5"/>
  <c r="AK124" i="5"/>
  <c r="AL124" i="5"/>
  <c r="AM124" i="5"/>
  <c r="AN124" i="5"/>
  <c r="AO124" i="5"/>
  <c r="AP124" i="5"/>
  <c r="AQ124" i="5"/>
  <c r="AR124" i="5"/>
  <c r="AS124" i="5"/>
  <c r="AU124" i="5"/>
  <c r="AV124" i="5"/>
  <c r="AW124" i="5"/>
  <c r="AX124" i="5"/>
  <c r="AY124" i="5"/>
  <c r="AZ124" i="5"/>
  <c r="BA124" i="5"/>
  <c r="BB124" i="5"/>
  <c r="BC124" i="5"/>
  <c r="BD124" i="5"/>
  <c r="BE124" i="5"/>
  <c r="BF124" i="5"/>
  <c r="AH125" i="5"/>
  <c r="AI125" i="5"/>
  <c r="AJ125" i="5"/>
  <c r="AK125" i="5"/>
  <c r="AL125" i="5"/>
  <c r="AM125" i="5"/>
  <c r="AN125" i="5"/>
  <c r="AO125" i="5"/>
  <c r="AP125" i="5"/>
  <c r="AQ125" i="5"/>
  <c r="AR125" i="5"/>
  <c r="AS125" i="5"/>
  <c r="AU125" i="5"/>
  <c r="AV125" i="5"/>
  <c r="AW125" i="5"/>
  <c r="AX125" i="5"/>
  <c r="AY125" i="5"/>
  <c r="AZ125" i="5"/>
  <c r="BA125" i="5"/>
  <c r="BB125" i="5"/>
  <c r="BC125" i="5"/>
  <c r="BD125" i="5"/>
  <c r="BE125" i="5"/>
  <c r="BF125" i="5"/>
  <c r="AH126" i="5"/>
  <c r="AI126" i="5"/>
  <c r="AJ126" i="5"/>
  <c r="AK126" i="5"/>
  <c r="AL126" i="5"/>
  <c r="AM126" i="5"/>
  <c r="AN126" i="5"/>
  <c r="AO126" i="5"/>
  <c r="AP126" i="5"/>
  <c r="AQ126" i="5"/>
  <c r="AR126" i="5"/>
  <c r="AS126" i="5"/>
  <c r="AU126" i="5"/>
  <c r="AV126" i="5"/>
  <c r="AW126" i="5"/>
  <c r="AX126" i="5"/>
  <c r="AY126" i="5"/>
  <c r="AZ126" i="5"/>
  <c r="BA126" i="5"/>
  <c r="BB126" i="5"/>
  <c r="BC126" i="5"/>
  <c r="BD126" i="5"/>
  <c r="BE126" i="5"/>
  <c r="BF126" i="5"/>
  <c r="AH127" i="5"/>
  <c r="AI127" i="5"/>
  <c r="AJ127" i="5"/>
  <c r="AK127" i="5"/>
  <c r="AL127" i="5"/>
  <c r="AM127" i="5"/>
  <c r="AN127" i="5"/>
  <c r="AO127" i="5"/>
  <c r="AP127" i="5"/>
  <c r="AQ127" i="5"/>
  <c r="AR127" i="5"/>
  <c r="AS127" i="5"/>
  <c r="AU127" i="5"/>
  <c r="AV127" i="5"/>
  <c r="AW127" i="5"/>
  <c r="AX127" i="5"/>
  <c r="AY127" i="5"/>
  <c r="AZ127" i="5"/>
  <c r="BA127" i="5"/>
  <c r="BB127" i="5"/>
  <c r="BC127" i="5"/>
  <c r="BD127" i="5"/>
  <c r="BE127" i="5"/>
  <c r="BF127" i="5"/>
  <c r="AH128" i="5"/>
  <c r="AI128" i="5"/>
  <c r="AJ128" i="5"/>
  <c r="AK128" i="5"/>
  <c r="AL128" i="5"/>
  <c r="AM128" i="5"/>
  <c r="AN128" i="5"/>
  <c r="AO128" i="5"/>
  <c r="AP128" i="5"/>
  <c r="AQ128" i="5"/>
  <c r="AR128" i="5"/>
  <c r="AS128" i="5"/>
  <c r="AU128" i="5"/>
  <c r="AV128" i="5"/>
  <c r="AW128" i="5"/>
  <c r="AX128" i="5"/>
  <c r="AY128" i="5"/>
  <c r="AZ128" i="5"/>
  <c r="BA128" i="5"/>
  <c r="BB128" i="5"/>
  <c r="BC128" i="5"/>
  <c r="BD128" i="5"/>
  <c r="BE128" i="5"/>
  <c r="BF128" i="5"/>
  <c r="AH129" i="5"/>
  <c r="AI129" i="5"/>
  <c r="AJ129" i="5"/>
  <c r="AK129" i="5"/>
  <c r="AL129" i="5"/>
  <c r="AM129" i="5"/>
  <c r="AN129" i="5"/>
  <c r="AO129" i="5"/>
  <c r="AP129" i="5"/>
  <c r="AQ129" i="5"/>
  <c r="AR129" i="5"/>
  <c r="AS129" i="5"/>
  <c r="AU129" i="5"/>
  <c r="AV129" i="5"/>
  <c r="AW129" i="5"/>
  <c r="AX129" i="5"/>
  <c r="AY129" i="5"/>
  <c r="AZ129" i="5"/>
  <c r="BA129" i="5"/>
  <c r="BB129" i="5"/>
  <c r="BC129" i="5"/>
  <c r="BD129" i="5"/>
  <c r="BE129" i="5"/>
  <c r="BF129" i="5"/>
  <c r="AH130" i="5"/>
  <c r="AI130" i="5"/>
  <c r="AJ130" i="5"/>
  <c r="AK130" i="5"/>
  <c r="AL130" i="5"/>
  <c r="AM130" i="5"/>
  <c r="AN130" i="5"/>
  <c r="AO130" i="5"/>
  <c r="AP130" i="5"/>
  <c r="AQ130" i="5"/>
  <c r="AR130" i="5"/>
  <c r="AS130" i="5"/>
  <c r="AU130" i="5"/>
  <c r="AV130" i="5"/>
  <c r="AW130" i="5"/>
  <c r="AX130" i="5"/>
  <c r="AY130" i="5"/>
  <c r="AZ130" i="5"/>
  <c r="BA130" i="5"/>
  <c r="BB130" i="5"/>
  <c r="BC130" i="5"/>
  <c r="BD130" i="5"/>
  <c r="BE130" i="5"/>
  <c r="BF130" i="5"/>
  <c r="AH131" i="5"/>
  <c r="AI131" i="5"/>
  <c r="AJ131" i="5"/>
  <c r="AK131" i="5"/>
  <c r="AL131" i="5"/>
  <c r="AM131" i="5"/>
  <c r="AN131" i="5"/>
  <c r="AO131" i="5"/>
  <c r="AP131" i="5"/>
  <c r="AQ131" i="5"/>
  <c r="AR131" i="5"/>
  <c r="AS131" i="5"/>
  <c r="AU131" i="5"/>
  <c r="AV131" i="5"/>
  <c r="AW131" i="5"/>
  <c r="AX131" i="5"/>
  <c r="AY131" i="5"/>
  <c r="AZ131" i="5"/>
  <c r="BA131" i="5"/>
  <c r="BB131" i="5"/>
  <c r="BC131" i="5"/>
  <c r="BD131" i="5"/>
  <c r="BE131" i="5"/>
  <c r="BF131" i="5"/>
  <c r="AH132" i="5"/>
  <c r="AI132" i="5"/>
  <c r="AJ132" i="5"/>
  <c r="AK132" i="5"/>
  <c r="AL132" i="5"/>
  <c r="AM132" i="5"/>
  <c r="AN132" i="5"/>
  <c r="AO132" i="5"/>
  <c r="AP132" i="5"/>
  <c r="AQ132" i="5"/>
  <c r="AR132" i="5"/>
  <c r="AS132" i="5"/>
  <c r="AU132" i="5"/>
  <c r="AV132" i="5"/>
  <c r="AW132" i="5"/>
  <c r="AX132" i="5"/>
  <c r="AY132" i="5"/>
  <c r="AZ132" i="5"/>
  <c r="BA132" i="5"/>
  <c r="BB132" i="5"/>
  <c r="BC132" i="5"/>
  <c r="BD132" i="5"/>
  <c r="BE132" i="5"/>
  <c r="BF132" i="5"/>
  <c r="U133" i="5" a="1"/>
  <c r="V133" i="5" a="1"/>
  <c r="W133" i="5" a="1"/>
  <c r="X133" i="5" a="1"/>
  <c r="Y133" i="5" a="1"/>
  <c r="Z133" i="5" a="1"/>
  <c r="AA133" i="5" a="1"/>
  <c r="AB133" i="5" a="1"/>
  <c r="AC133" i="5" a="1"/>
  <c r="AD133" i="5" a="1"/>
  <c r="AE133" i="5" a="1"/>
  <c r="AF133" i="5" a="1"/>
  <c r="AH133" i="5"/>
  <c r="AI133" i="5"/>
  <c r="AJ133" i="5"/>
  <c r="AK133" i="5"/>
  <c r="AL133" i="5"/>
  <c r="AM133" i="5"/>
  <c r="AN133" i="5"/>
  <c r="AO133" i="5"/>
  <c r="AP133" i="5"/>
  <c r="AQ133" i="5"/>
  <c r="AR133" i="5"/>
  <c r="AS133" i="5"/>
  <c r="AU133" i="5"/>
  <c r="AV133" i="5"/>
  <c r="AW133" i="5"/>
  <c r="AX133" i="5"/>
  <c r="AY133" i="5"/>
  <c r="AZ133" i="5"/>
  <c r="BA133" i="5"/>
  <c r="BB133" i="5"/>
  <c r="BC133" i="5"/>
  <c r="BD133" i="5"/>
  <c r="BE133" i="5"/>
  <c r="BF133" i="5"/>
  <c r="U134" i="5" a="1"/>
  <c r="V134" i="5" a="1"/>
  <c r="W134" i="5" a="1"/>
  <c r="X134" i="5" a="1"/>
  <c r="Y134" i="5" a="1"/>
  <c r="Z134" i="5" a="1"/>
  <c r="AA134" i="5" a="1"/>
  <c r="AB134" i="5" a="1"/>
  <c r="AC134" i="5" a="1"/>
  <c r="AD134" i="5" a="1"/>
  <c r="AE134" i="5" a="1"/>
  <c r="AF134" i="5" a="1"/>
  <c r="AH134" i="5"/>
  <c r="AI134" i="5"/>
  <c r="AJ134" i="5"/>
  <c r="AK134" i="5"/>
  <c r="AL134" i="5"/>
  <c r="AM134" i="5"/>
  <c r="AN134" i="5"/>
  <c r="AO134" i="5"/>
  <c r="AP134" i="5"/>
  <c r="AQ134" i="5"/>
  <c r="AR134" i="5"/>
  <c r="AS134" i="5"/>
  <c r="AU134" i="5"/>
  <c r="AV134" i="5"/>
  <c r="AW134" i="5"/>
  <c r="AX134" i="5"/>
  <c r="AY134" i="5"/>
  <c r="AZ134" i="5"/>
  <c r="BA134" i="5"/>
  <c r="BB134" i="5"/>
  <c r="BC134" i="5"/>
  <c r="BD134" i="5"/>
  <c r="BE134" i="5"/>
  <c r="BF134" i="5"/>
  <c r="U135" i="5" a="1"/>
  <c r="V135" i="5" a="1"/>
  <c r="W135" i="5" a="1"/>
  <c r="X135" i="5" a="1"/>
  <c r="Y135" i="5" a="1"/>
  <c r="Z135" i="5" a="1"/>
  <c r="AA135" i="5" a="1"/>
  <c r="AB135" i="5" a="1"/>
  <c r="AC135" i="5" a="1"/>
  <c r="AD135" i="5" a="1"/>
  <c r="AE135" i="5" a="1"/>
  <c r="AF135" i="5" a="1"/>
  <c r="AH135" i="5"/>
  <c r="AI135" i="5"/>
  <c r="AJ135" i="5"/>
  <c r="AK135" i="5"/>
  <c r="AL135" i="5"/>
  <c r="AM135" i="5"/>
  <c r="AN135" i="5"/>
  <c r="AO135" i="5"/>
  <c r="AP135" i="5"/>
  <c r="AQ135" i="5"/>
  <c r="AR135" i="5"/>
  <c r="AS135" i="5"/>
  <c r="AU135" i="5"/>
  <c r="AV135" i="5"/>
  <c r="AW135" i="5"/>
  <c r="AX135" i="5"/>
  <c r="AY135" i="5"/>
  <c r="AZ135" i="5"/>
  <c r="BA135" i="5"/>
  <c r="BB135" i="5"/>
  <c r="BC135" i="5"/>
  <c r="BD135" i="5"/>
  <c r="BE135" i="5"/>
  <c r="BF135" i="5"/>
  <c r="U136" i="5" a="1"/>
  <c r="V136" i="5" a="1"/>
  <c r="W136" i="5" a="1"/>
  <c r="X136" i="5" a="1"/>
  <c r="Y136" i="5" a="1"/>
  <c r="Z136" i="5" a="1"/>
  <c r="AA136" i="5" a="1"/>
  <c r="AB136" i="5" a="1"/>
  <c r="AC136" i="5" a="1"/>
  <c r="AD136" i="5" a="1"/>
  <c r="AE136" i="5" a="1"/>
  <c r="AF136" i="5" a="1"/>
  <c r="AH136" i="5"/>
  <c r="AI136" i="5"/>
  <c r="AJ136" i="5"/>
  <c r="AK136" i="5"/>
  <c r="AL136" i="5"/>
  <c r="AM136" i="5"/>
  <c r="AN136" i="5"/>
  <c r="AO136" i="5"/>
  <c r="AP136" i="5"/>
  <c r="AQ136" i="5"/>
  <c r="AR136" i="5"/>
  <c r="AS136" i="5"/>
  <c r="AU136" i="5"/>
  <c r="AV136" i="5"/>
  <c r="AW136" i="5"/>
  <c r="AX136" i="5"/>
  <c r="AY136" i="5"/>
  <c r="AZ136" i="5"/>
  <c r="BA136" i="5"/>
  <c r="BB136" i="5"/>
  <c r="BC136" i="5"/>
  <c r="BD136" i="5"/>
  <c r="BE136" i="5"/>
  <c r="BF136" i="5"/>
  <c r="U137" i="5" a="1"/>
  <c r="V137" i="5" a="1"/>
  <c r="W137" i="5" a="1"/>
  <c r="X137" i="5" a="1"/>
  <c r="Y137" i="5" a="1"/>
  <c r="Z137" i="5" a="1"/>
  <c r="AA137" i="5" a="1"/>
  <c r="AB137" i="5" a="1"/>
  <c r="AC137" i="5" a="1"/>
  <c r="AD137" i="5" a="1"/>
  <c r="AE137" i="5" a="1"/>
  <c r="AF137" i="5" a="1"/>
  <c r="AH137" i="5"/>
  <c r="AI137" i="5"/>
  <c r="AJ137" i="5"/>
  <c r="AK137" i="5"/>
  <c r="AL137" i="5"/>
  <c r="AM137" i="5"/>
  <c r="AN137" i="5"/>
  <c r="AO137" i="5"/>
  <c r="AP137" i="5"/>
  <c r="AQ137" i="5"/>
  <c r="AR137" i="5"/>
  <c r="AS137" i="5"/>
  <c r="AU137" i="5"/>
  <c r="AV137" i="5"/>
  <c r="AW137" i="5"/>
  <c r="AX137" i="5"/>
  <c r="AY137" i="5"/>
  <c r="AZ137" i="5"/>
  <c r="BA137" i="5"/>
  <c r="BB137" i="5"/>
  <c r="BC137" i="5"/>
  <c r="BD137" i="5"/>
  <c r="BE137" i="5"/>
  <c r="BF137" i="5"/>
  <c r="U138" i="5" a="1"/>
  <c r="V138" i="5" a="1"/>
  <c r="W138" i="5" a="1"/>
  <c r="X138" i="5" a="1"/>
  <c r="Y138" i="5" a="1"/>
  <c r="Z138" i="5" a="1"/>
  <c r="AA138" i="5" a="1"/>
  <c r="AB138" i="5" a="1"/>
  <c r="AC138" i="5" a="1"/>
  <c r="AD138" i="5" a="1"/>
  <c r="AE138" i="5" a="1"/>
  <c r="AF138" i="5" a="1"/>
  <c r="AH138" i="5"/>
  <c r="AI138" i="5"/>
  <c r="AJ138" i="5"/>
  <c r="AK138" i="5"/>
  <c r="AL138" i="5"/>
  <c r="AM138" i="5"/>
  <c r="AN138" i="5"/>
  <c r="AO138" i="5"/>
  <c r="AP138" i="5"/>
  <c r="AQ138" i="5"/>
  <c r="AR138" i="5"/>
  <c r="AS138" i="5"/>
  <c r="AU138" i="5"/>
  <c r="AV138" i="5"/>
  <c r="AW138" i="5"/>
  <c r="AX138" i="5"/>
  <c r="AY138" i="5"/>
  <c r="AZ138" i="5"/>
  <c r="BA138" i="5"/>
  <c r="BB138" i="5"/>
  <c r="BC138" i="5"/>
  <c r="BD138" i="5"/>
  <c r="BE138" i="5"/>
  <c r="BF138" i="5"/>
  <c r="U139" i="5" a="1"/>
  <c r="V139" i="5" a="1"/>
  <c r="W139" i="5" a="1"/>
  <c r="X139" i="5" a="1"/>
  <c r="Y139" i="5" a="1"/>
  <c r="Z139" i="5" a="1"/>
  <c r="AA139" i="5" a="1"/>
  <c r="AB139" i="5" a="1"/>
  <c r="AC139" i="5" a="1"/>
  <c r="AD139" i="5" a="1"/>
  <c r="AE139" i="5" a="1"/>
  <c r="AF139" i="5" a="1"/>
  <c r="AH139" i="5"/>
  <c r="AI139" i="5"/>
  <c r="AJ139" i="5"/>
  <c r="AK139" i="5"/>
  <c r="AL139" i="5"/>
  <c r="AM139" i="5"/>
  <c r="AN139" i="5"/>
  <c r="AO139" i="5"/>
  <c r="AP139" i="5"/>
  <c r="AQ139" i="5"/>
  <c r="AR139" i="5"/>
  <c r="AS139" i="5"/>
  <c r="AU139" i="5"/>
  <c r="AV139" i="5"/>
  <c r="AW139" i="5"/>
  <c r="AX139" i="5"/>
  <c r="AY139" i="5"/>
  <c r="AZ139" i="5"/>
  <c r="BA139" i="5"/>
  <c r="BB139" i="5"/>
  <c r="BC139" i="5"/>
  <c r="BD139" i="5"/>
  <c r="BE139" i="5"/>
  <c r="BF139" i="5"/>
  <c r="U140" i="5" a="1"/>
  <c r="V140" i="5" a="1"/>
  <c r="W140" i="5" a="1"/>
  <c r="X140" i="5" a="1"/>
  <c r="Y140" i="5" a="1"/>
  <c r="Z140" i="5" a="1"/>
  <c r="AA140" i="5" a="1"/>
  <c r="AB140" i="5" a="1"/>
  <c r="AC140" i="5" a="1"/>
  <c r="AD140" i="5" a="1"/>
  <c r="AE140" i="5" a="1"/>
  <c r="AF140" i="5" a="1"/>
  <c r="AH140" i="5"/>
  <c r="AI140" i="5"/>
  <c r="AJ140" i="5"/>
  <c r="AK140" i="5"/>
  <c r="AL140" i="5"/>
  <c r="AM140" i="5"/>
  <c r="AN140" i="5"/>
  <c r="AO140" i="5"/>
  <c r="AP140" i="5"/>
  <c r="AQ140" i="5"/>
  <c r="AR140" i="5"/>
  <c r="AS140" i="5"/>
  <c r="AU140" i="5"/>
  <c r="AV140" i="5"/>
  <c r="AW140" i="5"/>
  <c r="AX140" i="5"/>
  <c r="AY140" i="5"/>
  <c r="AZ140" i="5"/>
  <c r="BA140" i="5"/>
  <c r="BB140" i="5"/>
  <c r="BC140" i="5"/>
  <c r="BD140" i="5"/>
  <c r="BE140" i="5"/>
  <c r="BF140" i="5"/>
  <c r="C143" i="5"/>
  <c r="D143" i="5"/>
  <c r="E143" i="5"/>
  <c r="F143" i="5"/>
  <c r="G143" i="5"/>
  <c r="I143" i="5"/>
  <c r="H144" i="5"/>
  <c r="H145" i="5"/>
  <c r="H146" i="5"/>
  <c r="H147" i="5"/>
  <c r="H148" i="5"/>
  <c r="H149" i="5"/>
  <c r="C175" i="5"/>
  <c r="D175" i="5"/>
  <c r="E175" i="5"/>
  <c r="F175" i="5"/>
  <c r="G175" i="5"/>
  <c r="H175" i="5"/>
  <c r="I175" i="5"/>
  <c r="J175" i="5"/>
  <c r="K175" i="5"/>
  <c r="L175" i="5"/>
  <c r="M175" i="5"/>
  <c r="N175" i="5"/>
  <c r="U205" i="5" a="1"/>
  <c r="N7" i="8"/>
  <c r="M7" i="8"/>
  <c r="L7" i="8"/>
  <c r="K7" i="8"/>
  <c r="J7" i="8"/>
  <c r="I7" i="8"/>
  <c r="H7" i="8"/>
  <c r="G7" i="8"/>
  <c r="F7" i="8"/>
  <c r="E7" i="8"/>
  <c r="D7" i="8"/>
  <c r="C7" i="8"/>
  <c r="C45" i="15" l="1"/>
  <c r="D45" i="15"/>
  <c r="B267" i="15"/>
  <c r="B268" i="15" s="1"/>
  <c r="B264" i="15"/>
  <c r="B265" i="15" s="1"/>
  <c r="B270" i="15"/>
  <c r="B271" i="15" s="1"/>
  <c r="D29" i="15"/>
  <c r="E29" i="15"/>
  <c r="G29" i="15"/>
  <c r="D30" i="15"/>
  <c r="C29" i="15"/>
  <c r="F29" i="15"/>
  <c r="H29" i="15"/>
  <c r="J29" i="15"/>
  <c r="L29" i="15"/>
  <c r="N29" i="15"/>
  <c r="E30" i="15"/>
  <c r="H30" i="15"/>
  <c r="K30" i="15"/>
  <c r="N30" i="15"/>
  <c r="D31" i="15"/>
  <c r="G31" i="15"/>
  <c r="J31" i="15"/>
  <c r="L31" i="15"/>
  <c r="K29" i="15"/>
  <c r="G30" i="15"/>
  <c r="J30" i="15"/>
  <c r="M30" i="15"/>
  <c r="E31" i="15"/>
  <c r="H31" i="15"/>
  <c r="K31" i="15"/>
  <c r="N31" i="15"/>
  <c r="I29" i="15"/>
  <c r="M29" i="15"/>
  <c r="C30" i="15"/>
  <c r="F30" i="15"/>
  <c r="I30" i="15"/>
  <c r="L30" i="15"/>
  <c r="C31" i="15"/>
  <c r="F31" i="15"/>
  <c r="I31" i="15"/>
  <c r="M31" i="15"/>
  <c r="H108" i="15"/>
  <c r="I239" i="1"/>
  <c r="N256" i="15"/>
  <c r="M253" i="15"/>
  <c r="N253" i="15" s="1"/>
  <c r="L253" i="15"/>
  <c r="K253" i="15"/>
  <c r="J253" i="15"/>
  <c r="I253" i="15"/>
  <c r="H253" i="15"/>
  <c r="G253" i="15"/>
  <c r="F253" i="15"/>
  <c r="E253" i="15"/>
  <c r="D253" i="15"/>
  <c r="C253" i="15"/>
  <c r="B253" i="15"/>
  <c r="N250" i="15"/>
  <c r="N246" i="15"/>
  <c r="M244" i="15"/>
  <c r="L244" i="15"/>
  <c r="K244" i="15"/>
  <c r="J244" i="15"/>
  <c r="I244" i="15"/>
  <c r="H244" i="15"/>
  <c r="G244" i="15"/>
  <c r="F244" i="15"/>
  <c r="E244" i="15"/>
  <c r="D244" i="15"/>
  <c r="C244" i="15"/>
  <c r="B244" i="15"/>
  <c r="B243" i="15"/>
  <c r="N242" i="15"/>
  <c r="N241" i="15"/>
  <c r="N240" i="15"/>
  <c r="M239" i="15"/>
  <c r="L239" i="15"/>
  <c r="K239" i="15"/>
  <c r="J239" i="15"/>
  <c r="I239" i="15"/>
  <c r="H239" i="15"/>
  <c r="G239" i="15"/>
  <c r="F239" i="15"/>
  <c r="E239" i="15"/>
  <c r="D239" i="15"/>
  <c r="C239" i="15"/>
  <c r="B239" i="15"/>
  <c r="N238" i="15"/>
  <c r="N227" i="15"/>
  <c r="N226" i="15"/>
  <c r="O45" i="15" s="1"/>
  <c r="N197" i="15"/>
  <c r="N196" i="15"/>
  <c r="N195" i="15"/>
  <c r="N105" i="15"/>
  <c r="L105" i="15"/>
  <c r="N104" i="15"/>
  <c r="L104" i="15"/>
  <c r="N103" i="15"/>
  <c r="L103" i="15"/>
  <c r="AE247" i="14"/>
  <c r="W247" i="14"/>
  <c r="X246" i="14"/>
  <c r="Y245" i="14"/>
  <c r="AA244" i="14"/>
  <c r="AA243" i="14"/>
  <c r="AE242" i="14"/>
  <c r="AF241" i="14"/>
  <c r="W241" i="14"/>
  <c r="X240" i="14"/>
  <c r="AC218" i="14"/>
  <c r="AC219" i="14" s="1"/>
  <c r="AA218" i="14"/>
  <c r="AA219" i="14" s="1"/>
  <c r="AC217" i="14"/>
  <c r="AB217" i="14"/>
  <c r="AD216" i="14"/>
  <c r="Y215" i="14"/>
  <c r="AA214" i="14"/>
  <c r="Y247" i="14"/>
  <c r="U247" i="14"/>
  <c r="AC246" i="14"/>
  <c r="Z246" i="14"/>
  <c r="U246" i="14"/>
  <c r="AC245" i="14"/>
  <c r="X245" i="14"/>
  <c r="U245" i="14"/>
  <c r="AC244" i="14"/>
  <c r="X244" i="14"/>
  <c r="U244" i="14"/>
  <c r="AC243" i="14"/>
  <c r="Y243" i="14"/>
  <c r="V243" i="14"/>
  <c r="AB242" i="14"/>
  <c r="Y242" i="14"/>
  <c r="U242" i="14"/>
  <c r="AB241" i="14"/>
  <c r="Z241" i="14"/>
  <c r="U241" i="14"/>
  <c r="AC240" i="14"/>
  <c r="Z240" i="14"/>
  <c r="W240" i="14"/>
  <c r="AD218" i="14"/>
  <c r="AD219" i="14" s="1"/>
  <c r="Z218" i="14"/>
  <c r="Z219" i="14" s="1"/>
  <c r="W218" i="14"/>
  <c r="W219" i="14" s="1"/>
  <c r="AF217" i="14"/>
  <c r="Z217" i="14"/>
  <c r="W217" i="14"/>
  <c r="AF216" i="14"/>
  <c r="AA216" i="14"/>
  <c r="AE215" i="14"/>
  <c r="AB215" i="14"/>
  <c r="Z215" i="14"/>
  <c r="AF214" i="14"/>
  <c r="AC214" i="14"/>
  <c r="Y214" i="14"/>
  <c r="V214" i="14"/>
  <c r="Y138" i="14"/>
  <c r="AC137" i="14"/>
  <c r="AA137" i="14"/>
  <c r="AD136" i="14"/>
  <c r="AB136" i="14"/>
  <c r="AF134" i="14"/>
  <c r="AC134" i="14"/>
  <c r="AB134" i="14"/>
  <c r="AC133" i="14"/>
  <c r="AB133" i="14"/>
  <c r="AA133" i="14"/>
  <c r="Z133" i="14"/>
  <c r="U133" i="14"/>
  <c r="Y132" i="14"/>
  <c r="X132" i="14"/>
  <c r="AB131" i="14"/>
  <c r="AF213" i="14"/>
  <c r="AE213" i="14"/>
  <c r="AD213" i="14"/>
  <c r="AC213" i="14"/>
  <c r="AB213" i="14"/>
  <c r="AA213" i="14"/>
  <c r="Z213" i="14"/>
  <c r="Y213" i="14"/>
  <c r="X213" i="14"/>
  <c r="W213" i="14"/>
  <c r="V213" i="14"/>
  <c r="U213" i="14"/>
  <c r="AF205" i="14" a="1"/>
  <c r="AF205" i="14" s="1"/>
  <c r="AE205" i="14" a="1"/>
  <c r="AE205" i="14" s="1"/>
  <c r="AD205" i="14" a="1"/>
  <c r="AD205" i="14" s="1"/>
  <c r="AC205" i="14" a="1"/>
  <c r="AC205" i="14" s="1"/>
  <c r="AB205" i="14" a="1"/>
  <c r="AB205" i="14" s="1"/>
  <c r="AA205" i="14" a="1"/>
  <c r="AA205" i="14" s="1"/>
  <c r="Z205" i="14" a="1"/>
  <c r="Z205" i="14" s="1"/>
  <c r="Y205" i="14" a="1"/>
  <c r="Y205" i="14" s="1"/>
  <c r="X205" i="14" a="1"/>
  <c r="X205" i="14" s="1"/>
  <c r="W205" i="14" a="1"/>
  <c r="W205" i="14" s="1"/>
  <c r="V205" i="14" a="1"/>
  <c r="V205" i="14" s="1"/>
  <c r="U205" i="14"/>
  <c r="AF204" i="14"/>
  <c r="AE204" i="14"/>
  <c r="AD204" i="14"/>
  <c r="AC204" i="14"/>
  <c r="AB204" i="14"/>
  <c r="AA204" i="14"/>
  <c r="Z204" i="14"/>
  <c r="Y204" i="14"/>
  <c r="X204" i="14"/>
  <c r="W204" i="14"/>
  <c r="V204" i="14"/>
  <c r="U204" i="14"/>
  <c r="AF203" i="14"/>
  <c r="AE203" i="14"/>
  <c r="AD203" i="14"/>
  <c r="AC203" i="14"/>
  <c r="AB203" i="14"/>
  <c r="AA203" i="14"/>
  <c r="Z203" i="14"/>
  <c r="Y203" i="14"/>
  <c r="X203" i="14"/>
  <c r="W203" i="14"/>
  <c r="V203" i="14"/>
  <c r="U203" i="14"/>
  <c r="AF194" i="14"/>
  <c r="AE194" i="14"/>
  <c r="AD194" i="14"/>
  <c r="AC194" i="14"/>
  <c r="AB194" i="14"/>
  <c r="AA194" i="14"/>
  <c r="Z194" i="14"/>
  <c r="Y194" i="14"/>
  <c r="X194" i="14"/>
  <c r="W194" i="14"/>
  <c r="V194" i="14"/>
  <c r="U194" i="14"/>
  <c r="AF193" i="14"/>
  <c r="AE193" i="14"/>
  <c r="AD193" i="14"/>
  <c r="AC193" i="14"/>
  <c r="AB193" i="14"/>
  <c r="AA193" i="14"/>
  <c r="Z193" i="14"/>
  <c r="Y193" i="14"/>
  <c r="X193" i="14"/>
  <c r="W193" i="14"/>
  <c r="V193" i="14"/>
  <c r="U193" i="14"/>
  <c r="AE138" i="14"/>
  <c r="AD138" i="14"/>
  <c r="Z138" i="14"/>
  <c r="W138" i="14"/>
  <c r="V138" i="14"/>
  <c r="U138" i="14"/>
  <c r="AF137" i="14"/>
  <c r="Y137" i="14"/>
  <c r="V137" i="14"/>
  <c r="AF136" i="14"/>
  <c r="AE136" i="14"/>
  <c r="AA136" i="14"/>
  <c r="V136" i="14"/>
  <c r="AD135" i="14"/>
  <c r="V135" i="14"/>
  <c r="AE134" i="14"/>
  <c r="Z134" i="14"/>
  <c r="U134" i="14"/>
  <c r="AF133" i="14"/>
  <c r="Y133" i="14"/>
  <c r="W133" i="14"/>
  <c r="AC132" i="14"/>
  <c r="Z132" i="14"/>
  <c r="U132" i="14"/>
  <c r="AF131" i="14"/>
  <c r="AC131" i="14"/>
  <c r="Y131" i="14"/>
  <c r="U131" i="14"/>
  <c r="U129" i="14"/>
  <c r="AF247" i="14"/>
  <c r="AC247" i="14"/>
  <c r="AB247" i="14"/>
  <c r="V247" i="14"/>
  <c r="Y246" i="14"/>
  <c r="Z245" i="14"/>
  <c r="AB244" i="14"/>
  <c r="AD243" i="14"/>
  <c r="AF242" i="14"/>
  <c r="W242" i="14"/>
  <c r="X241" i="14"/>
  <c r="AB218" i="14"/>
  <c r="AB219" i="14" s="1"/>
  <c r="AE216" i="14"/>
  <c r="V216" i="14"/>
  <c r="U216" i="14"/>
  <c r="W215" i="14"/>
  <c r="V215" i="14"/>
  <c r="X214" i="14"/>
  <c r="AF140" i="14"/>
  <c r="AE140" i="14"/>
  <c r="AD140" i="14"/>
  <c r="AC140" i="14"/>
  <c r="AB140" i="14"/>
  <c r="AA140" i="14"/>
  <c r="Z140" i="14"/>
  <c r="Y140" i="14"/>
  <c r="X140" i="14"/>
  <c r="W140" i="14"/>
  <c r="U140" i="14"/>
  <c r="AF139" i="14"/>
  <c r="AD139" i="14"/>
  <c r="AB139" i="14"/>
  <c r="Z139" i="14"/>
  <c r="X139" i="14"/>
  <c r="V139" i="14"/>
  <c r="AF138" i="14"/>
  <c r="AB138" i="14"/>
  <c r="AD137" i="14"/>
  <c r="AB137" i="14"/>
  <c r="X137" i="14"/>
  <c r="AC136" i="14"/>
  <c r="Y136" i="14"/>
  <c r="X136" i="14"/>
  <c r="AF135" i="14"/>
  <c r="AC135" i="14"/>
  <c r="U135" i="14"/>
  <c r="AD134" i="14"/>
  <c r="W134" i="14"/>
  <c r="X133" i="14"/>
  <c r="W132" i="14"/>
  <c r="V132" i="14"/>
  <c r="AE131" i="14"/>
  <c r="Z131" i="14"/>
  <c r="W131" i="14"/>
  <c r="S6" i="14"/>
  <c r="S5" i="14"/>
  <c r="AA247" i="14"/>
  <c r="AD246" i="14"/>
  <c r="AD245" i="14"/>
  <c r="AE244" i="14"/>
  <c r="AF243" i="14"/>
  <c r="AD242" i="14"/>
  <c r="AD241" i="14"/>
  <c r="AE240" i="14"/>
  <c r="AA217" i="14"/>
  <c r="Y216" i="14"/>
  <c r="X216" i="14"/>
  <c r="W216" i="14"/>
  <c r="U215" i="14"/>
  <c r="V140" i="14"/>
  <c r="AE139" i="14"/>
  <c r="AC139" i="14"/>
  <c r="AA139" i="14"/>
  <c r="Y139" i="14"/>
  <c r="W139" i="14"/>
  <c r="U139" i="14"/>
  <c r="AC138" i="14"/>
  <c r="AA138" i="14"/>
  <c r="X138" i="14"/>
  <c r="AE137" i="14"/>
  <c r="U137" i="14"/>
  <c r="Z136" i="14"/>
  <c r="W136" i="14"/>
  <c r="AA135" i="14"/>
  <c r="W135" i="14"/>
  <c r="AA134" i="14"/>
  <c r="Y134" i="14"/>
  <c r="V134" i="14"/>
  <c r="AE133" i="14"/>
  <c r="V133" i="14"/>
  <c r="AF132" i="14"/>
  <c r="AA131" i="14"/>
  <c r="X131" i="14"/>
  <c r="V129" i="14"/>
  <c r="AF246" i="14"/>
  <c r="AB246" i="14"/>
  <c r="V246" i="14"/>
  <c r="AE245" i="14"/>
  <c r="AA245" i="14"/>
  <c r="V245" i="14"/>
  <c r="AD244" i="14"/>
  <c r="Y244" i="14"/>
  <c r="V244" i="14"/>
  <c r="AB243" i="14"/>
  <c r="X243" i="14"/>
  <c r="U243" i="14"/>
  <c r="AA242" i="14"/>
  <c r="X242" i="14"/>
  <c r="AE241" i="14"/>
  <c r="AA241" i="14"/>
  <c r="V241" i="14"/>
  <c r="AD240" i="14"/>
  <c r="AA240" i="14"/>
  <c r="V240" i="14"/>
  <c r="AE218" i="14"/>
  <c r="AE219" i="14" s="1"/>
  <c r="X218" i="14"/>
  <c r="X219" i="14" s="1"/>
  <c r="U218" i="14"/>
  <c r="U219" i="14" s="1"/>
  <c r="AE217" i="14"/>
  <c r="Y217" i="14"/>
  <c r="U217" i="14"/>
  <c r="AC216" i="14"/>
  <c r="AD215" i="14"/>
  <c r="AA215" i="14"/>
  <c r="AD214" i="14"/>
  <c r="Z214" i="14"/>
  <c r="U214" i="14"/>
  <c r="AD247" i="14"/>
  <c r="Z247" i="14"/>
  <c r="X247" i="14"/>
  <c r="AE246" i="14"/>
  <c r="AA246" i="14"/>
  <c r="W246" i="14"/>
  <c r="AF245" i="14"/>
  <c r="AB245" i="14"/>
  <c r="W245" i="14"/>
  <c r="AF244" i="14"/>
  <c r="Z244" i="14"/>
  <c r="W244" i="14"/>
  <c r="AE243" i="14"/>
  <c r="Z243" i="14"/>
  <c r="W243" i="14"/>
  <c r="AC242" i="14"/>
  <c r="Z242" i="14"/>
  <c r="V242" i="14"/>
  <c r="AC241" i="14"/>
  <c r="Y241" i="14"/>
  <c r="AF240" i="14"/>
  <c r="AB240" i="14"/>
  <c r="Y240" i="14"/>
  <c r="U240" i="14"/>
  <c r="AF218" i="14"/>
  <c r="AF219" i="14" s="1"/>
  <c r="Y218" i="14"/>
  <c r="Y219" i="14" s="1"/>
  <c r="V218" i="14"/>
  <c r="V219" i="14" s="1"/>
  <c r="AD217" i="14"/>
  <c r="X217" i="14"/>
  <c r="V217" i="14"/>
  <c r="AB216" i="14"/>
  <c r="Z216" i="14"/>
  <c r="AF215" i="14"/>
  <c r="AC215" i="14"/>
  <c r="X215" i="14"/>
  <c r="AE214" i="14"/>
  <c r="AB214" i="14"/>
  <c r="W214" i="14"/>
  <c r="Z137" i="14"/>
  <c r="W137" i="14"/>
  <c r="U136" i="14"/>
  <c r="AE135" i="14"/>
  <c r="AB135" i="14"/>
  <c r="Z135" i="14"/>
  <c r="Y135" i="14"/>
  <c r="X135" i="14"/>
  <c r="X134" i="14"/>
  <c r="AD133" i="14"/>
  <c r="AE132" i="14"/>
  <c r="AD132" i="14"/>
  <c r="AB132" i="14"/>
  <c r="AA132" i="14"/>
  <c r="AD131" i="14"/>
  <c r="V131" i="14"/>
  <c r="C239" i="1"/>
  <c r="N250" i="1"/>
  <c r="D239" i="1"/>
  <c r="N256" i="1"/>
  <c r="M239" i="1"/>
  <c r="N104" i="1"/>
  <c r="L104" i="1"/>
  <c r="L105" i="1"/>
  <c r="N105" i="1"/>
  <c r="AF246" i="5"/>
  <c r="AE244" i="5"/>
  <c r="Y244" i="5"/>
  <c r="AE240" i="5"/>
  <c r="AD246" i="5"/>
  <c r="Y246" i="5"/>
  <c r="U246" i="5"/>
  <c r="AE246" i="5"/>
  <c r="W246" i="5"/>
  <c r="AF245" i="5"/>
  <c r="Y245" i="5"/>
  <c r="U244" i="5"/>
  <c r="Z242" i="5"/>
  <c r="U247" i="5"/>
  <c r="V244" i="5"/>
  <c r="W244" i="5"/>
  <c r="AD241" i="5"/>
  <c r="AD242" i="5"/>
  <c r="AA242" i="5"/>
  <c r="W243" i="5"/>
  <c r="AF247" i="5"/>
  <c r="AE247" i="5"/>
  <c r="AD247" i="5"/>
  <c r="AC247" i="5"/>
  <c r="AB247" i="5"/>
  <c r="AA247" i="5"/>
  <c r="Z247" i="5"/>
  <c r="Y247" i="5"/>
  <c r="X247" i="5"/>
  <c r="W247" i="5"/>
  <c r="V247" i="5"/>
  <c r="AC246" i="5"/>
  <c r="AB246" i="5"/>
  <c r="AA246" i="5"/>
  <c r="Z246" i="5"/>
  <c r="X246" i="5"/>
  <c r="V246" i="5"/>
  <c r="AE245" i="5"/>
  <c r="AD245" i="5"/>
  <c r="AC245" i="5"/>
  <c r="AB245" i="5"/>
  <c r="AA245" i="5"/>
  <c r="Z245" i="5"/>
  <c r="X245" i="5"/>
  <c r="W245" i="5"/>
  <c r="V245" i="5"/>
  <c r="U245" i="5"/>
  <c r="AF244" i="5"/>
  <c r="AD244" i="5"/>
  <c r="AC244" i="5"/>
  <c r="AB244" i="5"/>
  <c r="AA244" i="5"/>
  <c r="Z244" i="5"/>
  <c r="X244" i="5"/>
  <c r="AF243" i="5"/>
  <c r="AE243" i="5"/>
  <c r="AD243" i="5"/>
  <c r="AC243" i="5"/>
  <c r="AB243" i="5"/>
  <c r="AA243" i="5"/>
  <c r="Z243" i="5"/>
  <c r="Y243" i="5"/>
  <c r="X243" i="5"/>
  <c r="V243" i="5"/>
  <c r="U243" i="5"/>
  <c r="AF242" i="5"/>
  <c r="AE242" i="5"/>
  <c r="AC242" i="5"/>
  <c r="AB242" i="5"/>
  <c r="Y242" i="5"/>
  <c r="X242" i="5"/>
  <c r="W242" i="5"/>
  <c r="V242" i="5"/>
  <c r="U242" i="5"/>
  <c r="AF241" i="5"/>
  <c r="AE241" i="5"/>
  <c r="AC241" i="5"/>
  <c r="AB241" i="5"/>
  <c r="AA241" i="5"/>
  <c r="Z241" i="5"/>
  <c r="Y241" i="5"/>
  <c r="X241" i="5"/>
  <c r="W241" i="5"/>
  <c r="V241" i="5"/>
  <c r="U241" i="5"/>
  <c r="AF240" i="5"/>
  <c r="AD240" i="5"/>
  <c r="AC240" i="5"/>
  <c r="AB240" i="5"/>
  <c r="AA240" i="5"/>
  <c r="Z240" i="5"/>
  <c r="Y240" i="5"/>
  <c r="X240" i="5"/>
  <c r="W240" i="5"/>
  <c r="V240" i="5"/>
  <c r="U240" i="5"/>
  <c r="AF214" i="5"/>
  <c r="AF217" i="5"/>
  <c r="AF216" i="5"/>
  <c r="AF213" i="5"/>
  <c r="AA218" i="5"/>
  <c r="G206" i="1"/>
  <c r="H206" i="1"/>
  <c r="I206" i="1"/>
  <c r="J206" i="1"/>
  <c r="K206" i="1"/>
  <c r="L206" i="1"/>
  <c r="M206" i="1"/>
  <c r="B207" i="1"/>
  <c r="C207" i="1"/>
  <c r="D207" i="1"/>
  <c r="E207" i="1"/>
  <c r="F207" i="1"/>
  <c r="G207" i="1"/>
  <c r="H207" i="1"/>
  <c r="AF218" i="5"/>
  <c r="AF215" i="5"/>
  <c r="AD218" i="5"/>
  <c r="N226" i="1"/>
  <c r="AE217" i="5"/>
  <c r="AD214" i="5"/>
  <c r="AC216" i="5"/>
  <c r="AB216" i="5"/>
  <c r="AB214" i="5"/>
  <c r="AA217" i="5"/>
  <c r="AA214" i="5"/>
  <c r="Z217" i="5"/>
  <c r="Z214" i="5"/>
  <c r="Y216" i="5"/>
  <c r="W214" i="5"/>
  <c r="V216" i="5"/>
  <c r="AB218" i="5"/>
  <c r="Y215" i="5"/>
  <c r="W217" i="5"/>
  <c r="AE218" i="5"/>
  <c r="AE215" i="5"/>
  <c r="AC218" i="5"/>
  <c r="AC215" i="5"/>
  <c r="AC213" i="5"/>
  <c r="AB217" i="5"/>
  <c r="AB215" i="5"/>
  <c r="AB213" i="5"/>
  <c r="AA215" i="5"/>
  <c r="Z215" i="5"/>
  <c r="Y218" i="5"/>
  <c r="Y214" i="5"/>
  <c r="X216" i="5"/>
  <c r="X213" i="5"/>
  <c r="W216" i="5"/>
  <c r="V214" i="5"/>
  <c r="U215" i="5"/>
  <c r="AC214" i="5"/>
  <c r="AA216" i="5"/>
  <c r="AA213" i="5"/>
  <c r="Z213" i="5"/>
  <c r="Y213" i="5"/>
  <c r="X217" i="5"/>
  <c r="X214" i="5"/>
  <c r="W215" i="5"/>
  <c r="V217" i="5"/>
  <c r="V213" i="5"/>
  <c r="U217" i="5"/>
  <c r="B243" i="1"/>
  <c r="AE216" i="5"/>
  <c r="AE214" i="5"/>
  <c r="AE213" i="5"/>
  <c r="AD217" i="5"/>
  <c r="AD216" i="5"/>
  <c r="AD215" i="5"/>
  <c r="AD213" i="5"/>
  <c r="AC217" i="5"/>
  <c r="Z218" i="5"/>
  <c r="Z216" i="5"/>
  <c r="Y217" i="5"/>
  <c r="X218" i="5"/>
  <c r="X215" i="5"/>
  <c r="W218" i="5"/>
  <c r="W213" i="5"/>
  <c r="V218" i="5"/>
  <c r="V215" i="5"/>
  <c r="U218" i="5"/>
  <c r="U216" i="5"/>
  <c r="U214" i="5"/>
  <c r="U213" i="5"/>
  <c r="I207" i="1"/>
  <c r="AC138" i="5"/>
  <c r="J207" i="1"/>
  <c r="K207" i="1"/>
  <c r="L207" i="1"/>
  <c r="W137" i="5"/>
  <c r="AB137" i="5"/>
  <c r="N246" i="1"/>
  <c r="M207" i="1"/>
  <c r="B208" i="1"/>
  <c r="AF203" i="5"/>
  <c r="AE203" i="5"/>
  <c r="AD203" i="5"/>
  <c r="AC203" i="5"/>
  <c r="AB203" i="5"/>
  <c r="AA203" i="5"/>
  <c r="Z203" i="5"/>
  <c r="Y203" i="5"/>
  <c r="X203" i="5"/>
  <c r="W203" i="5"/>
  <c r="V203" i="5"/>
  <c r="U203" i="5"/>
  <c r="L239" i="1"/>
  <c r="AF192" i="5"/>
  <c r="AE192" i="5"/>
  <c r="AD192" i="5"/>
  <c r="AC192" i="5"/>
  <c r="AB192" i="5"/>
  <c r="AA192" i="5"/>
  <c r="Z192" i="5"/>
  <c r="Y192" i="5"/>
  <c r="X192" i="5"/>
  <c r="W192" i="5"/>
  <c r="V192" i="5"/>
  <c r="U192" i="5"/>
  <c r="S5" i="5"/>
  <c r="S6" i="5"/>
  <c r="L103" i="1"/>
  <c r="N103" i="1"/>
  <c r="AB136" i="5"/>
  <c r="W140" i="5"/>
  <c r="C208" i="1"/>
  <c r="D208" i="1"/>
  <c r="E208" i="1"/>
  <c r="F208" i="1"/>
  <c r="G208" i="1"/>
  <c r="H208" i="1"/>
  <c r="I208" i="1"/>
  <c r="J208" i="1"/>
  <c r="K208" i="1"/>
  <c r="L208" i="1"/>
  <c r="M208" i="1"/>
  <c r="AE134" i="5"/>
  <c r="W136" i="5"/>
  <c r="AC134" i="5"/>
  <c r="C45" i="1"/>
  <c r="V133" i="5"/>
  <c r="Y133" i="5"/>
  <c r="AB133" i="5"/>
  <c r="AD133" i="5"/>
  <c r="V134" i="5"/>
  <c r="Y134" i="5"/>
  <c r="AB134" i="5"/>
  <c r="AD134" i="5"/>
  <c r="W135" i="5"/>
  <c r="Z135" i="5"/>
  <c r="AD135" i="5"/>
  <c r="X136" i="5"/>
  <c r="W138" i="5"/>
  <c r="Z138" i="5"/>
  <c r="AE138" i="5"/>
  <c r="W139" i="5"/>
  <c r="AA139" i="5"/>
  <c r="AB139" i="5"/>
  <c r="AE139" i="5"/>
  <c r="Z140" i="5"/>
  <c r="AC140" i="5"/>
  <c r="AE140" i="5"/>
  <c r="B253" i="1"/>
  <c r="C253" i="1"/>
  <c r="D253" i="1"/>
  <c r="E253" i="1"/>
  <c r="F253" i="1"/>
  <c r="G253" i="1"/>
  <c r="H253" i="1"/>
  <c r="I253" i="1"/>
  <c r="J253" i="1"/>
  <c r="K253" i="1"/>
  <c r="L253" i="1"/>
  <c r="M253" i="1"/>
  <c r="N253" i="1" s="1"/>
  <c r="W133" i="5"/>
  <c r="Z133" i="5"/>
  <c r="AC133" i="5"/>
  <c r="AF133" i="5"/>
  <c r="U134" i="5"/>
  <c r="W134" i="5"/>
  <c r="AA134" i="5"/>
  <c r="AF134" i="5"/>
  <c r="U135" i="5"/>
  <c r="X135" i="5"/>
  <c r="AA135" i="5"/>
  <c r="AC135" i="5"/>
  <c r="Y137" i="5"/>
  <c r="AD137" i="5"/>
  <c r="U138" i="5"/>
  <c r="X138" i="5"/>
  <c r="AA138" i="5"/>
  <c r="AD138" i="5"/>
  <c r="U139" i="5"/>
  <c r="X139" i="5"/>
  <c r="Z139" i="5"/>
  <c r="AC139" i="5"/>
  <c r="AF139" i="5"/>
  <c r="V140" i="5"/>
  <c r="X140" i="5"/>
  <c r="AA140" i="5"/>
  <c r="AD140" i="5"/>
  <c r="AF140" i="5"/>
  <c r="U133" i="5"/>
  <c r="X133" i="5"/>
  <c r="AA133" i="5"/>
  <c r="AE133" i="5"/>
  <c r="X134" i="5"/>
  <c r="Z134" i="5"/>
  <c r="V135" i="5"/>
  <c r="Y135" i="5"/>
  <c r="AB135" i="5"/>
  <c r="AC136" i="5"/>
  <c r="X137" i="5"/>
  <c r="AC137" i="5"/>
  <c r="V138" i="5"/>
  <c r="Y138" i="5"/>
  <c r="AB138" i="5"/>
  <c r="AF138" i="5"/>
  <c r="V139" i="5"/>
  <c r="Y139" i="5"/>
  <c r="AD139" i="5"/>
  <c r="U140" i="5"/>
  <c r="Y140" i="5"/>
  <c r="AB140" i="5"/>
  <c r="D30" i="1"/>
  <c r="F30" i="1"/>
  <c r="N195" i="1"/>
  <c r="N197" i="1"/>
  <c r="B206" i="1"/>
  <c r="C30" i="1" s="1"/>
  <c r="E30" i="1"/>
  <c r="G30" i="1"/>
  <c r="H108" i="1"/>
  <c r="H109" i="1"/>
  <c r="H110" i="1"/>
  <c r="N196" i="1"/>
  <c r="C243" i="1"/>
  <c r="D243" i="1"/>
  <c r="E243" i="1"/>
  <c r="F243" i="1"/>
  <c r="G243" i="1"/>
  <c r="H243" i="1"/>
  <c r="I243" i="1"/>
  <c r="J243" i="1"/>
  <c r="K243" i="1"/>
  <c r="N227" i="1"/>
  <c r="G239" i="1"/>
  <c r="L243" i="1"/>
  <c r="M243" i="1"/>
  <c r="B244" i="1"/>
  <c r="C244" i="1"/>
  <c r="D244" i="1"/>
  <c r="E244" i="1"/>
  <c r="F244" i="1"/>
  <c r="H244" i="1"/>
  <c r="I244" i="1"/>
  <c r="J244" i="1"/>
  <c r="K244" i="1"/>
  <c r="L244" i="1"/>
  <c r="M244" i="1"/>
  <c r="F239" i="1"/>
  <c r="N240" i="1"/>
  <c r="N238" i="1"/>
  <c r="E239" i="1"/>
  <c r="N241" i="1"/>
  <c r="N242" i="1"/>
  <c r="G244" i="1"/>
  <c r="N252" i="1"/>
  <c r="N257" i="1"/>
  <c r="U193" i="5"/>
  <c r="V193" i="5"/>
  <c r="W193" i="5"/>
  <c r="X193" i="5"/>
  <c r="Y193" i="5"/>
  <c r="Z193" i="5"/>
  <c r="AA193" i="5"/>
  <c r="AB193" i="5"/>
  <c r="AC193" i="5"/>
  <c r="AE193" i="5"/>
  <c r="AF193" i="5"/>
  <c r="AD193" i="5"/>
  <c r="U204" i="5"/>
  <c r="W204" i="5"/>
  <c r="Y204" i="5"/>
  <c r="AA204" i="5"/>
  <c r="AC204" i="5"/>
  <c r="AE204" i="5"/>
  <c r="W205" i="5" a="1"/>
  <c r="W205" i="5" s="1"/>
  <c r="AA205" i="5" a="1"/>
  <c r="AB205" i="5" a="1"/>
  <c r="AB205" i="5" s="1"/>
  <c r="AD205" i="5" a="1"/>
  <c r="AD205" i="5" s="1"/>
  <c r="AF205" i="5" a="1"/>
  <c r="X205" i="5" a="1"/>
  <c r="V204" i="5"/>
  <c r="X204" i="5"/>
  <c r="Z204" i="5"/>
  <c r="AB204" i="5"/>
  <c r="AD204" i="5"/>
  <c r="AF204" i="5"/>
  <c r="U205" i="5"/>
  <c r="V205" i="5" a="1"/>
  <c r="V205" i="5" s="1"/>
  <c r="Z205" i="5" a="1"/>
  <c r="AC205" i="5" a="1"/>
  <c r="AC205" i="5" s="1"/>
  <c r="AE205" i="5" a="1"/>
  <c r="Y205" i="5" a="1"/>
  <c r="AE135" i="5"/>
  <c r="V136" i="5"/>
  <c r="AA136" i="5"/>
  <c r="V137" i="5"/>
  <c r="AA137" i="5"/>
  <c r="AF137" i="5"/>
  <c r="AF135" i="5"/>
  <c r="U136" i="5"/>
  <c r="Y136" i="5"/>
  <c r="Z136" i="5"/>
  <c r="AD136" i="5"/>
  <c r="AE136" i="5"/>
  <c r="AF136" i="5"/>
  <c r="U137" i="5"/>
  <c r="Z137" i="5"/>
  <c r="AE137" i="5"/>
  <c r="N8" i="8"/>
  <c r="M8" i="8"/>
  <c r="L8" i="8"/>
  <c r="K8" i="8"/>
  <c r="J8" i="8"/>
  <c r="I8" i="8"/>
  <c r="H8" i="8"/>
  <c r="G8" i="8"/>
  <c r="F8" i="8"/>
  <c r="E8" i="8"/>
  <c r="D8" i="8"/>
  <c r="C8" i="8"/>
  <c r="H110" i="15" l="1"/>
  <c r="H109" i="15"/>
  <c r="N257" i="15"/>
  <c r="L243" i="15"/>
  <c r="K243" i="15"/>
  <c r="E243" i="15"/>
  <c r="D243" i="15"/>
  <c r="C243" i="15"/>
  <c r="N108" i="15"/>
  <c r="L108" i="15"/>
  <c r="H243" i="15"/>
  <c r="G243" i="15"/>
  <c r="F243" i="15"/>
  <c r="N252" i="15"/>
  <c r="M243" i="15"/>
  <c r="J243" i="15"/>
  <c r="I243" i="15"/>
  <c r="N60" i="15"/>
  <c r="K60" i="15"/>
  <c r="N239" i="15"/>
  <c r="N244" i="15"/>
  <c r="N208" i="15"/>
  <c r="B278" i="1"/>
  <c r="N207" i="15"/>
  <c r="O31" i="15" s="1"/>
  <c r="N206" i="15"/>
  <c r="O30" i="15" s="1"/>
  <c r="AF212" i="14"/>
  <c r="AE212" i="14"/>
  <c r="AD212" i="14"/>
  <c r="AC212" i="14"/>
  <c r="AB212" i="14"/>
  <c r="AA212" i="14"/>
  <c r="Z212" i="14"/>
  <c r="Y212" i="14"/>
  <c r="X212" i="14"/>
  <c r="W212" i="14"/>
  <c r="V212" i="14"/>
  <c r="U212" i="14"/>
  <c r="K254" i="15"/>
  <c r="I254" i="15"/>
  <c r="E254" i="15"/>
  <c r="B254" i="15"/>
  <c r="L254" i="15"/>
  <c r="H254" i="15"/>
  <c r="F254" i="15"/>
  <c r="C254" i="15"/>
  <c r="M254" i="15"/>
  <c r="N254" i="15" s="1"/>
  <c r="J254" i="15"/>
  <c r="G254" i="15"/>
  <c r="D254" i="15"/>
  <c r="AF231" i="5"/>
  <c r="M216" i="15" s="1"/>
  <c r="N40" i="15" s="1"/>
  <c r="Y231" i="5"/>
  <c r="F216" i="15" s="1"/>
  <c r="G40" i="15" s="1"/>
  <c r="U228" i="5"/>
  <c r="Z229" i="5"/>
  <c r="AB229" i="5"/>
  <c r="AA229" i="5"/>
  <c r="X229" i="5"/>
  <c r="O45" i="1"/>
  <c r="AA219" i="5"/>
  <c r="AF219" i="5"/>
  <c r="H30" i="1"/>
  <c r="N30" i="1"/>
  <c r="F31" i="1"/>
  <c r="I30" i="1"/>
  <c r="M30" i="1"/>
  <c r="E31" i="1"/>
  <c r="G31" i="1"/>
  <c r="J30" i="1"/>
  <c r="L30" i="1"/>
  <c r="D31" i="1"/>
  <c r="H31" i="1"/>
  <c r="K30" i="1"/>
  <c r="C31" i="1"/>
  <c r="I31" i="1"/>
  <c r="U233" i="5"/>
  <c r="B218" i="15" s="1"/>
  <c r="AB233" i="5"/>
  <c r="I218" i="15" s="1"/>
  <c r="W229" i="5"/>
  <c r="AA232" i="5"/>
  <c r="H217" i="15" s="1"/>
  <c r="AE232" i="5"/>
  <c r="L217" i="15" s="1"/>
  <c r="Y230" i="5"/>
  <c r="AD230" i="5"/>
  <c r="K215" i="15" s="1"/>
  <c r="L39" i="15" s="1"/>
  <c r="AB231" i="5"/>
  <c r="I216" i="15" s="1"/>
  <c r="J40" i="15" s="1"/>
  <c r="Z234" i="5"/>
  <c r="G219" i="15" s="1"/>
  <c r="AB235" i="5"/>
  <c r="AF235" i="5"/>
  <c r="X228" i="5"/>
  <c r="X230" i="5"/>
  <c r="AC230" i="5"/>
  <c r="J215" i="15" s="1"/>
  <c r="K39" i="15" s="1"/>
  <c r="W233" i="5"/>
  <c r="D218" i="15" s="1"/>
  <c r="V234" i="5"/>
  <c r="C219" i="15" s="1"/>
  <c r="AA234" i="5"/>
  <c r="H219" i="15" s="1"/>
  <c r="Z235" i="5"/>
  <c r="AE235" i="5"/>
  <c r="AC228" i="5"/>
  <c r="AF228" i="5"/>
  <c r="AD229" i="5"/>
  <c r="X233" i="5"/>
  <c r="E218" i="15" s="1"/>
  <c r="W234" i="5"/>
  <c r="D219" i="15" s="1"/>
  <c r="X235" i="5"/>
  <c r="AC235" i="5"/>
  <c r="W228" i="5"/>
  <c r="U229" i="5"/>
  <c r="Z233" i="5"/>
  <c r="G218" i="15" s="1"/>
  <c r="AE234" i="5"/>
  <c r="L219" i="15" s="1"/>
  <c r="Z228" i="5"/>
  <c r="AD228" i="5"/>
  <c r="AA230" i="5"/>
  <c r="H215" i="15" s="1"/>
  <c r="I39" i="15" s="1"/>
  <c r="Z231" i="5"/>
  <c r="G216" i="15" s="1"/>
  <c r="H40" i="15" s="1"/>
  <c r="Y233" i="5"/>
  <c r="F218" i="15" s="1"/>
  <c r="X234" i="5"/>
  <c r="E219" i="15" s="1"/>
  <c r="Y235" i="5"/>
  <c r="W235" i="5"/>
  <c r="AC232" i="5"/>
  <c r="J217" i="15" s="1"/>
  <c r="AD232" i="5"/>
  <c r="K217" i="15" s="1"/>
  <c r="AA228" i="5"/>
  <c r="AB230" i="5"/>
  <c r="I215" i="15" s="1"/>
  <c r="J39" i="15" s="1"/>
  <c r="AF233" i="5"/>
  <c r="M218" i="15" s="1"/>
  <c r="V235" i="5"/>
  <c r="AA235" i="5"/>
  <c r="Y234" i="5"/>
  <c r="F219" i="15" s="1"/>
  <c r="W231" i="5"/>
  <c r="D216" i="15" s="1"/>
  <c r="E40" i="15" s="1"/>
  <c r="AD219" i="5"/>
  <c r="AD235" i="5"/>
  <c r="U235" i="5"/>
  <c r="AF234" i="5"/>
  <c r="M219" i="15" s="1"/>
  <c r="AD234" i="5"/>
  <c r="K219" i="15" s="1"/>
  <c r="U234" i="5"/>
  <c r="B219" i="15" s="1"/>
  <c r="AA233" i="5"/>
  <c r="H218" i="15" s="1"/>
  <c r="V233" i="5"/>
  <c r="C218" i="15" s="1"/>
  <c r="AF232" i="5"/>
  <c r="M217" i="15" s="1"/>
  <c r="AB232" i="5"/>
  <c r="I217" i="15" s="1"/>
  <c r="Z232" i="5"/>
  <c r="G217" i="15" s="1"/>
  <c r="Y232" i="5"/>
  <c r="F217" i="15" s="1"/>
  <c r="X232" i="5"/>
  <c r="E217" i="15" s="1"/>
  <c r="W232" i="5"/>
  <c r="D217" i="15" s="1"/>
  <c r="V232" i="5"/>
  <c r="C217" i="15" s="1"/>
  <c r="U232" i="5"/>
  <c r="B217" i="15" s="1"/>
  <c r="AE231" i="5"/>
  <c r="L216" i="15" s="1"/>
  <c r="M40" i="15" s="1"/>
  <c r="AA231" i="5"/>
  <c r="H216" i="15" s="1"/>
  <c r="I40" i="15" s="1"/>
  <c r="X231" i="5"/>
  <c r="E216" i="15" s="1"/>
  <c r="F40" i="15" s="1"/>
  <c r="V231" i="5"/>
  <c r="C216" i="15" s="1"/>
  <c r="D40" i="15" s="1"/>
  <c r="AE230" i="5"/>
  <c r="L215" i="15" s="1"/>
  <c r="M39" i="15" s="1"/>
  <c r="Z230" i="5"/>
  <c r="U230" i="5"/>
  <c r="AF229" i="5"/>
  <c r="AE229" i="5"/>
  <c r="AC229" i="5"/>
  <c r="Y229" i="5"/>
  <c r="V229" i="5"/>
  <c r="AE228" i="5"/>
  <c r="AB228" i="5"/>
  <c r="Y228" i="5"/>
  <c r="V228" i="5"/>
  <c r="Y219" i="5"/>
  <c r="AE219" i="5"/>
  <c r="AB219" i="5"/>
  <c r="Z219" i="5"/>
  <c r="AC219" i="5"/>
  <c r="U219" i="5"/>
  <c r="W219" i="5"/>
  <c r="X219" i="5"/>
  <c r="V219" i="5"/>
  <c r="J31" i="1"/>
  <c r="N31" i="1"/>
  <c r="K31" i="1"/>
  <c r="N207" i="1"/>
  <c r="O31" i="1" s="1"/>
  <c r="L31" i="1"/>
  <c r="M31" i="1"/>
  <c r="N208" i="1"/>
  <c r="M254" i="1"/>
  <c r="N239" i="1"/>
  <c r="V230" i="5"/>
  <c r="AC233" i="5"/>
  <c r="J218" i="15" s="1"/>
  <c r="AE233" i="5"/>
  <c r="L218" i="15" s="1"/>
  <c r="V212" i="5"/>
  <c r="W212" i="5"/>
  <c r="W225" i="5"/>
  <c r="U212" i="5"/>
  <c r="U225" i="5"/>
  <c r="AF225" i="5"/>
  <c r="AF212" i="5"/>
  <c r="Y225" i="5"/>
  <c r="Y212" i="5"/>
  <c r="AC225" i="5"/>
  <c r="Z212" i="5"/>
  <c r="Z225" i="5"/>
  <c r="AC212" i="5"/>
  <c r="V225" i="5"/>
  <c r="AE212" i="5"/>
  <c r="X212" i="5"/>
  <c r="X225" i="5"/>
  <c r="AE225" i="5"/>
  <c r="AD225" i="5"/>
  <c r="AD212" i="5"/>
  <c r="AB225" i="5"/>
  <c r="AB212" i="5"/>
  <c r="AA212" i="5"/>
  <c r="AA225" i="5"/>
  <c r="L254" i="1"/>
  <c r="AE194" i="5"/>
  <c r="AB194" i="5"/>
  <c r="Z194" i="5"/>
  <c r="X194" i="5"/>
  <c r="W194" i="5"/>
  <c r="V194" i="5"/>
  <c r="AD194" i="5"/>
  <c r="AC194" i="5"/>
  <c r="AA194" i="5"/>
  <c r="Y194" i="5"/>
  <c r="U194" i="5"/>
  <c r="AF194" i="5"/>
  <c r="B254" i="1"/>
  <c r="C254" i="1"/>
  <c r="J254" i="1"/>
  <c r="D254" i="1"/>
  <c r="E254" i="1"/>
  <c r="F254" i="1"/>
  <c r="G254" i="1"/>
  <c r="H254" i="1"/>
  <c r="I254" i="1"/>
  <c r="K254" i="1"/>
  <c r="AF227" i="5"/>
  <c r="U227" i="5"/>
  <c r="W230" i="5"/>
  <c r="AD233" i="5"/>
  <c r="AC234" i="5"/>
  <c r="AD231" i="5"/>
  <c r="N206" i="1"/>
  <c r="O30" i="1" s="1"/>
  <c r="N108" i="1"/>
  <c r="L108" i="1"/>
  <c r="N109" i="1"/>
  <c r="L109" i="1"/>
  <c r="N110" i="1"/>
  <c r="L110" i="1"/>
  <c r="N243" i="1"/>
  <c r="N244" i="1"/>
  <c r="V227" i="5"/>
  <c r="W227" i="5"/>
  <c r="X227" i="5"/>
  <c r="Y227" i="5"/>
  <c r="Z227" i="5"/>
  <c r="AA227" i="5"/>
  <c r="AB227" i="5"/>
  <c r="AC227" i="5"/>
  <c r="AD227" i="5"/>
  <c r="AE227" i="5"/>
  <c r="Y205" i="5"/>
  <c r="Z205" i="5"/>
  <c r="AA205" i="5"/>
  <c r="AE205" i="5"/>
  <c r="AF205" i="5"/>
  <c r="X205" i="5"/>
  <c r="AF230" i="5"/>
  <c r="AC231" i="5"/>
  <c r="AB234" i="5"/>
  <c r="U231" i="5"/>
  <c r="N12" i="8"/>
  <c r="N13" i="8"/>
  <c r="N14" i="8"/>
  <c r="N15" i="8"/>
  <c r="N16" i="8"/>
  <c r="N17" i="8"/>
  <c r="N18" i="8"/>
  <c r="N19" i="8"/>
  <c r="N20" i="8"/>
  <c r="N21" i="8"/>
  <c r="N22" i="8"/>
  <c r="N23" i="8"/>
  <c r="N24" i="8"/>
  <c r="N25" i="8"/>
  <c r="N26" i="8"/>
  <c r="N27" i="8"/>
  <c r="N28" i="8"/>
  <c r="N29" i="8"/>
  <c r="N30" i="8"/>
  <c r="N31" i="8"/>
  <c r="N32" i="8"/>
  <c r="N33" i="8"/>
  <c r="N34" i="8"/>
  <c r="N35" i="8"/>
  <c r="N36" i="8"/>
  <c r="N37" i="8"/>
  <c r="N38" i="8"/>
  <c r="M12" i="8"/>
  <c r="M13" i="8"/>
  <c r="M14" i="8"/>
  <c r="M15" i="8"/>
  <c r="M16" i="8"/>
  <c r="M17" i="8"/>
  <c r="M18" i="8"/>
  <c r="M19" i="8"/>
  <c r="M20" i="8"/>
  <c r="M21" i="8"/>
  <c r="M22" i="8"/>
  <c r="M23" i="8"/>
  <c r="M24" i="8"/>
  <c r="M25" i="8"/>
  <c r="M26" i="8"/>
  <c r="M27" i="8"/>
  <c r="M28" i="8"/>
  <c r="M29" i="8"/>
  <c r="M30" i="8"/>
  <c r="M31" i="8"/>
  <c r="M32" i="8"/>
  <c r="M33" i="8"/>
  <c r="M34" i="8"/>
  <c r="M35" i="8"/>
  <c r="M36" i="8"/>
  <c r="M37" i="8"/>
  <c r="M38" i="8"/>
  <c r="L12" i="8"/>
  <c r="L13" i="8"/>
  <c r="L14" i="8"/>
  <c r="L15" i="8"/>
  <c r="L16" i="8"/>
  <c r="L17" i="8"/>
  <c r="L18" i="8"/>
  <c r="L19" i="8"/>
  <c r="L20" i="8"/>
  <c r="L21" i="8"/>
  <c r="L22" i="8"/>
  <c r="L23" i="8"/>
  <c r="L24" i="8"/>
  <c r="L25" i="8"/>
  <c r="L26" i="8"/>
  <c r="L27" i="8"/>
  <c r="L28" i="8"/>
  <c r="L29" i="8"/>
  <c r="L30" i="8"/>
  <c r="L31" i="8"/>
  <c r="L32" i="8"/>
  <c r="L33" i="8"/>
  <c r="L34" i="8"/>
  <c r="L35" i="8"/>
  <c r="L36" i="8"/>
  <c r="L37" i="8"/>
  <c r="L38" i="8"/>
  <c r="K12" i="8"/>
  <c r="K13" i="8"/>
  <c r="K14" i="8"/>
  <c r="K15" i="8"/>
  <c r="K16" i="8"/>
  <c r="K17" i="8"/>
  <c r="K18" i="8"/>
  <c r="K19" i="8"/>
  <c r="K20" i="8"/>
  <c r="K21" i="8"/>
  <c r="K22" i="8"/>
  <c r="K23" i="8"/>
  <c r="K24" i="8"/>
  <c r="K25" i="8"/>
  <c r="K26" i="8"/>
  <c r="K27" i="8"/>
  <c r="K28" i="8"/>
  <c r="K29" i="8"/>
  <c r="K30" i="8"/>
  <c r="K31" i="8"/>
  <c r="K32" i="8"/>
  <c r="K33" i="8"/>
  <c r="K34" i="8"/>
  <c r="K35" i="8"/>
  <c r="K36" i="8"/>
  <c r="K37" i="8"/>
  <c r="K38" i="8"/>
  <c r="J12" i="8"/>
  <c r="J13" i="8"/>
  <c r="J14" i="8"/>
  <c r="J15" i="8"/>
  <c r="J16" i="8"/>
  <c r="J17" i="8"/>
  <c r="J18" i="8"/>
  <c r="J19" i="8"/>
  <c r="J20" i="8"/>
  <c r="J21" i="8"/>
  <c r="J22" i="8"/>
  <c r="J23" i="8"/>
  <c r="J24" i="8"/>
  <c r="J25" i="8"/>
  <c r="J26" i="8"/>
  <c r="J27" i="8"/>
  <c r="J28" i="8"/>
  <c r="J29" i="8"/>
  <c r="J30" i="8"/>
  <c r="J31" i="8"/>
  <c r="J32" i="8"/>
  <c r="J33" i="8"/>
  <c r="J34" i="8"/>
  <c r="J35" i="8"/>
  <c r="J36" i="8"/>
  <c r="J37" i="8"/>
  <c r="J38" i="8"/>
  <c r="I12" i="8"/>
  <c r="I13" i="8"/>
  <c r="I14" i="8"/>
  <c r="I15" i="8"/>
  <c r="I16" i="8"/>
  <c r="I17" i="8"/>
  <c r="I18" i="8"/>
  <c r="I19" i="8"/>
  <c r="I20" i="8"/>
  <c r="I21" i="8"/>
  <c r="I22" i="8"/>
  <c r="I23" i="8"/>
  <c r="I24" i="8"/>
  <c r="I25" i="8"/>
  <c r="I26" i="8"/>
  <c r="I27" i="8"/>
  <c r="I28" i="8"/>
  <c r="I29" i="8"/>
  <c r="I30" i="8"/>
  <c r="I31" i="8"/>
  <c r="I32" i="8"/>
  <c r="I33" i="8"/>
  <c r="I34" i="8"/>
  <c r="I35" i="8"/>
  <c r="I36" i="8"/>
  <c r="I37" i="8"/>
  <c r="I38" i="8"/>
  <c r="H12" i="8"/>
  <c r="H13" i="8"/>
  <c r="H14" i="8"/>
  <c r="H15" i="8"/>
  <c r="H16" i="8"/>
  <c r="H17" i="8"/>
  <c r="H18" i="8"/>
  <c r="H19" i="8"/>
  <c r="H20" i="8"/>
  <c r="H21" i="8"/>
  <c r="H22" i="8"/>
  <c r="H23" i="8"/>
  <c r="H24" i="8"/>
  <c r="H25" i="8"/>
  <c r="H26" i="8"/>
  <c r="H27" i="8"/>
  <c r="H28" i="8"/>
  <c r="H29" i="8"/>
  <c r="H30" i="8"/>
  <c r="H31" i="8"/>
  <c r="H32" i="8"/>
  <c r="H33" i="8"/>
  <c r="H34" i="8"/>
  <c r="H35" i="8"/>
  <c r="H36" i="8"/>
  <c r="H37" i="8"/>
  <c r="H38" i="8"/>
  <c r="G12" i="8"/>
  <c r="G13" i="8"/>
  <c r="G14" i="8"/>
  <c r="G15" i="8"/>
  <c r="G16" i="8"/>
  <c r="G17" i="8"/>
  <c r="G18" i="8"/>
  <c r="G19" i="8"/>
  <c r="G20" i="8"/>
  <c r="G21" i="8"/>
  <c r="G22" i="8"/>
  <c r="G23" i="8"/>
  <c r="G24" i="8"/>
  <c r="G25" i="8"/>
  <c r="G26" i="8"/>
  <c r="G27" i="8"/>
  <c r="G28" i="8"/>
  <c r="G29" i="8"/>
  <c r="G30" i="8"/>
  <c r="G31" i="8"/>
  <c r="G32" i="8"/>
  <c r="G33" i="8"/>
  <c r="G34" i="8"/>
  <c r="G35" i="8"/>
  <c r="G36" i="8"/>
  <c r="G37" i="8"/>
  <c r="G38" i="8"/>
  <c r="F12" i="8"/>
  <c r="F13" i="8"/>
  <c r="F14" i="8"/>
  <c r="F15" i="8"/>
  <c r="F16" i="8"/>
  <c r="F17" i="8"/>
  <c r="F18" i="8"/>
  <c r="F19" i="8"/>
  <c r="F20" i="8"/>
  <c r="F21" i="8"/>
  <c r="F22" i="8"/>
  <c r="F23" i="8"/>
  <c r="F24" i="8"/>
  <c r="F25" i="8"/>
  <c r="F26" i="8"/>
  <c r="F27" i="8"/>
  <c r="F28" i="8"/>
  <c r="F29" i="8"/>
  <c r="F30" i="8"/>
  <c r="F31" i="8"/>
  <c r="F32" i="8"/>
  <c r="F33" i="8"/>
  <c r="F34" i="8"/>
  <c r="F35" i="8"/>
  <c r="F36" i="8"/>
  <c r="F37" i="8"/>
  <c r="F38" i="8"/>
  <c r="E12" i="8"/>
  <c r="E13" i="8"/>
  <c r="E14" i="8"/>
  <c r="E15" i="8"/>
  <c r="E16" i="8"/>
  <c r="E17" i="8"/>
  <c r="E18" i="8"/>
  <c r="E19" i="8"/>
  <c r="E20" i="8"/>
  <c r="E21" i="8"/>
  <c r="E22" i="8"/>
  <c r="E23" i="8"/>
  <c r="E24" i="8"/>
  <c r="E25" i="8"/>
  <c r="E26" i="8"/>
  <c r="E27" i="8"/>
  <c r="E28" i="8"/>
  <c r="E29" i="8"/>
  <c r="E30" i="8"/>
  <c r="E31" i="8"/>
  <c r="E32" i="8"/>
  <c r="E33" i="8"/>
  <c r="E34" i="8"/>
  <c r="E35" i="8"/>
  <c r="E36" i="8"/>
  <c r="E37" i="8"/>
  <c r="E38" i="8"/>
  <c r="D12" i="8"/>
  <c r="D13" i="8"/>
  <c r="D14" i="8"/>
  <c r="D15" i="8"/>
  <c r="D16" i="8"/>
  <c r="D17" i="8"/>
  <c r="D18" i="8"/>
  <c r="D19" i="8"/>
  <c r="D20" i="8"/>
  <c r="D21" i="8"/>
  <c r="D22" i="8"/>
  <c r="D23" i="8"/>
  <c r="D24" i="8"/>
  <c r="D25" i="8"/>
  <c r="D26" i="8"/>
  <c r="D27" i="8"/>
  <c r="D28" i="8"/>
  <c r="D29" i="8"/>
  <c r="D30" i="8"/>
  <c r="D31" i="8"/>
  <c r="D32" i="8"/>
  <c r="D33" i="8"/>
  <c r="D34" i="8"/>
  <c r="D35" i="8"/>
  <c r="D36" i="8"/>
  <c r="D37" i="8"/>
  <c r="D38" i="8"/>
  <c r="C12" i="8"/>
  <c r="C13" i="8"/>
  <c r="C14" i="8"/>
  <c r="C15" i="8"/>
  <c r="C16" i="8"/>
  <c r="C17" i="8"/>
  <c r="C18" i="8"/>
  <c r="C19" i="8"/>
  <c r="C20" i="8"/>
  <c r="C21" i="8"/>
  <c r="C22" i="8"/>
  <c r="C23" i="8"/>
  <c r="C24" i="8"/>
  <c r="C25" i="8"/>
  <c r="C26" i="8"/>
  <c r="C27" i="8"/>
  <c r="C28" i="8"/>
  <c r="C29" i="8"/>
  <c r="C30" i="8"/>
  <c r="C31" i="8"/>
  <c r="C32" i="8"/>
  <c r="C33" i="8"/>
  <c r="C34" i="8"/>
  <c r="C35" i="8"/>
  <c r="C36" i="8"/>
  <c r="C37" i="8"/>
  <c r="C38" i="8"/>
  <c r="L109" i="15" l="1"/>
  <c r="N243" i="15"/>
  <c r="N109" i="15"/>
  <c r="N110" i="15"/>
  <c r="L110" i="15"/>
  <c r="D204" i="15"/>
  <c r="E28" i="15" s="1"/>
  <c r="B204" i="15"/>
  <c r="C28" i="15" s="1"/>
  <c r="M204" i="15"/>
  <c r="N28" i="15" s="1"/>
  <c r="F204" i="15"/>
  <c r="G28" i="15" s="1"/>
  <c r="J204" i="15"/>
  <c r="K28" i="15" s="1"/>
  <c r="G204" i="15"/>
  <c r="H28" i="15" s="1"/>
  <c r="C204" i="15"/>
  <c r="D28" i="15" s="1"/>
  <c r="E204" i="15"/>
  <c r="F28" i="15" s="1"/>
  <c r="L204" i="15"/>
  <c r="M28" i="15" s="1"/>
  <c r="K204" i="15"/>
  <c r="L28" i="15" s="1"/>
  <c r="I204" i="15"/>
  <c r="J28" i="15" s="1"/>
  <c r="H204" i="15"/>
  <c r="I28" i="15" s="1"/>
  <c r="N205" i="15"/>
  <c r="O29" i="15" s="1"/>
  <c r="AF132" i="5" a="1"/>
  <c r="AF132" i="5" s="1"/>
  <c r="AF123" i="14" a="1"/>
  <c r="AF123" i="14" s="1"/>
  <c r="AF128" i="14" a="1"/>
  <c r="AF128" i="14" s="1"/>
  <c r="AF122" i="14" a="1"/>
  <c r="AF122" i="14" s="1"/>
  <c r="AF121" i="14" a="1"/>
  <c r="AF121" i="14" s="1"/>
  <c r="AF126" i="14" a="1"/>
  <c r="AF126" i="14" s="1"/>
  <c r="AF130" i="14" a="1"/>
  <c r="AF130" i="14" s="1"/>
  <c r="AF127" i="14" a="1"/>
  <c r="AF127" i="14" s="1"/>
  <c r="AF131" i="5" a="1"/>
  <c r="AF131" i="5" s="1"/>
  <c r="AF124" i="14" a="1"/>
  <c r="AF124" i="14" s="1"/>
  <c r="AF125" i="14" a="1"/>
  <c r="AF125" i="14" s="1"/>
  <c r="AF129" i="5" a="1"/>
  <c r="AF129" i="5" s="1"/>
  <c r="AF129" i="14" a="1"/>
  <c r="AF129" i="14" s="1"/>
  <c r="AE132" i="5" a="1"/>
  <c r="AE132" i="5" s="1"/>
  <c r="AE123" i="14" a="1"/>
  <c r="AE123" i="14" s="1"/>
  <c r="AE130" i="14" a="1"/>
  <c r="AE130" i="14" s="1"/>
  <c r="AE122" i="14" a="1"/>
  <c r="AE122" i="14" s="1"/>
  <c r="AE121" i="14" a="1"/>
  <c r="AE121" i="14" s="1"/>
  <c r="AE128" i="14" a="1"/>
  <c r="AE128" i="14" s="1"/>
  <c r="AE126" i="14" a="1"/>
  <c r="AE126" i="14" s="1"/>
  <c r="AE127" i="14" a="1"/>
  <c r="AE127" i="14" s="1"/>
  <c r="AE131" i="5" a="1"/>
  <c r="AE131" i="5" s="1"/>
  <c r="AE124" i="14" a="1"/>
  <c r="AE124" i="14" s="1"/>
  <c r="AE125" i="14" a="1"/>
  <c r="AE125" i="14" s="1"/>
  <c r="AE129" i="5" a="1"/>
  <c r="AE129" i="5" s="1"/>
  <c r="AE129" i="14" a="1"/>
  <c r="AE129" i="14" s="1"/>
  <c r="AD132" i="5" a="1"/>
  <c r="AD132" i="5" s="1"/>
  <c r="AD123" i="14" a="1"/>
  <c r="AD123" i="14" s="1"/>
  <c r="AD127" i="14" a="1"/>
  <c r="AD127" i="14" s="1"/>
  <c r="AD122" i="14" a="1"/>
  <c r="AD122" i="14" s="1"/>
  <c r="AD130" i="14" a="1"/>
  <c r="AD130" i="14" s="1"/>
  <c r="AD121" i="14" a="1"/>
  <c r="AD121" i="14" s="1"/>
  <c r="AD128" i="14" a="1"/>
  <c r="AD128" i="14" s="1"/>
  <c r="AD126" i="14" a="1"/>
  <c r="AD126" i="14" s="1"/>
  <c r="AD131" i="5" a="1"/>
  <c r="AD131" i="5" s="1"/>
  <c r="AD125" i="14" a="1"/>
  <c r="AD125" i="14" s="1"/>
  <c r="AD124" i="14" a="1"/>
  <c r="AD124" i="14" s="1"/>
  <c r="AD129" i="5" a="1"/>
  <c r="AD129" i="5" s="1"/>
  <c r="AD129" i="14" a="1"/>
  <c r="AD129" i="14" s="1"/>
  <c r="AC132" i="5" a="1"/>
  <c r="AC132" i="5" s="1"/>
  <c r="AC126" i="14" a="1"/>
  <c r="AC126" i="14" s="1"/>
  <c r="AC123" i="14" a="1"/>
  <c r="AC123" i="14" s="1"/>
  <c r="AC127" i="14" a="1"/>
  <c r="AC127" i="14" s="1"/>
  <c r="AC122" i="14" a="1"/>
  <c r="AC122" i="14" s="1"/>
  <c r="AC128" i="14" a="1"/>
  <c r="AC128" i="14" s="1"/>
  <c r="AC121" i="14" a="1"/>
  <c r="AC121" i="14" s="1"/>
  <c r="AC130" i="14" a="1"/>
  <c r="AC130" i="14" s="1"/>
  <c r="AC131" i="5" a="1"/>
  <c r="AC131" i="5" s="1"/>
  <c r="AC125" i="14" a="1"/>
  <c r="AC125" i="14" s="1"/>
  <c r="AC124" i="14" a="1"/>
  <c r="AC124" i="14" s="1"/>
  <c r="AC129" i="5" a="1"/>
  <c r="AC129" i="5" s="1"/>
  <c r="AC129" i="14" a="1"/>
  <c r="AC129" i="14" s="1"/>
  <c r="AB132" i="5" a="1"/>
  <c r="AB132" i="5" s="1"/>
  <c r="AB126" i="14" a="1"/>
  <c r="AB126" i="14" s="1"/>
  <c r="AB121" i="14" a="1"/>
  <c r="AB121" i="14" s="1"/>
  <c r="AB123" i="14" a="1"/>
  <c r="AB123" i="14" s="1"/>
  <c r="AB127" i="14" a="1"/>
  <c r="AB127" i="14" s="1"/>
  <c r="AB122" i="14" a="1"/>
  <c r="AB122" i="14" s="1"/>
  <c r="AB128" i="14" a="1"/>
  <c r="AB128" i="14" s="1"/>
  <c r="AB130" i="14" a="1"/>
  <c r="AB130" i="14" s="1"/>
  <c r="AB131" i="5" a="1"/>
  <c r="AB131" i="5" s="1"/>
  <c r="AB124" i="14" a="1"/>
  <c r="AB124" i="14" s="1"/>
  <c r="AB125" i="14" a="1"/>
  <c r="AB125" i="14" s="1"/>
  <c r="AB129" i="5" a="1"/>
  <c r="AB129" i="5" s="1"/>
  <c r="AB129" i="14" a="1"/>
  <c r="AB129" i="14" s="1"/>
  <c r="AA132" i="5" a="1"/>
  <c r="AA132" i="5" s="1"/>
  <c r="AA130" i="14" a="1"/>
  <c r="AA130" i="14" s="1"/>
  <c r="AA122" i="14" a="1"/>
  <c r="AA122" i="14" s="1"/>
  <c r="AA128" i="14" a="1"/>
  <c r="AA128" i="14" s="1"/>
  <c r="AA126" i="14" a="1"/>
  <c r="AA126" i="14" s="1"/>
  <c r="AA121" i="14" a="1"/>
  <c r="AA121" i="14" s="1"/>
  <c r="AA123" i="14" a="1"/>
  <c r="AA123" i="14" s="1"/>
  <c r="AA127" i="14" a="1"/>
  <c r="AA127" i="14" s="1"/>
  <c r="AA131" i="5" a="1"/>
  <c r="AA131" i="5" s="1"/>
  <c r="AA125" i="14" a="1"/>
  <c r="AA125" i="14" s="1"/>
  <c r="AA124" i="14" a="1"/>
  <c r="AA124" i="14" s="1"/>
  <c r="AA129" i="5" a="1"/>
  <c r="AA129" i="5" s="1"/>
  <c r="AA129" i="14" a="1"/>
  <c r="AA129" i="14" s="1"/>
  <c r="Z132" i="5" a="1"/>
  <c r="Z132" i="5" s="1"/>
  <c r="Z122" i="14" a="1"/>
  <c r="Z122" i="14" s="1"/>
  <c r="Z123" i="14" a="1"/>
  <c r="Z123" i="14" s="1"/>
  <c r="Z121" i="14" a="1"/>
  <c r="Z121" i="14" s="1"/>
  <c r="Z127" i="14" a="1"/>
  <c r="Z127" i="14" s="1"/>
  <c r="Z128" i="14" a="1"/>
  <c r="Z128" i="14" s="1"/>
  <c r="Z130" i="14" a="1"/>
  <c r="Z130" i="14" s="1"/>
  <c r="Z126" i="14" a="1"/>
  <c r="Z126" i="14" s="1"/>
  <c r="Z131" i="5" a="1"/>
  <c r="Z131" i="5" s="1"/>
  <c r="Z125" i="14" a="1"/>
  <c r="Z125" i="14" s="1"/>
  <c r="Z124" i="14" a="1"/>
  <c r="Z124" i="14" s="1"/>
  <c r="Z129" i="5" a="1"/>
  <c r="Z129" i="5" s="1"/>
  <c r="Z129" i="14" a="1"/>
  <c r="Z129" i="14" s="1"/>
  <c r="Y132" i="5" a="1"/>
  <c r="Y132" i="5" s="1"/>
  <c r="Y128" i="14" a="1"/>
  <c r="Y128" i="14" s="1"/>
  <c r="Y123" i="14" a="1"/>
  <c r="Y123" i="14" s="1"/>
  <c r="Y121" i="14" a="1"/>
  <c r="Y121" i="14" s="1"/>
  <c r="Y126" i="14" a="1"/>
  <c r="Y126" i="14" s="1"/>
  <c r="Y130" i="14" a="1"/>
  <c r="Y130" i="14" s="1"/>
  <c r="Y122" i="14" a="1"/>
  <c r="Y122" i="14" s="1"/>
  <c r="Y127" i="14" a="1"/>
  <c r="Y127" i="14" s="1"/>
  <c r="Y131" i="5" a="1"/>
  <c r="Y131" i="5" s="1"/>
  <c r="Y125" i="14" a="1"/>
  <c r="Y125" i="14" s="1"/>
  <c r="Y124" i="14" a="1"/>
  <c r="Y124" i="14" s="1"/>
  <c r="Y129" i="5" a="1"/>
  <c r="Y129" i="5" s="1"/>
  <c r="Y129" i="14" a="1"/>
  <c r="Y129" i="14" s="1"/>
  <c r="X132" i="5" a="1"/>
  <c r="X132" i="5" s="1"/>
  <c r="X123" i="14" a="1"/>
  <c r="X123" i="14" s="1"/>
  <c r="X130" i="14" a="1"/>
  <c r="X130" i="14" s="1"/>
  <c r="X122" i="14" a="1"/>
  <c r="X122" i="14" s="1"/>
  <c r="X126" i="14" a="1"/>
  <c r="X126" i="14" s="1"/>
  <c r="X121" i="14" a="1"/>
  <c r="X121" i="14" s="1"/>
  <c r="X128" i="14" a="1"/>
  <c r="X128" i="14" s="1"/>
  <c r="X127" i="14" a="1"/>
  <c r="X127" i="14" s="1"/>
  <c r="X131" i="5" a="1"/>
  <c r="X131" i="5" s="1"/>
  <c r="X125" i="14" a="1"/>
  <c r="X125" i="14" s="1"/>
  <c r="X124" i="14" a="1"/>
  <c r="X124" i="14" s="1"/>
  <c r="X129" i="5" a="1"/>
  <c r="X129" i="5" s="1"/>
  <c r="X129" i="14" a="1"/>
  <c r="X129" i="14" s="1"/>
  <c r="W132" i="5" a="1"/>
  <c r="W132" i="5" s="1"/>
  <c r="W123" i="14" a="1"/>
  <c r="W123" i="14" s="1"/>
  <c r="W130" i="14" a="1"/>
  <c r="W130" i="14" s="1"/>
  <c r="W128" i="14" a="1"/>
  <c r="W128" i="14" s="1"/>
  <c r="W126" i="14" a="1"/>
  <c r="W126" i="14" s="1"/>
  <c r="W122" i="14" a="1"/>
  <c r="W122" i="14" s="1"/>
  <c r="W121" i="14" a="1"/>
  <c r="W121" i="14" s="1"/>
  <c r="W127" i="14" a="1"/>
  <c r="W127" i="14" s="1"/>
  <c r="W131" i="5" a="1"/>
  <c r="W131" i="5" s="1"/>
  <c r="W125" i="14" a="1"/>
  <c r="W125" i="14" s="1"/>
  <c r="W124" i="14" a="1"/>
  <c r="W124" i="14" s="1"/>
  <c r="W129" i="5" a="1"/>
  <c r="W129" i="5" s="1"/>
  <c r="W129" i="14" a="1"/>
  <c r="W129" i="14" s="1"/>
  <c r="V130" i="14" a="1"/>
  <c r="V130" i="14" s="1"/>
  <c r="V127" i="14" a="1"/>
  <c r="V127" i="14" s="1"/>
  <c r="V121" i="14" a="1"/>
  <c r="V121" i="14" s="1"/>
  <c r="V122" i="14" a="1"/>
  <c r="V122" i="14" s="1"/>
  <c r="V128" i="14" a="1"/>
  <c r="V128" i="14" s="1"/>
  <c r="V126" i="14" a="1"/>
  <c r="V126" i="14" s="1"/>
  <c r="V123" i="14" a="1"/>
  <c r="V123" i="14" s="1"/>
  <c r="V131" i="5" a="1"/>
  <c r="V131" i="5" s="1"/>
  <c r="V125" i="14" a="1"/>
  <c r="V125" i="14" s="1"/>
  <c r="V124" i="14" a="1"/>
  <c r="V124" i="14" s="1"/>
  <c r="U127" i="14" a="1"/>
  <c r="U127" i="14" s="1"/>
  <c r="U122" i="14" a="1"/>
  <c r="U122" i="14" s="1"/>
  <c r="U121" i="14" a="1"/>
  <c r="U121" i="14" s="1"/>
  <c r="U128" i="14" a="1"/>
  <c r="U128" i="14" s="1"/>
  <c r="U126" i="14" a="1"/>
  <c r="U126" i="14" s="1"/>
  <c r="U123" i="14" a="1"/>
  <c r="U123" i="14" s="1"/>
  <c r="U130" i="14" a="1"/>
  <c r="U130" i="14" s="1"/>
  <c r="U131" i="5" a="1"/>
  <c r="U131" i="5" s="1"/>
  <c r="U125" i="14" a="1"/>
  <c r="U125" i="14" s="1"/>
  <c r="U124" i="14" a="1"/>
  <c r="U124" i="14" s="1"/>
  <c r="B213" i="1"/>
  <c r="B213" i="15"/>
  <c r="C37" i="15" s="1"/>
  <c r="G214" i="1"/>
  <c r="H38" i="1" s="1"/>
  <c r="G214" i="15"/>
  <c r="H38" i="15" s="1"/>
  <c r="I214" i="1"/>
  <c r="J38" i="1" s="1"/>
  <c r="I214" i="15"/>
  <c r="J38" i="15" s="1"/>
  <c r="H214" i="1"/>
  <c r="I38" i="1" s="1"/>
  <c r="H214" i="15"/>
  <c r="I38" i="15" s="1"/>
  <c r="E214" i="1"/>
  <c r="F38" i="1" s="1"/>
  <c r="E214" i="15"/>
  <c r="F38" i="15" s="1"/>
  <c r="D214" i="1"/>
  <c r="E38" i="1" s="1"/>
  <c r="D214" i="15"/>
  <c r="E38" i="15" s="1"/>
  <c r="F215" i="1"/>
  <c r="G39" i="1" s="1"/>
  <c r="F215" i="15"/>
  <c r="G39" i="15" s="1"/>
  <c r="I220" i="1"/>
  <c r="I220" i="15"/>
  <c r="M220" i="1"/>
  <c r="M220" i="15"/>
  <c r="E213" i="1"/>
  <c r="F37" i="1" s="1"/>
  <c r="E213" i="15"/>
  <c r="F37" i="15" s="1"/>
  <c r="E215" i="1"/>
  <c r="F39" i="1" s="1"/>
  <c r="E215" i="15"/>
  <c r="F39" i="15" s="1"/>
  <c r="G220" i="1"/>
  <c r="G220" i="15"/>
  <c r="L220" i="1"/>
  <c r="L220" i="15"/>
  <c r="J213" i="1"/>
  <c r="K37" i="1" s="1"/>
  <c r="J213" i="15"/>
  <c r="K37" i="15" s="1"/>
  <c r="M213" i="1"/>
  <c r="N37" i="1" s="1"/>
  <c r="M213" i="15"/>
  <c r="N37" i="15" s="1"/>
  <c r="K214" i="1"/>
  <c r="L38" i="1" s="1"/>
  <c r="K214" i="15"/>
  <c r="L38" i="15" s="1"/>
  <c r="E220" i="1"/>
  <c r="E220" i="15"/>
  <c r="J220" i="1"/>
  <c r="J220" i="15"/>
  <c r="D213" i="1"/>
  <c r="E37" i="1" s="1"/>
  <c r="D213" i="15"/>
  <c r="E37" i="15" s="1"/>
  <c r="B214" i="1"/>
  <c r="B214" i="15"/>
  <c r="C38" i="15" s="1"/>
  <c r="G213" i="1"/>
  <c r="H37" i="1" s="1"/>
  <c r="G213" i="15"/>
  <c r="H37" i="15" s="1"/>
  <c r="K213" i="1"/>
  <c r="L37" i="1" s="1"/>
  <c r="K213" i="15"/>
  <c r="L37" i="15" s="1"/>
  <c r="F220" i="1"/>
  <c r="F220" i="15"/>
  <c r="D220" i="1"/>
  <c r="D220" i="15"/>
  <c r="H213" i="1"/>
  <c r="I37" i="1" s="1"/>
  <c r="H213" i="15"/>
  <c r="I37" i="15" s="1"/>
  <c r="C220" i="1"/>
  <c r="C220" i="15"/>
  <c r="H220" i="1"/>
  <c r="H220" i="15"/>
  <c r="K220" i="1"/>
  <c r="K220" i="15"/>
  <c r="B220" i="1"/>
  <c r="B220" i="15"/>
  <c r="N217" i="15"/>
  <c r="G215" i="1"/>
  <c r="H39" i="1" s="1"/>
  <c r="G215" i="15"/>
  <c r="H39" i="15" s="1"/>
  <c r="B215" i="1"/>
  <c r="B215" i="15"/>
  <c r="C39" i="15" s="1"/>
  <c r="M214" i="1"/>
  <c r="N38" i="1" s="1"/>
  <c r="M214" i="15"/>
  <c r="N38" i="15" s="1"/>
  <c r="L214" i="1"/>
  <c r="M38" i="1" s="1"/>
  <c r="L214" i="15"/>
  <c r="M38" i="15" s="1"/>
  <c r="J214" i="1"/>
  <c r="K38" i="1" s="1"/>
  <c r="J214" i="15"/>
  <c r="K38" i="15" s="1"/>
  <c r="F214" i="1"/>
  <c r="G38" i="1" s="1"/>
  <c r="F214" i="15"/>
  <c r="G38" i="15" s="1"/>
  <c r="C214" i="1"/>
  <c r="D38" i="1" s="1"/>
  <c r="C214" i="15"/>
  <c r="D38" i="15" s="1"/>
  <c r="L213" i="1"/>
  <c r="M37" i="1" s="1"/>
  <c r="L213" i="15"/>
  <c r="M37" i="15" s="1"/>
  <c r="I213" i="1"/>
  <c r="J37" i="1" s="1"/>
  <c r="I213" i="15"/>
  <c r="J37" i="15" s="1"/>
  <c r="F213" i="1"/>
  <c r="G37" i="1" s="1"/>
  <c r="F213" i="15"/>
  <c r="G37" i="15" s="1"/>
  <c r="C213" i="1"/>
  <c r="D37" i="1" s="1"/>
  <c r="C213" i="15"/>
  <c r="D37" i="15" s="1"/>
  <c r="C215" i="1"/>
  <c r="D39" i="1" s="1"/>
  <c r="C215" i="15"/>
  <c r="D39" i="15" s="1"/>
  <c r="M231" i="1"/>
  <c r="M231" i="15"/>
  <c r="B272" i="15"/>
  <c r="M8" i="15" s="1"/>
  <c r="B231" i="15"/>
  <c r="D215" i="1"/>
  <c r="E39" i="1" s="1"/>
  <c r="D215" i="15"/>
  <c r="E39" i="15" s="1"/>
  <c r="K218" i="1"/>
  <c r="K218" i="15"/>
  <c r="J219" i="1"/>
  <c r="J219" i="15"/>
  <c r="K216" i="1"/>
  <c r="L40" i="1" s="1"/>
  <c r="K216" i="15"/>
  <c r="L40" i="15" s="1"/>
  <c r="C231" i="1"/>
  <c r="C231" i="15"/>
  <c r="D231" i="1"/>
  <c r="D231" i="15"/>
  <c r="E231" i="1"/>
  <c r="E231" i="15"/>
  <c r="F231" i="1"/>
  <c r="F231" i="15"/>
  <c r="G231" i="1"/>
  <c r="G231" i="15"/>
  <c r="H231" i="1"/>
  <c r="H231" i="15"/>
  <c r="I231" i="1"/>
  <c r="I231" i="15"/>
  <c r="J231" i="1"/>
  <c r="J231" i="15"/>
  <c r="K231" i="1"/>
  <c r="K231" i="15"/>
  <c r="L231" i="1"/>
  <c r="L231" i="15"/>
  <c r="M215" i="1"/>
  <c r="M215" i="15"/>
  <c r="N39" i="15" s="1"/>
  <c r="J216" i="1"/>
  <c r="K40" i="1" s="1"/>
  <c r="J216" i="15"/>
  <c r="K40" i="15" s="1"/>
  <c r="I219" i="1"/>
  <c r="I219" i="15"/>
  <c r="B216" i="1"/>
  <c r="B216" i="15"/>
  <c r="C40" i="15" s="1"/>
  <c r="AD226" i="5"/>
  <c r="X226" i="5"/>
  <c r="V226" i="5"/>
  <c r="Y226" i="5"/>
  <c r="AF226" i="5"/>
  <c r="W226" i="5"/>
  <c r="AC226" i="5"/>
  <c r="Z226" i="5"/>
  <c r="G204" i="1"/>
  <c r="H28" i="1" s="1"/>
  <c r="K205" i="1"/>
  <c r="L29" i="1" s="1"/>
  <c r="M205" i="1"/>
  <c r="N29" i="1" s="1"/>
  <c r="M216" i="1"/>
  <c r="N40" i="1" s="1"/>
  <c r="H205" i="1"/>
  <c r="F216" i="1"/>
  <c r="G40" i="1" s="1"/>
  <c r="B218" i="1"/>
  <c r="I218" i="1"/>
  <c r="L217" i="1"/>
  <c r="H217" i="1"/>
  <c r="K215" i="1"/>
  <c r="L39" i="1" s="1"/>
  <c r="G219" i="1"/>
  <c r="C219" i="1"/>
  <c r="J215" i="1"/>
  <c r="K39" i="1" s="1"/>
  <c r="E218" i="1"/>
  <c r="L219" i="1"/>
  <c r="I216" i="1"/>
  <c r="J40" i="1" s="1"/>
  <c r="D218" i="1"/>
  <c r="H219" i="1"/>
  <c r="D219" i="1"/>
  <c r="I215" i="1"/>
  <c r="J39" i="1" s="1"/>
  <c r="C216" i="1"/>
  <c r="D40" i="1" s="1"/>
  <c r="E216" i="1"/>
  <c r="F40" i="1" s="1"/>
  <c r="G216" i="1"/>
  <c r="H40" i="1" s="1"/>
  <c r="C217" i="1"/>
  <c r="E217" i="1"/>
  <c r="I217" i="1"/>
  <c r="K217" i="1"/>
  <c r="M217" i="1"/>
  <c r="C218" i="1"/>
  <c r="F218" i="1"/>
  <c r="M218" i="1"/>
  <c r="F219" i="1"/>
  <c r="H215" i="1"/>
  <c r="I39" i="1" s="1"/>
  <c r="D216" i="1"/>
  <c r="E40" i="1" s="1"/>
  <c r="J217" i="1"/>
  <c r="G218" i="1"/>
  <c r="E219" i="1"/>
  <c r="H218" i="1"/>
  <c r="K219" i="1"/>
  <c r="L215" i="1"/>
  <c r="M39" i="1" s="1"/>
  <c r="B217" i="1"/>
  <c r="D217" i="1"/>
  <c r="B219" i="1"/>
  <c r="M219" i="1"/>
  <c r="G217" i="1"/>
  <c r="F217" i="1"/>
  <c r="L216" i="1"/>
  <c r="M40" i="1" s="1"/>
  <c r="H216" i="1"/>
  <c r="I40" i="1" s="1"/>
  <c r="C204" i="1"/>
  <c r="D28" i="1" s="1"/>
  <c r="D204" i="1"/>
  <c r="E28" i="1" s="1"/>
  <c r="F204" i="1"/>
  <c r="G28" i="1" s="1"/>
  <c r="B205" i="1"/>
  <c r="D205" i="1"/>
  <c r="F205" i="1"/>
  <c r="G205" i="1"/>
  <c r="I205" i="1"/>
  <c r="J205" i="1"/>
  <c r="K29" i="1" s="1"/>
  <c r="L205" i="1"/>
  <c r="M29" i="1" s="1"/>
  <c r="E204" i="1"/>
  <c r="F28" i="1" s="1"/>
  <c r="C205" i="1"/>
  <c r="E205" i="1"/>
  <c r="AA226" i="5"/>
  <c r="N254" i="1"/>
  <c r="U226" i="5"/>
  <c r="V129" i="5" a="1"/>
  <c r="V129" i="5" s="1"/>
  <c r="V132" i="5" a="1"/>
  <c r="V132" i="5" s="1"/>
  <c r="U129" i="5" a="1"/>
  <c r="U129" i="5" s="1"/>
  <c r="U132" i="5" a="1"/>
  <c r="U132" i="5" s="1"/>
  <c r="J218" i="1"/>
  <c r="L218" i="1"/>
  <c r="AE226" i="5"/>
  <c r="AB226" i="5"/>
  <c r="J204" i="1"/>
  <c r="K204" i="1"/>
  <c r="I204" i="1"/>
  <c r="B204" i="1"/>
  <c r="L204" i="1"/>
  <c r="H204" i="1"/>
  <c r="I28" i="1" s="1"/>
  <c r="M204" i="1"/>
  <c r="B272" i="1"/>
  <c r="M8" i="1" s="1"/>
  <c r="B231" i="1"/>
  <c r="AF122" i="5" a="1"/>
  <c r="AF122" i="5" s="1"/>
  <c r="AF127" i="5" a="1"/>
  <c r="AF127" i="5" s="1"/>
  <c r="AF126" i="5" a="1"/>
  <c r="AF126" i="5" s="1"/>
  <c r="AF128" i="5" a="1"/>
  <c r="AF128" i="5" s="1"/>
  <c r="AF121" i="5" a="1"/>
  <c r="AF121" i="5" s="1"/>
  <c r="AF130" i="5" a="1"/>
  <c r="AF130" i="5" s="1"/>
  <c r="AF123" i="5" a="1"/>
  <c r="AF123" i="5" s="1"/>
  <c r="AF125" i="5" a="1"/>
  <c r="AF125" i="5" s="1"/>
  <c r="AF124" i="5" a="1"/>
  <c r="AF124" i="5" s="1"/>
  <c r="AE123" i="5" a="1"/>
  <c r="AE123" i="5" s="1"/>
  <c r="AE128" i="5" a="1"/>
  <c r="AE128" i="5" s="1"/>
  <c r="AE122" i="5" a="1"/>
  <c r="AE122" i="5" s="1"/>
  <c r="AE130" i="5" a="1"/>
  <c r="AE130" i="5" s="1"/>
  <c r="AE126" i="5" a="1"/>
  <c r="AE126" i="5" s="1"/>
  <c r="AE127" i="5" a="1"/>
  <c r="AE127" i="5" s="1"/>
  <c r="AE121" i="5" a="1"/>
  <c r="AE121" i="5" s="1"/>
  <c r="AE124" i="5" a="1"/>
  <c r="AE124" i="5" s="1"/>
  <c r="AE125" i="5" a="1"/>
  <c r="AE125" i="5" s="1"/>
  <c r="AD121" i="5" a="1"/>
  <c r="AD121" i="5" s="1"/>
  <c r="AD128" i="5" a="1"/>
  <c r="AD128" i="5" s="1"/>
  <c r="AD127" i="5" a="1"/>
  <c r="AD127" i="5" s="1"/>
  <c r="AD126" i="5" a="1"/>
  <c r="AD126" i="5" s="1"/>
  <c r="AD123" i="5" a="1"/>
  <c r="AD123" i="5" s="1"/>
  <c r="AD130" i="5" a="1"/>
  <c r="AD130" i="5" s="1"/>
  <c r="AD122" i="5" a="1"/>
  <c r="AD122" i="5" s="1"/>
  <c r="AD124" i="5" a="1"/>
  <c r="AD124" i="5" s="1"/>
  <c r="AD125" i="5" a="1"/>
  <c r="AD125" i="5" s="1"/>
  <c r="AC122" i="5" a="1"/>
  <c r="AC122" i="5" s="1"/>
  <c r="AC126" i="5" a="1"/>
  <c r="AC126" i="5" s="1"/>
  <c r="AC127" i="5" a="1"/>
  <c r="AC127" i="5" s="1"/>
  <c r="AC128" i="5" a="1"/>
  <c r="AC128" i="5" s="1"/>
  <c r="AC130" i="5" a="1"/>
  <c r="AC130" i="5" s="1"/>
  <c r="AC123" i="5" a="1"/>
  <c r="AC123" i="5" s="1"/>
  <c r="AC121" i="5" a="1"/>
  <c r="AC121" i="5" s="1"/>
  <c r="AC124" i="5" a="1"/>
  <c r="AC124" i="5" s="1"/>
  <c r="AC125" i="5" a="1"/>
  <c r="AC125" i="5" s="1"/>
  <c r="AB122" i="5" a="1"/>
  <c r="AB122" i="5" s="1"/>
  <c r="AB121" i="5" a="1"/>
  <c r="AB121" i="5" s="1"/>
  <c r="AB127" i="5" a="1"/>
  <c r="AB127" i="5" s="1"/>
  <c r="AB128" i="5" a="1"/>
  <c r="AB128" i="5" s="1"/>
  <c r="AB126" i="5" a="1"/>
  <c r="AB126" i="5" s="1"/>
  <c r="AB130" i="5" a="1"/>
  <c r="AB130" i="5" s="1"/>
  <c r="AB123" i="5" a="1"/>
  <c r="AB123" i="5" s="1"/>
  <c r="AB124" i="5" a="1"/>
  <c r="AB124" i="5" s="1"/>
  <c r="AB125" i="5" a="1"/>
  <c r="AB125" i="5" s="1"/>
  <c r="AA126" i="5" a="1"/>
  <c r="AA126" i="5" s="1"/>
  <c r="AA122" i="5" a="1"/>
  <c r="AA122" i="5" s="1"/>
  <c r="AA121" i="5" a="1"/>
  <c r="AA121" i="5" s="1"/>
  <c r="AA127" i="5" a="1"/>
  <c r="AA127" i="5" s="1"/>
  <c r="AA123" i="5" a="1"/>
  <c r="AA123" i="5" s="1"/>
  <c r="AA128" i="5" a="1"/>
  <c r="AA128" i="5" s="1"/>
  <c r="AA130" i="5" a="1"/>
  <c r="AA130" i="5" s="1"/>
  <c r="AA124" i="5" a="1"/>
  <c r="AA124" i="5" s="1"/>
  <c r="AA125" i="5" a="1"/>
  <c r="AA125" i="5" s="1"/>
  <c r="Z123" i="5" a="1"/>
  <c r="Z123" i="5" s="1"/>
  <c r="Z122" i="5" a="1"/>
  <c r="Z122" i="5" s="1"/>
  <c r="Z126" i="5" a="1"/>
  <c r="Z126" i="5" s="1"/>
  <c r="Z121" i="5" a="1"/>
  <c r="Z121" i="5" s="1"/>
  <c r="Z130" i="5" a="1"/>
  <c r="Z130" i="5" s="1"/>
  <c r="Z127" i="5" a="1"/>
  <c r="Z127" i="5" s="1"/>
  <c r="Z128" i="5" a="1"/>
  <c r="Z128" i="5" s="1"/>
  <c r="Z125" i="5" a="1"/>
  <c r="Z125" i="5" s="1"/>
  <c r="Z124" i="5" a="1"/>
  <c r="Z124" i="5" s="1"/>
  <c r="Y123" i="5" a="1"/>
  <c r="Y123" i="5" s="1"/>
  <c r="Y122" i="5" a="1"/>
  <c r="Y122" i="5" s="1"/>
  <c r="Y126" i="5" a="1"/>
  <c r="Y126" i="5" s="1"/>
  <c r="Y130" i="5" a="1"/>
  <c r="Y130" i="5" s="1"/>
  <c r="Y128" i="5" a="1"/>
  <c r="Y128" i="5" s="1"/>
  <c r="Y127" i="5" a="1"/>
  <c r="Y127" i="5" s="1"/>
  <c r="Y121" i="5" a="1"/>
  <c r="Y121" i="5" s="1"/>
  <c r="Y124" i="5" a="1"/>
  <c r="Y124" i="5" s="1"/>
  <c r="Y125" i="5" a="1"/>
  <c r="Y125" i="5" s="1"/>
  <c r="X123" i="5" a="1"/>
  <c r="X123" i="5" s="1"/>
  <c r="X130" i="5" a="1"/>
  <c r="X130" i="5" s="1"/>
  <c r="X126" i="5" a="1"/>
  <c r="X126" i="5" s="1"/>
  <c r="X128" i="5" a="1"/>
  <c r="X128" i="5" s="1"/>
  <c r="X122" i="5" a="1"/>
  <c r="X122" i="5" s="1"/>
  <c r="X121" i="5" a="1"/>
  <c r="X121" i="5" s="1"/>
  <c r="X127" i="5" a="1"/>
  <c r="X127" i="5" s="1"/>
  <c r="X124" i="5" a="1"/>
  <c r="X124" i="5" s="1"/>
  <c r="X125" i="5" a="1"/>
  <c r="X125" i="5" s="1"/>
  <c r="W121" i="5" a="1"/>
  <c r="W121" i="5" s="1"/>
  <c r="W123" i="5" a="1"/>
  <c r="W123" i="5" s="1"/>
  <c r="W126" i="5" a="1"/>
  <c r="W126" i="5" s="1"/>
  <c r="W128" i="5" a="1"/>
  <c r="W128" i="5" s="1"/>
  <c r="W127" i="5" a="1"/>
  <c r="W127" i="5" s="1"/>
  <c r="W122" i="5" a="1"/>
  <c r="W122" i="5" s="1"/>
  <c r="W130" i="5" a="1"/>
  <c r="W130" i="5" s="1"/>
  <c r="W125" i="5" a="1"/>
  <c r="W125" i="5" s="1"/>
  <c r="W124" i="5" a="1"/>
  <c r="W124" i="5" s="1"/>
  <c r="V126" i="5" a="1"/>
  <c r="V126" i="5" s="1"/>
  <c r="V121" i="5" a="1"/>
  <c r="V121" i="5" s="1"/>
  <c r="V128" i="5" a="1"/>
  <c r="V128" i="5" s="1"/>
  <c r="V127" i="5" a="1"/>
  <c r="V127" i="5" s="1"/>
  <c r="V122" i="5" a="1"/>
  <c r="V122" i="5" s="1"/>
  <c r="V130" i="5" a="1"/>
  <c r="V130" i="5" s="1"/>
  <c r="V123" i="5" a="1"/>
  <c r="V123" i="5" s="1"/>
  <c r="V124" i="5" a="1"/>
  <c r="V124" i="5" s="1"/>
  <c r="V125" i="5" a="1"/>
  <c r="V125" i="5" s="1"/>
  <c r="U128" i="5" a="1"/>
  <c r="U128" i="5" s="1"/>
  <c r="U121" i="5" a="1"/>
  <c r="U121" i="5" s="1"/>
  <c r="U127" i="5" a="1"/>
  <c r="U127" i="5" s="1"/>
  <c r="U123" i="5" a="1"/>
  <c r="U123" i="5" s="1"/>
  <c r="U130" i="5" a="1"/>
  <c r="U130" i="5" s="1"/>
  <c r="U126" i="5" a="1"/>
  <c r="U126" i="5" s="1"/>
  <c r="U122" i="5" a="1"/>
  <c r="U122" i="5" s="1"/>
  <c r="U124" i="5" a="1"/>
  <c r="U124" i="5" s="1"/>
  <c r="U125" i="5" a="1"/>
  <c r="U125" i="5" s="1"/>
  <c r="D209" i="15" l="1"/>
  <c r="H101" i="15"/>
  <c r="B209" i="15"/>
  <c r="N204" i="15"/>
  <c r="O28" i="15" s="1"/>
  <c r="M209" i="15"/>
  <c r="F209" i="15"/>
  <c r="J209" i="15"/>
  <c r="G209" i="15"/>
  <c r="C209" i="15"/>
  <c r="E209" i="15"/>
  <c r="L209" i="15"/>
  <c r="K209" i="15"/>
  <c r="I209" i="15"/>
  <c r="H209" i="15"/>
  <c r="C37" i="1"/>
  <c r="C38" i="1"/>
  <c r="N220" i="1"/>
  <c r="C39" i="1"/>
  <c r="N214" i="1"/>
  <c r="O38" i="1" s="1"/>
  <c r="N213" i="1"/>
  <c r="O37" i="1" s="1"/>
  <c r="AF208" i="14" a="1"/>
  <c r="AF208" i="14" s="1"/>
  <c r="AF209" i="14" a="1"/>
  <c r="AF209" i="14" s="1"/>
  <c r="AF206" i="14" a="1"/>
  <c r="AF206" i="14" s="1"/>
  <c r="AF202" i="14"/>
  <c r="AF210" i="14" a="1"/>
  <c r="AF210" i="14" s="1"/>
  <c r="AF207" i="14" a="1"/>
  <c r="AF207" i="14" s="1"/>
  <c r="AE208" i="14" a="1"/>
  <c r="AE208" i="14" s="1"/>
  <c r="AE209" i="14" a="1"/>
  <c r="AE209" i="14" s="1"/>
  <c r="AE206" i="14" a="1"/>
  <c r="AE206" i="14" s="1"/>
  <c r="AE202" i="14"/>
  <c r="AE210" i="14" a="1"/>
  <c r="AE210" i="14" s="1"/>
  <c r="AE207" i="14" a="1"/>
  <c r="AE207" i="14" s="1"/>
  <c r="AD206" i="14" a="1"/>
  <c r="AD206" i="14" s="1"/>
  <c r="AD210" i="14" a="1"/>
  <c r="AD210" i="14" s="1"/>
  <c r="AD208" i="14" a="1"/>
  <c r="AD208" i="14" s="1"/>
  <c r="AD209" i="14" a="1"/>
  <c r="AD209" i="14" s="1"/>
  <c r="AD207" i="14" a="1"/>
  <c r="AD207" i="14" s="1"/>
  <c r="AD202" i="14"/>
  <c r="AC210" i="14" a="1"/>
  <c r="AC210" i="14" s="1"/>
  <c r="AC207" i="14" a="1"/>
  <c r="AC207" i="14" s="1"/>
  <c r="AC202" i="14"/>
  <c r="AC208" i="14" a="1"/>
  <c r="AC208" i="14" s="1"/>
  <c r="AC209" i="14" a="1"/>
  <c r="AC209" i="14" s="1"/>
  <c r="AC206" i="14" a="1"/>
  <c r="AC206" i="14" s="1"/>
  <c r="AB209" i="14" a="1"/>
  <c r="AB209" i="14" s="1"/>
  <c r="AB206" i="14" a="1"/>
  <c r="AB206" i="14" s="1"/>
  <c r="AB202" i="14"/>
  <c r="AB210" i="14" a="1"/>
  <c r="AB210" i="14" s="1"/>
  <c r="AB207" i="14" a="1"/>
  <c r="AB207" i="14" s="1"/>
  <c r="AB208" i="14" a="1"/>
  <c r="AB208" i="14" s="1"/>
  <c r="AA209" i="14" a="1"/>
  <c r="AA209" i="14" s="1"/>
  <c r="AA206" i="14" a="1"/>
  <c r="AA206" i="14" s="1"/>
  <c r="AA202" i="14"/>
  <c r="AA210" i="14" a="1"/>
  <c r="AA210" i="14" s="1"/>
  <c r="AA207" i="14" a="1"/>
  <c r="AA207" i="14" s="1"/>
  <c r="AA208" i="14" a="1"/>
  <c r="AA208" i="14" s="1"/>
  <c r="Z209" i="14" a="1"/>
  <c r="Z209" i="14" s="1"/>
  <c r="Z206" i="14" a="1"/>
  <c r="Z206" i="14" s="1"/>
  <c r="Z202" i="14"/>
  <c r="Z208" i="14" a="1"/>
  <c r="Z208" i="14" s="1"/>
  <c r="Z210" i="14" a="1"/>
  <c r="Z210" i="14" s="1"/>
  <c r="Z207" i="14" a="1"/>
  <c r="Z207" i="14" s="1"/>
  <c r="Y210" i="14" a="1"/>
  <c r="Y210" i="14" s="1"/>
  <c r="Y207" i="14" a="1"/>
  <c r="Y207" i="14" s="1"/>
  <c r="Y209" i="14" a="1"/>
  <c r="Y209" i="14" s="1"/>
  <c r="Y206" i="14" a="1"/>
  <c r="Y206" i="14" s="1"/>
  <c r="Y202" i="14"/>
  <c r="Y208" i="14" a="1"/>
  <c r="Y208" i="14" s="1"/>
  <c r="X210" i="14" a="1"/>
  <c r="X210" i="14" s="1"/>
  <c r="X207" i="14" a="1"/>
  <c r="X207" i="14" s="1"/>
  <c r="X208" i="14" a="1"/>
  <c r="X208" i="14" s="1"/>
  <c r="X209" i="14" a="1"/>
  <c r="X209" i="14" s="1"/>
  <c r="X206" i="14" a="1"/>
  <c r="X206" i="14" s="1"/>
  <c r="X202" i="14"/>
  <c r="W208" i="14" a="1"/>
  <c r="W208" i="14" s="1"/>
  <c r="W210" i="14" a="1"/>
  <c r="W210" i="14" s="1"/>
  <c r="W207" i="14" a="1"/>
  <c r="W207" i="14" s="1"/>
  <c r="W209" i="14" a="1"/>
  <c r="W209" i="14" s="1"/>
  <c r="W206" i="14" a="1"/>
  <c r="W206" i="14" s="1"/>
  <c r="W202" i="14"/>
  <c r="V210" i="14" a="1"/>
  <c r="V210" i="14" s="1"/>
  <c r="V207" i="14" a="1"/>
  <c r="V207" i="14" s="1"/>
  <c r="V208" i="14" a="1"/>
  <c r="V208" i="14" s="1"/>
  <c r="V209" i="14" a="1"/>
  <c r="V209" i="14" s="1"/>
  <c r="V206" i="14" a="1"/>
  <c r="V206" i="14" s="1"/>
  <c r="V202" i="14"/>
  <c r="U210" i="14" a="1"/>
  <c r="U210" i="14" s="1"/>
  <c r="U208" i="14" a="1"/>
  <c r="U208" i="14" s="1"/>
  <c r="U207" i="14" a="1"/>
  <c r="U207" i="14" s="1"/>
  <c r="U202" i="14"/>
  <c r="U209" i="14" a="1"/>
  <c r="U209" i="14" s="1"/>
  <c r="U206" i="14" a="1"/>
  <c r="U206" i="14" s="1"/>
  <c r="N231" i="1"/>
  <c r="N39" i="1"/>
  <c r="C40" i="1"/>
  <c r="N213" i="15"/>
  <c r="O37" i="15" s="1"/>
  <c r="N214" i="15"/>
  <c r="O38" i="15" s="1"/>
  <c r="N215" i="15"/>
  <c r="O39" i="15" s="1"/>
  <c r="N231" i="15"/>
  <c r="N219" i="15"/>
  <c r="N216" i="15"/>
  <c r="O40" i="15" s="1"/>
  <c r="N218" i="15"/>
  <c r="N220" i="15"/>
  <c r="K212" i="1"/>
  <c r="K212" i="15"/>
  <c r="E212" i="1"/>
  <c r="E212" i="15"/>
  <c r="C212" i="1"/>
  <c r="C212" i="15"/>
  <c r="F212" i="1"/>
  <c r="F212" i="15"/>
  <c r="M212" i="1"/>
  <c r="M212" i="15"/>
  <c r="D212" i="1"/>
  <c r="D212" i="15"/>
  <c r="J212" i="1"/>
  <c r="J212" i="15"/>
  <c r="G212" i="1"/>
  <c r="G212" i="15"/>
  <c r="H212" i="1"/>
  <c r="H212" i="15"/>
  <c r="B212" i="1"/>
  <c r="B212" i="15"/>
  <c r="L212" i="1"/>
  <c r="L212" i="15"/>
  <c r="I212" i="1"/>
  <c r="I212" i="15"/>
  <c r="I29" i="1"/>
  <c r="C29" i="1"/>
  <c r="D29" i="1"/>
  <c r="E29" i="1"/>
  <c r="F29" i="1"/>
  <c r="G29" i="1"/>
  <c r="J29" i="1"/>
  <c r="N205" i="1"/>
  <c r="O29" i="1" s="1"/>
  <c r="G209" i="1"/>
  <c r="C209" i="1"/>
  <c r="D209" i="1"/>
  <c r="E209" i="1"/>
  <c r="F209" i="1"/>
  <c r="H29" i="1"/>
  <c r="N215" i="1"/>
  <c r="O39" i="1" s="1"/>
  <c r="N219" i="1"/>
  <c r="N217" i="1"/>
  <c r="N216" i="1"/>
  <c r="O40" i="1" s="1"/>
  <c r="N218" i="1"/>
  <c r="H209" i="1"/>
  <c r="B209" i="1"/>
  <c r="K28" i="1"/>
  <c r="J209" i="1"/>
  <c r="M28" i="1"/>
  <c r="L209" i="1"/>
  <c r="I209" i="1"/>
  <c r="J28" i="1"/>
  <c r="K209" i="1"/>
  <c r="L28" i="1"/>
  <c r="C28" i="1"/>
  <c r="H101" i="1"/>
  <c r="N204" i="1"/>
  <c r="M209" i="1"/>
  <c r="N28" i="1"/>
  <c r="AF202" i="5"/>
  <c r="AF208" i="5" a="1"/>
  <c r="AF208" i="5" s="1"/>
  <c r="AF222" i="5" s="1"/>
  <c r="AF209" i="5" a="1"/>
  <c r="AF209" i="5" s="1"/>
  <c r="AF223" i="5" s="1"/>
  <c r="AF210" i="5" a="1"/>
  <c r="AF210" i="5" s="1"/>
  <c r="AF224" i="5" s="1"/>
  <c r="AF207" i="5" a="1"/>
  <c r="AF207" i="5" s="1"/>
  <c r="AF221" i="5" s="1"/>
  <c r="AF206" i="5" a="1"/>
  <c r="AF206" i="5" s="1"/>
  <c r="AF220" i="5" s="1"/>
  <c r="AE202" i="5"/>
  <c r="AE206" i="5" a="1"/>
  <c r="AE206" i="5" s="1"/>
  <c r="AE220" i="5" s="1"/>
  <c r="AE208" i="5" a="1"/>
  <c r="AE208" i="5" s="1"/>
  <c r="AE222" i="5" s="1"/>
  <c r="AE210" i="5" a="1"/>
  <c r="AE210" i="5" s="1"/>
  <c r="AE224" i="5" s="1"/>
  <c r="AE209" i="5" a="1"/>
  <c r="AE209" i="5" s="1"/>
  <c r="AE223" i="5" s="1"/>
  <c r="AE207" i="5" a="1"/>
  <c r="AE207" i="5" s="1"/>
  <c r="AE221" i="5" s="1"/>
  <c r="AD206" i="5" a="1"/>
  <c r="AD206" i="5" s="1"/>
  <c r="AD220" i="5" s="1"/>
  <c r="AD208" i="5" a="1"/>
  <c r="AD208" i="5" s="1"/>
  <c r="AD222" i="5" s="1"/>
  <c r="AD210" i="5" a="1"/>
  <c r="AD210" i="5" s="1"/>
  <c r="AD224" i="5" s="1"/>
  <c r="AD202" i="5"/>
  <c r="AD207" i="5" a="1"/>
  <c r="AD207" i="5" s="1"/>
  <c r="AD221" i="5" s="1"/>
  <c r="AD209" i="5" a="1"/>
  <c r="AD209" i="5" s="1"/>
  <c r="AD223" i="5" s="1"/>
  <c r="AC202" i="5"/>
  <c r="AC206" i="5" a="1"/>
  <c r="AC206" i="5" s="1"/>
  <c r="AC220" i="5" s="1"/>
  <c r="AC207" i="5" a="1"/>
  <c r="AC207" i="5" s="1"/>
  <c r="AC221" i="5" s="1"/>
  <c r="AC209" i="5" a="1"/>
  <c r="AC209" i="5" s="1"/>
  <c r="AC223" i="5" s="1"/>
  <c r="AC210" i="5" a="1"/>
  <c r="AC210" i="5" s="1"/>
  <c r="AC224" i="5" s="1"/>
  <c r="AC208" i="5" a="1"/>
  <c r="AC208" i="5" s="1"/>
  <c r="AC222" i="5" s="1"/>
  <c r="AB206" i="5" a="1"/>
  <c r="AB206" i="5" s="1"/>
  <c r="AB220" i="5" s="1"/>
  <c r="AB208" i="5" a="1"/>
  <c r="AB208" i="5" s="1"/>
  <c r="AB222" i="5" s="1"/>
  <c r="AB207" i="5" a="1"/>
  <c r="AB207" i="5" s="1"/>
  <c r="AB221" i="5" s="1"/>
  <c r="AB210" i="5" a="1"/>
  <c r="AB210" i="5" s="1"/>
  <c r="AB224" i="5" s="1"/>
  <c r="AB202" i="5"/>
  <c r="AB209" i="5" a="1"/>
  <c r="AB209" i="5" s="1"/>
  <c r="AB223" i="5" s="1"/>
  <c r="AA206" i="5" a="1"/>
  <c r="AA206" i="5" s="1"/>
  <c r="AA220" i="5" s="1"/>
  <c r="AA207" i="5" a="1"/>
  <c r="AA207" i="5" s="1"/>
  <c r="AA221" i="5" s="1"/>
  <c r="AA209" i="5" a="1"/>
  <c r="AA209" i="5" s="1"/>
  <c r="AA223" i="5" s="1"/>
  <c r="AA202" i="5"/>
  <c r="AA210" i="5" a="1"/>
  <c r="AA210" i="5" s="1"/>
  <c r="AA224" i="5" s="1"/>
  <c r="AA208" i="5" a="1"/>
  <c r="AA208" i="5" s="1"/>
  <c r="AA222" i="5" s="1"/>
  <c r="Z202" i="5"/>
  <c r="Z206" i="5" a="1"/>
  <c r="Z206" i="5" s="1"/>
  <c r="Z220" i="5" s="1"/>
  <c r="Z208" i="5" a="1"/>
  <c r="Z208" i="5" s="1"/>
  <c r="Z222" i="5" s="1"/>
  <c r="Z207" i="5" a="1"/>
  <c r="Z207" i="5" s="1"/>
  <c r="Z221" i="5" s="1"/>
  <c r="Z209" i="5" a="1"/>
  <c r="Z209" i="5" s="1"/>
  <c r="Z223" i="5" s="1"/>
  <c r="Z210" i="5" a="1"/>
  <c r="Z210" i="5" s="1"/>
  <c r="Z224" i="5" s="1"/>
  <c r="Y202" i="5"/>
  <c r="Y206" i="5" a="1"/>
  <c r="Y206" i="5" s="1"/>
  <c r="Y220" i="5" s="1"/>
  <c r="Y207" i="5" a="1"/>
  <c r="Y207" i="5" s="1"/>
  <c r="Y221" i="5" s="1"/>
  <c r="Y210" i="5" a="1"/>
  <c r="Y210" i="5" s="1"/>
  <c r="Y224" i="5" s="1"/>
  <c r="Y208" i="5" a="1"/>
  <c r="Y208" i="5" s="1"/>
  <c r="Y222" i="5" s="1"/>
  <c r="Y209" i="5" a="1"/>
  <c r="Y209" i="5" s="1"/>
  <c r="Y223" i="5" s="1"/>
  <c r="X206" i="5" a="1"/>
  <c r="X206" i="5" s="1"/>
  <c r="X220" i="5" s="1"/>
  <c r="X210" i="5" a="1"/>
  <c r="X210" i="5" s="1"/>
  <c r="X224" i="5" s="1"/>
  <c r="X202" i="5"/>
  <c r="X209" i="5" a="1"/>
  <c r="X209" i="5" s="1"/>
  <c r="X223" i="5" s="1"/>
  <c r="X207" i="5" a="1"/>
  <c r="X207" i="5" s="1"/>
  <c r="X221" i="5" s="1"/>
  <c r="X208" i="5" a="1"/>
  <c r="X208" i="5" s="1"/>
  <c r="X222" i="5" s="1"/>
  <c r="W202" i="5"/>
  <c r="W206" i="5" a="1"/>
  <c r="W206" i="5" s="1"/>
  <c r="W220" i="5" s="1"/>
  <c r="W207" i="5" a="1"/>
  <c r="W207" i="5" s="1"/>
  <c r="W221" i="5" s="1"/>
  <c r="W208" i="5" a="1"/>
  <c r="W208" i="5" s="1"/>
  <c r="W222" i="5" s="1"/>
  <c r="W209" i="5" a="1"/>
  <c r="W209" i="5" s="1"/>
  <c r="W223" i="5" s="1"/>
  <c r="W210" i="5" a="1"/>
  <c r="W210" i="5" s="1"/>
  <c r="W224" i="5" s="1"/>
  <c r="V202" i="5"/>
  <c r="V206" i="5" a="1"/>
  <c r="V206" i="5" s="1"/>
  <c r="V220" i="5" s="1"/>
  <c r="V208" i="5" a="1"/>
  <c r="V208" i="5" s="1"/>
  <c r="V222" i="5" s="1"/>
  <c r="V207" i="5" a="1"/>
  <c r="V207" i="5" s="1"/>
  <c r="V221" i="5" s="1"/>
  <c r="V210" i="5" a="1"/>
  <c r="V210" i="5" s="1"/>
  <c r="V224" i="5" s="1"/>
  <c r="V209" i="5" a="1"/>
  <c r="V209" i="5" s="1"/>
  <c r="V223" i="5" s="1"/>
  <c r="U202" i="5"/>
  <c r="U206" i="5" a="1"/>
  <c r="U206" i="5" s="1"/>
  <c r="U220" i="5" s="1"/>
  <c r="U207" i="5" a="1"/>
  <c r="U207" i="5" s="1"/>
  <c r="U221" i="5" s="1"/>
  <c r="U209" i="5" a="1"/>
  <c r="U209" i="5" s="1"/>
  <c r="U223" i="5" s="1"/>
  <c r="U210" i="5" a="1"/>
  <c r="U210" i="5" s="1"/>
  <c r="U224" i="5" s="1"/>
  <c r="U208" i="5" a="1"/>
  <c r="U208" i="5" s="1"/>
  <c r="U222" i="5" s="1"/>
  <c r="D233" i="15" l="1"/>
  <c r="E36" i="15" s="1"/>
  <c r="E32" i="15"/>
  <c r="B233" i="15"/>
  <c r="E55" i="15"/>
  <c r="C32" i="15"/>
  <c r="M233" i="15"/>
  <c r="N36" i="15" s="1"/>
  <c r="N32" i="15"/>
  <c r="F233" i="15"/>
  <c r="G36" i="15" s="1"/>
  <c r="G32" i="15"/>
  <c r="J233" i="15"/>
  <c r="K36" i="15" s="1"/>
  <c r="K32" i="15"/>
  <c r="G233" i="15"/>
  <c r="H36" i="15" s="1"/>
  <c r="H32" i="15"/>
  <c r="C233" i="15"/>
  <c r="D36" i="15" s="1"/>
  <c r="D32" i="15"/>
  <c r="E233" i="15"/>
  <c r="F36" i="15" s="1"/>
  <c r="F32" i="15"/>
  <c r="L233" i="15"/>
  <c r="M36" i="15" s="1"/>
  <c r="M32" i="15"/>
  <c r="K233" i="15"/>
  <c r="L36" i="15" s="1"/>
  <c r="L32" i="15"/>
  <c r="I233" i="15"/>
  <c r="J36" i="15" s="1"/>
  <c r="J32" i="15"/>
  <c r="H233" i="15"/>
  <c r="I36" i="15" s="1"/>
  <c r="I32" i="15"/>
  <c r="U211" i="14"/>
  <c r="N209" i="15"/>
  <c r="O32" i="15" s="1"/>
  <c r="J101" i="15"/>
  <c r="L101" i="15" s="1"/>
  <c r="N101" i="15" s="1"/>
  <c r="N212" i="1"/>
  <c r="N212" i="15"/>
  <c r="M200" i="1"/>
  <c r="M200" i="15"/>
  <c r="N22" i="15" s="1"/>
  <c r="M201" i="1"/>
  <c r="N23" i="1" s="1"/>
  <c r="M201" i="15"/>
  <c r="N23" i="15" s="1"/>
  <c r="M202" i="1"/>
  <c r="M202" i="15"/>
  <c r="M199" i="1"/>
  <c r="M199" i="15"/>
  <c r="M198" i="1"/>
  <c r="M198" i="15"/>
  <c r="L198" i="1"/>
  <c r="L198" i="15"/>
  <c r="L200" i="1"/>
  <c r="L200" i="15"/>
  <c r="M22" i="15" s="1"/>
  <c r="L202" i="1"/>
  <c r="L202" i="15"/>
  <c r="L201" i="1"/>
  <c r="M23" i="1" s="1"/>
  <c r="L201" i="15"/>
  <c r="M23" i="15" s="1"/>
  <c r="L199" i="1"/>
  <c r="L199" i="15"/>
  <c r="K198" i="1"/>
  <c r="K198" i="15"/>
  <c r="K200" i="1"/>
  <c r="K200" i="15"/>
  <c r="L22" i="15" s="1"/>
  <c r="K202" i="1"/>
  <c r="K202" i="15"/>
  <c r="K199" i="1"/>
  <c r="K199" i="15"/>
  <c r="K201" i="1"/>
  <c r="L23" i="1" s="1"/>
  <c r="K201" i="15"/>
  <c r="L23" i="15" s="1"/>
  <c r="J198" i="1"/>
  <c r="J198" i="15"/>
  <c r="J199" i="1"/>
  <c r="J199" i="15"/>
  <c r="J201" i="1"/>
  <c r="K23" i="1" s="1"/>
  <c r="J201" i="15"/>
  <c r="K23" i="15" s="1"/>
  <c r="J202" i="1"/>
  <c r="J202" i="15"/>
  <c r="J200" i="1"/>
  <c r="J200" i="15"/>
  <c r="K22" i="15" s="1"/>
  <c r="I198" i="1"/>
  <c r="I198" i="15"/>
  <c r="I200" i="1"/>
  <c r="I200" i="15"/>
  <c r="J22" i="15" s="1"/>
  <c r="I199" i="1"/>
  <c r="I199" i="15"/>
  <c r="I202" i="1"/>
  <c r="I202" i="15"/>
  <c r="I201" i="1"/>
  <c r="J23" i="1" s="1"/>
  <c r="I201" i="15"/>
  <c r="J23" i="15" s="1"/>
  <c r="H198" i="1"/>
  <c r="H198" i="15"/>
  <c r="H199" i="1"/>
  <c r="H199" i="15"/>
  <c r="H201" i="1"/>
  <c r="I23" i="1" s="1"/>
  <c r="H201" i="15"/>
  <c r="I23" i="15" s="1"/>
  <c r="H202" i="1"/>
  <c r="H202" i="15"/>
  <c r="H200" i="1"/>
  <c r="H200" i="15"/>
  <c r="I22" i="15" s="1"/>
  <c r="G198" i="1"/>
  <c r="G198" i="15"/>
  <c r="G200" i="1"/>
  <c r="G200" i="15"/>
  <c r="H22" i="15" s="1"/>
  <c r="G199" i="1"/>
  <c r="G199" i="15"/>
  <c r="G201" i="1"/>
  <c r="H23" i="1" s="1"/>
  <c r="G201" i="15"/>
  <c r="H23" i="15" s="1"/>
  <c r="G202" i="1"/>
  <c r="G202" i="15"/>
  <c r="F198" i="1"/>
  <c r="F198" i="15"/>
  <c r="F199" i="1"/>
  <c r="F199" i="15"/>
  <c r="F202" i="1"/>
  <c r="F202" i="15"/>
  <c r="F200" i="1"/>
  <c r="F200" i="15"/>
  <c r="G22" i="15" s="1"/>
  <c r="F201" i="1"/>
  <c r="G23" i="1" s="1"/>
  <c r="F201" i="15"/>
  <c r="G23" i="15" s="1"/>
  <c r="E198" i="1"/>
  <c r="E198" i="15"/>
  <c r="E202" i="1"/>
  <c r="E202" i="15"/>
  <c r="E201" i="1"/>
  <c r="F23" i="1" s="1"/>
  <c r="E201" i="15"/>
  <c r="F23" i="15" s="1"/>
  <c r="E199" i="1"/>
  <c r="E199" i="15"/>
  <c r="E200" i="1"/>
  <c r="E200" i="15"/>
  <c r="F22" i="15" s="1"/>
  <c r="D198" i="1"/>
  <c r="D198" i="15"/>
  <c r="D199" i="1"/>
  <c r="D199" i="15"/>
  <c r="D200" i="1"/>
  <c r="D200" i="15"/>
  <c r="E22" i="15" s="1"/>
  <c r="D201" i="1"/>
  <c r="E23" i="1" s="1"/>
  <c r="D201" i="15"/>
  <c r="E23" i="15" s="1"/>
  <c r="D202" i="1"/>
  <c r="D202" i="15"/>
  <c r="C198" i="1"/>
  <c r="C198" i="15"/>
  <c r="C200" i="1"/>
  <c r="C200" i="15"/>
  <c r="D22" i="15" s="1"/>
  <c r="C199" i="1"/>
  <c r="C199" i="15"/>
  <c r="C202" i="1"/>
  <c r="C202" i="15"/>
  <c r="C201" i="1"/>
  <c r="D23" i="1" s="1"/>
  <c r="C201" i="15"/>
  <c r="D23" i="15" s="1"/>
  <c r="B198" i="15"/>
  <c r="B266" i="15"/>
  <c r="I13" i="15" s="1"/>
  <c r="B263" i="15"/>
  <c r="E13" i="15" s="1"/>
  <c r="B269" i="15"/>
  <c r="M13" i="15" s="1"/>
  <c r="B199" i="1"/>
  <c r="B199" i="15"/>
  <c r="B201" i="1"/>
  <c r="B201" i="15"/>
  <c r="C23" i="15" s="1"/>
  <c r="B202" i="1"/>
  <c r="B202" i="15"/>
  <c r="C24" i="15" s="1"/>
  <c r="B200" i="1"/>
  <c r="B200" i="15"/>
  <c r="C22" i="15" s="1"/>
  <c r="G233" i="1"/>
  <c r="H36" i="1" s="1"/>
  <c r="H32" i="1"/>
  <c r="C233" i="1"/>
  <c r="D36" i="1" s="1"/>
  <c r="D32" i="1"/>
  <c r="D233" i="1"/>
  <c r="E36" i="1" s="1"/>
  <c r="O28" i="1"/>
  <c r="J101" i="1"/>
  <c r="L101" i="1" s="1"/>
  <c r="N101" i="1" s="1"/>
  <c r="F32" i="1"/>
  <c r="E32" i="1"/>
  <c r="F233" i="1"/>
  <c r="G36" i="1" s="1"/>
  <c r="G32" i="1"/>
  <c r="H233" i="1"/>
  <c r="I36" i="1" s="1"/>
  <c r="I32" i="1"/>
  <c r="B233" i="1"/>
  <c r="C36" i="1" s="1"/>
  <c r="C32" i="1"/>
  <c r="E233" i="1"/>
  <c r="F36" i="1" s="1"/>
  <c r="I233" i="1"/>
  <c r="J36" i="1" s="1"/>
  <c r="K32" i="1"/>
  <c r="L32" i="1"/>
  <c r="J233" i="1"/>
  <c r="K36" i="1" s="1"/>
  <c r="K233" i="1"/>
  <c r="L36" i="1" s="1"/>
  <c r="L233" i="1"/>
  <c r="M36" i="1" s="1"/>
  <c r="M32" i="1"/>
  <c r="J32" i="1"/>
  <c r="N32" i="1"/>
  <c r="M233" i="1"/>
  <c r="N36" i="1" s="1"/>
  <c r="E55" i="1"/>
  <c r="N209" i="1"/>
  <c r="O32" i="1" s="1"/>
  <c r="B270" i="1"/>
  <c r="B269" i="1"/>
  <c r="M13" i="1" s="1"/>
  <c r="B267" i="1"/>
  <c r="B266" i="1"/>
  <c r="I13" i="1" s="1"/>
  <c r="B264" i="1"/>
  <c r="B263" i="1"/>
  <c r="E13" i="1" s="1"/>
  <c r="B198" i="1"/>
  <c r="U211" i="5"/>
  <c r="D235" i="15" l="1"/>
  <c r="D258" i="15"/>
  <c r="B258" i="15"/>
  <c r="F235" i="15"/>
  <c r="F258" i="15"/>
  <c r="B235" i="15"/>
  <c r="C36" i="15"/>
  <c r="J235" i="15"/>
  <c r="J258" i="15"/>
  <c r="G235" i="15"/>
  <c r="G258" i="15"/>
  <c r="C235" i="15"/>
  <c r="C258" i="15"/>
  <c r="E235" i="15"/>
  <c r="E258" i="15"/>
  <c r="L235" i="15"/>
  <c r="L258" i="15"/>
  <c r="K235" i="15"/>
  <c r="K258" i="15"/>
  <c r="I235" i="15"/>
  <c r="I258" i="15"/>
  <c r="H235" i="15"/>
  <c r="H258" i="15"/>
  <c r="N233" i="15"/>
  <c r="O36" i="15" s="1"/>
  <c r="M258" i="15"/>
  <c r="N258" i="15" s="1"/>
  <c r="H107" i="15"/>
  <c r="M235" i="15"/>
  <c r="N55" i="15"/>
  <c r="K55" i="15"/>
  <c r="N199" i="1"/>
  <c r="N201" i="1"/>
  <c r="O23" i="1" s="1"/>
  <c r="C23" i="1"/>
  <c r="M203" i="1"/>
  <c r="M232" i="1" s="1"/>
  <c r="L203" i="1"/>
  <c r="L232" i="1" s="1"/>
  <c r="K203" i="1"/>
  <c r="K232" i="1" s="1"/>
  <c r="J203" i="1"/>
  <c r="J232" i="1" s="1"/>
  <c r="I203" i="1"/>
  <c r="I232" i="1" s="1"/>
  <c r="H203" i="1"/>
  <c r="H232" i="1" s="1"/>
  <c r="G203" i="1"/>
  <c r="G232" i="1" s="1"/>
  <c r="F203" i="1"/>
  <c r="F232" i="1" s="1"/>
  <c r="E203" i="1"/>
  <c r="E232" i="1" s="1"/>
  <c r="D203" i="1"/>
  <c r="D232" i="1" s="1"/>
  <c r="C203" i="1"/>
  <c r="C232" i="1" s="1"/>
  <c r="N202" i="1"/>
  <c r="N200" i="1"/>
  <c r="M203" i="15"/>
  <c r="L203" i="15"/>
  <c r="K203" i="15"/>
  <c r="J203" i="15"/>
  <c r="I203" i="15"/>
  <c r="H203" i="15"/>
  <c r="G203" i="15"/>
  <c r="F203" i="15"/>
  <c r="E203" i="15"/>
  <c r="D203" i="15"/>
  <c r="C203" i="15"/>
  <c r="B203" i="15"/>
  <c r="N198" i="15"/>
  <c r="E15" i="15"/>
  <c r="E14" i="15"/>
  <c r="I15" i="15"/>
  <c r="I14" i="15"/>
  <c r="M15" i="15"/>
  <c r="M14" i="15"/>
  <c r="N199" i="15"/>
  <c r="N201" i="15"/>
  <c r="O23" i="15" s="1"/>
  <c r="N202" i="15"/>
  <c r="N200" i="15"/>
  <c r="O22" i="15" s="1"/>
  <c r="H70" i="15"/>
  <c r="M14" i="1"/>
  <c r="B271" i="1"/>
  <c r="M15" i="1" s="1"/>
  <c r="I14" i="1"/>
  <c r="B268" i="1"/>
  <c r="I15" i="1" s="1"/>
  <c r="E14" i="1"/>
  <c r="B265" i="1"/>
  <c r="E15" i="1" s="1"/>
  <c r="G258" i="1"/>
  <c r="C258" i="1"/>
  <c r="D258" i="1"/>
  <c r="D235" i="1"/>
  <c r="E22" i="1" s="1"/>
  <c r="E235" i="1"/>
  <c r="F22" i="1" s="1"/>
  <c r="E258" i="1"/>
  <c r="F235" i="1"/>
  <c r="G22" i="1" s="1"/>
  <c r="F258" i="1"/>
  <c r="G235" i="1"/>
  <c r="H22" i="1" s="1"/>
  <c r="H235" i="1"/>
  <c r="I22" i="1" s="1"/>
  <c r="H258" i="1"/>
  <c r="B258" i="1"/>
  <c r="B235" i="1"/>
  <c r="C22" i="1" s="1"/>
  <c r="C235" i="1"/>
  <c r="D22" i="1" s="1"/>
  <c r="J258" i="1"/>
  <c r="K258" i="1"/>
  <c r="K235" i="1"/>
  <c r="L22" i="1" s="1"/>
  <c r="I258" i="1"/>
  <c r="J235" i="1"/>
  <c r="K22" i="1" s="1"/>
  <c r="L235" i="1"/>
  <c r="M22" i="1" s="1"/>
  <c r="L258" i="1"/>
  <c r="I235" i="1"/>
  <c r="J22" i="1" s="1"/>
  <c r="N233" i="1"/>
  <c r="O36" i="1" s="1"/>
  <c r="M258" i="1"/>
  <c r="N258" i="1" s="1"/>
  <c r="H107" i="1"/>
  <c r="M235" i="1"/>
  <c r="N22" i="1" s="1"/>
  <c r="N55" i="1"/>
  <c r="K55" i="1"/>
  <c r="B203" i="1"/>
  <c r="B232" i="1" s="1"/>
  <c r="N198" i="1"/>
  <c r="H70" i="1"/>
  <c r="K70" i="1"/>
  <c r="E54" i="15" l="1"/>
  <c r="B221" i="15"/>
  <c r="B232" i="15"/>
  <c r="C221" i="15"/>
  <c r="C232" i="15"/>
  <c r="D21" i="15" s="1"/>
  <c r="D221" i="15"/>
  <c r="D232" i="15"/>
  <c r="E21" i="15" s="1"/>
  <c r="E221" i="15"/>
  <c r="E232" i="15"/>
  <c r="F21" i="15" s="1"/>
  <c r="F221" i="15"/>
  <c r="F232" i="15"/>
  <c r="G21" i="15" s="1"/>
  <c r="G221" i="15"/>
  <c r="G232" i="15"/>
  <c r="H21" i="15" s="1"/>
  <c r="H221" i="15"/>
  <c r="H232" i="15"/>
  <c r="I21" i="15" s="1"/>
  <c r="I221" i="15"/>
  <c r="I232" i="15"/>
  <c r="J21" i="15" s="1"/>
  <c r="J221" i="15"/>
  <c r="J232" i="15"/>
  <c r="K21" i="15" s="1"/>
  <c r="K221" i="15"/>
  <c r="K232" i="15"/>
  <c r="L21" i="15" s="1"/>
  <c r="L221" i="15"/>
  <c r="L232" i="15"/>
  <c r="M21" i="15" s="1"/>
  <c r="M221" i="15"/>
  <c r="M232" i="15"/>
  <c r="N21" i="15" s="1"/>
  <c r="L107" i="15"/>
  <c r="N107" i="15"/>
  <c r="N235" i="15"/>
  <c r="M210" i="1"/>
  <c r="M221" i="1"/>
  <c r="M222" i="1" s="1"/>
  <c r="L210" i="1"/>
  <c r="L221" i="1"/>
  <c r="L222" i="1" s="1"/>
  <c r="K210" i="1"/>
  <c r="K221" i="1"/>
  <c r="K222" i="1" s="1"/>
  <c r="J210" i="1"/>
  <c r="J221" i="1"/>
  <c r="J222" i="1" s="1"/>
  <c r="I210" i="1"/>
  <c r="I221" i="1"/>
  <c r="I222" i="1" s="1"/>
  <c r="H210" i="1"/>
  <c r="H221" i="1"/>
  <c r="H222" i="1" s="1"/>
  <c r="G210" i="1"/>
  <c r="G221" i="1"/>
  <c r="G222" i="1" s="1"/>
  <c r="F210" i="1"/>
  <c r="F221" i="1"/>
  <c r="F222" i="1" s="1"/>
  <c r="E210" i="1"/>
  <c r="E221" i="1"/>
  <c r="E222" i="1" s="1"/>
  <c r="D210" i="1"/>
  <c r="D221" i="1"/>
  <c r="D222" i="1" s="1"/>
  <c r="C210" i="1"/>
  <c r="C221" i="1"/>
  <c r="C222" i="1" s="1"/>
  <c r="M210" i="15"/>
  <c r="L210" i="15"/>
  <c r="K210" i="15"/>
  <c r="J210" i="15"/>
  <c r="I210" i="15"/>
  <c r="H210" i="15"/>
  <c r="G210" i="15"/>
  <c r="F210" i="15"/>
  <c r="E210" i="15"/>
  <c r="D210" i="15"/>
  <c r="C210" i="15"/>
  <c r="N203" i="15"/>
  <c r="B210" i="15"/>
  <c r="J87" i="15"/>
  <c r="N235" i="1"/>
  <c r="O22" i="1" s="1"/>
  <c r="L107" i="1"/>
  <c r="N107" i="1"/>
  <c r="E234" i="1"/>
  <c r="F21" i="1" s="1"/>
  <c r="K234" i="1"/>
  <c r="L21" i="1" s="1"/>
  <c r="H106" i="1"/>
  <c r="N232" i="1"/>
  <c r="M234" i="1"/>
  <c r="N21" i="1" s="1"/>
  <c r="B210" i="1"/>
  <c r="B221" i="1"/>
  <c r="J87" i="1"/>
  <c r="N203" i="1"/>
  <c r="E54" i="1"/>
  <c r="J234" i="1"/>
  <c r="K21" i="1" s="1"/>
  <c r="I234" i="1"/>
  <c r="J21" i="1" s="1"/>
  <c r="H234" i="1"/>
  <c r="I21" i="1" s="1"/>
  <c r="G234" i="1"/>
  <c r="H21" i="1" s="1"/>
  <c r="F234" i="1"/>
  <c r="G21" i="1" s="1"/>
  <c r="D234" i="1"/>
  <c r="E21" i="1" s="1"/>
  <c r="L234" i="1"/>
  <c r="M21" i="1" s="1"/>
  <c r="B234" i="15" l="1"/>
  <c r="C21" i="15"/>
  <c r="E56" i="15"/>
  <c r="E222" i="15"/>
  <c r="F41" i="15" s="1"/>
  <c r="D222" i="15"/>
  <c r="E41" i="15" s="1"/>
  <c r="M222" i="15"/>
  <c r="N41" i="15" s="1"/>
  <c r="L222" i="15"/>
  <c r="M41" i="15" s="1"/>
  <c r="K222" i="15"/>
  <c r="L41" i="15" s="1"/>
  <c r="J222" i="15"/>
  <c r="K41" i="15" s="1"/>
  <c r="I222" i="15"/>
  <c r="J41" i="15" s="1"/>
  <c r="H222" i="15"/>
  <c r="I41" i="15" s="1"/>
  <c r="G222" i="15"/>
  <c r="H41" i="15" s="1"/>
  <c r="F222" i="15"/>
  <c r="G41" i="15" s="1"/>
  <c r="C222" i="15"/>
  <c r="D41" i="15" s="1"/>
  <c r="M223" i="1"/>
  <c r="N42" i="1" s="1"/>
  <c r="M211" i="1"/>
  <c r="N34" i="1" s="1"/>
  <c r="N41" i="1"/>
  <c r="C234" i="15"/>
  <c r="L211" i="1"/>
  <c r="M34" i="1" s="1"/>
  <c r="L223" i="1"/>
  <c r="M42" i="1" s="1"/>
  <c r="M41" i="1"/>
  <c r="K211" i="1"/>
  <c r="L34" i="1" s="1"/>
  <c r="K223" i="1"/>
  <c r="L42" i="1" s="1"/>
  <c r="L41" i="1"/>
  <c r="J211" i="1"/>
  <c r="K34" i="1" s="1"/>
  <c r="J223" i="1"/>
  <c r="K42" i="1" s="1"/>
  <c r="K41" i="1"/>
  <c r="I211" i="1"/>
  <c r="J34" i="1" s="1"/>
  <c r="I223" i="1"/>
  <c r="J42" i="1" s="1"/>
  <c r="J41" i="1"/>
  <c r="H211" i="1"/>
  <c r="I34" i="1" s="1"/>
  <c r="H223" i="1"/>
  <c r="I42" i="1" s="1"/>
  <c r="I41" i="1"/>
  <c r="G211" i="1"/>
  <c r="H34" i="1" s="1"/>
  <c r="G223" i="1"/>
  <c r="H42" i="1" s="1"/>
  <c r="H41" i="1"/>
  <c r="F211" i="1"/>
  <c r="G34" i="1" s="1"/>
  <c r="F223" i="1"/>
  <c r="G42" i="1" s="1"/>
  <c r="G41" i="1"/>
  <c r="E211" i="1"/>
  <c r="F34" i="1" s="1"/>
  <c r="E223" i="1"/>
  <c r="F42" i="1" s="1"/>
  <c r="F41" i="1"/>
  <c r="D211" i="1"/>
  <c r="E34" i="1" s="1"/>
  <c r="D223" i="1"/>
  <c r="E42" i="1" s="1"/>
  <c r="E41" i="1"/>
  <c r="C211" i="1"/>
  <c r="D34" i="1" s="1"/>
  <c r="D41" i="1"/>
  <c r="C223" i="1"/>
  <c r="D42" i="1" s="1"/>
  <c r="M211" i="15"/>
  <c r="N34" i="15" s="1"/>
  <c r="N232" i="15"/>
  <c r="O21" i="15" s="1"/>
  <c r="M234" i="15"/>
  <c r="H106" i="15"/>
  <c r="L211" i="15"/>
  <c r="M34" i="15" s="1"/>
  <c r="K211" i="15"/>
  <c r="L34" i="15" s="1"/>
  <c r="J211" i="15"/>
  <c r="K34" i="15" s="1"/>
  <c r="I211" i="15"/>
  <c r="J34" i="15" s="1"/>
  <c r="H211" i="15"/>
  <c r="I34" i="15" s="1"/>
  <c r="G211" i="15"/>
  <c r="H34" i="15" s="1"/>
  <c r="F211" i="15"/>
  <c r="G34" i="15" s="1"/>
  <c r="E211" i="15"/>
  <c r="F34" i="15" s="1"/>
  <c r="D211" i="15"/>
  <c r="E34" i="15" s="1"/>
  <c r="C211" i="15"/>
  <c r="D34" i="15" s="1"/>
  <c r="B275" i="15"/>
  <c r="H87" i="15"/>
  <c r="L87" i="15" s="1"/>
  <c r="N87" i="15" s="1"/>
  <c r="C8" i="15"/>
  <c r="N210" i="15"/>
  <c r="B211" i="15"/>
  <c r="C34" i="15" s="1"/>
  <c r="B222" i="15"/>
  <c r="C41" i="15" s="1"/>
  <c r="N221" i="15"/>
  <c r="N54" i="15"/>
  <c r="K54" i="15"/>
  <c r="L234" i="15"/>
  <c r="K234" i="15"/>
  <c r="J234" i="15"/>
  <c r="I234" i="15"/>
  <c r="H234" i="15"/>
  <c r="G234" i="15"/>
  <c r="F234" i="15"/>
  <c r="D234" i="15"/>
  <c r="E234" i="15"/>
  <c r="N106" i="1"/>
  <c r="L106" i="1"/>
  <c r="N210" i="1"/>
  <c r="B211" i="1"/>
  <c r="C34" i="1" s="1"/>
  <c r="E56" i="1"/>
  <c r="B222" i="1"/>
  <c r="N221" i="1"/>
  <c r="C8" i="1"/>
  <c r="H87" i="1"/>
  <c r="L87" i="1" s="1"/>
  <c r="N87" i="1" s="1"/>
  <c r="B275" i="1"/>
  <c r="K54" i="1"/>
  <c r="N54" i="1"/>
  <c r="C234" i="1"/>
  <c r="D21" i="1" s="1"/>
  <c r="B234" i="1"/>
  <c r="C21" i="1" s="1"/>
  <c r="E223" i="15" l="1"/>
  <c r="F42" i="15" s="1"/>
  <c r="D223" i="15"/>
  <c r="E42" i="15" s="1"/>
  <c r="L223" i="15"/>
  <c r="M42" i="15" s="1"/>
  <c r="J223" i="15"/>
  <c r="K42" i="15" s="1"/>
  <c r="H223" i="15"/>
  <c r="I42" i="15" s="1"/>
  <c r="M223" i="15"/>
  <c r="N42" i="15" s="1"/>
  <c r="K223" i="15"/>
  <c r="L42" i="15" s="1"/>
  <c r="I223" i="15"/>
  <c r="J42" i="15" s="1"/>
  <c r="G223" i="15"/>
  <c r="H42" i="15" s="1"/>
  <c r="F223" i="15"/>
  <c r="G42" i="15" s="1"/>
  <c r="C223" i="15"/>
  <c r="D42" i="15" s="1"/>
  <c r="M224" i="1"/>
  <c r="K224" i="1"/>
  <c r="J224" i="1"/>
  <c r="H224" i="1"/>
  <c r="G224" i="1"/>
  <c r="F224" i="1"/>
  <c r="D224" i="1"/>
  <c r="I224" i="1"/>
  <c r="L224" i="1"/>
  <c r="E224" i="1"/>
  <c r="C224" i="1"/>
  <c r="L106" i="15"/>
  <c r="N106" i="15"/>
  <c r="N211" i="15"/>
  <c r="O34" i="15" s="1"/>
  <c r="B277" i="15"/>
  <c r="K56" i="15"/>
  <c r="N56" i="15"/>
  <c r="B223" i="15"/>
  <c r="N222" i="15"/>
  <c r="O41" i="15" s="1"/>
  <c r="N234" i="15"/>
  <c r="N211" i="1"/>
  <c r="O34" i="1" s="1"/>
  <c r="B277" i="1"/>
  <c r="K56" i="1"/>
  <c r="N56" i="1"/>
  <c r="N222" i="1"/>
  <c r="O41" i="1" s="1"/>
  <c r="B223" i="1"/>
  <c r="C41" i="1"/>
  <c r="N234" i="1"/>
  <c r="O21" i="1" s="1"/>
  <c r="E57" i="15" l="1"/>
  <c r="C42" i="15"/>
  <c r="E224" i="15"/>
  <c r="D224" i="15"/>
  <c r="G224" i="15"/>
  <c r="F224" i="15"/>
  <c r="M224" i="15"/>
  <c r="L224" i="15"/>
  <c r="K224" i="15"/>
  <c r="J224" i="15"/>
  <c r="I224" i="15"/>
  <c r="H224" i="15"/>
  <c r="C224" i="15"/>
  <c r="M228" i="1"/>
  <c r="M225" i="1"/>
  <c r="N44" i="1" s="1"/>
  <c r="K228" i="1"/>
  <c r="K225" i="1"/>
  <c r="L44" i="1" s="1"/>
  <c r="J228" i="1"/>
  <c r="J225" i="1"/>
  <c r="K44" i="1" s="1"/>
  <c r="I225" i="1"/>
  <c r="J44" i="1" s="1"/>
  <c r="I228" i="1"/>
  <c r="H228" i="1"/>
  <c r="H225" i="1"/>
  <c r="I44" i="1" s="1"/>
  <c r="G225" i="1"/>
  <c r="H44" i="1" s="1"/>
  <c r="G228" i="1"/>
  <c r="L225" i="1"/>
  <c r="M44" i="1" s="1"/>
  <c r="L228" i="1"/>
  <c r="F225" i="1"/>
  <c r="G44" i="1" s="1"/>
  <c r="F228" i="1"/>
  <c r="E228" i="1"/>
  <c r="E225" i="1"/>
  <c r="F44" i="1" s="1"/>
  <c r="D228" i="1"/>
  <c r="D225" i="1"/>
  <c r="E44" i="1" s="1"/>
  <c r="C228" i="1"/>
  <c r="C225" i="1"/>
  <c r="D44" i="1" s="1"/>
  <c r="B224" i="15"/>
  <c r="N223" i="15"/>
  <c r="O42" i="15" s="1"/>
  <c r="B224" i="1"/>
  <c r="E57" i="1"/>
  <c r="N223" i="1"/>
  <c r="O42" i="1" s="1"/>
  <c r="C42" i="1"/>
  <c r="E228" i="15" l="1"/>
  <c r="D228" i="15"/>
  <c r="G228" i="15"/>
  <c r="F228" i="15"/>
  <c r="M228" i="15"/>
  <c r="L228" i="15"/>
  <c r="K228" i="15"/>
  <c r="J228" i="15"/>
  <c r="I228" i="15"/>
  <c r="H228" i="15"/>
  <c r="C228" i="15"/>
  <c r="B228" i="15"/>
  <c r="C43" i="15"/>
  <c r="E58" i="15"/>
  <c r="E225" i="15"/>
  <c r="F44" i="15" s="1"/>
  <c r="D225" i="15"/>
  <c r="E44" i="15" s="1"/>
  <c r="G225" i="15"/>
  <c r="H44" i="15" s="1"/>
  <c r="F225" i="15"/>
  <c r="G44" i="15" s="1"/>
  <c r="M225" i="15"/>
  <c r="N44" i="15" s="1"/>
  <c r="L225" i="15"/>
  <c r="M44" i="15" s="1"/>
  <c r="K225" i="15"/>
  <c r="L44" i="15" s="1"/>
  <c r="J225" i="15"/>
  <c r="K44" i="15" s="1"/>
  <c r="I225" i="15"/>
  <c r="J44" i="15" s="1"/>
  <c r="H225" i="15"/>
  <c r="I44" i="15" s="1"/>
  <c r="C225" i="15"/>
  <c r="D44" i="15" s="1"/>
  <c r="M229" i="1"/>
  <c r="M236" i="1"/>
  <c r="L229" i="1"/>
  <c r="J229" i="1"/>
  <c r="F229" i="1"/>
  <c r="H229" i="1"/>
  <c r="G229" i="1"/>
  <c r="K229" i="1"/>
  <c r="I229" i="1"/>
  <c r="E229" i="1"/>
  <c r="C229" i="1"/>
  <c r="K236" i="1"/>
  <c r="J236" i="1"/>
  <c r="I236" i="1"/>
  <c r="H236" i="1"/>
  <c r="G236" i="1"/>
  <c r="L236" i="1"/>
  <c r="F236" i="1"/>
  <c r="E236" i="1"/>
  <c r="D236" i="1"/>
  <c r="C236" i="1"/>
  <c r="D229" i="1"/>
  <c r="J88" i="15"/>
  <c r="B225" i="15"/>
  <c r="C44" i="15" s="1"/>
  <c r="N224" i="15"/>
  <c r="K57" i="15"/>
  <c r="N57" i="15"/>
  <c r="L24" i="1"/>
  <c r="K24" i="1"/>
  <c r="J24" i="1"/>
  <c r="I24" i="1"/>
  <c r="H24" i="1"/>
  <c r="M24" i="1"/>
  <c r="G24" i="1"/>
  <c r="F24" i="1"/>
  <c r="E24" i="1"/>
  <c r="D24" i="1"/>
  <c r="N24" i="1"/>
  <c r="B228" i="1"/>
  <c r="B225" i="1"/>
  <c r="C44" i="1" s="1"/>
  <c r="J88" i="1"/>
  <c r="E58" i="1"/>
  <c r="N224" i="1"/>
  <c r="N57" i="1"/>
  <c r="K57" i="1"/>
  <c r="I229" i="15" l="1"/>
  <c r="K229" i="15"/>
  <c r="G229" i="15"/>
  <c r="F229" i="15"/>
  <c r="G236" i="15"/>
  <c r="H24" i="15" s="1"/>
  <c r="F236" i="15"/>
  <c r="G24" i="15" s="1"/>
  <c r="M236" i="15"/>
  <c r="N24" i="15" s="1"/>
  <c r="L236" i="15"/>
  <c r="M24" i="15" s="1"/>
  <c r="K236" i="15"/>
  <c r="L24" i="15" s="1"/>
  <c r="J236" i="15"/>
  <c r="K24" i="15" s="1"/>
  <c r="I236" i="15"/>
  <c r="J24" i="15" s="1"/>
  <c r="H236" i="15"/>
  <c r="I24" i="15" s="1"/>
  <c r="E236" i="15"/>
  <c r="F24" i="15" s="1"/>
  <c r="D236" i="15"/>
  <c r="E24" i="15" s="1"/>
  <c r="C236" i="15"/>
  <c r="D24" i="15" s="1"/>
  <c r="H229" i="15"/>
  <c r="E229" i="15"/>
  <c r="D229" i="15"/>
  <c r="C229" i="15"/>
  <c r="M229" i="15"/>
  <c r="L229" i="15"/>
  <c r="J229" i="15"/>
  <c r="M237" i="1"/>
  <c r="M230" i="1"/>
  <c r="N49" i="1" s="1"/>
  <c r="K237" i="1"/>
  <c r="J237" i="1"/>
  <c r="I237" i="1"/>
  <c r="H237" i="1"/>
  <c r="G237" i="1"/>
  <c r="L237" i="1"/>
  <c r="F237" i="1"/>
  <c r="E237" i="1"/>
  <c r="D237" i="1"/>
  <c r="C237" i="1"/>
  <c r="L230" i="1"/>
  <c r="M49" i="1" s="1"/>
  <c r="J230" i="1"/>
  <c r="K49" i="1" s="1"/>
  <c r="F230" i="1"/>
  <c r="G49" i="1" s="1"/>
  <c r="K230" i="1"/>
  <c r="L49" i="1" s="1"/>
  <c r="I230" i="1"/>
  <c r="J49" i="1" s="1"/>
  <c r="H230" i="1"/>
  <c r="I49" i="1" s="1"/>
  <c r="G230" i="1"/>
  <c r="H49" i="1" s="1"/>
  <c r="C230" i="1"/>
  <c r="D49" i="1" s="1"/>
  <c r="E230" i="1"/>
  <c r="F49" i="1" s="1"/>
  <c r="D230" i="1"/>
  <c r="E49" i="1" s="1"/>
  <c r="N58" i="15"/>
  <c r="K58" i="15"/>
  <c r="N228" i="15"/>
  <c r="B236" i="15"/>
  <c r="N225" i="15"/>
  <c r="O44" i="15" s="1"/>
  <c r="B276" i="15"/>
  <c r="H88" i="15"/>
  <c r="L88" i="15" s="1"/>
  <c r="N88" i="15" s="1"/>
  <c r="E8" i="15"/>
  <c r="B229" i="15"/>
  <c r="B236" i="1"/>
  <c r="C24" i="1" s="1"/>
  <c r="N228" i="1"/>
  <c r="K58" i="1"/>
  <c r="N58" i="1"/>
  <c r="B276" i="1"/>
  <c r="H88" i="1"/>
  <c r="L88" i="1" s="1"/>
  <c r="N88" i="1" s="1"/>
  <c r="E8" i="1"/>
  <c r="N225" i="1"/>
  <c r="B229" i="1"/>
  <c r="E237" i="15" l="1"/>
  <c r="D237" i="15"/>
  <c r="C237" i="15"/>
  <c r="G237" i="15"/>
  <c r="I230" i="15"/>
  <c r="J49" i="15" s="1"/>
  <c r="K230" i="15"/>
  <c r="L49" i="15" s="1"/>
  <c r="G230" i="15"/>
  <c r="H49" i="15" s="1"/>
  <c r="F230" i="15"/>
  <c r="G49" i="15" s="1"/>
  <c r="F237" i="15"/>
  <c r="M237" i="15"/>
  <c r="L237" i="15"/>
  <c r="K237" i="15"/>
  <c r="J237" i="15"/>
  <c r="I237" i="15"/>
  <c r="H237" i="15"/>
  <c r="H230" i="15"/>
  <c r="I49" i="15" s="1"/>
  <c r="E230" i="15"/>
  <c r="F49" i="15" s="1"/>
  <c r="C230" i="15"/>
  <c r="D49" i="15" s="1"/>
  <c r="M230" i="15"/>
  <c r="N49" i="15" s="1"/>
  <c r="L230" i="15"/>
  <c r="M49" i="15" s="1"/>
  <c r="D230" i="15"/>
  <c r="E49" i="15" s="1"/>
  <c r="J230" i="15"/>
  <c r="K49" i="15" s="1"/>
  <c r="E59" i="15"/>
  <c r="B260" i="15"/>
  <c r="C47" i="15" s="1"/>
  <c r="C260" i="15"/>
  <c r="D47" i="15" s="1"/>
  <c r="D260" i="15"/>
  <c r="E47" i="15" s="1"/>
  <c r="E260" i="15"/>
  <c r="F47" i="15" s="1"/>
  <c r="F260" i="15"/>
  <c r="G47" i="15" s="1"/>
  <c r="G260" i="15"/>
  <c r="H47" i="15" s="1"/>
  <c r="H260" i="15"/>
  <c r="I47" i="15" s="1"/>
  <c r="I260" i="15"/>
  <c r="J47" i="15" s="1"/>
  <c r="J260" i="15"/>
  <c r="K47" i="15" s="1"/>
  <c r="K260" i="15"/>
  <c r="L47" i="15" s="1"/>
  <c r="L260" i="15"/>
  <c r="M47" i="15" s="1"/>
  <c r="M260" i="15"/>
  <c r="N47" i="15" s="1"/>
  <c r="M245" i="1"/>
  <c r="K245" i="1"/>
  <c r="J245" i="1"/>
  <c r="I245" i="1"/>
  <c r="H245" i="1"/>
  <c r="G245" i="1"/>
  <c r="L245" i="1"/>
  <c r="F245" i="1"/>
  <c r="E245" i="1"/>
  <c r="D245" i="1"/>
  <c r="C245" i="1"/>
  <c r="B237" i="15"/>
  <c r="N236" i="15"/>
  <c r="O24" i="15" s="1"/>
  <c r="G8" i="15"/>
  <c r="B230" i="15"/>
  <c r="C49" i="15" s="1"/>
  <c r="N229" i="15"/>
  <c r="L43" i="1"/>
  <c r="K43" i="1"/>
  <c r="J43" i="1"/>
  <c r="I43" i="1"/>
  <c r="H43" i="1"/>
  <c r="M43" i="1"/>
  <c r="G43" i="1"/>
  <c r="F43" i="1"/>
  <c r="E43" i="1"/>
  <c r="D43" i="1"/>
  <c r="N43" i="1"/>
  <c r="N236" i="1"/>
  <c r="O24" i="1" s="1"/>
  <c r="B237" i="1"/>
  <c r="O44" i="1"/>
  <c r="G8" i="1"/>
  <c r="B260" i="1"/>
  <c r="C47" i="1" s="1"/>
  <c r="H260" i="1"/>
  <c r="I47" i="1" s="1"/>
  <c r="N229" i="1"/>
  <c r="K260" i="1"/>
  <c r="L47" i="1" s="1"/>
  <c r="M260" i="1"/>
  <c r="N47" i="1" s="1"/>
  <c r="C260" i="1"/>
  <c r="D47" i="1" s="1"/>
  <c r="F260" i="1"/>
  <c r="G47" i="1" s="1"/>
  <c r="L260" i="1"/>
  <c r="M47" i="1" s="1"/>
  <c r="J260" i="1"/>
  <c r="K47" i="1" s="1"/>
  <c r="I260" i="1"/>
  <c r="J47" i="1" s="1"/>
  <c r="B230" i="1"/>
  <c r="C49" i="1" s="1"/>
  <c r="G260" i="1"/>
  <c r="H47" i="1" s="1"/>
  <c r="E59" i="1"/>
  <c r="D260" i="1"/>
  <c r="E47" i="1" s="1"/>
  <c r="E260" i="1"/>
  <c r="F47" i="1" s="1"/>
  <c r="E245" i="15" l="1"/>
  <c r="D245" i="15"/>
  <c r="C245" i="15"/>
  <c r="G245" i="15"/>
  <c r="F245" i="15"/>
  <c r="M245" i="15"/>
  <c r="L245" i="15"/>
  <c r="K245" i="15"/>
  <c r="J245" i="15"/>
  <c r="I245" i="15"/>
  <c r="H245" i="15"/>
  <c r="J102" i="15"/>
  <c r="B245" i="15"/>
  <c r="N237" i="15"/>
  <c r="K59" i="15"/>
  <c r="N59" i="15"/>
  <c r="N260" i="15"/>
  <c r="O47" i="15" s="1"/>
  <c r="H102" i="15"/>
  <c r="N230" i="15"/>
  <c r="O49" i="15" s="1"/>
  <c r="I8" i="15"/>
  <c r="N237" i="1"/>
  <c r="B245" i="1"/>
  <c r="J102" i="1"/>
  <c r="N230" i="1"/>
  <c r="O49" i="1" s="1"/>
  <c r="I8" i="1"/>
  <c r="N260" i="1"/>
  <c r="O47" i="1" s="1"/>
  <c r="H102" i="1"/>
  <c r="N59" i="1"/>
  <c r="K59" i="1"/>
  <c r="F43" i="15" l="1"/>
  <c r="E43" i="15"/>
  <c r="D43" i="15"/>
  <c r="H43" i="15"/>
  <c r="G43" i="15"/>
  <c r="N43" i="15"/>
  <c r="M43" i="15"/>
  <c r="L43" i="15"/>
  <c r="K43" i="15"/>
  <c r="J43" i="15"/>
  <c r="I43" i="15"/>
  <c r="J100" i="15"/>
  <c r="B247" i="15"/>
  <c r="B248" i="15" s="1"/>
  <c r="N245" i="15"/>
  <c r="L102" i="15"/>
  <c r="N102" i="15" s="1"/>
  <c r="C43" i="1"/>
  <c r="J100" i="1"/>
  <c r="N245" i="1"/>
  <c r="B247" i="1"/>
  <c r="L102" i="1"/>
  <c r="N102" i="1" s="1"/>
  <c r="O43" i="15" l="1"/>
  <c r="H100" i="15"/>
  <c r="L100" i="15" s="1"/>
  <c r="N100" i="15" s="1"/>
  <c r="C246" i="15"/>
  <c r="J89" i="15"/>
  <c r="B249" i="15"/>
  <c r="H100" i="1"/>
  <c r="L100" i="1" s="1"/>
  <c r="N100" i="1" s="1"/>
  <c r="O43" i="1"/>
  <c r="J89" i="1"/>
  <c r="C246" i="1"/>
  <c r="D45" i="1" s="1"/>
  <c r="B249" i="1"/>
  <c r="B248" i="1"/>
  <c r="B251" i="15" l="1"/>
  <c r="C20" i="15"/>
  <c r="C247" i="15"/>
  <c r="H89" i="15"/>
  <c r="L89" i="15" s="1"/>
  <c r="N89" i="15" s="1"/>
  <c r="B251" i="1"/>
  <c r="C20" i="1"/>
  <c r="C247" i="1"/>
  <c r="H89" i="1"/>
  <c r="L89" i="1" s="1"/>
  <c r="N89" i="1" s="1"/>
  <c r="C25" i="15" l="1"/>
  <c r="B255" i="15"/>
  <c r="C248" i="15"/>
  <c r="C249" i="15"/>
  <c r="D20" i="15" s="1"/>
  <c r="J90" i="15"/>
  <c r="D246" i="15"/>
  <c r="E45" i="15" s="1"/>
  <c r="C25" i="1"/>
  <c r="B255" i="1"/>
  <c r="C248" i="1"/>
  <c r="D246" i="1"/>
  <c r="E45" i="1" s="1"/>
  <c r="C249" i="1"/>
  <c r="J90" i="1"/>
  <c r="C33" i="15" l="1"/>
  <c r="B259" i="15"/>
  <c r="H75" i="15"/>
  <c r="C251" i="15"/>
  <c r="D25" i="15" s="1"/>
  <c r="D247" i="15"/>
  <c r="H90" i="15"/>
  <c r="L90" i="15" s="1"/>
  <c r="N90" i="15" s="1"/>
  <c r="C33" i="1"/>
  <c r="B259" i="1"/>
  <c r="H75" i="1"/>
  <c r="C251" i="1"/>
  <c r="D20" i="1"/>
  <c r="D247" i="1"/>
  <c r="H90" i="1"/>
  <c r="L90" i="1" s="1"/>
  <c r="N90" i="1" s="1"/>
  <c r="C259" i="15" l="1"/>
  <c r="B261" i="15"/>
  <c r="N259" i="15"/>
  <c r="O46" i="15" s="1"/>
  <c r="M259" i="15"/>
  <c r="L259" i="15"/>
  <c r="K259" i="15"/>
  <c r="J259" i="15"/>
  <c r="I259" i="15"/>
  <c r="H259" i="15"/>
  <c r="G259" i="15"/>
  <c r="F259" i="15"/>
  <c r="E259" i="15"/>
  <c r="D259" i="15"/>
  <c r="C46" i="15"/>
  <c r="D248" i="15"/>
  <c r="C255" i="15"/>
  <c r="D33" i="15" s="1"/>
  <c r="D249" i="15"/>
  <c r="E20" i="15" s="1"/>
  <c r="J91" i="15"/>
  <c r="E246" i="15"/>
  <c r="F45" i="15" s="1"/>
  <c r="I259" i="1"/>
  <c r="H259" i="1"/>
  <c r="D259" i="1"/>
  <c r="L259" i="1"/>
  <c r="C259" i="1"/>
  <c r="E259" i="1"/>
  <c r="B261" i="1"/>
  <c r="J259" i="1"/>
  <c r="F259" i="1"/>
  <c r="M259" i="1"/>
  <c r="G259" i="1"/>
  <c r="K259" i="1"/>
  <c r="N259" i="1"/>
  <c r="O46" i="1" s="1"/>
  <c r="C46" i="1"/>
  <c r="D25" i="1"/>
  <c r="C255" i="1"/>
  <c r="D248" i="1"/>
  <c r="E246" i="1"/>
  <c r="F45" i="1" s="1"/>
  <c r="D249" i="1"/>
  <c r="J91" i="1"/>
  <c r="E60" i="1"/>
  <c r="C261" i="15" l="1"/>
  <c r="D46" i="15"/>
  <c r="J75" i="15"/>
  <c r="L75" i="15" s="1"/>
  <c r="N75" i="15" s="1"/>
  <c r="B262" i="15"/>
  <c r="C50" i="15" s="1"/>
  <c r="C48" i="15"/>
  <c r="M261" i="15"/>
  <c r="N46" i="15"/>
  <c r="L261" i="15"/>
  <c r="J85" i="15" s="1"/>
  <c r="M46" i="15"/>
  <c r="K261" i="15"/>
  <c r="J84" i="15" s="1"/>
  <c r="L46" i="15"/>
  <c r="J261" i="15"/>
  <c r="J83" i="15" s="1"/>
  <c r="K46" i="15"/>
  <c r="I261" i="15"/>
  <c r="J82" i="15" s="1"/>
  <c r="J46" i="15"/>
  <c r="H261" i="15"/>
  <c r="J81" i="15" s="1"/>
  <c r="I46" i="15"/>
  <c r="G261" i="15"/>
  <c r="J80" i="15" s="1"/>
  <c r="H46" i="15"/>
  <c r="F261" i="15"/>
  <c r="J79" i="15" s="1"/>
  <c r="G46" i="15"/>
  <c r="E261" i="15"/>
  <c r="J78" i="15" s="1"/>
  <c r="F46" i="15"/>
  <c r="D261" i="15"/>
  <c r="E46" i="15"/>
  <c r="H76" i="15"/>
  <c r="D251" i="15"/>
  <c r="E25" i="15" s="1"/>
  <c r="E247" i="15"/>
  <c r="H91" i="15"/>
  <c r="L91" i="15" s="1"/>
  <c r="N91" i="15" s="1"/>
  <c r="I261" i="1"/>
  <c r="J82" i="1" s="1"/>
  <c r="J46" i="1"/>
  <c r="H261" i="1"/>
  <c r="J81" i="1" s="1"/>
  <c r="I46" i="1"/>
  <c r="D261" i="1"/>
  <c r="E46" i="1"/>
  <c r="L261" i="1"/>
  <c r="J85" i="1" s="1"/>
  <c r="M46" i="1"/>
  <c r="C261" i="1"/>
  <c r="D48" i="1" s="1"/>
  <c r="D46" i="1"/>
  <c r="E261" i="1"/>
  <c r="J78" i="1" s="1"/>
  <c r="F46" i="1"/>
  <c r="J261" i="1"/>
  <c r="J83" i="1" s="1"/>
  <c r="K46" i="1"/>
  <c r="F261" i="1"/>
  <c r="J79" i="1" s="1"/>
  <c r="G46" i="1"/>
  <c r="M261" i="1"/>
  <c r="N46" i="1"/>
  <c r="G261" i="1"/>
  <c r="J80" i="1" s="1"/>
  <c r="H46" i="1"/>
  <c r="K261" i="1"/>
  <c r="J84" i="1" s="1"/>
  <c r="L46" i="1"/>
  <c r="J75" i="1"/>
  <c r="L75" i="1" s="1"/>
  <c r="N75" i="1" s="1"/>
  <c r="B262" i="1"/>
  <c r="C50" i="1" s="1"/>
  <c r="C48" i="1"/>
  <c r="D33" i="1"/>
  <c r="H76" i="1"/>
  <c r="D251" i="1"/>
  <c r="E20" i="1"/>
  <c r="E247" i="1"/>
  <c r="H91" i="1"/>
  <c r="L91" i="1" s="1"/>
  <c r="N91" i="1" s="1"/>
  <c r="N60" i="1"/>
  <c r="K60" i="1"/>
  <c r="C262" i="15" l="1"/>
  <c r="D50" i="15" s="1"/>
  <c r="J76" i="15"/>
  <c r="L76" i="15" s="1"/>
  <c r="N76" i="15" s="1"/>
  <c r="D48" i="15"/>
  <c r="N261" i="15"/>
  <c r="J86" i="15"/>
  <c r="E48" i="15"/>
  <c r="J77" i="15"/>
  <c r="E248" i="15"/>
  <c r="F48" i="15"/>
  <c r="D255" i="15"/>
  <c r="E33" i="15" s="1"/>
  <c r="E249" i="15"/>
  <c r="F20" i="15" s="1"/>
  <c r="J92" i="15"/>
  <c r="F246" i="15"/>
  <c r="G45" i="15" s="1"/>
  <c r="C262" i="1"/>
  <c r="D50" i="1" s="1"/>
  <c r="N261" i="1"/>
  <c r="J86" i="1"/>
  <c r="J76" i="1"/>
  <c r="F48" i="1"/>
  <c r="J77" i="1"/>
  <c r="E48" i="1"/>
  <c r="E25" i="1"/>
  <c r="D255" i="1"/>
  <c r="E248" i="1"/>
  <c r="E249" i="1"/>
  <c r="F246" i="1"/>
  <c r="G45" i="1" s="1"/>
  <c r="J92" i="1"/>
  <c r="H77" i="15" l="1"/>
  <c r="L77" i="15" s="1"/>
  <c r="N77" i="15" s="1"/>
  <c r="D262" i="15"/>
  <c r="E50" i="15" s="1"/>
  <c r="E251" i="15"/>
  <c r="F25" i="15" s="1"/>
  <c r="F247" i="15"/>
  <c r="H92" i="15"/>
  <c r="L92" i="15" s="1"/>
  <c r="N92" i="15" s="1"/>
  <c r="L76" i="1"/>
  <c r="N76" i="1" s="1"/>
  <c r="E33" i="1"/>
  <c r="H77" i="1"/>
  <c r="L77" i="1" s="1"/>
  <c r="N77" i="1" s="1"/>
  <c r="D262" i="1"/>
  <c r="E50" i="1" s="1"/>
  <c r="E251" i="1"/>
  <c r="F20" i="1"/>
  <c r="F247" i="1"/>
  <c r="G48" i="1" s="1"/>
  <c r="H92" i="1"/>
  <c r="L92" i="1" s="1"/>
  <c r="N92" i="1" s="1"/>
  <c r="F248" i="15" l="1"/>
  <c r="G48" i="15"/>
  <c r="E255" i="15"/>
  <c r="F33" i="15" s="1"/>
  <c r="F249" i="15"/>
  <c r="G20" i="15" s="1"/>
  <c r="J93" i="15"/>
  <c r="G246" i="15"/>
  <c r="H45" i="15" s="1"/>
  <c r="F25" i="1"/>
  <c r="E255" i="1"/>
  <c r="F248" i="1"/>
  <c r="F249" i="1"/>
  <c r="G246" i="1"/>
  <c r="H45" i="1" s="1"/>
  <c r="J93" i="1"/>
  <c r="E262" i="15" l="1"/>
  <c r="F50" i="15" s="1"/>
  <c r="H78" i="15"/>
  <c r="L78" i="15" s="1"/>
  <c r="N78" i="15" s="1"/>
  <c r="F251" i="15"/>
  <c r="G25" i="15" s="1"/>
  <c r="G247" i="15"/>
  <c r="H93" i="15"/>
  <c r="L93" i="15" s="1"/>
  <c r="N93" i="15" s="1"/>
  <c r="F33" i="1"/>
  <c r="E262" i="1"/>
  <c r="F50" i="1" s="1"/>
  <c r="H78" i="1"/>
  <c r="L78" i="1" s="1"/>
  <c r="N78" i="1" s="1"/>
  <c r="F251" i="1"/>
  <c r="G20" i="1"/>
  <c r="H93" i="1"/>
  <c r="L93" i="1" s="1"/>
  <c r="N93" i="1" s="1"/>
  <c r="G247" i="1"/>
  <c r="H48" i="1" s="1"/>
  <c r="G248" i="15" l="1"/>
  <c r="H48" i="15"/>
  <c r="F255" i="15"/>
  <c r="G33" i="15" s="1"/>
  <c r="G249" i="15"/>
  <c r="H20" i="15" s="1"/>
  <c r="J94" i="15"/>
  <c r="H246" i="15"/>
  <c r="I45" i="15" s="1"/>
  <c r="G25" i="1"/>
  <c r="F255" i="1"/>
  <c r="G248" i="1"/>
  <c r="H246" i="1"/>
  <c r="I45" i="1" s="1"/>
  <c r="J94" i="1"/>
  <c r="G249" i="1"/>
  <c r="H79" i="15" l="1"/>
  <c r="L79" i="15" s="1"/>
  <c r="N79" i="15" s="1"/>
  <c r="F262" i="15"/>
  <c r="G50" i="15" s="1"/>
  <c r="G251" i="15"/>
  <c r="H25" i="15" s="1"/>
  <c r="H247" i="15"/>
  <c r="H94" i="15"/>
  <c r="L94" i="15" s="1"/>
  <c r="N94" i="15" s="1"/>
  <c r="G33" i="1"/>
  <c r="F262" i="1"/>
  <c r="G50" i="1" s="1"/>
  <c r="H79" i="1"/>
  <c r="L79" i="1" s="1"/>
  <c r="N79" i="1" s="1"/>
  <c r="G251" i="1"/>
  <c r="H20" i="1"/>
  <c r="H247" i="1"/>
  <c r="I48" i="1" s="1"/>
  <c r="H94" i="1"/>
  <c r="L94" i="1" s="1"/>
  <c r="N94" i="1" s="1"/>
  <c r="H248" i="15" l="1"/>
  <c r="I48" i="15"/>
  <c r="G255" i="15"/>
  <c r="H33" i="15" s="1"/>
  <c r="H249" i="15"/>
  <c r="I20" i="15" s="1"/>
  <c r="J95" i="15"/>
  <c r="I246" i="15"/>
  <c r="J45" i="15" s="1"/>
  <c r="H25" i="1"/>
  <c r="G255" i="1"/>
  <c r="H248" i="1"/>
  <c r="J95" i="1"/>
  <c r="H249" i="1"/>
  <c r="I246" i="1"/>
  <c r="J45" i="1" s="1"/>
  <c r="G262" i="15" l="1"/>
  <c r="H50" i="15" s="1"/>
  <c r="H80" i="15"/>
  <c r="L80" i="15" s="1"/>
  <c r="N80" i="15" s="1"/>
  <c r="H251" i="15"/>
  <c r="I25" i="15" s="1"/>
  <c r="I247" i="15"/>
  <c r="H95" i="15"/>
  <c r="L95" i="15" s="1"/>
  <c r="N95" i="15" s="1"/>
  <c r="H33" i="1"/>
  <c r="G262" i="1"/>
  <c r="H50" i="1" s="1"/>
  <c r="H80" i="1"/>
  <c r="L80" i="1" s="1"/>
  <c r="N80" i="1" s="1"/>
  <c r="H251" i="1"/>
  <c r="I20" i="1"/>
  <c r="H95" i="1"/>
  <c r="L95" i="1" s="1"/>
  <c r="N95" i="1" s="1"/>
  <c r="I247" i="1"/>
  <c r="J48" i="1" s="1"/>
  <c r="I248" i="15" l="1"/>
  <c r="J48" i="15"/>
  <c r="H255" i="15"/>
  <c r="I33" i="15" s="1"/>
  <c r="I249" i="15"/>
  <c r="J20" i="15" s="1"/>
  <c r="J96" i="15"/>
  <c r="J246" i="15"/>
  <c r="K45" i="15" s="1"/>
  <c r="I25" i="1"/>
  <c r="H255" i="1"/>
  <c r="I248" i="1"/>
  <c r="I249" i="1"/>
  <c r="J96" i="1"/>
  <c r="J246" i="1"/>
  <c r="K45" i="1" s="1"/>
  <c r="H81" i="15" l="1"/>
  <c r="L81" i="15" s="1"/>
  <c r="N81" i="15" s="1"/>
  <c r="H262" i="15"/>
  <c r="I50" i="15" s="1"/>
  <c r="I251" i="15"/>
  <c r="J25" i="15" s="1"/>
  <c r="J247" i="15"/>
  <c r="H96" i="15"/>
  <c r="L96" i="15" s="1"/>
  <c r="N96" i="15" s="1"/>
  <c r="I33" i="1"/>
  <c r="H262" i="1"/>
  <c r="I50" i="1" s="1"/>
  <c r="H81" i="1"/>
  <c r="L81" i="1" s="1"/>
  <c r="N81" i="1" s="1"/>
  <c r="I251" i="1"/>
  <c r="J20" i="1"/>
  <c r="H96" i="1"/>
  <c r="L96" i="1" s="1"/>
  <c r="N96" i="1" s="1"/>
  <c r="J247" i="1"/>
  <c r="K48" i="1" s="1"/>
  <c r="J248" i="15" l="1"/>
  <c r="K48" i="15"/>
  <c r="I255" i="15"/>
  <c r="J33" i="15" s="1"/>
  <c r="J249" i="15"/>
  <c r="K20" i="15" s="1"/>
  <c r="J97" i="15"/>
  <c r="K246" i="15"/>
  <c r="L45" i="15" s="1"/>
  <c r="J25" i="1"/>
  <c r="I255" i="1"/>
  <c r="J248" i="1"/>
  <c r="K246" i="1"/>
  <c r="L45" i="1" s="1"/>
  <c r="J249" i="1"/>
  <c r="J97" i="1"/>
  <c r="I262" i="15" l="1"/>
  <c r="J50" i="15" s="1"/>
  <c r="H82" i="15"/>
  <c r="L82" i="15" s="1"/>
  <c r="N82" i="15" s="1"/>
  <c r="J251" i="15"/>
  <c r="K25" i="15" s="1"/>
  <c r="K247" i="15"/>
  <c r="H97" i="15"/>
  <c r="L97" i="15" s="1"/>
  <c r="N97" i="15" s="1"/>
  <c r="J33" i="1"/>
  <c r="I262" i="1"/>
  <c r="J50" i="1" s="1"/>
  <c r="H82" i="1"/>
  <c r="L82" i="1" s="1"/>
  <c r="N82" i="1" s="1"/>
  <c r="J251" i="1"/>
  <c r="K20" i="1"/>
  <c r="K247" i="1"/>
  <c r="L48" i="1" s="1"/>
  <c r="H97" i="1"/>
  <c r="L97" i="1" s="1"/>
  <c r="N97" i="1" s="1"/>
  <c r="K248" i="15" l="1"/>
  <c r="L48" i="15"/>
  <c r="J255" i="15"/>
  <c r="K33" i="15" s="1"/>
  <c r="K249" i="15"/>
  <c r="L20" i="15" s="1"/>
  <c r="J98" i="15"/>
  <c r="L246" i="15"/>
  <c r="M45" i="15" s="1"/>
  <c r="K25" i="1"/>
  <c r="J255" i="1"/>
  <c r="J98" i="1"/>
  <c r="L246" i="1"/>
  <c r="M45" i="1" s="1"/>
  <c r="K249" i="1"/>
  <c r="K248" i="1"/>
  <c r="J262" i="15" l="1"/>
  <c r="K50" i="15" s="1"/>
  <c r="H83" i="15"/>
  <c r="L83" i="15" s="1"/>
  <c r="N83" i="15" s="1"/>
  <c r="K251" i="15"/>
  <c r="L25" i="15" s="1"/>
  <c r="L247" i="15"/>
  <c r="H98" i="15"/>
  <c r="L98" i="15" s="1"/>
  <c r="N98" i="15" s="1"/>
  <c r="K33" i="1"/>
  <c r="J262" i="1"/>
  <c r="K50" i="1" s="1"/>
  <c r="H83" i="1"/>
  <c r="L83" i="1" s="1"/>
  <c r="N83" i="1" s="1"/>
  <c r="K251" i="1"/>
  <c r="L20" i="1"/>
  <c r="H98" i="1"/>
  <c r="L98" i="1" s="1"/>
  <c r="N98" i="1" s="1"/>
  <c r="L247" i="1"/>
  <c r="M48" i="1" s="1"/>
  <c r="L248" i="15" l="1"/>
  <c r="M48" i="15"/>
  <c r="K255" i="15"/>
  <c r="L33" i="15" s="1"/>
  <c r="L249" i="15"/>
  <c r="M20" i="15" s="1"/>
  <c r="J99" i="15"/>
  <c r="M246" i="15"/>
  <c r="N45" i="15" s="1"/>
  <c r="L25" i="1"/>
  <c r="K255" i="1"/>
  <c r="L248" i="1"/>
  <c r="M246" i="1"/>
  <c r="N45" i="1" s="1"/>
  <c r="L249" i="1"/>
  <c r="J99" i="1"/>
  <c r="K262" i="15" l="1"/>
  <c r="L50" i="15" s="1"/>
  <c r="H84" i="15"/>
  <c r="L84" i="15" s="1"/>
  <c r="N84" i="15" s="1"/>
  <c r="L251" i="15"/>
  <c r="M25" i="15" s="1"/>
  <c r="M247" i="15"/>
  <c r="H99" i="15"/>
  <c r="L99" i="15" s="1"/>
  <c r="N99" i="15" s="1"/>
  <c r="L33" i="1"/>
  <c r="K262" i="1"/>
  <c r="L50" i="1" s="1"/>
  <c r="H84" i="1"/>
  <c r="L84" i="1" s="1"/>
  <c r="N84" i="1" s="1"/>
  <c r="L251" i="1"/>
  <c r="M20" i="1"/>
  <c r="H99" i="1"/>
  <c r="L99" i="1" s="1"/>
  <c r="N99" i="1" s="1"/>
  <c r="M247" i="1"/>
  <c r="N48" i="1" s="1"/>
  <c r="M248" i="15" l="1"/>
  <c r="N48" i="15"/>
  <c r="L255" i="15"/>
  <c r="M33" i="15" s="1"/>
  <c r="B273" i="15"/>
  <c r="B274" i="15"/>
  <c r="N247" i="15"/>
  <c r="O48" i="15" s="1"/>
  <c r="M249" i="15"/>
  <c r="N20" i="15" s="1"/>
  <c r="M25" i="1"/>
  <c r="L255" i="1"/>
  <c r="M248" i="1"/>
  <c r="B273" i="1"/>
  <c r="B274" i="1"/>
  <c r="N247" i="1"/>
  <c r="M249" i="1"/>
  <c r="N20" i="1" s="1"/>
  <c r="L262" i="15" l="1"/>
  <c r="M50" i="15" s="1"/>
  <c r="H85" i="15"/>
  <c r="L85" i="15" s="1"/>
  <c r="N85" i="15" s="1"/>
  <c r="N248" i="15"/>
  <c r="K8" i="15"/>
  <c r="O8" i="15"/>
  <c r="N249" i="15"/>
  <c r="O20" i="15" s="1"/>
  <c r="M251" i="15"/>
  <c r="N25" i="15" s="1"/>
  <c r="M33" i="1"/>
  <c r="L262" i="1"/>
  <c r="M50" i="1" s="1"/>
  <c r="H85" i="1"/>
  <c r="L85" i="1" s="1"/>
  <c r="N85" i="1" s="1"/>
  <c r="N248" i="1"/>
  <c r="K8" i="1"/>
  <c r="O48" i="1"/>
  <c r="O8" i="1"/>
  <c r="M251" i="1"/>
  <c r="N25" i="1" s="1"/>
  <c r="N249" i="1"/>
  <c r="O20" i="1" s="1"/>
  <c r="N251" i="15" l="1"/>
  <c r="O25" i="15" s="1"/>
  <c r="M255" i="15"/>
  <c r="N33" i="15" s="1"/>
  <c r="M255" i="1"/>
  <c r="N33" i="1" s="1"/>
  <c r="N251" i="1"/>
  <c r="O25" i="1" s="1"/>
  <c r="N255" i="15" l="1"/>
  <c r="O33" i="15" s="1"/>
  <c r="M262" i="15"/>
  <c r="N50" i="15" s="1"/>
  <c r="H86" i="15"/>
  <c r="L86" i="15" s="1"/>
  <c r="N86" i="15" s="1"/>
  <c r="L73" i="15" s="1"/>
  <c r="M262" i="1"/>
  <c r="H86" i="1"/>
  <c r="L86" i="1" s="1"/>
  <c r="N86" i="1" s="1"/>
  <c r="L73" i="1" s="1"/>
  <c r="N255" i="1"/>
  <c r="O33" i="1" s="1"/>
  <c r="N262" i="15" l="1"/>
  <c r="O50" i="15" s="1"/>
  <c r="N262" i="1"/>
  <c r="O50" i="1" s="1"/>
  <c r="N5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<sst xmlns="http://schemas.openxmlformats.org/spreadsheetml/2006/main" count="5315" uniqueCount="704">
  <si>
    <t>Annual Operating Plan</t>
  </si>
  <si>
    <t>SCENARIO</t>
  </si>
  <si>
    <t>Base</t>
  </si>
  <si>
    <t>VIEW</t>
  </si>
  <si>
    <t>Built by Infraxus, infraxus.com · free to use, no attribution required</t>
  </si>
  <si>
    <t>LEGEND</t>
  </si>
  <si>
    <t>Input</t>
  </si>
  <si>
    <t>Formula</t>
  </si>
  <si>
    <t>ANNUAL REVENUE</t>
  </si>
  <si>
    <t>ANNUAL EBITDA</t>
  </si>
  <si>
    <t>EBITDA %</t>
  </si>
  <si>
    <t>NET PROFIT</t>
  </si>
  <si>
    <t>YEAR-END CASH</t>
  </si>
  <si>
    <t>SCENARIO COMPARISON · ANNUAL</t>
  </si>
  <si>
    <t>Base · Downside · Upside · driver-multiplier resolved</t>
  </si>
  <si>
    <t>Metric</t>
  </si>
  <si>
    <t>Downside</t>
  </si>
  <si>
    <t>Upside</t>
  </si>
  <si>
    <t>Annual revenue</t>
  </si>
  <si>
    <t>Annual EBITDA</t>
  </si>
  <si>
    <t>Year-end cash</t>
  </si>
  <si>
    <t>Line</t>
  </si>
  <si>
    <t>ANNUAL</t>
  </si>
  <si>
    <t>PLAN vs ACTUAL · YTD</t>
  </si>
  <si>
    <t>Enter monthly actuals on Inputs sheet · variance = actual − plan</t>
  </si>
  <si>
    <t>Plan YTD</t>
  </si>
  <si>
    <t>Actual YTD</t>
  </si>
  <si>
    <t>Variance $</t>
  </si>
  <si>
    <t>Variance %</t>
  </si>
  <si>
    <t>Revenue</t>
  </si>
  <si>
    <t>Direct cost</t>
  </si>
  <si>
    <t>Gross profit</t>
  </si>
  <si>
    <t>Operating expenses</t>
  </si>
  <si>
    <t>EBITDA</t>
  </si>
  <si>
    <t>Net profit</t>
  </si>
  <si>
    <t>Closing cash (last month YTD)</t>
  </si>
  <si>
    <t>Status</t>
  </si>
  <si>
    <t>CAPACITY REASONABLENESS</t>
  </si>
  <si>
    <t>Revenue plan vs billable delivery capacity · flag only, not a pass/fail check</t>
  </si>
  <si>
    <t>Capacity-backed revenue plan vs billable capacity</t>
  </si>
  <si>
    <t>RECONCILIATION · INTEGRITY CHECKS</t>
  </si>
  <si>
    <t>MASTER</t>
  </si>
  <si>
    <t>Check</t>
  </si>
  <si>
    <t>LHS</t>
  </si>
  <si>
    <t>RHS</t>
  </si>
  <si>
    <t>Δ</t>
  </si>
  <si>
    <t>Balance sheet ties · M1</t>
  </si>
  <si>
    <t>Balance sheet ties · M2</t>
  </si>
  <si>
    <t>Balance sheet ties · M3</t>
  </si>
  <si>
    <t>Balance sheet ties · M4</t>
  </si>
  <si>
    <t>Balance sheet ties · M5</t>
  </si>
  <si>
    <t>Balance sheet ties · M6</t>
  </si>
  <si>
    <t>Balance sheet ties · M7</t>
  </si>
  <si>
    <t>Balance sheet ties · M8</t>
  </si>
  <si>
    <t>Balance sheet ties · M9</t>
  </si>
  <si>
    <t>Balance sheet ties · M10</t>
  </si>
  <si>
    <t>Balance sheet ties · M11</t>
  </si>
  <si>
    <t>Balance sheet ties · M12</t>
  </si>
  <si>
    <t>Annual revenue = sum monthly</t>
  </si>
  <si>
    <t>Annual EBITDA = sum monthly</t>
  </si>
  <si>
    <t>Cash continuity M2 = closing M1</t>
  </si>
  <si>
    <t>Cash continuity M3 = closing M2</t>
  </si>
  <si>
    <t>Cash continuity M4 = closing M3</t>
  </si>
  <si>
    <t>Cash continuity M5 = closing M4</t>
  </si>
  <si>
    <t>Cash continuity M6 = closing M5</t>
  </si>
  <si>
    <t>Cash continuity M7 = closing M6</t>
  </si>
  <si>
    <t>Cash continuity M8 = closing M7</t>
  </si>
  <si>
    <t>Cash continuity M9 = closing M8</t>
  </si>
  <si>
    <t>Cash continuity M10 = closing M9</t>
  </si>
  <si>
    <t>Cash continuity M11 = closing M10</t>
  </si>
  <si>
    <t>Cash continuity M12 = closing M11</t>
  </si>
  <si>
    <t>Annual net change = Op CF + Inv CF + Fin CF</t>
  </si>
  <si>
    <t>Roster delivery payroll · annual sum</t>
  </si>
  <si>
    <t>BS retained earnings = cum net profit − distributions (annual)</t>
  </si>
  <si>
    <t>Region valid (AU / NZ / US)</t>
  </si>
  <si>
    <t>Scenario valid (Base / Downside / Upside)</t>
  </si>
  <si>
    <t>View valid (P&amp;L / Cash Flow / Balance Sheet)</t>
  </si>
  <si>
    <t>BS AR closing &gt;= 0 (M12)</t>
  </si>
  <si>
    <t>BS AP closing &gt;= 0 (M12)</t>
  </si>
  <si>
    <t>BS debt &gt;= 0 · M1</t>
  </si>
  <si>
    <t>BS debt &gt;= 0 · M6</t>
  </si>
  <si>
    <t>BS debt &gt;= 0 · M12</t>
  </si>
  <si>
    <t>Infraxus, operator finance · infraxus.com</t>
  </si>
  <si>
    <t>Annual_Operating_Plan.xlsx · Plan sheet</t>
  </si>
  <si>
    <t>Scenario rev multiplier</t>
  </si>
  <si>
    <t>Scenario util multiplier</t>
  </si>
  <si>
    <t>Scenario cost multiplier</t>
  </si>
  <si>
    <t>Revenue SL1</t>
  </si>
  <si>
    <t>Revenue SL2</t>
  </si>
  <si>
    <t>Revenue SL3</t>
  </si>
  <si>
    <t>Revenue SL4</t>
  </si>
  <si>
    <t>Revenue SL5</t>
  </si>
  <si>
    <t>Total revenue</t>
  </si>
  <si>
    <t>Delivery payroll</t>
  </si>
  <si>
    <t>DC contractors</t>
  </si>
  <si>
    <t>DC tools</t>
  </si>
  <si>
    <t>DC passthrough</t>
  </si>
  <si>
    <t>DC other_dc</t>
  </si>
  <si>
    <t>Total direct cost</t>
  </si>
  <si>
    <t>Gross margin %</t>
  </si>
  <si>
    <t>Overhead payroll</t>
  </si>
  <si>
    <t>OpEx rent</t>
  </si>
  <si>
    <t>OpEx software</t>
  </si>
  <si>
    <t>OpEx sales_mktg</t>
  </si>
  <si>
    <t>OpEx prof_fees</t>
  </si>
  <si>
    <t>OpEx insurance</t>
  </si>
  <si>
    <t>OpEx travel</t>
  </si>
  <si>
    <t>OpEx comms</t>
  </si>
  <si>
    <t>OpEx other_ox</t>
  </si>
  <si>
    <t>Sales commissions</t>
  </si>
  <si>
    <t>OpEx other bundle</t>
  </si>
  <si>
    <t>Total OpEx</t>
  </si>
  <si>
    <t>D&amp;A</t>
  </si>
  <si>
    <t>Interest expense</t>
  </si>
  <si>
    <t>Tax expense</t>
  </si>
  <si>
    <t>Net profit %</t>
  </si>
  <si>
    <t>Closing FTE</t>
  </si>
  <si>
    <t>AR (closing)</t>
  </si>
  <si>
    <t>AP (closing)</t>
  </si>
  <si>
    <t>−Δ AR</t>
  </si>
  <si>
    <t>+Δ AP</t>
  </si>
  <si>
    <t>Tax paid (cash)</t>
  </si>
  <si>
    <t>Operating CF</t>
  </si>
  <si>
    <t>−Capex</t>
  </si>
  <si>
    <t>Investing CF</t>
  </si>
  <si>
    <t>Debt drawdowns</t>
  </si>
  <si>
    <t>−Debt repay</t>
  </si>
  <si>
    <t>−Distributions</t>
  </si>
  <si>
    <t>−Interest paid</t>
  </si>
  <si>
    <t>Financing CF</t>
  </si>
  <si>
    <t>Net change in cash</t>
  </si>
  <si>
    <t>Opening cash</t>
  </si>
  <si>
    <t>Closing cash</t>
  </si>
  <si>
    <t>Months below buffer (YTD)</t>
  </si>
  <si>
    <t>BS cash</t>
  </si>
  <si>
    <t>BS other CA</t>
  </si>
  <si>
    <t>BS total CA</t>
  </si>
  <si>
    <t>BS PPE cost</t>
  </si>
  <si>
    <t>BS accum D&amp;A</t>
  </si>
  <si>
    <t>BS net FA</t>
  </si>
  <si>
    <t>BS total assets</t>
  </si>
  <si>
    <t>BS tax payable</t>
  </si>
  <si>
    <t>BS debt</t>
  </si>
  <si>
    <t>BS total liab</t>
  </si>
  <si>
    <t>BS paid-in</t>
  </si>
  <si>
    <t>BS retained earnings</t>
  </si>
  <si>
    <t>BS total L+E</t>
  </si>
  <si>
    <t>BS check (Δ)</t>
  </si>
  <si>
    <t>scn_rev_base_ann</t>
  </si>
  <si>
    <t>scn_ebitda_base_ann</t>
  </si>
  <si>
    <t>scn_cash_base_ann</t>
  </si>
  <si>
    <t>scn_rev_downside_ann</t>
  </si>
  <si>
    <t>scn_ebitda_downside_ann</t>
  </si>
  <si>
    <t>scn_cash_downside_ann</t>
  </si>
  <si>
    <t>scn_rev_upside_ann</t>
  </si>
  <si>
    <t>scn_ebitda_upside_ann</t>
  </si>
  <si>
    <t>scn_cash_upside_ann</t>
  </si>
  <si>
    <t>peak_fte</t>
  </si>
  <si>
    <t>min_cash_month_idx</t>
  </si>
  <si>
    <t>min_cash_value</t>
  </si>
  <si>
    <t>plan_rpe</t>
  </si>
  <si>
    <t>plan_ebitda_pct</t>
  </si>
  <si>
    <t>plan_gm_pct</t>
  </si>
  <si>
    <t>plan_util</t>
  </si>
  <si>
    <t>bench_rpe</t>
  </si>
  <si>
    <t>bench_ebitda_pct</t>
  </si>
  <si>
    <t>bench_gm_pct</t>
  </si>
  <si>
    <t>bench_util</t>
  </si>
  <si>
    <t>Category</t>
  </si>
  <si>
    <t>Base salary</t>
  </si>
  <si>
    <t>On-cost %</t>
  </si>
  <si>
    <t>Notes</t>
  </si>
  <si>
    <t>M1</t>
  </si>
  <si>
    <t>M2</t>
  </si>
  <si>
    <t>M3</t>
  </si>
  <si>
    <t>M4</t>
  </si>
  <si>
    <t>M5</t>
  </si>
  <si>
    <t>M6</t>
  </si>
  <si>
    <t>M7</t>
  </si>
  <si>
    <t>M8</t>
  </si>
  <si>
    <t>M9</t>
  </si>
  <si>
    <t>M10</t>
  </si>
  <si>
    <t>M11</t>
  </si>
  <si>
    <t>M12</t>
  </si>
  <si>
    <t>Annual</t>
  </si>
  <si>
    <t>Role</t>
  </si>
  <si>
    <t>Total</t>
  </si>
  <si>
    <t>Name</t>
  </si>
  <si>
    <t>Dept</t>
  </si>
  <si>
    <t>Jurisdiction</t>
  </si>
  <si>
    <t>FTE</t>
  </si>
  <si>
    <t>Class</t>
  </si>
  <si>
    <t>Chg hrs/day</t>
  </si>
  <si>
    <t>Util %</t>
  </si>
  <si>
    <t>Rate $/hr</t>
  </si>
  <si>
    <t>Start mo</t>
  </si>
  <si>
    <t>End mo</t>
  </si>
  <si>
    <t>AU-NSW</t>
  </si>
  <si>
    <t>Delivery</t>
  </si>
  <si>
    <t>AU-VIC</t>
  </si>
  <si>
    <t>Philippines</t>
  </si>
  <si>
    <t>India-National</t>
  </si>
  <si>
    <t>AU-QLD</t>
  </si>
  <si>
    <t>NZ-Auckland</t>
  </si>
  <si>
    <t>SriLanka</t>
  </si>
  <si>
    <t>Item / description</t>
  </si>
  <si>
    <t>P&amp;L line</t>
  </si>
  <si>
    <t>Timing</t>
  </si>
  <si>
    <t>Anchor mo</t>
  </si>
  <si>
    <t>Vendor</t>
  </si>
  <si>
    <t>Monthly</t>
  </si>
  <si>
    <t>Insurance</t>
  </si>
  <si>
    <t>Sales &amp; marketing</t>
  </si>
  <si>
    <t>Professional fees</t>
  </si>
  <si>
    <t>Travel &amp; entertainment</t>
  </si>
  <si>
    <t>Travel</t>
  </si>
  <si>
    <t>Quarterly</t>
  </si>
  <si>
    <t>AU</t>
  </si>
  <si>
    <t>Business name</t>
  </si>
  <si>
    <t>Plan year label</t>
  </si>
  <si>
    <t>FY2026-27</t>
  </si>
  <si>
    <t>Prior year revenue</t>
  </si>
  <si>
    <t>Prior year EBITDA</t>
  </si>
  <si>
    <t>Opening cash balance</t>
  </si>
  <si>
    <t>Minimum cash buffer</t>
  </si>
  <si>
    <t>P&amp;L</t>
  </si>
  <si>
    <t>Revenue multiplier</t>
  </si>
  <si>
    <t>Cost multiplier</t>
  </si>
  <si>
    <t>Payroll tax</t>
  </si>
  <si>
    <t>Workers comp</t>
  </si>
  <si>
    <t>NZ</t>
  </si>
  <si>
    <t>US</t>
  </si>
  <si>
    <t>Retainer revenue</t>
  </si>
  <si>
    <t>Project revenue</t>
  </si>
  <si>
    <t>Strategy / advisory</t>
  </si>
  <si>
    <t>Opening accounts receivable</t>
  </si>
  <si>
    <t>Opening accounts payable</t>
  </si>
  <si>
    <t>Opening fixed assets (net)</t>
  </si>
  <si>
    <t>Actual revenue</t>
  </si>
  <si>
    <t>Actual operating expenses</t>
  </si>
  <si>
    <t>Actual EBITDA</t>
  </si>
  <si>
    <t>Actual net profit</t>
  </si>
  <si>
    <t>Actual closing cash</t>
  </si>
  <si>
    <t>Annual_Operating_Plan.xlsx</t>
  </si>
  <si>
    <t>Bill rate</t>
  </si>
  <si>
    <t>Ramp mo</t>
  </si>
  <si>
    <t>Overhead</t>
  </si>
  <si>
    <t>INFRAXUS · ANNUAL OPERATING PLAN · CALENDAR (HEAD OF DATA)</t>
  </si>
  <si>
    <t>Working days by jurisdiction · drives bottom-up capacity · refresh holidays annually</t>
  </si>
  <si>
    <t>Plan start · first month (M1)</t>
  </si>
  <si>
    <t>Month index</t>
  </si>
  <si>
    <t>Month start</t>
  </si>
  <si>
    <t>Month key</t>
  </si>
  <si>
    <t>ACTIVE-FY WORKING DAYS · by jurisdiction (auto)</t>
  </si>
  <si>
    <t>AU-WA</t>
  </si>
  <si>
    <t>AU-SA</t>
  </si>
  <si>
    <t>AU-TAS</t>
  </si>
  <si>
    <t>AU-ACT</t>
  </si>
  <si>
    <t>AU-NT</t>
  </si>
  <si>
    <t>NZ-National</t>
  </si>
  <si>
    <t>NZ-Wellington</t>
  </si>
  <si>
    <t>NZ-Canterbury</t>
  </si>
  <si>
    <t>NZ-Otago</t>
  </si>
  <si>
    <t>US-Federal</t>
  </si>
  <si>
    <t>US-CA</t>
  </si>
  <si>
    <t>US-NY</t>
  </si>
  <si>
    <t>US-TX</t>
  </si>
  <si>
    <t>US-MA</t>
  </si>
  <si>
    <t>US-IL</t>
  </si>
  <si>
    <t>Vietnam</t>
  </si>
  <si>
    <t>SouthAfrica</t>
  </si>
  <si>
    <t>Poland</t>
  </si>
  <si>
    <t>UK-England</t>
  </si>
  <si>
    <t>Canada-ON</t>
  </si>
  <si>
    <t>WORKING-DAYS LOOKUP · pre-computed 2025–2030 (do not edit)</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</si>
  <si>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</si>
  <si>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</si>
  <si>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</si>
  <si>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</si>
  <si>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</si>
  <si>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</si>
  <si>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</si>
  <si>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</si>
  <si>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</si>
  <si>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</si>
  <si>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</si>
  <si>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</si>
  <si>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</si>
  <si>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</si>
  <si>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</si>
  <si>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</si>
  <si>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</si>
  <si>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</si>
  <si>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</si>
  <si>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</si>
  <si>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2026-09</t>
  </si>
  <si>
    <t>2026-10</t>
  </si>
  <si>
    <t>2026-11</t>
  </si>
  <si>
    <t>2026-12</t>
  </si>
  <si>
    <t>2027-01</t>
  </si>
  <si>
    <t>2027-02</t>
  </si>
  <si>
    <t>2027-03</t>
  </si>
  <si>
    <t>2027-04</t>
  </si>
  <si>
    <t>2027-05</t>
  </si>
  <si>
    <t>2027-06</t>
  </si>
  <si>
    <t>2027-07</t>
  </si>
  <si>
    <t>2027-08</t>
  </si>
  <si>
    <t>2027-09</t>
  </si>
  <si>
    <t>2027-10</t>
  </si>
  <si>
    <t>2027-11</t>
  </si>
  <si>
    <t>2027-12</t>
  </si>
  <si>
    <t>2028-01</t>
  </si>
  <si>
    <t>2028-02</t>
  </si>
  <si>
    <t>2028-03</t>
  </si>
  <si>
    <t>2028-04</t>
  </si>
  <si>
    <t>2028-05</t>
  </si>
  <si>
    <t>2028-06</t>
  </si>
  <si>
    <t>2028-07</t>
  </si>
  <si>
    <t>2028-08</t>
  </si>
  <si>
    <t>2028-09</t>
  </si>
  <si>
    <t>2028-10</t>
  </si>
  <si>
    <t>2028-11</t>
  </si>
  <si>
    <t>2028-12</t>
  </si>
  <si>
    <t>2029-01</t>
  </si>
  <si>
    <t>2029-02</t>
  </si>
  <si>
    <t>2029-03</t>
  </si>
  <si>
    <t>2029-04</t>
  </si>
  <si>
    <t>2029-05</t>
  </si>
  <si>
    <t>2029-06</t>
  </si>
  <si>
    <t>2029-07</t>
  </si>
  <si>
    <t>2029-08</t>
  </si>
  <si>
    <t>2029-09</t>
  </si>
  <si>
    <t>2029-10</t>
  </si>
  <si>
    <t>2029-11</t>
  </si>
  <si>
    <t>2029-12</t>
  </si>
  <si>
    <t>2030-01</t>
  </si>
  <si>
    <t>2030-02</t>
  </si>
  <si>
    <t>2030-03</t>
  </si>
  <si>
    <t>2030-04</t>
  </si>
  <si>
    <t>2030-05</t>
  </si>
  <si>
    <t>2030-06</t>
  </si>
  <si>
    <t>2030-07</t>
  </si>
  <si>
    <t>2030-08</t>
  </si>
  <si>
    <t>2030-09</t>
  </si>
  <si>
    <t>2030-10</t>
  </si>
  <si>
    <t>2030-11</t>
  </si>
  <si>
    <t>2030-12</t>
  </si>
  <si>
    <t>PUBLIC HOLIDAYS · head of data · refresh annually</t>
  </si>
  <si>
    <t>Date</t>
  </si>
  <si>
    <t>Holiday</t>
  </si>
  <si>
    <t>New Year's Day</t>
  </si>
  <si>
    <t>Australia Day</t>
  </si>
  <si>
    <t>Good Friday</t>
  </si>
  <si>
    <t>Easter Saturday</t>
  </si>
  <si>
    <t>Easter Sunday</t>
  </si>
  <si>
    <t>Easter Monday</t>
  </si>
  <si>
    <t>ANZAC Day</t>
  </si>
  <si>
    <t>King's Birthday</t>
  </si>
  <si>
    <t>Labor Day</t>
  </si>
  <si>
    <t>Christmas Day</t>
  </si>
  <si>
    <t>Boxing Day</t>
  </si>
  <si>
    <t>ANZAC Day (observed)</t>
  </si>
  <si>
    <t>Boxing Day (observed)</t>
  </si>
  <si>
    <t>Christmas Day (observed)</t>
  </si>
  <si>
    <t>New Year's Day (observed)</t>
  </si>
  <si>
    <t>Grand Final Day</t>
  </si>
  <si>
    <t>Melbourne Cup Day</t>
  </si>
  <si>
    <t>The Royal Queensland Show</t>
  </si>
  <si>
    <t>Western Australia Day</t>
  </si>
  <si>
    <t>Adelaide Cup Day</t>
  </si>
  <si>
    <t>Proclamation Day</t>
  </si>
  <si>
    <t>Proclamation Day (observed)</t>
  </si>
  <si>
    <t>Eight Hours Day</t>
  </si>
  <si>
    <t>Canberra Day</t>
  </si>
  <si>
    <t>Reconciliation Day</t>
  </si>
  <si>
    <t>May Day</t>
  </si>
  <si>
    <t>Picnic Day</t>
  </si>
  <si>
    <t>Day after New Year's Day</t>
  </si>
  <si>
    <t>Waitangi Day</t>
  </si>
  <si>
    <t>Anzac Day</t>
  </si>
  <si>
    <t>Matariki</t>
  </si>
  <si>
    <t>Labour Day</t>
  </si>
  <si>
    <t>Anzac Day (observed)</t>
  </si>
  <si>
    <t>Day after New Year's Day (observed)</t>
  </si>
  <si>
    <t>Waitangi Day (observed)</t>
  </si>
  <si>
    <t>Auckland Anniversary Day</t>
  </si>
  <si>
    <t>Wellington Anniversary Day</t>
  </si>
  <si>
    <t>Canterbury Anniversary Day</t>
  </si>
  <si>
    <t>Otago Anniversary Day</t>
  </si>
  <si>
    <t>Martin Luther King Jr. Day</t>
  </si>
  <si>
    <t>Washington's Birthday</t>
  </si>
  <si>
    <t>Memorial Day</t>
  </si>
  <si>
    <t>Juneteenth National Independence Day</t>
  </si>
  <si>
    <t>Independence Day</t>
  </si>
  <si>
    <t>Columbus Day</t>
  </si>
  <si>
    <t>Veterans Day</t>
  </si>
  <si>
    <t>Thanksgiving Day</t>
  </si>
  <si>
    <t>Independence Day (observed)</t>
  </si>
  <si>
    <t>Juneteenth National Independence Day (observed)</t>
  </si>
  <si>
    <t>Veterans Day (observed)</t>
  </si>
  <si>
    <t>Susan B. Anthony Day</t>
  </si>
  <si>
    <t>Presidents' Day</t>
  </si>
  <si>
    <t>Cesar Chavez Day</t>
  </si>
  <si>
    <t>Day After Thanksgiving</t>
  </si>
  <si>
    <t>Diwali</t>
  </si>
  <si>
    <t>Presidents' Day; Susan B. Anthony Day</t>
  </si>
  <si>
    <t>Cesar Chavez Day (observed)</t>
  </si>
  <si>
    <t>Lincoln's Birthday</t>
  </si>
  <si>
    <t>Election Day</t>
  </si>
  <si>
    <t>Susan B. Anthony Day; Washington's Birthday</t>
  </si>
  <si>
    <t>Lincoln's Birthday (observed)</t>
  </si>
  <si>
    <t>Confederate Memorial Day</t>
  </si>
  <si>
    <t>Texas Independence Day</t>
  </si>
  <si>
    <t>San Jacinto Day</t>
  </si>
  <si>
    <t>Emancipation Day In Texas; Juneteenth National Independence Day</t>
  </si>
  <si>
    <t>Lyndon Baines Johnson Day</t>
  </si>
  <si>
    <t>Friday After Thanksgiving</t>
  </si>
  <si>
    <t>Christmas Eve</t>
  </si>
  <si>
    <t>Day After Christmas</t>
  </si>
  <si>
    <t>Confederate Memorial Day; Martin Luther King Jr. Day</t>
  </si>
  <si>
    <t>Christmas Eve (observed)</t>
  </si>
  <si>
    <t>Christmas Day (observed); Christmas Eve</t>
  </si>
  <si>
    <t>Patriots' Day</t>
  </si>
  <si>
    <t>Casimir Pulaski Day</t>
  </si>
  <si>
    <t>Chinese New Year</t>
  </si>
  <si>
    <t>Eid al-Fitr</t>
  </si>
  <si>
    <t>Day of Valor</t>
  </si>
  <si>
    <t>Maundy Thursday</t>
  </si>
  <si>
    <t>Black Saturday</t>
  </si>
  <si>
    <t>Elections special (non-working) day</t>
  </si>
  <si>
    <t>Eid al-Adha</t>
  </si>
  <si>
    <t>Additional special (non-working) day</t>
  </si>
  <si>
    <t>Ninoy Aquino Day</t>
  </si>
  <si>
    <t>National Heroes Day</t>
  </si>
  <si>
    <t>All Saints' Day Eve</t>
  </si>
  <si>
    <t>All Saints' Day</t>
  </si>
  <si>
    <t>Bonifacio Day</t>
  </si>
  <si>
    <t>Immaculate Conception</t>
  </si>
  <si>
    <t>Rizal Day</t>
  </si>
  <si>
    <t>New Year's Eve</t>
  </si>
  <si>
    <t>All Souls' Day</t>
  </si>
  <si>
    <t>Eid al-Fitr (estimated)</t>
  </si>
  <si>
    <t>Eid al-Adha (estimated)</t>
  </si>
  <si>
    <t>Republic Day</t>
  </si>
  <si>
    <t>Maha Shivaratri</t>
  </si>
  <si>
    <t>Mahavir Jayanti</t>
  </si>
  <si>
    <t>Buddha Purnima</t>
  </si>
  <si>
    <t>Ashura</t>
  </si>
  <si>
    <t>Janmashtami</t>
  </si>
  <si>
    <t>Prophet's Birthday</t>
  </si>
  <si>
    <t>Dussehra; Gandhi Jayanti</t>
  </si>
  <si>
    <t>Guru Nanak Jayanti</t>
  </si>
  <si>
    <t>Christmas</t>
  </si>
  <si>
    <t>Ashura (estimated)</t>
  </si>
  <si>
    <t>Prophet's Birthday (estimated)</t>
  </si>
  <si>
    <t>Gandhi Jayanti</t>
  </si>
  <si>
    <t>Dussehra</t>
  </si>
  <si>
    <t>Independence Day; Prophet's Birthday (estimated)</t>
  </si>
  <si>
    <t>Duruthu Full Moon Poya Day</t>
  </si>
  <si>
    <t>Tamil Thai Pongal Day</t>
  </si>
  <si>
    <t>Nawam Full Moon Poya Day</t>
  </si>
  <si>
    <t>Maha Sivarathri Day</t>
  </si>
  <si>
    <t>Medin Full Moon Poya Day</t>
  </si>
  <si>
    <t>Bak Full Moon Poya Day</t>
  </si>
  <si>
    <t>Day Before Sinhala and Tamil New Year</t>
  </si>
  <si>
    <t>Sinhala and Tamil New Year</t>
  </si>
  <si>
    <t>International Workers' Day</t>
  </si>
  <si>
    <t>Vesak Full Moon Poya Day</t>
  </si>
  <si>
    <t>Day Following Vesak Full Moon Poya Day</t>
  </si>
  <si>
    <t>Poson Full Moon Poya Day</t>
  </si>
  <si>
    <t>Esala Full Moon Poya Day</t>
  </si>
  <si>
    <t>Nikini Full Moon Poya Day</t>
  </si>
  <si>
    <t>Binara Full Moon Poya Day</t>
  </si>
  <si>
    <t>Vap Full Moon Poya Day</t>
  </si>
  <si>
    <t>Deepavali Festival Day</t>
  </si>
  <si>
    <t>Il Full Moon Poya Day</t>
  </si>
  <si>
    <t>Unduvap Full Moon Poya Day</t>
  </si>
  <si>
    <t>International Workers' Day; Vesak Full Moon Poya Day</t>
  </si>
  <si>
    <t>Adhi Poson Full Moon Poya Day</t>
  </si>
  <si>
    <t>29 of Lunar New Year</t>
  </si>
  <si>
    <t>Lunar New Year's Eve</t>
  </si>
  <si>
    <t>Lunar New Year</t>
  </si>
  <si>
    <t>Second Day of Lunar New Year</t>
  </si>
  <si>
    <t>Third Day of Lunar New Year</t>
  </si>
  <si>
    <t>Fourth Day of Lunar New Year</t>
  </si>
  <si>
    <t>Hung Kings' Commemoration Day</t>
  </si>
  <si>
    <t>Liberation Day/Reunification Day</t>
  </si>
  <si>
    <t>International Labor Day</t>
  </si>
  <si>
    <t>National Day</t>
  </si>
  <si>
    <t>Hung Kings' Commemoration Day (observed)</t>
  </si>
  <si>
    <t>Fifth Day of Lunar New Year</t>
  </si>
  <si>
    <t>International Labor Day (observed)</t>
  </si>
  <si>
    <t>Liberation Day/Reunification Day (observed)</t>
  </si>
  <si>
    <t>National Day (observed)</t>
  </si>
  <si>
    <t>Human Rights Day</t>
  </si>
  <si>
    <t>Family Day</t>
  </si>
  <si>
    <t>Freedom Day</t>
  </si>
  <si>
    <t>Freedom Day (observed)</t>
  </si>
  <si>
    <t>Workers' Day</t>
  </si>
  <si>
    <t>Youth Day</t>
  </si>
  <si>
    <t>National Women's Day</t>
  </si>
  <si>
    <t>Heritage Day</t>
  </si>
  <si>
    <t>Day of Reconciliation</t>
  </si>
  <si>
    <t>Day of Goodwill</t>
  </si>
  <si>
    <t>National Women's Day (observed)</t>
  </si>
  <si>
    <t>Human Rights Day (observed)</t>
  </si>
  <si>
    <t>Day of Goodwill (observed)</t>
  </si>
  <si>
    <t>Heritage Day (observed)</t>
  </si>
  <si>
    <t>Day of Reconciliation (observed)</t>
  </si>
  <si>
    <t>Youth Day (observed)</t>
  </si>
  <si>
    <t>Epiphany</t>
  </si>
  <si>
    <t>National Day of the Third of May</t>
  </si>
  <si>
    <t>Pentecost</t>
  </si>
  <si>
    <t>Corpus Christi</t>
  </si>
  <si>
    <t>Assumption Day</t>
  </si>
  <si>
    <t>National Independence Day</t>
  </si>
  <si>
    <t>Second Day of Christmas</t>
  </si>
  <si>
    <t>Spring Bank Holiday</t>
  </si>
  <si>
    <t>Late Summer Bank Holiday</t>
  </si>
  <si>
    <t>Victoria Day</t>
  </si>
  <si>
    <t>Canada Day</t>
  </si>
  <si>
    <t>Capacity</t>
  </si>
  <si>
    <t>Reference</t>
  </si>
  <si>
    <t>Enter your figures on the Inputs tab; this Plan populates automatically. See the Sample tab for a worked example.</t>
  </si>
  <si>
    <t>1 · BUSINESS CONTEXT</t>
  </si>
  <si>
    <t>Built by Infraxus, operator finance · infraxus.com</t>
  </si>
  <si>
    <t>06</t>
  </si>
  <si>
    <t>05</t>
  </si>
  <si>
    <t>What the colours mean</t>
  </si>
  <si>
    <t>04</t>
  </si>
  <si>
    <t>03</t>
  </si>
  <si>
    <t>How to use it</t>
  </si>
  <si>
    <t>02</t>
  </si>
  <si>
    <t>What this is</t>
  </si>
  <si>
    <t>01</t>
  </si>
  <si>
    <t>The build-method switch  (read this first)</t>
  </si>
  <si>
    <t>The per-employee jurisdiction calendar</t>
  </si>
  <si>
    <t>Holiday-refresh cadence</t>
  </si>
  <si>
    <t>If something looks wrong</t>
  </si>
  <si>
    <t>This free version, vs what we build at Infraxus</t>
  </si>
  <si>
    <t>07</t>
  </si>
  <si>
    <t>08</t>
  </si>
  <si>
    <t>4 · TIMING, OPENING BALANCES &amp; RATES</t>
  </si>
  <si>
    <t>Planned</t>
  </si>
  <si>
    <t>Link</t>
  </si>
  <si>
    <t>Alert</t>
  </si>
  <si>
    <t>Region  (AU / NZ / US)</t>
  </si>
  <si>
    <t>2 · BUILD METHOD  ·  choose how you'll model revenue</t>
  </si>
  <si>
    <t>Build method</t>
  </si>
  <si>
    <t>Sections below are tagged ● fill  /  ○ skip based on your choice. The inactive build's sections are dimmed automatically.</t>
  </si>
  <si>
    <t>3 · SCENARIO ASSUMPTIONS  ·  multipliers applied across the plan</t>
  </si>
  <si>
    <t>Utilisation multiplier</t>
  </si>
  <si>
    <t>Collection lag (months)</t>
  </si>
  <si>
    <t>Base = 1.00 / 0 lag. Edit Downside &amp; Upside to stress-test.</t>
  </si>
  <si>
    <t>Fiscal year starts (month)</t>
  </si>
  <si>
    <t>Super / KiwiSaver / FICA</t>
  </si>
  <si>
    <t>GST / sales tax</t>
  </si>
  <si>
    <t>Total on-cost loading</t>
  </si>
  <si>
    <t>ZONE 1  ·  EVERYONE FILLS THIS</t>
  </si>
  <si>
    <t>Debtor days (DSO)</t>
  </si>
  <si>
    <t>Creditor days (DPO)</t>
  </si>
  <si>
    <t>Opening debt balance</t>
  </si>
  <si>
    <t>Opening equity (auto-balances)</t>
  </si>
  <si>
    <t>Other current assets</t>
  </si>
  <si>
    <t>Interest rate on debt</t>
  </si>
  <si>
    <t>Existing D&amp;A (annual)</t>
  </si>
  <si>
    <t>Company tax rate</t>
  </si>
  <si>
    <t>leave blank to auto-balance; type a figure to override</t>
  </si>
  <si>
    <t>▸ enter by month  →</t>
  </si>
  <si>
    <t>5 · OPERATING EXPENSES  ·  monthly, $</t>
  </si>
  <si>
    <t>Rent &amp; premises</t>
  </si>
  <si>
    <t>Software &amp; subscriptions</t>
  </si>
  <si>
    <t>Communications</t>
  </si>
  <si>
    <t>Other operating expenses</t>
  </si>
  <si>
    <t>Sales commission (% of revenue)</t>
  </si>
  <si>
    <t>Tip: type one month, then drag the fill handle right. For a flat cost, type the same figure across, or use annual÷12.</t>
  </si>
  <si>
    <t>6 · DIRECT COSTS / COST OF DELIVERY  ·  monthly, $</t>
  </si>
  <si>
    <t>Contractors &amp; freelance delivery</t>
  </si>
  <si>
    <t>Tools &amp; licences (delivery)</t>
  </si>
  <si>
    <t>Pass-through &amp; re-billable costs</t>
  </si>
  <si>
    <t>Other direct costs</t>
  </si>
  <si>
    <t>7 · CAPITAL &amp; FINANCING</t>
  </si>
  <si>
    <t>Capital expenditure (by month)</t>
  </si>
  <si>
    <t>New debt drawn (annual)</t>
  </si>
  <si>
    <t>Debt repaid (annual)</t>
  </si>
  <si>
    <t>Owner distributions (by month)</t>
  </si>
  <si>
    <t>ZONE 3  ·  PLANNED BUILD  ●  fill this if Build method = Planned</t>
  </si>
  <si>
    <t>8 · REVENUE PLAN  ·  name each service line, then set revenue by month ($)</t>
  </si>
  <si>
    <t>service line  /  month →</t>
  </si>
  <si>
    <t>Pass-through / re-billable</t>
  </si>
  <si>
    <t>Other revenue</t>
  </si>
  <si>
    <t>9 · HEADCOUNT ROSTER  ·  one row per role (Planned build)</t>
  </si>
  <si>
    <t>Cur HC</t>
  </si>
  <si>
    <t>Benefits $</t>
  </si>
  <si>
    <t>Cap hrs/yr</t>
  </si>
  <si>
    <t>Tgt util %</t>
  </si>
  <si>
    <t>SL #</t>
  </si>
  <si>
    <t>e.g. Senior Consultant</t>
  </si>
  <si>
    <t>10 · CONTRACTOR-DELIVERED REVENUE  ·  revenue billed through freelancers/contractors</t>
  </si>
  <si>
    <t>For freelancer-heavy work: enter what you bill the client and what the contractor costs. Margin flows to the plan; cost lands in direct costs.</t>
  </si>
  <si>
    <t>Engagement / pod</t>
  </si>
  <si>
    <t>Billed $/mo</t>
  </si>
  <si>
    <t>Contractor cost $/mo</t>
  </si>
  <si>
    <t>Margin %</t>
  </si>
  <si>
    <t>ZONE 2  ·  CAPACITY BUILD  ●  fill this if Build method = Capacity</t>
  </si>
  <si>
    <t>Service-line key (SL#):</t>
  </si>
  <si>
    <t>Juris</t>
  </si>
  <si>
    <t>Pkg $/yr</t>
  </si>
  <si>
    <t>e.g. A. Smith</t>
  </si>
  <si>
    <t>Billable</t>
  </si>
  <si>
    <t>12 · CAPACITY ALLOCATION BY SERVICE LINE  ·  split each dept's delivery time across lines (rows total 100%)</t>
  </si>
  <si>
    <t>Dept / pod</t>
  </si>
  <si>
    <t>Note: when Build = Capacity, overheads come from this ledger. When Build = Planned, use §5 Operating Expenses instead.</t>
  </si>
  <si>
    <t>Amount $/yr</t>
  </si>
  <si>
    <t>ZONE 4  ·  ACTUALS  ·  fill in as the year unfolds (optional)</t>
  </si>
  <si>
    <t>metric  /  month →</t>
  </si>
  <si>
    <t>Actual direct costs</t>
  </si>
  <si>
    <t>region_idx</t>
  </si>
  <si>
    <t>active_fy_start</t>
  </si>
  <si>
    <t>active_oncost</t>
  </si>
  <si>
    <t>ROSTER ROLL-UP (months 1-12 across U:AF)</t>
  </si>
  <si>
    <t>active_sl1</t>
  </si>
  <si>
    <t>active_sl2</t>
  </si>
  <si>
    <t>active_sl3</t>
  </si>
  <si>
    <t>active_sl4</t>
  </si>
  <si>
    <t>active_sl5</t>
  </si>
  <si>
    <t>active_fte</t>
  </si>
  <si>
    <t>active_ox_rent</t>
  </si>
  <si>
    <t>active_ox_software</t>
  </si>
  <si>
    <t>active_ox_insurance</t>
  </si>
  <si>
    <t>active_ox_travel</t>
  </si>
  <si>
    <t>active_ox_comms</t>
  </si>
  <si>
    <t>plan_payroll_m</t>
  </si>
  <si>
    <t>plan_fte_m</t>
  </si>
  <si>
    <t>led_0</t>
  </si>
  <si>
    <t>led_1</t>
  </si>
  <si>
    <t>led_2</t>
  </si>
  <si>
    <t>led_3</t>
  </si>
  <si>
    <t>led_4</t>
  </si>
  <si>
    <t>led_5</t>
  </si>
  <si>
    <t>led_6</t>
  </si>
  <si>
    <t>led_7</t>
  </si>
  <si>
    <t>active_delpay</t>
  </si>
  <si>
    <t>active_ovhpay</t>
  </si>
  <si>
    <t>active_ox_salesmktg</t>
  </si>
  <si>
    <t>active_ox_proffees</t>
  </si>
  <si>
    <t>active_ox_otherox</t>
  </si>
  <si>
    <t>roster_delrev_m</t>
  </si>
  <si>
    <t>roster_payroll_m</t>
  </si>
  <si>
    <t>roster_fte_m</t>
  </si>
  <si>
    <t>roster_wutil</t>
  </si>
  <si>
    <t>roster_sl1_m</t>
  </si>
  <si>
    <t>roster_sl2_m</t>
  </si>
  <si>
    <t>roster_sl3_m</t>
  </si>
  <si>
    <t>roster_sl4_m</t>
  </si>
  <si>
    <t>roster_sl5_m</t>
  </si>
  <si>
    <t>contractor_sl1</t>
  </si>
  <si>
    <t>contractor_cost</t>
  </si>
  <si>
    <t>dc_contractors_total</t>
  </si>
  <si>
    <t>Meridian Studio Pty Ltd</t>
  </si>
  <si>
    <t>Non-billable</t>
  </si>
  <si>
    <t>A. Nguyen</t>
  </si>
  <si>
    <t>B. Smith</t>
  </si>
  <si>
    <t>C. Patel</t>
  </si>
  <si>
    <t>D. Lee</t>
  </si>
  <si>
    <t>E. Brown</t>
  </si>
  <si>
    <t>F. Wilson</t>
  </si>
  <si>
    <t>G. Davis</t>
  </si>
  <si>
    <t>H. Moore</t>
  </si>
  <si>
    <t>I. Taylor</t>
  </si>
  <si>
    <t>J. Clark</t>
  </si>
  <si>
    <t>Office lease</t>
  </si>
  <si>
    <t>Brand marketing</t>
  </si>
  <si>
    <t>Accounting &amp; legal</t>
  </si>
  <si>
    <t>Phones &amp; internet</t>
  </si>
  <si>
    <t>Annual_Operating_Plan.xlsx · Input sheet</t>
  </si>
  <si>
    <t>PEAK HEADCOUNT</t>
  </si>
  <si>
    <t>LOWEST CASH</t>
  </si>
  <si>
    <t>ENGINE - do not edit (hidden)</t>
  </si>
  <si>
    <t>▸ PLANNED  -  you set a revenue target and type it in by month. Best for trades, project shops, retainers, productised services. (most common)</t>
  </si>
  <si>
    <t>▸ CAPACITY  -  revenue is built from your team's billable hours × utilisation × rate. Best for agencies, consultancies, studios, firms.</t>
  </si>
  <si>
    <t>REGIONAL DEFAULTS  ·  reference only - drives tax, on-cost &amp; fiscal year by region (locked)</t>
  </si>
  <si>
    <t>illustrative - overwrite or clear</t>
  </si>
  <si>
    <t>11 · TEAM ROSTER  ·  one row per person - revenue builds from billable hours × util × rate</t>
  </si>
  <si>
    <t>13 · EXPENSE LEDGER  ·  itemised overheads (Capacity build) - used instead of §5 when Build = Capacity</t>
  </si>
  <si>
    <t>14 · ACTUALS BY MONTH  ·  enter once each month closes - leave blank until then</t>
  </si>
  <si>
    <t>roster_overhead_payroll_m</t>
  </si>
  <si>
    <t>plan_overhead_payroll_m</t>
  </si>
  <si>
    <t>Design software</t>
  </si>
  <si>
    <t>Misc</t>
  </si>
  <si>
    <t>active_scn_util</t>
  </si>
  <si>
    <t>Scenario collection lag (months)</t>
  </si>
  <si>
    <t>Build your 12-month plan, then read it on the Plan tab. Fill the blue cells only, everything else calculates · free to use · no attribution required</t>
  </si>
  <si>
    <t>How to use this template · what the colours mean · what to do if something looks wrong</t>
  </si>
  <si>
    <t>Build your 12-month operating plan, bottom-up from your team and drivers · free to use · no attribution required</t>
  </si>
  <si>
    <t xml:space="preserve">
One cell decides how the whole plan is built: Inputs · "Build method" (cell C18, section 2 on the Inputs tab). It has two settings.
•  PLANNED (top-down).  You enter committed revenue per service line per month (section 8) and your team in the HEADCOUNT ROSTER (section 9). This is the classic budget path, you tell the plan what you expect to bill.
•  CAPACITY (bottom-up).  Revenue and payroll assemble from the TEAM ROSTER (section 11, one row per person) and operating expenses from the EXPENSE LEDGER (section 13). Each person's billable revenue is built from their charge-out hours × their jurisdiction's actual working days that month × utilisation × rate. This is the credible, capacity-grounded path, the plan tells you what your team can actually deliver.
All input blocks are sections on the Inputs tab, you don't switch sheets. When you set the build method, the sections for the OTHER build dim automatically (the active build shows a green "● ACTIVE" tag, the inactive one "○ SKIP"), and the entire Plan re-resolves: P&amp;L, cash flow, balance sheet, scenarios and KPIs all follow the switch. See the Sample Inputs / Sample Plan tabs for a fully worked Capacity example.</t>
  </si>
  <si>
    <t xml:space="preserve">
Built for distributed and offshore teams. A developer in Manila, a consultant in Sydney and a designer in Auckland do not share the same working year, public holidays differ by country and, in Australia, by state. The Capacity build respects that.
In the TEAM ROSTER section on Inputs, each person has a Jurisdiction (a dropdown). Behind the scenes, a Calendar holds a public-holiday table and a pre-computed working-days-per-month lookup for 27 jurisdictions, the eight Australian states/territories, New Zealand (national + main regions), the US (federal + key states), and offshore hubs (Philippines, India, Sri Lanka, Vietnam, South Africa, Poland, UK, Canada-ON). Each person's monthly billable capacity uses their own jurisdiction's working days for that month, so a month with more holidays automatically bills fewer days for the people it applies to.
The Calendar is kept on a hidden tab so the Inputs sheet stays clean. To see or refresh it (section 4), right-click any tab → Unhide → Calendar. The working-days lookup is stored as fixed values, not live formulas, working days in a fixed calendar are a settled fact, and keeping them as values makes the file fast and stable. The holiday table is where the auditable detail lives.</t>
  </si>
  <si>
    <t xml:space="preserve">
The holiday data covers 2025 to 2030. Refresh it once a year, ideally when you roll the plan to a new financial year:
•  Fixed-date holidays (New Year, Christmas, Australia Day, US Independence Day, etc.) are reliable for the whole range.
•  Lunar and discretionary holidays in the outer years, Easter, Chinese New Year, Eid, Diwali, Vesak, and any government-declared one-off days, should be sanity-checked against the official source for each jurisdiction before you rely on a forecast that reaches into 2028 to 2030. These dates move year to year and the far-out entries are best estimates.
To refresh: unhide the Calendar tab (right-click any tab → Unhide → Calendar), update the holiday table from each jurisdiction's official public-holiday list, then re-derive the working-days lookup. The lookup is the only thing the capacity engine reads, so once it ties to the table you are done. Re-hide the Calendar when finished to keep the workbook tidy.</t>
  </si>
  <si>
    <t xml:space="preserve">
1.  Inputs · section 1 (Business context).  Pick your region, business name, plan year and opening cash. On-cost defaults come from the region (AU 18.5%, NZ 4.5%, US 10.5%), shown in the locked Regional Defaults reference card.
2.  Inputs · section 2 (Build method).  Choose Planned or Capacity in cell C18. The two plain-English cards beside the switch explain which suits you. The sections for the build you did NOT pick dim automatically, fill only the sections tagged "● ACTIVE".
3.  Everyone fills Zone 1: timing &amp; opening balances &amp; rates (section 4), operating expenses (section 5), direct costs (section 6) and capital &amp; financing (section 7).
4a.  If PLANNED (Zone 3), enter committed revenue per service line per month (section 8), and your team in the HEADCOUNT ROSTER (section 9). For freelancer-driven revenue, use the CONTRACTOR-DELIVERED REVENUE table (section 10): what you bill the client and what the contractor costs, margin flows to the plan, cost to direct costs.
4b.  If CAPACITY (Zone 2), fill the TEAM ROSTER (section 11), one row per person: name, department (Delivery bills; Sales / Overhead flow to cost), service line (1-5, see the key above the roster), jurisdiction (dropdown), FTE, charge-out hours/day, utilisation, rate, start/end month, package, on-cost. The Check column flags any row that needs attention. Set each department's capacity split across service lines (section 12), and itemise overheads in the EXPENSE LEDGER (section 13, timing: Monthly / Weekly / Quarterly / Annual / One-off). Revenue, payroll, peak FTE and the department P&amp;L roll up automatically.
5.  Plan tab.  Set the scenario (Base / Downside / Upside) and view (P&amp;L / Cash Flow / Balance Sheet) using the two selectors at the top-right. Region is NOT set here, it lives on Inputs. Read the KPI card strip (with revenue / EBITDA / cash sparklines), the scenario comparison, the 12-month detail and the department P&amp;L. Enter actuals in the ACTUALS section on Inputs (section 14) as they arrive.</t>
  </si>
  <si>
    <t xml:space="preserve">
•  BLUE text on a slightly lighter cell (an "input well"), a cell you fill in.
•  WHITE / near-black text, Formula cell. Computed; don't overwrite.
•  GREEN text, Override / link. A manually overridden default, or a value pulled from another sheet.
•  GREY text, Reference data (benchmarks, jurisdictions, regional defaults).
•  AMBER text, a validation flag. A banner reading "N row(s) need attention →" appears beside a section header when a row is incomplete or inconsistent (see section 7).  ·  RED (parentheses), negative value.  ·  GREEN PASS / RED FAIL, reconciliation check.  ·  AMBER cash tile, year-end cash below your minimum buffer.</t>
  </si>
  <si>
    <t xml:space="preserve">
•  A roster row shows a ⚠ flag in the Check column.  It names the problem (pick a jurisdiction, FTE not a number, utilisation &gt; 100%, negative rate, start month after end month, missing billing input). Fix the flagged cell and the flag clears to "ok".
•  Capacity revenue is zero for a person.  Check their department is Delivery (only Delivery bills), that charge-out hours, utilisation and rate are filled, and that their start month ≤ the plan month. A misspelt jurisdiction also zeroes revenue, use the dropdown so it matches the Calendar exactly.
•  Switched to Capacity but the Plan still shows zeros.  Make sure Inputs C18 reads exactly "Capacity", and that the TEAM ROSTER (section 11) and EXPENSE LEDGER (section 13) have data. A freshly shipped file is blank by design, the worked numbers live on the Sample Inputs / Sample Plan tabs.
•  Changed the scenario or view and nothing happened.  Both selectors live at the top-right of the Plan tab. Set them there, there is no scenario control on Inputs. Region, by contrast, is set only on Inputs.
•  A reconciliation check shows FAIL.  The opening balance sheet auto-balances (opening equity is left blank and plugged automatically), so this is rare. If it happens, don't force the numbers. Unhide the engine columns on the Plan and trace the LHS / RHS / Δ columns in the RECONCILIATION · INTEGRITY CHECKS block. Most common cause: an opening-balance figure entered without its matching counterpart.</t>
  </si>
  <si>
    <t xml:space="preserve">
This template runs on data you enter. The Control Pack at Infraxus installs the equivalent wired live to your accounting system (Xero / MYOB / QuickBooks), with a rolling 12-month re-forecast that refreshes as actuals come in, automated variance tracking against your accounting actuals, scenario extensions for specific operational levers (a senior hire, a major client loss, a pricing reset), and monthly plan-vs-actual review with operator commentary delivered alongside the numbers. Installed in three weeks with the wired operating plan, the team roster, the 13-week cash flow and the monthly decision pack, all walked through with you. infraxus.com/control-pack.</t>
  </si>
  <si>
    <t xml:space="preserve">
A 12-month operating plan for owner-operators of services businesses: a forward P&amp;L, cash flow and balance sheet, with Base / Downside / Upside scenario stress-testing and plan-vs-actual tracking. It builds two ways from a single switch, PLANNED (top-down from committed revenue you type in) or CAPACITY (bottom-up from a per-person roster whose billable days come from each person's own public-holiday calendar). There is also a contractor-revenue path for freelancer-heavy work. Everything you enter lives on one tab (Inputs), organised into zones that dim to show only what your chosen build needs; the Plan tab is your read-only dashboard. A fully worked example is included on the Sample Inputs and Sample Plan tabs. Free to use, no attribution required.</t>
  </si>
  <si>
    <t>Want this built on your real numbers, refreshed monthly with the decisions to make flagged for you?  Book a fit call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</si>
</sst>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_(* \(#,##0.00\);_(* &quot;-&quot;??_);_(@_)"/>
    <numFmt numFmtId="164" formatCode="&quot;$&quot;#,##0;[Red]\(&quot;$&quot;#,##0\);&quot;–&quot;;@"/>
    <numFmt numFmtId="165" formatCode="0.0%;[Red]\-0.0%;&quot;–&quot;;@"/>
    <numFmt numFmtId="166" formatCode="0.0&quot; FTE&quot;;[Red]\-0.0&quot; FTE&quot;;&quot;–&quot;;@"/>
    <numFmt numFmtId="167" formatCode="#,##0;[Red]\-#,##0;&quot;–&quot;;@"/>
    <numFmt numFmtId="168" formatCode="&quot;+$&quot;#,##0;[Red]&quot;-$&quot;#,##0;&quot;–&quot;;@"/>
    <numFmt numFmtId="169" formatCode="&quot;+&quot;0.0%;[Red]\-0.0%;&quot;–&quot;;@"/>
    <numFmt numFmtId="170" formatCode="yyyy\-mm\-dd"/>
    <numFmt numFmtId="171" formatCode="mmm\ yy"/>
    <numFmt numFmtId="172" formatCode="0.0;[Red]\-0.0;&quot;–&quot;;@"/>
    <numFmt numFmtId="173" formatCode="0.00;[Red]\-0.00;&quot;–&quot;;@"/>
    <numFmt numFmtId="174" formatCode="&quot;$&quot;#,##0;[Red]\(&quot;$&quot;#,##0\);&quot;–&quot;"/>
    <numFmt numFmtId="175" formatCode="0.0%;[Red]\-0.0%;&quot;–&quot;"/>
    <numFmt numFmtId="176" formatCode="0.0&quot; FTE&quot;"/>
  </numFmts>
  <fonts count="48" x14ac:knownFonts="1">
    <font>
      <sz val="11"/>
      <color theme="1"/>
      <name val="Calibri"/>
      <family val="2"/>
      <scheme val="minor"/>
    </font>
    <font>
      <b/>
      <sz val="10"/>
      <color rgb="FF1E50FF"/>
      <name val="Consolas"/>
      <family val="2"/>
    </font>
    <font>
      <sz val="11"/>
      <color rgb="FF1E50FF"/>
      <name val="Consolas"/>
      <family val="2"/>
    </font>
    <font>
      <b/>
      <sz val="11"/>
      <color rgb="FF1E50FF"/>
      <name val="Consolas"/>
      <family val="2"/>
    </font>
    <font>
      <b/>
      <sz val="18"/>
      <color rgb="FFF2F2F2"/>
      <name val="Calibri Light"/>
      <family val="2"/>
    </font>
    <font>
      <sz val="10"/>
      <color rgb="FF8896B3"/>
      <name val="Consolas"/>
      <family val="2"/>
    </font>
    <font>
      <b/>
      <sz val="11"/>
      <color rgb="FFF2F2F2"/>
      <name val="Consolas"/>
      <family val="2"/>
    </font>
    <font>
      <sz val="10"/>
      <color rgb="FF8896B3"/>
      <name val="Calibri"/>
      <family val="2"/>
    </font>
    <font>
      <b/>
      <sz val="10"/>
      <color rgb="FFF2F2F2"/>
      <name val="Consolas"/>
      <family val="2"/>
    </font>
    <font>
      <b/>
      <sz val="13"/>
      <color rgb="FFF2F2F2"/>
      <name val="Calibri Light"/>
      <family val="2"/>
    </font>
    <font>
      <b/>
      <sz val="10"/>
      <color rgb="FF8896B3"/>
      <name val="Consolas"/>
      <family val="2"/>
    </font>
    <font>
      <sz val="11"/>
      <color rgb="FFF2F2F2"/>
      <name val="Calibri"/>
      <family val="2"/>
    </font>
    <font>
      <sz val="11"/>
      <color rgb="FFF2F2F2"/>
      <name val="Consolas"/>
      <family val="2"/>
    </font>
    <font>
      <sz val="11"/>
      <color rgb="FFF2F2F2"/>
      <name val="Calibri"/>
      <family val="2"/>
      <scheme val="minor"/>
    </font>
    <font>
      <b/>
      <sz val="11"/>
      <color rgb="FFF2F2F2"/>
      <name val="Calibri"/>
      <family val="2"/>
    </font>
    <font>
      <i/>
      <sz val="10"/>
      <color rgb="FF8896B3"/>
      <name val="Calibri"/>
      <family val="2"/>
    </font>
    <font>
      <i/>
      <sz val="11"/>
      <color rgb="FF8896B3"/>
      <name val="Consolas"/>
      <family val="2"/>
    </font>
    <font>
      <b/>
      <sz val="12"/>
      <color rgb="FFF2F2F2"/>
      <name val="Calibri Light"/>
      <family val="2"/>
    </font>
    <font>
      <b/>
      <sz val="14"/>
      <color rgb="FF10B981"/>
      <name val="Consolas"/>
      <family val="2"/>
    </font>
    <font>
      <sz val="10"/>
      <color rgb="FFF2F2F2"/>
      <name val="Calibri"/>
      <family val="2"/>
    </font>
    <font>
      <sz val="10"/>
      <color rgb="FFF2F2F2"/>
      <name val="Consolas"/>
      <family val="2"/>
    </font>
    <font>
      <b/>
      <sz val="9"/>
      <color rgb="FF8896B3"/>
      <name val="Consolas"/>
      <family val="2"/>
    </font>
    <font>
      <sz val="9"/>
      <color rgb="FF8896B3"/>
      <name val="Consolas"/>
      <family val="2"/>
    </font>
    <font>
      <b/>
      <sz val="8"/>
      <color rgb="FF8896B3"/>
      <name val="Consolas"/>
      <family val="2"/>
    </font>
    <font>
      <sz val="8"/>
      <color rgb="FF8896B3"/>
      <name val="Consolas"/>
      <family val="2"/>
    </font>
    <font>
      <sz val="9"/>
      <color rgb="FFF2F2F2"/>
      <name val="Consolas"/>
      <family val="2"/>
    </font>
    <font>
      <b/>
      <sz val="11"/>
      <color rgb="FF10B981"/>
      <name val="Consolas"/>
      <family val="2"/>
    </font>
    <font>
      <sz val="11"/>
      <color theme="1"/>
      <name val="Calibri"/>
      <family val="2"/>
      <scheme val="minor"/>
    </font>
    <font>
      <sz val="11"/>
      <color rgb="FF8896B3"/>
      <name val="Calibri"/>
      <family val="2"/>
      <scheme val="minor"/>
    </font>
    <font>
      <i/>
      <sz val="10"/>
      <color rgb="FF8896B3"/>
      <name val="Calibri"/>
      <family val="2"/>
      <scheme val="minor"/>
    </font>
    <font>
      <sz val="11"/>
      <color rgb="FF10B981"/>
      <name val="Consolas"/>
      <family val="2"/>
    </font>
    <font>
      <b/>
      <sz val="12"/>
      <color rgb="FF1E50FF"/>
      <name val="Consolas"/>
      <family val="2"/>
    </font>
    <font>
      <sz val="18"/>
      <color rgb="FFF2F2F2"/>
      <name val="Calibri Light"/>
      <family val="2"/>
    </font>
    <font>
      <b/>
      <sz val="11"/>
      <color rgb="FFE5484D"/>
      <name val="Consolas"/>
      <family val="2"/>
    </font>
    <font>
      <sz val="11"/>
      <color rgb="FF8896B3"/>
      <name val="Consolas"/>
      <family val="2"/>
    </font>
    <font>
      <b/>
      <sz val="11"/>
      <color rgb="FF8896B3"/>
      <name val="Consolas"/>
      <family val="2"/>
    </font>
    <font>
      <sz val="10"/>
      <color rgb="FF8896B3"/>
      <name val="Calibri"/>
      <family val="2"/>
      <scheme val="minor"/>
    </font>
    <font>
      <b/>
      <sz val="11"/>
      <color rgb="FFF2F2F2"/>
      <name val="Calibri"/>
      <family val="2"/>
      <scheme val="minor"/>
    </font>
    <font>
      <sz val="10"/>
      <color rgb="FFF2F2F2"/>
      <name val="Calibri"/>
      <family val="2"/>
      <scheme val="minor"/>
    </font>
    <font>
      <i/>
      <sz val="10"/>
      <color theme="1"/>
      <name val="Calibri"/>
      <family val="2"/>
      <scheme val="minor"/>
    </font>
    <font>
      <i/>
      <sz val="11"/>
      <color rgb="FF8896B3"/>
      <name val="Calibri"/>
      <family val="2"/>
      <scheme val="minor"/>
    </font>
    <font>
      <i/>
      <sz val="11"/>
      <color rgb="FF5A6072"/>
      <name val="Calibri"/>
      <family val="2"/>
      <scheme val="minor"/>
    </font>
    <font>
      <sz val="9"/>
      <color rgb="FF5A6072"/>
      <name val="Consolas"/>
      <family val="2"/>
    </font>
    <font>
      <sz val="10"/>
      <color rgb="FF5A6072"/>
      <name val="Calibri"/>
      <family val="2"/>
      <scheme val="minor"/>
    </font>
    <font>
      <sz val="11"/>
      <color rgb="FFF2F2F2"/>
      <name val="Calibri Light"/>
      <family val="2"/>
    </font>
    <font>
      <b/>
      <sz val="16"/>
      <color rgb="FFF2F2F2"/>
      <name val="Calibri Light"/>
      <family val="2"/>
    </font>
    <font>
      <u/>
      <sz val="11"/>
      <color theme="10"/>
      <name val="Calibri"/>
      <family val="2"/>
      <scheme val="minor"/>
    </font>
    <font>
      <b/>
      <u/>
      <sz val="10"/>
      <color rgb="FF5B86FF"/>
      <name val="Consolas"/>
      <family val="2"/>
    </font>
  </fonts>
  <fills count="16">
    <fill>
      <patternFill patternType="none"/>
    </fill>
    <fill>
      <patternFill patternType="gray125"/>
    </fill>
    <fill>
      <patternFill patternType="solid">
        <fgColor rgb="FF0D0D0D"/>
        <bgColor rgb="FF0D0D0D"/>
      </patternFill>
    </fill>
    <fill>
      <patternFill patternType="solid">
        <fgColor rgb="FF1C1C1E"/>
        <bgColor rgb="FF1C1C1E"/>
      </patternFill>
    </fill>
    <fill>
      <patternFill patternType="solid">
        <fgColor rgb="FF26282B"/>
        <bgColor rgb="FF26282B"/>
      </patternFill>
    </fill>
    <fill>
      <patternFill patternType="solid">
        <fgColor rgb="FF0D0D0D"/>
      </patternFill>
    </fill>
    <fill>
      <patternFill patternType="solid">
        <fgColor rgb="FF0D0D0D"/>
        <bgColor indexed="64"/>
      </patternFill>
    </fill>
    <fill>
      <patternFill patternType="solid">
        <fgColor rgb="FF26282B"/>
        <bgColor indexed="64"/>
      </patternFill>
    </fill>
    <fill>
      <patternFill patternType="solid">
        <fgColor rgb="FF1C1C1E"/>
        <bgColor indexed="64"/>
      </patternFill>
    </fill>
    <fill>
      <patternFill patternType="solid">
        <fgColor rgb="FF15161A"/>
        <bgColor indexed="64"/>
      </patternFill>
    </fill>
    <fill>
      <patternFill patternType="solid">
        <fgColor rgb="FF0D0D0D"/>
        <bgColor rgb="FF1C1C1E"/>
      </patternFill>
    </fill>
    <fill>
      <patternFill patternType="solid">
        <fgColor rgb="FF1C1C1E"/>
        <bgColor rgb="FF0D0D0D"/>
      </patternFill>
    </fill>
    <fill>
      <patternFill patternType="solid">
        <fgColor rgb="FF1C1C1E"/>
        <bgColor rgb="FF26282B"/>
      </patternFill>
    </fill>
    <fill>
      <patternFill patternType="solid">
        <fgColor rgb="FF1E50FF"/>
        <bgColor indexed="64"/>
      </patternFill>
    </fill>
    <fill>
      <patternFill patternType="solid">
        <fgColor rgb="FF141416"/>
        <bgColor indexed="64"/>
      </patternFill>
    </fill>
    <fill>
      <patternFill patternType="solid">
        <fgColor rgb="FF26282B"/>
        <bgColor rgb="FF0D0D0D"/>
      </patternFill>
    </fill>
  </fills>
  <borders count="22">
    <border>
      <left/>
      <right/>
      <top/>
      <bottom/>
      <diagonal/>
    </border>
    <border>
      <left style="thin">
        <color rgb="FF3A3A3C"/>
      </left>
      <right style="thin">
        <color rgb="FF3A3A3C"/>
      </right>
      <top style="thin">
        <color rgb="FF3A3A3C"/>
      </top>
      <bottom style="thin">
        <color rgb="FF3A3A3C"/>
      </bottom>
      <diagonal/>
    </border>
    <border>
      <left/>
      <right/>
      <top style="thin">
        <color rgb="FF3A3A3C"/>
      </top>
      <bottom style="thin">
        <color rgb="FF3A3A3C"/>
      </bottom>
      <diagonal/>
    </border>
    <border>
      <left/>
      <right style="thin">
        <color rgb="FF3A3A3C"/>
      </right>
      <top style="thin">
        <color rgb="FF3A3A3C"/>
      </top>
      <bottom style="thin">
        <color rgb="FF3A3A3C"/>
      </bottom>
      <diagonal/>
    </border>
    <border>
      <left/>
      <right/>
      <top/>
      <bottom style="thin">
        <color rgb="FF3A3A3C"/>
      </bottom>
      <diagonal/>
    </border>
    <border>
      <left/>
      <right/>
      <top/>
      <bottom style="thin">
        <color rgb="FF3A3A3C"/>
      </bottom>
      <diagonal/>
    </border>
    <border>
      <left/>
      <right/>
      <top/>
      <bottom style="thin">
        <color rgb="FF3A3A3C"/>
      </bottom>
      <diagonal/>
    </border>
    <border>
      <left/>
      <right/>
      <top style="thin">
        <color rgb="FF3A3A3C"/>
      </top>
      <bottom/>
      <diagonal/>
    </border>
    <border>
      <left/>
      <right/>
      <top style="double">
        <color rgb="FF3A3A3C"/>
      </top>
      <bottom style="thin">
        <color rgb="FF3A3A3C"/>
      </bottom>
      <diagonal/>
    </border>
    <border>
      <left/>
      <right/>
      <top style="thin">
        <color rgb="FF3A3A3C"/>
      </top>
      <bottom/>
      <diagonal/>
    </border>
    <border>
      <left/>
      <right style="thin">
        <color rgb="FF3A3A3C"/>
      </right>
      <top/>
      <bottom/>
      <diagonal/>
    </border>
    <border>
      <left style="thin">
        <color rgb="FF3A3A3C"/>
      </left>
      <right style="thin">
        <color rgb="FF3A3A3C"/>
      </right>
      <top/>
      <bottom style="thin">
        <color rgb="FF3A3A3C"/>
      </bottom>
      <diagonal/>
    </border>
    <border>
      <left style="thin">
        <color rgb="FF3A3A3C"/>
      </left>
      <right style="thin">
        <color rgb="FF3A3A3C"/>
      </right>
      <top style="thin">
        <color rgb="FF3A3A3C"/>
      </top>
      <bottom/>
      <diagonal/>
    </border>
    <border>
      <left style="thin">
        <color rgb="FF3A3A3C"/>
      </left>
      <right style="thin">
        <color rgb="FF3A3A3C"/>
      </right>
      <top/>
      <bottom/>
      <diagonal/>
    </border>
    <border>
      <left style="thin">
        <color rgb="FF3A3A3C"/>
      </left>
      <right/>
      <top/>
      <bottom/>
      <diagonal/>
    </border>
    <border>
      <left style="thin">
        <color rgb="FF3A3A3C"/>
      </left>
      <right/>
      <top style="thin">
        <color rgb="FF3A3A3C"/>
      </top>
      <bottom/>
      <diagonal/>
    </border>
    <border>
      <left style="thin">
        <color rgb="FF3A3A3C"/>
      </left>
      <right/>
      <top/>
      <bottom style="thin">
        <color rgb="FF3A3A3C"/>
      </bottom>
      <diagonal/>
    </border>
    <border>
      <left/>
      <right style="thin">
        <color rgb="FF3A3A3C"/>
      </right>
      <top/>
      <bottom style="thin">
        <color rgb="FF3A3A3C"/>
      </bottom>
      <diagonal/>
    </border>
    <border>
      <left/>
      <right/>
      <top/>
      <bottom style="medium">
        <color rgb="FF1E50FF"/>
      </bottom>
      <diagonal/>
    </border>
    <border>
      <left/>
      <right/>
      <top style="medium">
        <color rgb="FF1E50FF"/>
      </top>
      <bottom/>
      <diagonal/>
    </border>
    <border>
      <left/>
      <right style="thin">
        <color rgb="FF3A3A3C"/>
      </right>
      <top style="medium">
        <color rgb="FF1E50FF"/>
      </top>
      <bottom/>
      <diagonal/>
    </border>
    <border>
      <left style="thin">
        <color rgb="FF3A3A3C"/>
      </left>
      <right/>
      <top style="medium">
        <color rgb="FF1E50FF"/>
      </top>
      <bottom/>
      <diagonal/>
    </border>
  </borders>
  <cellStyleXfs count="3">
    <xf numFmtId="0" fontId="0" fillId="0" borderId="0"/>
    <xf numFmtId="43" fontId="27" fillId="0" borderId="0"/>
    <xf numFmtId="0" fontId="46" fillId="0" borderId="0" applyNumberFormat="0" applyFill="0" applyBorder="0" applyAlignment="0" applyProtection="0"/>
  </cellStyleXfs>
  <cellXfs count="207">
    <xf numFmtId="0" fontId="0" fillId="0" borderId="0" xfId="0"/>
    <xf numFmtId="0" fontId="0" fillId="2" borderId="0" xfId="0" applyFill="1"/>
    <xf numFmtId="0" fontId="5" fillId="3" borderId="0" xfId="0" applyFont="1" applyFill="1" applyAlignment="1">
      <alignment horizontal="right" vertical="center"/>
    </xf>
    <xf numFmtId="0" fontId="5" fillId="3" borderId="0" xfId="0" applyFont="1" applyFill="1" applyAlignment="1">
      <alignment horizontal="left" vertical="center"/>
    </xf>
    <xf numFmtId="0" fontId="10" fillId="4" borderId="4" xfId="0" applyFont="1" applyFill="1" applyBorder="1" applyAlignment="1">
      <alignment horizontal="left" vertical="center" indent="1"/>
    </xf>
    <xf numFmtId="0" fontId="11" fillId="2" borderId="0" xfId="0" applyFont="1" applyFill="1" applyAlignment="1">
      <alignment horizontal="left" vertical="center" indent="1"/>
    </xf>
    <xf numFmtId="164" fontId="6" fillId="2" borderId="0" xfId="0" applyNumberFormat="1" applyFont="1" applyFill="1" applyAlignment="1">
      <alignment horizontal="right" vertical="center"/>
    </xf>
    <xf numFmtId="164" fontId="12" fillId="2" borderId="0" xfId="0" applyNumberFormat="1" applyFont="1" applyFill="1" applyAlignment="1">
      <alignment horizontal="right" vertical="center"/>
    </xf>
    <xf numFmtId="0" fontId="10" fillId="4" borderId="4" xfId="0" applyFont="1" applyFill="1" applyBorder="1" applyAlignment="1">
      <alignment horizontal="center" vertical="center"/>
    </xf>
    <xf numFmtId="0" fontId="10" fillId="2" borderId="0" xfId="0" applyFont="1" applyFill="1" applyAlignment="1">
      <alignment horizontal="left" vertical="center"/>
    </xf>
    <xf numFmtId="0" fontId="13" fillId="2" borderId="0" xfId="0" applyFont="1" applyFill="1"/>
    <xf numFmtId="0" fontId="14" fillId="2" borderId="7" xfId="0" applyFont="1" applyFill="1" applyBorder="1" applyAlignment="1">
      <alignment horizontal="left" vertical="center" indent="1"/>
    </xf>
    <xf numFmtId="164" fontId="6" fillId="2" borderId="7" xfId="0" applyNumberFormat="1" applyFont="1" applyFill="1" applyBorder="1" applyAlignment="1">
      <alignment horizontal="right" vertical="center"/>
    </xf>
    <xf numFmtId="0" fontId="14" fillId="2" borderId="8" xfId="0" applyFont="1" applyFill="1" applyBorder="1" applyAlignment="1">
      <alignment horizontal="left" vertical="center" indent="1"/>
    </xf>
    <xf numFmtId="164" fontId="6" fillId="2" borderId="8" xfId="0" applyNumberFormat="1" applyFont="1" applyFill="1" applyBorder="1" applyAlignment="1">
      <alignment horizontal="right" vertical="center"/>
    </xf>
    <xf numFmtId="0" fontId="15" fillId="2" borderId="0" xfId="0" applyFont="1" applyFill="1" applyAlignment="1">
      <alignment horizontal="left" vertical="center" indent="2"/>
    </xf>
    <xf numFmtId="165" fontId="16" fillId="2" borderId="0" xfId="0" applyNumberFormat="1" applyFont="1" applyFill="1" applyAlignment="1">
      <alignment horizontal="right" vertical="center"/>
    </xf>
    <xf numFmtId="167" fontId="12" fillId="2" borderId="0" xfId="0" applyNumberFormat="1" applyFont="1" applyFill="1" applyAlignment="1">
      <alignment horizontal="right" vertical="center"/>
    </xf>
    <xf numFmtId="167" fontId="6" fillId="2" borderId="0" xfId="0" applyNumberFormat="1" applyFont="1" applyFill="1" applyAlignment="1">
      <alignment horizontal="right" vertical="center"/>
    </xf>
    <xf numFmtId="0" fontId="0" fillId="4" borderId="4" xfId="0" applyFill="1" applyBorder="1"/>
    <xf numFmtId="0" fontId="0" fillId="5" borderId="0" xfId="0" applyFill="1"/>
    <xf numFmtId="0" fontId="21" fillId="5" borderId="0" xfId="0" applyFont="1" applyFill="1" applyAlignment="1">
      <alignment horizontal="left"/>
    </xf>
    <xf numFmtId="0" fontId="22" fillId="5" borderId="0" xfId="0" applyFont="1" applyFill="1" applyAlignment="1">
      <alignment horizontal="left"/>
    </xf>
    <xf numFmtId="0" fontId="11" fillId="5" borderId="0" xfId="0" applyFont="1" applyFill="1" applyAlignment="1">
      <alignment horizontal="left"/>
    </xf>
    <xf numFmtId="170" fontId="3" fillId="5" borderId="0" xfId="0" applyNumberFormat="1" applyFont="1" applyFill="1" applyAlignment="1">
      <alignment horizontal="left"/>
    </xf>
    <xf numFmtId="0" fontId="21" fillId="5" borderId="0" xfId="0" applyFont="1" applyFill="1" applyAlignment="1">
      <alignment horizontal="right"/>
    </xf>
    <xf numFmtId="171" fontId="20" fillId="5" borderId="0" xfId="0" applyNumberFormat="1" applyFont="1" applyFill="1" applyAlignment="1">
      <alignment horizontal="right"/>
    </xf>
    <xf numFmtId="0" fontId="22" fillId="5" borderId="0" xfId="0" applyFont="1" applyFill="1" applyAlignment="1">
      <alignment horizontal="right"/>
    </xf>
    <xf numFmtId="0" fontId="1" fillId="5" borderId="0" xfId="0" applyFont="1" applyFill="1" applyAlignment="1">
      <alignment horizontal="left"/>
    </xf>
    <xf numFmtId="0" fontId="20" fillId="5" borderId="0" xfId="0" applyFont="1" applyFill="1" applyAlignment="1">
      <alignment horizontal="right"/>
    </xf>
    <xf numFmtId="0" fontId="23" fillId="5" borderId="0" xfId="0" applyFont="1" applyFill="1" applyAlignment="1">
      <alignment horizontal="left"/>
    </xf>
    <xf numFmtId="0" fontId="24" fillId="5" borderId="0" xfId="0" applyFont="1" applyFill="1" applyAlignment="1">
      <alignment horizontal="right"/>
    </xf>
    <xf numFmtId="0" fontId="25" fillId="5" borderId="0" xfId="0" applyFont="1" applyFill="1" applyAlignment="1">
      <alignment horizontal="right"/>
    </xf>
    <xf numFmtId="170" fontId="25" fillId="5" borderId="0" xfId="0" applyNumberFormat="1" applyFont="1" applyFill="1" applyAlignment="1">
      <alignment horizontal="left"/>
    </xf>
    <xf numFmtId="0" fontId="19" fillId="5" borderId="0" xfId="0" applyFont="1" applyFill="1" applyAlignment="1">
      <alignment horizontal="left"/>
    </xf>
    <xf numFmtId="0" fontId="5" fillId="8" borderId="0" xfId="0" applyFont="1" applyFill="1"/>
    <xf numFmtId="0" fontId="0" fillId="5" borderId="1" xfId="0" applyFill="1" applyBorder="1"/>
    <xf numFmtId="0" fontId="8" fillId="6" borderId="1" xfId="0" applyFont="1" applyFill="1" applyBorder="1" applyAlignment="1">
      <alignment horizontal="center"/>
    </xf>
    <xf numFmtId="0" fontId="10" fillId="6" borderId="1" xfId="0" applyFont="1" applyFill="1" applyBorder="1" applyAlignment="1">
      <alignment horizontal="center"/>
    </xf>
    <xf numFmtId="0" fontId="1" fillId="6" borderId="3" xfId="0" applyFont="1" applyFill="1" applyBorder="1" applyAlignment="1">
      <alignment horizontal="center"/>
    </xf>
    <xf numFmtId="0" fontId="5" fillId="8" borderId="10" xfId="0" applyFont="1" applyFill="1" applyBorder="1" applyAlignment="1">
      <alignment horizontal="left"/>
    </xf>
    <xf numFmtId="0" fontId="0" fillId="8" borderId="0" xfId="0" applyFill="1"/>
    <xf numFmtId="0" fontId="0" fillId="6" borderId="0" xfId="0" applyFill="1"/>
    <xf numFmtId="0" fontId="13" fillId="6" borderId="0" xfId="0" applyFont="1" applyFill="1" applyAlignment="1">
      <alignment vertical="top" wrapText="1"/>
    </xf>
    <xf numFmtId="0" fontId="0" fillId="6" borderId="0" xfId="0" applyFill="1" applyAlignment="1">
      <alignment wrapText="1"/>
    </xf>
    <xf numFmtId="0" fontId="5" fillId="8" borderId="0" xfId="0" applyFont="1" applyFill="1" applyAlignment="1">
      <alignment horizontal="right"/>
    </xf>
    <xf numFmtId="49" fontId="31" fillId="8" borderId="0" xfId="0" applyNumberFormat="1" applyFont="1" applyFill="1" applyAlignment="1">
      <alignment horizontal="left" vertical="center"/>
    </xf>
    <xf numFmtId="0" fontId="0" fillId="6" borderId="0" xfId="0" applyFill="1" applyAlignment="1">
      <alignment horizontal="left"/>
    </xf>
    <xf numFmtId="0" fontId="5" fillId="10" borderId="0" xfId="0" applyFont="1" applyFill="1" applyAlignment="1">
      <alignment horizontal="left"/>
    </xf>
    <xf numFmtId="164" fontId="20" fillId="10" borderId="0" xfId="0" applyNumberFormat="1" applyFont="1" applyFill="1" applyAlignment="1">
      <alignment horizontal="right"/>
    </xf>
    <xf numFmtId="164" fontId="8" fillId="10" borderId="0" xfId="0" applyNumberFormat="1" applyFont="1" applyFill="1" applyAlignment="1">
      <alignment horizontal="right"/>
    </xf>
    <xf numFmtId="165" fontId="20" fillId="10" borderId="0" xfId="0" applyNumberFormat="1" applyFont="1" applyFill="1" applyAlignment="1">
      <alignment horizontal="right"/>
    </xf>
    <xf numFmtId="165" fontId="8" fillId="10" borderId="0" xfId="0" applyNumberFormat="1" applyFont="1" applyFill="1" applyAlignment="1">
      <alignment horizontal="right"/>
    </xf>
    <xf numFmtId="166" fontId="20" fillId="10" borderId="0" xfId="0" applyNumberFormat="1" applyFont="1" applyFill="1" applyAlignment="1">
      <alignment horizontal="right"/>
    </xf>
    <xf numFmtId="166" fontId="8" fillId="10" borderId="0" xfId="0" applyNumberFormat="1" applyFont="1" applyFill="1" applyAlignment="1">
      <alignment horizontal="right"/>
    </xf>
    <xf numFmtId="0" fontId="5" fillId="10" borderId="0" xfId="0" applyFont="1" applyFill="1"/>
    <xf numFmtId="167" fontId="20" fillId="10" borderId="0" xfId="0" applyNumberFormat="1" applyFont="1" applyFill="1" applyAlignment="1">
      <alignment horizontal="right"/>
    </xf>
    <xf numFmtId="0" fontId="0" fillId="11" borderId="0" xfId="0" applyFill="1"/>
    <xf numFmtId="0" fontId="10" fillId="12" borderId="4" xfId="0" applyFont="1" applyFill="1" applyBorder="1" applyAlignment="1">
      <alignment horizontal="left" vertical="center" indent="1"/>
    </xf>
    <xf numFmtId="0" fontId="0" fillId="6" borderId="4" xfId="0" applyFill="1" applyBorder="1"/>
    <xf numFmtId="0" fontId="24" fillId="6" borderId="0" xfId="0" applyFont="1" applyFill="1" applyAlignment="1">
      <alignment horizontal="right"/>
    </xf>
    <xf numFmtId="0" fontId="25" fillId="6" borderId="0" xfId="0" applyFont="1" applyFill="1" applyAlignment="1">
      <alignment horizontal="right"/>
    </xf>
    <xf numFmtId="0" fontId="22" fillId="6" borderId="0" xfId="0" applyFont="1" applyFill="1" applyAlignment="1">
      <alignment horizontal="left"/>
    </xf>
    <xf numFmtId="170" fontId="25" fillId="6" borderId="0" xfId="0" applyNumberFormat="1" applyFont="1" applyFill="1" applyAlignment="1">
      <alignment horizontal="left"/>
    </xf>
    <xf numFmtId="0" fontId="19" fillId="6" borderId="0" xfId="0" applyFont="1" applyFill="1" applyAlignment="1">
      <alignment horizontal="left"/>
    </xf>
    <xf numFmtId="167" fontId="0" fillId="6" borderId="0" xfId="0" applyNumberFormat="1" applyFill="1"/>
    <xf numFmtId="0" fontId="0" fillId="6" borderId="0" xfId="0" applyFill="1" applyProtection="1">
      <protection locked="0"/>
    </xf>
    <xf numFmtId="0" fontId="32" fillId="8" borderId="0" xfId="0" applyFont="1" applyFill="1" applyAlignment="1" applyProtection="1">
      <alignment horizontal="left" vertical="center"/>
      <protection locked="0"/>
    </xf>
    <xf numFmtId="0" fontId="13" fillId="6" borderId="0" xfId="0" applyFont="1" applyFill="1" applyAlignment="1" applyProtection="1">
      <alignment horizontal="left"/>
      <protection locked="0"/>
    </xf>
    <xf numFmtId="0" fontId="37" fillId="6" borderId="0" xfId="0" applyFont="1" applyFill="1" applyProtection="1">
      <protection locked="0"/>
    </xf>
    <xf numFmtId="0" fontId="31" fillId="9" borderId="18" xfId="0" applyFont="1" applyFill="1" applyBorder="1" applyAlignment="1" applyProtection="1">
      <alignment horizontal="center"/>
      <protection locked="0"/>
    </xf>
    <xf numFmtId="0" fontId="10" fillId="7" borderId="0" xfId="0" applyFont="1" applyFill="1" applyAlignment="1" applyProtection="1">
      <alignment horizontal="center"/>
      <protection locked="0"/>
    </xf>
    <xf numFmtId="0" fontId="0" fillId="6" borderId="15" xfId="0" applyFill="1" applyBorder="1" applyProtection="1">
      <protection locked="0"/>
    </xf>
    <xf numFmtId="0" fontId="10" fillId="7" borderId="2" xfId="0" applyFont="1" applyFill="1" applyBorder="1" applyAlignment="1" applyProtection="1">
      <alignment horizontal="center"/>
      <protection locked="0"/>
    </xf>
    <xf numFmtId="0" fontId="10" fillId="7" borderId="3" xfId="0" applyFont="1" applyFill="1" applyBorder="1" applyAlignment="1" applyProtection="1">
      <alignment horizontal="center"/>
      <protection locked="0"/>
    </xf>
    <xf numFmtId="0" fontId="28" fillId="9" borderId="14" xfId="0" applyFont="1" applyFill="1" applyBorder="1" applyAlignment="1" applyProtection="1">
      <alignment horizontal="left"/>
      <protection locked="0"/>
    </xf>
    <xf numFmtId="3" fontId="34" fillId="9" borderId="0" xfId="0" applyNumberFormat="1" applyFont="1" applyFill="1" applyAlignment="1" applyProtection="1">
      <alignment horizontal="center"/>
      <protection locked="0"/>
    </xf>
    <xf numFmtId="3" fontId="34" fillId="9" borderId="10" xfId="0" applyNumberFormat="1" applyFont="1" applyFill="1" applyBorder="1" applyAlignment="1" applyProtection="1">
      <alignment horizontal="center"/>
      <protection locked="0"/>
    </xf>
    <xf numFmtId="165" fontId="34" fillId="9" borderId="0" xfId="0" applyNumberFormat="1" applyFont="1" applyFill="1" applyAlignment="1" applyProtection="1">
      <alignment horizontal="center"/>
      <protection locked="0"/>
    </xf>
    <xf numFmtId="165" fontId="34" fillId="9" borderId="10" xfId="0" applyNumberFormat="1" applyFont="1" applyFill="1" applyBorder="1" applyAlignment="1" applyProtection="1">
      <alignment horizontal="center"/>
      <protection locked="0"/>
    </xf>
    <xf numFmtId="0" fontId="28" fillId="9" borderId="16" xfId="0" applyFont="1" applyFill="1" applyBorder="1" applyAlignment="1" applyProtection="1">
      <alignment horizontal="left"/>
      <protection locked="0"/>
    </xf>
    <xf numFmtId="165" fontId="34" fillId="9" borderId="6" xfId="0" applyNumberFormat="1" applyFont="1" applyFill="1" applyBorder="1" applyAlignment="1" applyProtection="1">
      <alignment horizontal="center"/>
      <protection locked="0"/>
    </xf>
    <xf numFmtId="165" fontId="34" fillId="9" borderId="17" xfId="0" applyNumberFormat="1" applyFont="1" applyFill="1" applyBorder="1" applyAlignment="1" applyProtection="1">
      <alignment horizontal="center"/>
      <protection locked="0"/>
    </xf>
    <xf numFmtId="0" fontId="40" fillId="6" borderId="0" xfId="0" applyFont="1" applyFill="1" applyProtection="1">
      <protection locked="0"/>
    </xf>
    <xf numFmtId="0" fontId="35" fillId="7" borderId="6" xfId="0" applyFont="1" applyFill="1" applyBorder="1" applyAlignment="1" applyProtection="1">
      <alignment horizontal="center"/>
      <protection locked="0"/>
    </xf>
    <xf numFmtId="0" fontId="3" fillId="6" borderId="0" xfId="0" applyFont="1" applyFill="1" applyAlignment="1" applyProtection="1">
      <alignment horizontal="left"/>
      <protection locked="0"/>
    </xf>
    <xf numFmtId="0" fontId="3" fillId="6" borderId="9" xfId="0" applyFont="1" applyFill="1" applyBorder="1" applyAlignment="1" applyProtection="1">
      <alignment horizontal="left"/>
      <protection locked="0"/>
    </xf>
    <xf numFmtId="0" fontId="3" fillId="6" borderId="2" xfId="0" applyFont="1" applyFill="1" applyBorder="1" applyAlignment="1" applyProtection="1">
      <alignment horizontal="left"/>
      <protection locked="0"/>
    </xf>
    <xf numFmtId="0" fontId="41" fillId="6" borderId="0" xfId="0" applyFont="1" applyFill="1" applyAlignment="1" applyProtection="1">
      <alignment horizontal="left"/>
      <protection locked="0"/>
    </xf>
    <xf numFmtId="167" fontId="41" fillId="6" borderId="0" xfId="0" applyNumberFormat="1" applyFont="1" applyFill="1" applyAlignment="1" applyProtection="1">
      <alignment horizontal="right"/>
      <protection locked="0"/>
    </xf>
    <xf numFmtId="164" fontId="41" fillId="6" borderId="0" xfId="0" applyNumberFormat="1" applyFont="1" applyFill="1" applyAlignment="1" applyProtection="1">
      <alignment horizontal="right"/>
      <protection locked="0"/>
    </xf>
    <xf numFmtId="165" fontId="41" fillId="6" borderId="0" xfId="0" applyNumberFormat="1" applyFont="1" applyFill="1" applyAlignment="1" applyProtection="1">
      <alignment horizontal="right"/>
      <protection locked="0"/>
    </xf>
    <xf numFmtId="0" fontId="41" fillId="6" borderId="0" xfId="0" applyFont="1" applyFill="1" applyAlignment="1" applyProtection="1">
      <alignment horizontal="right"/>
      <protection locked="0"/>
    </xf>
    <xf numFmtId="165" fontId="12" fillId="6" borderId="0" xfId="0" applyNumberFormat="1" applyFont="1" applyFill="1" applyAlignment="1" applyProtection="1">
      <alignment horizontal="right"/>
      <protection locked="0"/>
    </xf>
    <xf numFmtId="172" fontId="41" fillId="6" borderId="0" xfId="0" applyNumberFormat="1" applyFont="1" applyFill="1" applyAlignment="1" applyProtection="1">
      <alignment horizontal="right"/>
      <protection locked="0"/>
    </xf>
    <xf numFmtId="0" fontId="35" fillId="7" borderId="0" xfId="0" applyFont="1" applyFill="1" applyAlignment="1" applyProtection="1">
      <alignment horizontal="left"/>
      <protection locked="0"/>
    </xf>
    <xf numFmtId="0" fontId="35" fillId="7" borderId="0" xfId="0" applyFont="1" applyFill="1" applyAlignment="1" applyProtection="1">
      <alignment horizontal="center"/>
      <protection locked="0"/>
    </xf>
    <xf numFmtId="0" fontId="13" fillId="6" borderId="6" xfId="0" applyFont="1" applyFill="1" applyBorder="1" applyAlignment="1" applyProtection="1">
      <alignment horizontal="left"/>
      <protection locked="0"/>
    </xf>
    <xf numFmtId="0" fontId="42" fillId="6" borderId="0" xfId="0" applyFont="1" applyFill="1"/>
    <xf numFmtId="0" fontId="3" fillId="6" borderId="12" xfId="0" applyFont="1" applyFill="1" applyBorder="1" applyAlignment="1" applyProtection="1">
      <alignment horizontal="right"/>
      <protection locked="0"/>
    </xf>
    <xf numFmtId="164" fontId="3" fillId="6" borderId="1" xfId="0" applyNumberFormat="1" applyFont="1" applyFill="1" applyBorder="1" applyAlignment="1" applyProtection="1">
      <alignment horizontal="right"/>
      <protection locked="0"/>
    </xf>
    <xf numFmtId="164" fontId="3" fillId="6" borderId="12" xfId="0" applyNumberFormat="1" applyFont="1" applyFill="1" applyBorder="1" applyAlignment="1" applyProtection="1">
      <alignment horizontal="right"/>
      <protection locked="0"/>
    </xf>
    <xf numFmtId="3" fontId="3" fillId="6" borderId="12" xfId="0" applyNumberFormat="1" applyFont="1" applyFill="1" applyBorder="1" applyAlignment="1" applyProtection="1">
      <alignment horizontal="right"/>
      <protection locked="0"/>
    </xf>
    <xf numFmtId="164" fontId="26" fillId="6" borderId="12" xfId="0" applyNumberFormat="1" applyFont="1" applyFill="1" applyBorder="1" applyAlignment="1" applyProtection="1">
      <alignment horizontal="right"/>
      <protection locked="0"/>
    </xf>
    <xf numFmtId="165" fontId="3" fillId="6" borderId="1" xfId="0" applyNumberFormat="1" applyFont="1" applyFill="1" applyBorder="1" applyAlignment="1" applyProtection="1">
      <alignment horizontal="right"/>
      <protection locked="0"/>
    </xf>
    <xf numFmtId="165" fontId="3" fillId="6" borderId="12" xfId="0" applyNumberFormat="1" applyFont="1" applyFill="1" applyBorder="1" applyAlignment="1" applyProtection="1">
      <alignment horizontal="right"/>
      <protection locked="0"/>
    </xf>
    <xf numFmtId="173" fontId="3" fillId="6" borderId="1" xfId="0" applyNumberFormat="1" applyFont="1" applyFill="1" applyBorder="1" applyAlignment="1" applyProtection="1">
      <alignment horizontal="right"/>
      <protection locked="0"/>
    </xf>
    <xf numFmtId="165" fontId="3" fillId="6" borderId="11" xfId="0" applyNumberFormat="1" applyFont="1" applyFill="1" applyBorder="1" applyAlignment="1" applyProtection="1">
      <alignment horizontal="right"/>
      <protection locked="0"/>
    </xf>
    <xf numFmtId="164" fontId="3" fillId="6" borderId="13" xfId="0" applyNumberFormat="1" applyFont="1" applyFill="1" applyBorder="1" applyAlignment="1" applyProtection="1">
      <alignment horizontal="right"/>
      <protection locked="0"/>
    </xf>
    <xf numFmtId="0" fontId="3" fillId="6" borderId="1" xfId="0" applyFont="1" applyFill="1" applyBorder="1" applyAlignment="1" applyProtection="1">
      <alignment horizontal="left"/>
      <protection locked="0"/>
    </xf>
    <xf numFmtId="167" fontId="3" fillId="6" borderId="1" xfId="0" applyNumberFormat="1" applyFont="1" applyFill="1" applyBorder="1" applyAlignment="1" applyProtection="1">
      <alignment horizontal="right"/>
      <protection locked="0"/>
    </xf>
    <xf numFmtId="167" fontId="3" fillId="6" borderId="1" xfId="0" applyNumberFormat="1" applyFont="1" applyFill="1" applyBorder="1" applyAlignment="1" applyProtection="1">
      <alignment horizontal="left"/>
      <protection locked="0"/>
    </xf>
    <xf numFmtId="172" fontId="3" fillId="6" borderId="1" xfId="0" applyNumberFormat="1" applyFont="1" applyFill="1" applyBorder="1" applyAlignment="1" applyProtection="1">
      <alignment horizontal="left"/>
      <protection locked="0"/>
    </xf>
    <xf numFmtId="172" fontId="3" fillId="6" borderId="1" xfId="0" applyNumberFormat="1" applyFont="1" applyFill="1" applyBorder="1" applyAlignment="1" applyProtection="1">
      <alignment horizontal="right"/>
      <protection locked="0"/>
    </xf>
    <xf numFmtId="165" fontId="12" fillId="6" borderId="1" xfId="0" applyNumberFormat="1" applyFont="1" applyFill="1" applyBorder="1" applyAlignment="1" applyProtection="1">
      <alignment horizontal="right"/>
      <protection locked="0"/>
    </xf>
    <xf numFmtId="0" fontId="41" fillId="6" borderId="1" xfId="0" applyFont="1" applyFill="1" applyBorder="1" applyAlignment="1" applyProtection="1">
      <alignment horizontal="left"/>
      <protection locked="0"/>
    </xf>
    <xf numFmtId="164" fontId="41" fillId="6" borderId="1" xfId="0" applyNumberFormat="1" applyFont="1" applyFill="1" applyBorder="1" applyAlignment="1" applyProtection="1">
      <alignment horizontal="right"/>
      <protection locked="0"/>
    </xf>
    <xf numFmtId="167" fontId="41" fillId="6" borderId="1" xfId="0" applyNumberFormat="1" applyFont="1" applyFill="1" applyBorder="1" applyAlignment="1" applyProtection="1">
      <alignment horizontal="right"/>
      <protection locked="0"/>
    </xf>
    <xf numFmtId="0" fontId="10" fillId="8" borderId="0" xfId="0" applyFont="1" applyFill="1" applyAlignment="1" applyProtection="1">
      <alignment horizontal="left"/>
      <protection locked="0"/>
    </xf>
    <xf numFmtId="0" fontId="5" fillId="8" borderId="0" xfId="0" applyFont="1" applyFill="1" applyAlignment="1" applyProtection="1">
      <alignment horizontal="left"/>
      <protection locked="0"/>
    </xf>
    <xf numFmtId="164" fontId="0" fillId="6" borderId="0" xfId="0" applyNumberFormat="1" applyFill="1"/>
    <xf numFmtId="0" fontId="0" fillId="8" borderId="0" xfId="0" applyFill="1" applyProtection="1">
      <protection locked="0"/>
    </xf>
    <xf numFmtId="0" fontId="3" fillId="8" borderId="1" xfId="0" applyFont="1"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26" fillId="8" borderId="1" xfId="0" applyFont="1" applyFill="1" applyBorder="1" applyAlignment="1" applyProtection="1">
      <alignment horizontal="center"/>
      <protection locked="0"/>
    </xf>
    <xf numFmtId="0" fontId="33" fillId="8" borderId="1" xfId="0" applyFont="1" applyFill="1" applyBorder="1" applyAlignment="1" applyProtection="1">
      <alignment horizontal="center"/>
      <protection locked="0"/>
    </xf>
    <xf numFmtId="0" fontId="35" fillId="8" borderId="1" xfId="0" applyFont="1" applyFill="1" applyBorder="1" applyAlignment="1" applyProtection="1">
      <alignment horizontal="center"/>
      <protection locked="0"/>
    </xf>
    <xf numFmtId="0" fontId="3" fillId="8" borderId="0" xfId="0" applyFont="1" applyFill="1" applyAlignment="1" applyProtection="1">
      <alignment vertical="center"/>
      <protection locked="0"/>
    </xf>
    <xf numFmtId="0" fontId="0" fillId="14" borderId="0" xfId="0" applyFill="1"/>
    <xf numFmtId="0" fontId="24" fillId="14" borderId="19" xfId="0" applyFont="1" applyFill="1" applyBorder="1" applyAlignment="1">
      <alignment horizontal="left"/>
    </xf>
    <xf numFmtId="0" fontId="0" fillId="14" borderId="10" xfId="0" applyFill="1" applyBorder="1"/>
    <xf numFmtId="0" fontId="44" fillId="14" borderId="0" xfId="0" applyFont="1" applyFill="1" applyAlignment="1">
      <alignment horizontal="left" vertical="center"/>
    </xf>
    <xf numFmtId="0" fontId="2" fillId="14" borderId="0" xfId="0" applyFont="1" applyFill="1" applyAlignment="1">
      <alignment horizontal="left" vertical="center"/>
    </xf>
    <xf numFmtId="0" fontId="30" fillId="14" borderId="14" xfId="0" applyFont="1" applyFill="1" applyBorder="1" applyAlignment="1">
      <alignment horizontal="left" vertical="center"/>
    </xf>
    <xf numFmtId="0" fontId="34" fillId="14" borderId="14" xfId="0" applyFont="1" applyFill="1" applyBorder="1" applyAlignment="1">
      <alignment horizontal="left" vertical="center"/>
    </xf>
    <xf numFmtId="0" fontId="3" fillId="9" borderId="12" xfId="0" applyFont="1" applyFill="1" applyBorder="1" applyAlignment="1">
      <alignment horizontal="center" vertical="center"/>
    </xf>
    <xf numFmtId="0" fontId="3" fillId="9" borderId="1" xfId="0" applyFont="1" applyFill="1" applyBorder="1" applyAlignment="1">
      <alignment horizontal="center" vertical="center"/>
    </xf>
    <xf numFmtId="0" fontId="5" fillId="8" borderId="0" xfId="0" applyFont="1" applyFill="1" applyAlignment="1">
      <alignment horizontal="right" vertical="center"/>
    </xf>
    <xf numFmtId="0" fontId="32" fillId="8" borderId="0" xfId="0" applyFont="1" applyFill="1" applyAlignment="1">
      <alignment horizontal="left" vertical="center"/>
    </xf>
    <xf numFmtId="0" fontId="10" fillId="8" borderId="0" xfId="0" applyFont="1" applyFill="1" applyAlignment="1">
      <alignment horizontal="left"/>
    </xf>
    <xf numFmtId="0" fontId="3" fillId="8" borderId="1" xfId="0" applyFont="1" applyFill="1" applyBorder="1" applyAlignment="1">
      <alignment horizontal="center"/>
    </xf>
    <xf numFmtId="0" fontId="5" fillId="8" borderId="0" xfId="0" applyFont="1" applyFill="1" applyAlignment="1">
      <alignment horizontal="left"/>
    </xf>
    <xf numFmtId="0" fontId="6" fillId="8" borderId="1" xfId="0" applyFont="1" applyFill="1" applyBorder="1" applyAlignment="1">
      <alignment horizontal="center"/>
    </xf>
    <xf numFmtId="0" fontId="26" fillId="8" borderId="1" xfId="0" applyFont="1" applyFill="1" applyBorder="1" applyAlignment="1">
      <alignment horizontal="center"/>
    </xf>
    <xf numFmtId="0" fontId="33" fillId="8" borderId="1" xfId="0" applyFont="1" applyFill="1" applyBorder="1" applyAlignment="1">
      <alignment horizontal="center"/>
    </xf>
    <xf numFmtId="0" fontId="35" fillId="8" borderId="1" xfId="0" applyFont="1" applyFill="1" applyBorder="1" applyAlignment="1">
      <alignment horizontal="center"/>
    </xf>
    <xf numFmtId="0" fontId="35" fillId="7" borderId="6" xfId="0" applyFont="1" applyFill="1" applyBorder="1" applyAlignment="1">
      <alignment horizontal="center"/>
    </xf>
    <xf numFmtId="0" fontId="3" fillId="8" borderId="0" xfId="0" applyFont="1" applyFill="1" applyAlignment="1">
      <alignment vertical="center"/>
    </xf>
    <xf numFmtId="0" fontId="41" fillId="6" borderId="0" xfId="0" applyFont="1" applyFill="1" applyAlignment="1">
      <alignment horizontal="left"/>
    </xf>
    <xf numFmtId="0" fontId="3" fillId="6" borderId="1" xfId="0" applyFont="1" applyFill="1" applyBorder="1" applyAlignment="1">
      <alignment horizontal="left"/>
    </xf>
    <xf numFmtId="0" fontId="4" fillId="8" borderId="0" xfId="0" applyFont="1" applyFill="1"/>
    <xf numFmtId="0" fontId="45" fillId="8" borderId="0" xfId="0" applyFont="1" applyFill="1" applyAlignment="1">
      <alignment vertical="center" wrapText="1"/>
    </xf>
    <xf numFmtId="0" fontId="7" fillId="8" borderId="0" xfId="0" applyFont="1" applyFill="1"/>
    <xf numFmtId="0" fontId="4" fillId="8" borderId="0" xfId="0" applyFont="1" applyFill="1" applyAlignment="1">
      <alignment horizontal="left"/>
    </xf>
    <xf numFmtId="0" fontId="4" fillId="8" borderId="0" xfId="0" applyFont="1" applyFill="1" applyAlignment="1" applyProtection="1">
      <alignment horizontal="left"/>
      <protection locked="0"/>
    </xf>
    <xf numFmtId="164" fontId="12" fillId="2" borderId="0" xfId="0" applyNumberFormat="1" applyFont="1" applyFill="1" applyAlignment="1">
      <alignment horizontal="right" vertical="center"/>
    </xf>
    <xf numFmtId="0" fontId="0" fillId="0" borderId="0" xfId="0"/>
    <xf numFmtId="168" fontId="5" fillId="2" borderId="0" xfId="0" applyNumberFormat="1" applyFont="1" applyFill="1" applyAlignment="1">
      <alignment horizontal="right" vertical="center"/>
    </xf>
    <xf numFmtId="0" fontId="10" fillId="12" borderId="5" xfId="0" applyFont="1" applyFill="1" applyBorder="1" applyAlignment="1">
      <alignment horizontal="right" vertical="center"/>
    </xf>
    <xf numFmtId="0" fontId="0" fillId="8" borderId="6" xfId="0" applyFill="1" applyBorder="1"/>
    <xf numFmtId="0" fontId="19" fillId="2" borderId="0" xfId="0" applyFont="1" applyFill="1" applyAlignment="1">
      <alignment horizontal="left" vertical="center" indent="1"/>
    </xf>
    <xf numFmtId="0" fontId="8" fillId="2" borderId="0" xfId="0" applyFont="1" applyFill="1" applyAlignment="1">
      <alignment horizontal="center" vertical="center"/>
    </xf>
    <xf numFmtId="164" fontId="5" fillId="2" borderId="0" xfId="0" applyNumberFormat="1" applyFont="1" applyFill="1" applyAlignment="1">
      <alignment horizontal="right" vertical="center"/>
    </xf>
    <xf numFmtId="0" fontId="7" fillId="3" borderId="0" xfId="0" applyFont="1" applyFill="1" applyAlignment="1">
      <alignment horizontal="left" vertical="center"/>
    </xf>
    <xf numFmtId="0" fontId="0" fillId="8" borderId="0" xfId="0" applyFill="1"/>
    <xf numFmtId="168" fontId="12" fillId="2" borderId="0" xfId="0" applyNumberFormat="1" applyFont="1" applyFill="1" applyAlignment="1">
      <alignment horizontal="right" vertical="center"/>
    </xf>
    <xf numFmtId="0" fontId="24" fillId="14" borderId="21" xfId="0" applyFont="1" applyFill="1" applyBorder="1" applyAlignment="1">
      <alignment horizontal="left"/>
    </xf>
    <xf numFmtId="0" fontId="0" fillId="0" borderId="20" xfId="0" applyBorder="1"/>
    <xf numFmtId="0" fontId="9" fillId="7" borderId="0" xfId="0" applyFont="1" applyFill="1" applyAlignment="1">
      <alignment horizontal="left" vertical="center" indent="1"/>
    </xf>
    <xf numFmtId="174" fontId="32" fillId="14" borderId="14" xfId="0" applyNumberFormat="1" applyFont="1" applyFill="1" applyBorder="1" applyAlignment="1">
      <alignment horizontal="left" vertical="center"/>
    </xf>
    <xf numFmtId="0" fontId="0" fillId="0" borderId="10" xfId="0" applyBorder="1"/>
    <xf numFmtId="176" fontId="32" fillId="14" borderId="14" xfId="0" applyNumberFormat="1" applyFont="1" applyFill="1" applyBorder="1" applyAlignment="1">
      <alignment horizontal="left" vertical="center"/>
    </xf>
    <xf numFmtId="0" fontId="5" fillId="12" borderId="0" xfId="0" applyFont="1" applyFill="1" applyAlignment="1">
      <alignment horizontal="right" vertical="center" indent="1"/>
    </xf>
    <xf numFmtId="0" fontId="9" fillId="4" borderId="0" xfId="0" applyFont="1" applyFill="1" applyAlignment="1">
      <alignment horizontal="left" vertical="center" indent="1"/>
    </xf>
    <xf numFmtId="0" fontId="5" fillId="4" borderId="0" xfId="0" applyFont="1" applyFill="1" applyAlignment="1">
      <alignment horizontal="right" vertical="center" indent="1"/>
    </xf>
    <xf numFmtId="169" fontId="12" fillId="2" borderId="0" xfId="0" applyNumberFormat="1" applyFont="1" applyFill="1" applyAlignment="1">
      <alignment horizontal="right" vertical="center"/>
    </xf>
    <xf numFmtId="0" fontId="15" fillId="2" borderId="0" xfId="0" applyFont="1" applyFill="1" applyAlignment="1">
      <alignment horizontal="left" vertical="center"/>
    </xf>
    <xf numFmtId="0" fontId="9" fillId="12" borderId="0" xfId="0" applyFont="1" applyFill="1" applyAlignment="1">
      <alignment horizontal="left" vertical="center" indent="1"/>
    </xf>
    <xf numFmtId="164" fontId="6" fillId="2" borderId="0" xfId="0" applyNumberFormat="1" applyFont="1" applyFill="1" applyAlignment="1">
      <alignment horizontal="right" vertical="center"/>
    </xf>
    <xf numFmtId="0" fontId="17" fillId="4" borderId="0" xfId="0" applyFont="1" applyFill="1" applyAlignment="1">
      <alignment horizontal="left" vertical="center" indent="1"/>
    </xf>
    <xf numFmtId="0" fontId="4" fillId="3" borderId="0" xfId="0" applyFont="1" applyFill="1" applyAlignment="1">
      <alignment horizontal="left" vertical="center"/>
    </xf>
    <xf numFmtId="0" fontId="18" fillId="4" borderId="0" xfId="0" applyFont="1" applyFill="1" applyAlignment="1">
      <alignment horizontal="center" vertical="center"/>
    </xf>
    <xf numFmtId="0" fontId="24" fillId="14" borderId="19" xfId="0" applyFont="1" applyFill="1" applyBorder="1" applyAlignment="1">
      <alignment horizontal="left"/>
    </xf>
    <xf numFmtId="174" fontId="32" fillId="14" borderId="0" xfId="0" applyNumberFormat="1" applyFont="1" applyFill="1" applyAlignment="1">
      <alignment horizontal="left" vertical="center"/>
    </xf>
    <xf numFmtId="175" fontId="32" fillId="14" borderId="14" xfId="0" applyNumberFormat="1" applyFont="1" applyFill="1" applyBorder="1" applyAlignment="1">
      <alignment horizontal="left" vertical="center"/>
    </xf>
    <xf numFmtId="0" fontId="29" fillId="6" borderId="0" xfId="0" applyFont="1" applyFill="1" applyAlignment="1" applyProtection="1">
      <alignment horizontal="left"/>
      <protection locked="0"/>
    </xf>
    <xf numFmtId="0" fontId="3" fillId="8" borderId="0" xfId="0" applyFont="1" applyFill="1" applyAlignment="1" applyProtection="1">
      <alignment horizontal="left" vertical="center"/>
      <protection locked="0"/>
    </xf>
    <xf numFmtId="0" fontId="40" fillId="6" borderId="0" xfId="0" applyFont="1" applyFill="1" applyProtection="1">
      <protection locked="0"/>
    </xf>
    <xf numFmtId="0" fontId="6" fillId="13" borderId="0" xfId="0" applyFont="1" applyFill="1" applyAlignment="1" applyProtection="1">
      <alignment horizontal="left" vertical="center"/>
      <protection locked="0"/>
    </xf>
    <xf numFmtId="0" fontId="39" fillId="6" borderId="0" xfId="0" applyFont="1" applyFill="1" applyProtection="1">
      <protection locked="0"/>
    </xf>
    <xf numFmtId="0" fontId="1" fillId="8" borderId="0" xfId="0" applyFont="1" applyFill="1" applyAlignment="1" applyProtection="1">
      <alignment horizontal="left" vertical="center"/>
      <protection locked="0"/>
    </xf>
    <xf numFmtId="0" fontId="29" fillId="6" borderId="0" xfId="0" applyFont="1" applyFill="1" applyProtection="1">
      <protection locked="0"/>
    </xf>
    <xf numFmtId="0" fontId="43" fillId="6" borderId="0" xfId="0" applyFont="1" applyFill="1" applyAlignment="1" applyProtection="1">
      <alignment horizontal="left"/>
      <protection locked="0"/>
    </xf>
    <xf numFmtId="0" fontId="36" fillId="6" borderId="0" xfId="0" applyFont="1" applyFill="1" applyAlignment="1" applyProtection="1">
      <alignment horizontal="left"/>
      <protection locked="0"/>
    </xf>
    <xf numFmtId="0" fontId="3" fillId="8" borderId="0" xfId="0" applyFont="1" applyFill="1" applyAlignment="1">
      <alignment horizontal="left" vertical="center"/>
    </xf>
    <xf numFmtId="0" fontId="40" fillId="6" borderId="0" xfId="0" applyFont="1" applyFill="1"/>
    <xf numFmtId="0" fontId="30" fillId="6" borderId="0" xfId="0" applyFont="1" applyFill="1" applyAlignment="1" applyProtection="1">
      <alignment horizontal="left"/>
      <protection locked="0"/>
    </xf>
    <xf numFmtId="0" fontId="36" fillId="8" borderId="0" xfId="0" applyFont="1" applyFill="1" applyAlignment="1">
      <alignment horizontal="left" vertical="center"/>
    </xf>
    <xf numFmtId="0" fontId="29" fillId="8" borderId="0" xfId="0" applyFont="1" applyFill="1" applyAlignment="1">
      <alignment horizontal="left" vertical="center"/>
    </xf>
    <xf numFmtId="0" fontId="1" fillId="8" borderId="0" xfId="0" applyFont="1" applyFill="1" applyAlignment="1">
      <alignment horizontal="left" vertical="center"/>
    </xf>
    <xf numFmtId="0" fontId="38" fillId="6" borderId="0" xfId="0" applyFont="1" applyFill="1" applyAlignment="1" applyProtection="1">
      <alignment horizontal="left"/>
      <protection locked="0"/>
    </xf>
    <xf numFmtId="0" fontId="36" fillId="8" borderId="0" xfId="0" applyFont="1" applyFill="1" applyAlignment="1" applyProtection="1">
      <alignment horizontal="left" vertical="center"/>
      <protection locked="0"/>
    </xf>
    <xf numFmtId="0" fontId="29" fillId="8" borderId="0" xfId="0" applyFont="1" applyFill="1" applyAlignment="1" applyProtection="1">
      <alignment horizontal="left" vertical="center"/>
      <protection locked="0"/>
    </xf>
    <xf numFmtId="0" fontId="0" fillId="15" borderId="0" xfId="0" applyFill="1"/>
    <xf numFmtId="0" fontId="0" fillId="7" borderId="0" xfId="0" applyFill="1"/>
    <xf numFmtId="0" fontId="0" fillId="7" borderId="0" xfId="0" applyFill="1"/>
    <xf numFmtId="0" fontId="47" fillId="7" borderId="0" xfId="2" applyFont="1" applyFill="1" applyAlignment="1">
      <alignment horizontal="left"/>
    </xf>
  </cellXfs>
  <cellStyles count="3">
    <cellStyle name="Comma 2" xfId="1" xr:uid="{6C8F6730-F0F4-3745-BD50-D3221617346B}"/>
    <cellStyle name="Hyperlink" xfId="2" builtinId="8"/>
    <cellStyle name="Normal" xfId="0" builtinId="0"/>
  </cellStyles>
  <dxfs count="54">
    <dxf>
      <font>
        <color rgb="FFF2F2F2"/>
      </font>
    </dxf>
    <dxf>
      <font>
        <color rgb="FFF2F2F2"/>
      </font>
    </dxf>
    <dxf>
      <font>
        <color rgb="FF2A2C30"/>
      </font>
      <fill>
        <patternFill patternType="solid">
          <fgColor indexed="64"/>
          <bgColor rgb="FF0F0F10"/>
        </patternFill>
      </fill>
    </dxf>
    <dxf>
      <font>
        <color rgb="FF2A2C30"/>
      </font>
      <fill>
        <patternFill patternType="solid">
          <fgColor indexed="64"/>
          <bgColor rgb="FF0F0F10"/>
        </patternFill>
      </fill>
    </dxf>
    <dxf>
      <font>
        <color rgb="FF8896B3"/>
      </font>
    </dxf>
    <dxf>
      <font>
        <color rgb="FF10B981"/>
      </font>
    </dxf>
    <dxf>
      <font>
        <color rgb="FF8896B3"/>
      </font>
    </dxf>
    <dxf>
      <font>
        <color rgb="FF10B981"/>
      </font>
    </dxf>
    <dxf>
      <font>
        <b/>
        <sz val="10"/>
        <color rgb="FFFFC857"/>
        <name val="Consolas"/>
      </font>
    </dxf>
    <dxf>
      <font>
        <b/>
        <sz val="10"/>
        <color rgb="FF10B981"/>
        <name val="Consolas"/>
      </font>
    </dxf>
    <dxf>
      <font>
        <b/>
        <sz val="14"/>
        <color rgb="FFE5484D"/>
        <name val="Consolas"/>
      </font>
    </dxf>
    <dxf>
      <font>
        <b/>
        <sz val="14"/>
        <color rgb="FF10B981"/>
        <name val="Consolas"/>
      </font>
    </dxf>
    <dxf>
      <font>
        <color rgb="FF10B981"/>
      </font>
    </dxf>
    <dxf>
      <font>
        <color rgb="FFE5484D"/>
      </font>
    </dxf>
    <dxf>
      <font>
        <color rgb="FF1E50FF"/>
      </font>
    </dxf>
    <dxf>
      <font>
        <b/>
        <sz val="10"/>
        <color rgb="FF10B981"/>
        <name val="Consolas"/>
      </font>
    </dxf>
    <dxf>
      <font>
        <b/>
        <sz val="10"/>
        <color rgb="FFFFC857"/>
        <name val="Consolas"/>
      </font>
    </dxf>
    <dxf>
      <font>
        <b/>
        <sz val="11"/>
        <color rgb="FFE5484D"/>
        <name val="Consolas"/>
      </font>
    </dxf>
    <dxf>
      <font>
        <b/>
        <sz val="11"/>
        <color rgb="FF10B981"/>
        <name val="Consolas"/>
      </font>
    </dxf>
    <dxf>
      <font>
        <b/>
        <sz val="11"/>
        <color rgb="FFE5484D"/>
        <name val="Consolas"/>
      </font>
    </dxf>
    <dxf>
      <font>
        <b/>
        <sz val="11"/>
        <color rgb="FF10B981"/>
        <name val="Consolas"/>
      </font>
    </dxf>
    <dxf>
      <font>
        <b/>
        <sz val="11"/>
        <color rgb="FFE5484D"/>
        <name val="Consolas"/>
      </font>
    </dxf>
    <dxf>
      <font>
        <b/>
        <sz val="11"/>
        <color rgb="FF10B981"/>
        <name val="Consolas"/>
      </font>
    </dxf>
    <dxf>
      <font>
        <b/>
        <sz val="11"/>
        <color rgb="FFE5484D"/>
        <name val="Consolas"/>
      </font>
    </dxf>
    <dxf>
      <font>
        <b/>
        <sz val="11"/>
        <color rgb="FF10B981"/>
        <name val="Consolas"/>
      </font>
    </dxf>
    <dxf>
      <font>
        <b/>
        <sz val="11"/>
        <color rgb="FFE5484D"/>
        <name val="Consolas"/>
      </font>
    </dxf>
    <dxf>
      <font>
        <b/>
        <sz val="11"/>
        <color rgb="FF10B981"/>
        <name val="Consolas"/>
      </font>
    </dxf>
    <dxf>
      <font>
        <color rgb="FFF2F2F2"/>
      </font>
    </dxf>
    <dxf>
      <font>
        <color rgb="FFF2F2F2"/>
      </font>
    </dxf>
    <dxf>
      <font>
        <color rgb="FF2A2C30"/>
      </font>
      <fill>
        <patternFill patternType="solid">
          <fgColor indexed="64"/>
          <bgColor rgb="FF0F0F10"/>
        </patternFill>
      </fill>
    </dxf>
    <dxf>
      <font>
        <color rgb="FF2A2C30"/>
      </font>
      <fill>
        <patternFill patternType="solid">
          <fgColor indexed="64"/>
          <bgColor rgb="FF0F0F10"/>
        </patternFill>
      </fill>
    </dxf>
    <dxf>
      <font>
        <color rgb="FF8896B3"/>
      </font>
    </dxf>
    <dxf>
      <font>
        <color rgb="FF10B981"/>
      </font>
    </dxf>
    <dxf>
      <font>
        <color rgb="FF8896B3"/>
      </font>
    </dxf>
    <dxf>
      <font>
        <color rgb="FF10B981"/>
      </font>
    </dxf>
    <dxf>
      <font>
        <b/>
        <sz val="10"/>
        <color rgb="FFFFC857"/>
        <name val="Consolas"/>
      </font>
    </dxf>
    <dxf>
      <font>
        <b/>
        <sz val="10"/>
        <color rgb="FF10B981"/>
        <name val="Consolas"/>
      </font>
    </dxf>
    <dxf>
      <font>
        <b/>
        <sz val="14"/>
        <color rgb="FFE5484D"/>
        <name val="Consolas"/>
      </font>
    </dxf>
    <dxf>
      <font>
        <b/>
        <sz val="14"/>
        <color rgb="FF10B981"/>
        <name val="Consolas"/>
      </font>
    </dxf>
    <dxf>
      <font>
        <color rgb="FF10B981"/>
      </font>
    </dxf>
    <dxf>
      <font>
        <color rgb="FFE5484D"/>
      </font>
    </dxf>
    <dxf>
      <font>
        <color rgb="FF1E50FF"/>
      </font>
    </dxf>
    <dxf>
      <font>
        <b/>
        <sz val="10"/>
        <color rgb="FF10B981"/>
        <name val="Consolas"/>
      </font>
    </dxf>
    <dxf>
      <font>
        <b/>
        <sz val="10"/>
        <color rgb="FFFFC857"/>
        <name val="Consolas"/>
      </font>
    </dxf>
    <dxf>
      <font>
        <b/>
        <sz val="11"/>
        <color rgb="FFE5484D"/>
        <name val="Consolas"/>
      </font>
    </dxf>
    <dxf>
      <font>
        <b/>
        <sz val="11"/>
        <color rgb="FF10B981"/>
        <name val="Consolas"/>
      </font>
    </dxf>
    <dxf>
      <font>
        <b/>
        <sz val="11"/>
        <color rgb="FFE5484D"/>
        <name val="Consolas"/>
      </font>
    </dxf>
    <dxf>
      <font>
        <b/>
        <sz val="11"/>
        <color rgb="FF10B981"/>
        <name val="Consolas"/>
      </font>
    </dxf>
    <dxf>
      <font>
        <b/>
        <sz val="11"/>
        <color rgb="FFE5484D"/>
        <name val="Consolas"/>
      </font>
    </dxf>
    <dxf>
      <font>
        <b/>
        <sz val="11"/>
        <color rgb="FF10B981"/>
        <name val="Consolas"/>
      </font>
    </dxf>
    <dxf>
      <font>
        <b/>
        <sz val="11"/>
        <color rgb="FFE5484D"/>
        <name val="Consolas"/>
      </font>
    </dxf>
    <dxf>
      <font>
        <b/>
        <sz val="11"/>
        <color rgb="FF10B981"/>
        <name val="Consolas"/>
      </font>
    </dxf>
    <dxf>
      <font>
        <b/>
        <sz val="11"/>
        <color rgb="FFE5484D"/>
        <name val="Consolas"/>
      </font>
    </dxf>
    <dxf>
      <font>
        <b/>
        <sz val="11"/>
        <color rgb="FF10B981"/>
        <name val="Consolas"/>
      </font>
    </dxf>
  </dxfs>
  <tableStyles count="0" defaultTableStyle="TableStyleMedium9" defaultPivotStyle="PivotStyleLight16"/>
  <colors>
    <mruColors>
      <color rgb="FF26282B"/>
      <color rgb="FF1C1C1E"/>
      <color rgb="FF0D0D0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infraxus.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infraxus.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infraxus.com"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infraxus.com" TargetMode="External"/></Relationships>
</file>

<file path=xl/drawings/_rels/drawing6.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1</xdr:row>
      <xdr:rowOff>0</xdr:rowOff>
    </xdr:from>
    <xdr:to>
      <xdr:col>1</xdr:col>
      <xdr:colOff>1524000</xdr:colOff>
      <xdr:row>1</xdr:row>
      <xdr:rowOff>381000</xdr:rowOff>
    </xdr:to>
    <xdr:pic>
      <xdr:nvPicPr>
        <xdr:cNvPr id="2" name="Logo">
          <a:extLst>
            <a:ext uri="{FF2B5EF4-FFF2-40B4-BE49-F238E27FC236}">
              <a16:creationId xmlns:a16="http://schemas.microsoft.com/office/drawing/2014/main" id="{C60B75B4-43CA-D8D1-A1E9-2A450994C39C}"/>
            </a:ext>
          </a:extLst>
        </xdr:cNvPr>
        <xdr:cNvPicPr>
          <a:picLocks noChangeAspect="1"/>
        </xdr:cNvPicPr>
      </xdr:nvPicPr>
      <xdr:blipFill>
        <a:blip xmlns:r="http://schemas.openxmlformats.org/officeDocument/2006/relationships" r:embed="rId1"/>
        <a:stretch>
          <a:fillRect/>
        </a:stretch>
      </xdr:blipFill>
      <xdr:spPr>
        <a:xfrm>
          <a:off x="114300" y="101600"/>
          <a:ext cx="1562100" cy="381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rId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1</xdr:row>
      <xdr:rowOff>1814</xdr:rowOff>
    </xdr:from>
    <xdr:ext cx="1571625" cy="390525"/>
    <xdr:pic>
      <xdr:nvPicPr>
        <xdr:cNvPr id="2" name="Image 1" descr="Picture">
          <a:hlinkClick xmlns:r="http://schemas.openxmlformats.org/officeDocument/2006/relationships" r:id="rId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2" cstate="print"/>
        <a:stretch>
          <a:fillRect/>
        </a:stretch>
      </xdr:blipFill>
      <xdr:spPr>
        <a:xfrm>
          <a:off x="152400" y="101600"/>
          <a:ext cx="1571625" cy="390525"/>
        </a:xfrm>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rId1"/>
          <a:extLst>
            <a:ext uri="{FF2B5EF4-FFF2-40B4-BE49-F238E27FC236}">
              <a16:creationId xmlns:a16="http://schemas.microsoft.com/office/drawing/2014/main" id="{B4057BBB-F35F-7F46-842D-1E4E77CF6D18}"/>
            </a:ext>
          </a:extLst>
        </xdr:cNvPr>
        <xdr:cNvPicPr/>
      </xdr:nvPicPr>
      <xdr:blipFill>
        <a:blip xmlns:r="http://schemas.openxmlformats.org/officeDocument/2006/relationships" r:embed="rId2" cstate="print"/>
        <a:stretch>
          <a:fillRect/>
        </a:stretch>
      </xdr:blipFill>
      <xdr:spPr>
        <a:xfrm>
          <a:off x="114300" y="101600"/>
          <a:ext cx="1571625" cy="390525"/>
        </a:xfrm>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152400</xdr:colOff>
      <xdr:row>1</xdr:row>
      <xdr:rowOff>1814</xdr:rowOff>
    </xdr:from>
    <xdr:ext cx="1571625" cy="390525"/>
    <xdr:pic>
      <xdr:nvPicPr>
        <xdr:cNvPr id="2" name="Image 1" descr="Picture">
          <a:hlinkClick xmlns:r="http://schemas.openxmlformats.org/officeDocument/2006/relationships" r:id="rId1"/>
          <a:extLst>
            <a:ext uri="{FF2B5EF4-FFF2-40B4-BE49-F238E27FC236}">
              <a16:creationId xmlns:a16="http://schemas.microsoft.com/office/drawing/2014/main" id="{054CDB68-12D4-0E45-96C4-C7CEBE0B637F}"/>
            </a:ext>
          </a:extLst>
        </xdr:cNvPr>
        <xdr:cNvPicPr/>
      </xdr:nvPicPr>
      <xdr:blipFill>
        <a:blip xmlns:r="http://schemas.openxmlformats.org/officeDocument/2006/relationships" r:embed="rId2" cstate="print"/>
        <a:stretch>
          <a:fillRect/>
        </a:stretch>
      </xdr:blipFill>
      <xdr:spPr>
        <a:xfrm>
          <a:off x="152400" y="103414"/>
          <a:ext cx="1571625" cy="390525"/>
        </a:xfrm>
        <a:prstGeom prst="rect">
          <a:avLst/>
        </a:prstGeom>
        <a:ln>
          <a:prstDash val="solid"/>
        </a:ln>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0</xdr:row>
      <xdr:rowOff>101600</xdr:rowOff>
    </xdr:from>
    <xdr:to>
      <xdr:col>1</xdr:col>
      <xdr:colOff>1536700</xdr:colOff>
      <xdr:row>2</xdr:row>
      <xdr:rowOff>114300</xdr:rowOff>
    </xdr:to>
    <xdr:pic>
      <xdr:nvPicPr>
        <xdr:cNvPr id="2" name="Logo">
          <a:extLst>
            <a:ext uri="{FF2B5EF4-FFF2-40B4-BE49-F238E27FC236}">
              <a16:creationId xmlns:a16="http://schemas.microsoft.com/office/drawing/2014/main" id="{77359065-A697-0E37-96D6-906B8476DE15}"/>
            </a:ext>
          </a:extLst>
        </xdr:cNvPr>
        <xdr:cNvPicPr>
          <a:picLocks noChangeAspect="1"/>
        </xdr:cNvPicPr>
      </xdr:nvPicPr>
      <xdr:blipFill>
        <a:blip xmlns:r="http://schemas.openxmlformats.org/officeDocument/2006/relationships" r:embed="rId1"/>
        <a:stretch>
          <a:fillRect/>
        </a:stretch>
      </xdr:blipFill>
      <xdr:spPr>
        <a:xfrm>
          <a:off x="114300" y="101600"/>
          <a:ext cx="1574800" cy="393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5733E54-9E1B-7240-A309-E3DBCCBF2380}">
  <we:reference id="wa200009404" version="1.0.0.8" store="en-US" storeType="OMEX"/>
  <we:alternateReferences>
    <we:reference id="WA200009404" version="1.0.0.8" store="" storeType="OMEX"/>
  </we:alternateReferences>
  <we:properties>
    <we:property name="claude.fileId" value="&quot;5a50be6e-5437-4101-b9b7-ed9065fe690e&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raxus.com/book"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infraxus.com/book"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2"/>
  <sheetViews>
    <sheetView showGridLines="0" tabSelected="1" zoomScale="140" zoomScaleNormal="140" workbookViewId="0">
      <pane xSplit="1" ySplit="4" topLeftCell="B5" activePane="bottomRight" state="frozen"/>
      <selection pane="topRight" activeCell="B1" sqref="B1"/>
      <selection pane="bottomLeft" activeCell="A5" sqref="A5"/>
      <selection pane="bottomRight" activeCell="M6" sqref="M6"/>
    </sheetView>
  </sheetViews>
  <sheetFormatPr baseColWidth="10" defaultColWidth="8.83203125" defaultRowHeight="15" x14ac:dyDescent="0.2"/>
  <cols>
    <col min="1" max="1" width="2" style="42" customWidth="1"/>
    <col min="2" max="2" width="26" style="42" customWidth="1"/>
    <col min="3" max="3" width="106.6640625" style="42" customWidth="1"/>
    <col min="4" max="10" width="8.83203125" style="42"/>
    <col min="11" max="11" width="2.5" style="42" customWidth="1"/>
    <col min="12" max="16384" width="8.83203125" style="42"/>
  </cols>
  <sheetData>
    <row r="1" spans="1:11" ht="8" customHeight="1" x14ac:dyDescent="0.2">
      <c r="A1" s="41"/>
      <c r="B1" s="41"/>
      <c r="C1" s="41"/>
      <c r="D1" s="41"/>
      <c r="E1" s="41"/>
      <c r="F1" s="41"/>
      <c r="G1" s="41"/>
      <c r="H1" s="41"/>
      <c r="I1" s="41"/>
      <c r="J1" s="41"/>
      <c r="K1" s="41"/>
    </row>
    <row r="2" spans="1:11" ht="32" customHeight="1" x14ac:dyDescent="0.3">
      <c r="A2" s="41"/>
      <c r="B2" s="41"/>
      <c r="C2" s="150" t="s">
        <v>0</v>
      </c>
      <c r="D2" s="41"/>
      <c r="E2" s="41"/>
      <c r="F2" s="41"/>
      <c r="G2" s="41"/>
      <c r="H2" s="41"/>
      <c r="I2" s="41"/>
      <c r="J2" s="41"/>
      <c r="K2" s="41"/>
    </row>
    <row r="3" spans="1:11" x14ac:dyDescent="0.2">
      <c r="A3" s="41"/>
      <c r="B3" s="152" t="s">
        <v>693</v>
      </c>
      <c r="C3" s="41"/>
      <c r="D3" s="41"/>
      <c r="E3" s="41"/>
      <c r="F3" s="41"/>
      <c r="G3" s="41"/>
      <c r="H3" s="41"/>
      <c r="I3" s="41"/>
      <c r="J3" s="41"/>
      <c r="K3" s="41"/>
    </row>
    <row r="4" spans="1:11" ht="8" customHeight="1" x14ac:dyDescent="0.2">
      <c r="A4" s="41"/>
      <c r="B4" s="41"/>
      <c r="C4" s="41"/>
      <c r="D4" s="41"/>
      <c r="E4" s="41"/>
      <c r="F4" s="41"/>
      <c r="G4" s="41"/>
      <c r="H4" s="41"/>
      <c r="I4" s="41"/>
      <c r="J4" s="41"/>
      <c r="K4" s="41"/>
    </row>
    <row r="5" spans="1:11" x14ac:dyDescent="0.2">
      <c r="A5" s="41"/>
      <c r="B5" s="41"/>
      <c r="C5" s="41"/>
      <c r="D5" s="41"/>
      <c r="E5" s="41"/>
      <c r="F5" s="41"/>
      <c r="G5" s="41"/>
      <c r="H5" s="41"/>
      <c r="I5" s="41"/>
      <c r="J5" s="41"/>
      <c r="K5" s="41"/>
    </row>
    <row r="6" spans="1:11" ht="22" x14ac:dyDescent="0.2">
      <c r="A6" s="41"/>
      <c r="B6" s="46" t="s">
        <v>534</v>
      </c>
      <c r="C6" s="151" t="s">
        <v>533</v>
      </c>
      <c r="D6" s="41"/>
      <c r="E6" s="41"/>
      <c r="F6" s="41"/>
      <c r="G6" s="41"/>
      <c r="H6" s="41"/>
      <c r="I6" s="41"/>
      <c r="J6" s="41"/>
      <c r="K6" s="41"/>
    </row>
    <row r="7" spans="1:11" ht="112" x14ac:dyDescent="0.2">
      <c r="A7" s="41"/>
      <c r="B7" s="47"/>
      <c r="C7" s="43" t="s">
        <v>702</v>
      </c>
      <c r="K7" s="41"/>
    </row>
    <row r="8" spans="1:11" x14ac:dyDescent="0.2">
      <c r="A8" s="41"/>
      <c r="B8" s="47"/>
      <c r="C8" s="44"/>
      <c r="K8" s="41"/>
    </row>
    <row r="9" spans="1:11" ht="22" x14ac:dyDescent="0.2">
      <c r="A9" s="41"/>
      <c r="B9" s="46" t="s">
        <v>532</v>
      </c>
      <c r="C9" s="151" t="s">
        <v>535</v>
      </c>
      <c r="D9" s="41"/>
      <c r="E9" s="41"/>
      <c r="F9" s="41"/>
      <c r="G9" s="41"/>
      <c r="H9" s="41"/>
      <c r="I9" s="41"/>
      <c r="J9" s="41"/>
      <c r="K9" s="41"/>
    </row>
    <row r="10" spans="1:11" ht="224" x14ac:dyDescent="0.2">
      <c r="A10" s="41"/>
      <c r="B10" s="47"/>
      <c r="C10" s="43" t="s">
        <v>695</v>
      </c>
      <c r="K10" s="41"/>
    </row>
    <row r="11" spans="1:11" x14ac:dyDescent="0.2">
      <c r="A11" s="41"/>
      <c r="B11" s="47"/>
      <c r="C11" s="44"/>
      <c r="K11" s="41"/>
    </row>
    <row r="12" spans="1:11" ht="22" x14ac:dyDescent="0.2">
      <c r="A12" s="41"/>
      <c r="B12" s="46" t="s">
        <v>530</v>
      </c>
      <c r="C12" s="151" t="s">
        <v>536</v>
      </c>
      <c r="D12" s="41"/>
      <c r="E12" s="41"/>
      <c r="F12" s="41"/>
      <c r="G12" s="41"/>
      <c r="H12" s="41"/>
      <c r="I12" s="41"/>
      <c r="J12" s="41"/>
      <c r="K12" s="41"/>
    </row>
    <row r="13" spans="1:11" ht="208" x14ac:dyDescent="0.2">
      <c r="A13" s="41"/>
      <c r="B13" s="47"/>
      <c r="C13" s="43" t="s">
        <v>696</v>
      </c>
      <c r="K13" s="41"/>
    </row>
    <row r="14" spans="1:11" x14ac:dyDescent="0.2">
      <c r="A14" s="41"/>
      <c r="B14" s="47"/>
      <c r="C14" s="44"/>
      <c r="K14" s="41"/>
    </row>
    <row r="15" spans="1:11" ht="22" x14ac:dyDescent="0.2">
      <c r="A15" s="41"/>
      <c r="B15" s="46" t="s">
        <v>529</v>
      </c>
      <c r="C15" s="151" t="s">
        <v>537</v>
      </c>
      <c r="D15" s="41"/>
      <c r="E15" s="41"/>
      <c r="F15" s="41"/>
      <c r="G15" s="41"/>
      <c r="H15" s="41"/>
      <c r="I15" s="41"/>
      <c r="J15" s="41"/>
      <c r="K15" s="41"/>
    </row>
    <row r="16" spans="1:11" ht="176" x14ac:dyDescent="0.2">
      <c r="A16" s="41"/>
      <c r="B16" s="47"/>
      <c r="C16" s="43" t="s">
        <v>697</v>
      </c>
      <c r="K16" s="41"/>
    </row>
    <row r="17" spans="1:11" x14ac:dyDescent="0.2">
      <c r="A17" s="41"/>
      <c r="B17" s="47"/>
      <c r="C17" s="44"/>
      <c r="K17" s="41"/>
    </row>
    <row r="18" spans="1:11" ht="22" x14ac:dyDescent="0.2">
      <c r="A18" s="41"/>
      <c r="B18" s="46" t="s">
        <v>527</v>
      </c>
      <c r="C18" s="151" t="s">
        <v>531</v>
      </c>
      <c r="D18" s="41"/>
      <c r="E18" s="41"/>
      <c r="F18" s="41"/>
      <c r="G18" s="41"/>
      <c r="H18" s="41"/>
      <c r="I18" s="41"/>
      <c r="J18" s="41"/>
      <c r="K18" s="41"/>
    </row>
    <row r="19" spans="1:11" ht="365" x14ac:dyDescent="0.2">
      <c r="A19" s="41"/>
      <c r="B19" s="47"/>
      <c r="C19" s="43" t="s">
        <v>698</v>
      </c>
      <c r="K19" s="41"/>
    </row>
    <row r="20" spans="1:11" x14ac:dyDescent="0.2">
      <c r="A20" s="41"/>
      <c r="B20" s="47"/>
      <c r="C20" s="44"/>
      <c r="K20" s="41"/>
    </row>
    <row r="21" spans="1:11" ht="22" x14ac:dyDescent="0.2">
      <c r="A21" s="41"/>
      <c r="B21" s="46" t="s">
        <v>526</v>
      </c>
      <c r="C21" s="151" t="s">
        <v>528</v>
      </c>
      <c r="D21" s="41"/>
      <c r="E21" s="41"/>
      <c r="F21" s="41"/>
      <c r="G21" s="41"/>
      <c r="H21" s="41"/>
      <c r="I21" s="41"/>
      <c r="J21" s="41"/>
      <c r="K21" s="41"/>
    </row>
    <row r="22" spans="1:11" ht="128" x14ac:dyDescent="0.2">
      <c r="A22" s="41"/>
      <c r="B22" s="47"/>
      <c r="C22" s="43" t="s">
        <v>699</v>
      </c>
      <c r="K22" s="41"/>
    </row>
    <row r="23" spans="1:11" x14ac:dyDescent="0.2">
      <c r="A23" s="41"/>
      <c r="B23" s="47"/>
      <c r="C23" s="44"/>
      <c r="K23" s="41"/>
    </row>
    <row r="24" spans="1:11" ht="22" x14ac:dyDescent="0.2">
      <c r="A24" s="41"/>
      <c r="B24" s="46" t="s">
        <v>540</v>
      </c>
      <c r="C24" s="151" t="s">
        <v>538</v>
      </c>
      <c r="D24" s="41"/>
      <c r="E24" s="41"/>
      <c r="F24" s="41"/>
      <c r="G24" s="41"/>
      <c r="H24" s="41"/>
      <c r="I24" s="41"/>
      <c r="J24" s="41"/>
      <c r="K24" s="41"/>
    </row>
    <row r="25" spans="1:11" ht="255" customHeight="1" x14ac:dyDescent="0.2">
      <c r="A25" s="41"/>
      <c r="B25" s="47"/>
      <c r="C25" s="43" t="s">
        <v>700</v>
      </c>
      <c r="K25" s="41"/>
    </row>
    <row r="26" spans="1:11" x14ac:dyDescent="0.2">
      <c r="A26" s="41"/>
      <c r="B26" s="47"/>
      <c r="C26" s="44"/>
      <c r="K26" s="41"/>
    </row>
    <row r="27" spans="1:11" ht="22" x14ac:dyDescent="0.2">
      <c r="A27" s="41"/>
      <c r="B27" s="46" t="s">
        <v>541</v>
      </c>
      <c r="C27" s="151" t="s">
        <v>539</v>
      </c>
      <c r="D27" s="41"/>
      <c r="E27" s="41"/>
      <c r="F27" s="41"/>
      <c r="G27" s="41"/>
      <c r="H27" s="41"/>
      <c r="I27" s="41"/>
      <c r="J27" s="41"/>
      <c r="K27" s="41"/>
    </row>
    <row r="28" spans="1:11" ht="96" x14ac:dyDescent="0.2">
      <c r="A28" s="41"/>
      <c r="C28" s="43" t="s">
        <v>701</v>
      </c>
      <c r="K28" s="41"/>
    </row>
    <row r="29" spans="1:11" x14ac:dyDescent="0.2">
      <c r="A29" s="41"/>
      <c r="C29" s="44"/>
      <c r="K29" s="41"/>
    </row>
    <row r="30" spans="1:11" x14ac:dyDescent="0.2">
      <c r="A30" s="41"/>
      <c r="B30" s="41"/>
      <c r="C30" s="41"/>
      <c r="D30" s="41"/>
      <c r="E30" s="41"/>
      <c r="F30" s="41"/>
      <c r="G30" s="41"/>
      <c r="H30" s="41"/>
      <c r="I30" s="41"/>
      <c r="J30" s="41"/>
      <c r="K30" s="41"/>
    </row>
    <row r="31" spans="1:11" x14ac:dyDescent="0.2">
      <c r="A31" s="41"/>
      <c r="B31" s="35" t="s">
        <v>525</v>
      </c>
      <c r="C31" s="41"/>
      <c r="D31" s="41"/>
      <c r="E31" s="41"/>
      <c r="F31" s="41"/>
      <c r="G31" s="41"/>
      <c r="H31" s="41"/>
      <c r="I31" s="41"/>
      <c r="J31" s="45" t="s">
        <v>243</v>
      </c>
      <c r="K31" s="41"/>
    </row>
    <row r="32" spans="1:11" x14ac:dyDescent="0.2">
      <c r="A32" s="41"/>
      <c r="B32" s="41"/>
      <c r="C32" s="41"/>
      <c r="D32" s="41"/>
      <c r="E32" s="41"/>
      <c r="F32" s="41"/>
      <c r="G32" s="41"/>
      <c r="H32" s="41"/>
      <c r="I32" s="41"/>
      <c r="J32" s="41"/>
      <c r="K32" s="41"/>
    </row>
  </sheetData>
  <printOptions horizontalCentered="1"/>
  <pageMargins left="0.4" right="0.4" top="0.5" bottom="0.5" header="0.3" footer="0.3"/>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E50FF"/>
    <pageSetUpPr fitToPage="1"/>
  </sheetPr>
  <dimension ref="A1:CR282"/>
  <sheetViews>
    <sheetView showGridLines="0" zoomScale="140" zoomScaleNormal="140" workbookViewId="0">
      <pane ySplit="9" topLeftCell="A10" activePane="bottomLeft" state="frozen"/>
      <selection pane="bottomLeft" activeCell="CV79" sqref="CV79"/>
    </sheetView>
  </sheetViews>
  <sheetFormatPr baseColWidth="10" defaultColWidth="8.83203125" defaultRowHeight="15" x14ac:dyDescent="0.2"/>
  <cols>
    <col min="1" max="1" width="1.5" style="42" customWidth="1"/>
    <col min="2" max="2" width="39.83203125" style="42" bestFit="1" customWidth="1"/>
    <col min="3" max="14" width="11.6640625" style="42" customWidth="1"/>
    <col min="15" max="15" width="15.33203125" style="42" customWidth="1"/>
    <col min="16" max="16" width="1.5" style="42" customWidth="1"/>
    <col min="17" max="96" width="12" style="42" hidden="1" customWidth="1"/>
    <col min="97" max="97" width="5.33203125" style="42" customWidth="1"/>
    <col min="98" max="16384" width="8.83203125" style="42"/>
  </cols>
  <sheetData>
    <row r="1" spans="1:96" ht="8" customHeight="1" x14ac:dyDescent="0.2">
      <c r="A1" s="57"/>
      <c r="B1" s="57"/>
      <c r="C1" s="57"/>
      <c r="D1" s="57"/>
      <c r="E1" s="57"/>
      <c r="F1" s="57"/>
      <c r="G1" s="57"/>
      <c r="H1" s="57"/>
      <c r="I1" s="57"/>
      <c r="J1" s="57"/>
      <c r="K1" s="57"/>
      <c r="L1" s="57"/>
      <c r="M1" s="57"/>
      <c r="N1" s="57"/>
      <c r="O1" s="57"/>
      <c r="P1" s="57"/>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c r="BH1"/>
      <c r="BI1"/>
      <c r="BJ1"/>
      <c r="BK1"/>
      <c r="BL1"/>
      <c r="BM1"/>
      <c r="BN1"/>
      <c r="BO1"/>
      <c r="BP1"/>
      <c r="BQ1"/>
      <c r="BR1"/>
      <c r="BS1"/>
      <c r="BT1"/>
      <c r="BU1"/>
      <c r="BV1"/>
      <c r="BW1"/>
      <c r="BX1"/>
      <c r="BY1"/>
      <c r="BZ1"/>
      <c r="CA1"/>
      <c r="CB1"/>
      <c r="CC1"/>
      <c r="CD1"/>
      <c r="CE1"/>
      <c r="CF1"/>
      <c r="CG1"/>
      <c r="CH1"/>
      <c r="CI1"/>
      <c r="CJ1"/>
      <c r="CK1"/>
      <c r="CL1"/>
      <c r="CM1"/>
      <c r="CN1"/>
      <c r="CO1"/>
      <c r="CP1"/>
      <c r="CQ1"/>
      <c r="CR1"/>
    </row>
    <row r="2" spans="1:96" ht="26" customHeight="1" x14ac:dyDescent="0.2">
      <c r="A2" s="57"/>
      <c r="B2" s="57"/>
      <c r="C2" s="180" t="s">
        <v>0</v>
      </c>
      <c r="D2" s="164"/>
      <c r="E2" s="164"/>
      <c r="F2" s="164"/>
      <c r="G2" s="164"/>
      <c r="H2" s="164"/>
      <c r="I2" s="164"/>
      <c r="J2" s="57"/>
      <c r="K2" s="137" t="s">
        <v>1</v>
      </c>
      <c r="L2" s="135" t="s">
        <v>2</v>
      </c>
      <c r="M2" s="57"/>
      <c r="N2" s="57"/>
      <c r="O2" s="57"/>
      <c r="P2" s="57"/>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c r="BH2"/>
      <c r="BI2"/>
      <c r="BJ2"/>
      <c r="BK2"/>
      <c r="BL2"/>
      <c r="BM2"/>
      <c r="BN2"/>
      <c r="BO2"/>
      <c r="BP2"/>
      <c r="BQ2"/>
      <c r="BR2"/>
      <c r="BS2"/>
      <c r="BT2"/>
      <c r="BU2"/>
      <c r="BV2"/>
      <c r="BW2"/>
      <c r="BX2"/>
      <c r="BY2"/>
      <c r="BZ2"/>
      <c r="CA2"/>
      <c r="CB2"/>
      <c r="CC2"/>
      <c r="CD2"/>
      <c r="CE2"/>
      <c r="CF2"/>
      <c r="CG2"/>
      <c r="CH2"/>
      <c r="CI2"/>
      <c r="CJ2"/>
      <c r="CK2"/>
      <c r="CL2"/>
      <c r="CM2"/>
      <c r="CN2"/>
      <c r="CO2"/>
      <c r="CP2"/>
      <c r="CQ2"/>
      <c r="CR2"/>
    </row>
    <row r="3" spans="1:96" ht="22" customHeight="1" x14ac:dyDescent="0.2">
      <c r="A3" s="57"/>
      <c r="B3" s="163" t="s">
        <v>694</v>
      </c>
      <c r="C3" s="164"/>
      <c r="D3" s="164"/>
      <c r="E3" s="164"/>
      <c r="F3" s="164"/>
      <c r="G3" s="164"/>
      <c r="H3" s="164"/>
      <c r="I3" s="164"/>
      <c r="J3" s="57"/>
      <c r="K3" s="137" t="s">
        <v>3</v>
      </c>
      <c r="L3" s="136" t="s">
        <v>225</v>
      </c>
      <c r="M3" s="57"/>
      <c r="N3" s="57"/>
      <c r="O3" s="57"/>
      <c r="P3" s="57"/>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c r="BH3"/>
      <c r="BI3"/>
      <c r="BJ3"/>
      <c r="BK3"/>
      <c r="BL3"/>
      <c r="BM3"/>
      <c r="BN3"/>
      <c r="BO3"/>
      <c r="BP3"/>
      <c r="BQ3"/>
      <c r="BR3"/>
      <c r="BS3"/>
      <c r="BT3"/>
      <c r="BU3"/>
      <c r="BV3"/>
      <c r="BW3"/>
      <c r="BX3"/>
      <c r="BY3"/>
      <c r="BZ3"/>
      <c r="CA3"/>
      <c r="CB3"/>
      <c r="CC3"/>
      <c r="CD3"/>
      <c r="CE3"/>
      <c r="CF3"/>
      <c r="CG3"/>
      <c r="CH3"/>
      <c r="CI3"/>
      <c r="CJ3"/>
      <c r="CK3"/>
      <c r="CL3"/>
      <c r="CM3"/>
      <c r="CN3"/>
      <c r="CO3"/>
      <c r="CP3"/>
      <c r="CQ3"/>
      <c r="CR3"/>
    </row>
    <row r="4" spans="1:96" ht="22" customHeight="1" x14ac:dyDescent="0.2">
      <c r="A4" s="57"/>
      <c r="B4" s="163" t="s">
        <v>523</v>
      </c>
      <c r="C4" s="164"/>
      <c r="D4" s="164"/>
      <c r="E4" s="164"/>
      <c r="F4" s="164"/>
      <c r="G4" s="164"/>
      <c r="H4" s="164"/>
      <c r="I4" s="164"/>
      <c r="J4" s="57"/>
      <c r="K4" s="41"/>
      <c r="L4" s="41"/>
      <c r="M4" s="57"/>
      <c r="N4" s="57"/>
      <c r="O4" s="57"/>
      <c r="P4" s="57"/>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c r="BH4"/>
      <c r="BI4"/>
      <c r="BJ4"/>
      <c r="BK4"/>
      <c r="BL4"/>
      <c r="BM4"/>
      <c r="BN4"/>
      <c r="BO4"/>
      <c r="BP4"/>
      <c r="BQ4"/>
      <c r="BR4"/>
      <c r="BS4"/>
      <c r="BT4"/>
      <c r="BU4"/>
      <c r="BV4"/>
      <c r="BW4"/>
      <c r="BX4"/>
      <c r="BY4"/>
      <c r="BZ4"/>
      <c r="CA4"/>
      <c r="CB4"/>
      <c r="CC4"/>
      <c r="CD4"/>
      <c r="CE4"/>
      <c r="CF4"/>
      <c r="CG4"/>
      <c r="CH4"/>
      <c r="CI4"/>
      <c r="CJ4"/>
      <c r="CK4"/>
      <c r="CL4"/>
      <c r="CM4"/>
      <c r="CN4"/>
      <c r="CO4"/>
      <c r="CP4"/>
      <c r="CQ4"/>
      <c r="CR4"/>
    </row>
    <row r="5" spans="1:96" ht="22" customHeight="1" x14ac:dyDescent="0.2">
      <c r="A5" s="57"/>
      <c r="B5" s="163" t="s">
        <v>4</v>
      </c>
      <c r="C5" s="164"/>
      <c r="D5" s="164"/>
      <c r="E5" s="164"/>
      <c r="F5" s="164"/>
      <c r="G5" s="164"/>
      <c r="H5" s="164"/>
      <c r="I5" s="164"/>
      <c r="J5" s="57"/>
      <c r="K5" s="57"/>
      <c r="L5" s="57"/>
      <c r="M5" s="57"/>
      <c r="N5" s="57"/>
      <c r="O5" s="57"/>
      <c r="P5" s="57"/>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c r="BH5"/>
      <c r="BI5"/>
      <c r="BJ5"/>
      <c r="BK5"/>
      <c r="BL5"/>
      <c r="BM5"/>
      <c r="BN5"/>
      <c r="BO5"/>
      <c r="BP5"/>
      <c r="BQ5"/>
      <c r="BR5"/>
      <c r="BS5"/>
      <c r="BT5"/>
      <c r="BU5"/>
      <c r="BV5"/>
      <c r="BW5"/>
      <c r="BX5"/>
      <c r="BY5"/>
      <c r="BZ5"/>
      <c r="CA5"/>
      <c r="CB5"/>
      <c r="CC5"/>
      <c r="CD5"/>
      <c r="CE5"/>
      <c r="CF5"/>
      <c r="CG5"/>
      <c r="CH5"/>
      <c r="CI5"/>
      <c r="CJ5"/>
      <c r="CK5"/>
      <c r="CL5"/>
      <c r="CM5"/>
      <c r="CN5"/>
      <c r="CO5"/>
      <c r="CP5"/>
      <c r="CQ5"/>
      <c r="CR5"/>
    </row>
    <row r="6" spans="1:96" ht="9" customHeight="1" thickBot="1" x14ac:dyDescent="0.25">
      <c r="A6" s="57"/>
      <c r="B6" s="1"/>
      <c r="C6" s="1"/>
      <c r="D6" s="1"/>
      <c r="E6" s="1"/>
      <c r="F6" s="1"/>
      <c r="G6" s="1"/>
      <c r="H6" s="1"/>
      <c r="I6" s="1"/>
      <c r="J6" s="1"/>
      <c r="K6" s="1"/>
      <c r="L6" s="1"/>
      <c r="M6" s="1"/>
      <c r="N6" s="1"/>
      <c r="O6" s="1"/>
      <c r="P6" s="1"/>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row>
    <row r="7" spans="1:96" ht="15" customHeight="1" x14ac:dyDescent="0.2">
      <c r="A7" s="57"/>
      <c r="C7" s="182" t="s">
        <v>8</v>
      </c>
      <c r="D7" s="167"/>
      <c r="E7" s="166" t="s">
        <v>9</v>
      </c>
      <c r="F7" s="167"/>
      <c r="G7" s="166" t="s">
        <v>10</v>
      </c>
      <c r="H7" s="167"/>
      <c r="I7" s="166" t="s">
        <v>11</v>
      </c>
      <c r="J7" s="167"/>
      <c r="K7" s="166" t="s">
        <v>12</v>
      </c>
      <c r="L7" s="167"/>
      <c r="M7" s="166" t="s">
        <v>676</v>
      </c>
      <c r="N7" s="167"/>
      <c r="O7" s="129" t="s">
        <v>677</v>
      </c>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row>
    <row r="8" spans="1:96" ht="26" customHeight="1" x14ac:dyDescent="0.2">
      <c r="A8" s="57"/>
      <c r="C8" s="183">
        <f>calc_rev_total_ann</f>
        <v>0</v>
      </c>
      <c r="D8" s="170"/>
      <c r="E8" s="169">
        <f>calc_ebitda_ann</f>
        <v>0</v>
      </c>
      <c r="F8" s="170"/>
      <c r="G8" s="184">
        <f>calc_ebitda_pct_ann</f>
        <v>0</v>
      </c>
      <c r="H8" s="170"/>
      <c r="I8" s="169">
        <f ca="1">calc_net_profit_ann</f>
        <v>0</v>
      </c>
      <c r="J8" s="170"/>
      <c r="K8" s="169">
        <f ca="1">calc_close_cash_ann</f>
        <v>0</v>
      </c>
      <c r="L8" s="170"/>
      <c r="M8" s="171">
        <f>calc_peak_fte</f>
        <v>0</v>
      </c>
      <c r="N8" s="170"/>
      <c r="O8" s="131" t="str">
        <f ca="1">"M"&amp;calc_min_cash_month&amp;" · "&amp;TEXT(calc_min_cash_value,"$#,##0")</f>
        <v>M1 · $0</v>
      </c>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row>
    <row r="9" spans="1:96" ht="16" customHeight="1" x14ac:dyDescent="0.2">
      <c r="A9" s="57"/>
      <c r="C9" s="132"/>
      <c r="D9" s="130"/>
      <c r="E9" s="133"/>
      <c r="F9" s="130"/>
      <c r="G9" s="128"/>
      <c r="H9" s="130"/>
      <c r="I9" s="128"/>
      <c r="J9" s="130"/>
      <c r="K9" s="134"/>
      <c r="L9" s="130"/>
      <c r="M9" s="128"/>
      <c r="N9" s="130"/>
      <c r="O9" s="128"/>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row>
    <row r="10" spans="1:96" ht="11" customHeight="1" x14ac:dyDescent="0.2">
      <c r="A10" s="57"/>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row>
    <row r="11" spans="1:96" ht="26" customHeight="1" x14ac:dyDescent="0.2">
      <c r="A11" s="57"/>
      <c r="B11" s="177" t="s">
        <v>13</v>
      </c>
      <c r="C11" s="164"/>
      <c r="D11" s="164"/>
      <c r="E11" s="164"/>
      <c r="F11" s="164"/>
      <c r="G11" s="164"/>
      <c r="H11" s="164"/>
      <c r="I11" s="164"/>
      <c r="J11" s="172" t="s">
        <v>14</v>
      </c>
      <c r="K11" s="164"/>
      <c r="L11" s="164"/>
      <c r="M11" s="164"/>
      <c r="N11" s="164"/>
      <c r="O11" s="164"/>
      <c r="P11" s="57"/>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row>
    <row r="12" spans="1:96" x14ac:dyDescent="0.2">
      <c r="A12" s="57"/>
      <c r="B12" s="58" t="s">
        <v>15</v>
      </c>
      <c r="C12" s="58"/>
      <c r="D12" s="58"/>
      <c r="E12" s="158" t="s">
        <v>2</v>
      </c>
      <c r="F12" s="159"/>
      <c r="G12" s="159"/>
      <c r="H12" s="159"/>
      <c r="I12" s="158" t="s">
        <v>16</v>
      </c>
      <c r="J12" s="159"/>
      <c r="K12" s="159"/>
      <c r="L12" s="159"/>
      <c r="M12" s="158" t="s">
        <v>17</v>
      </c>
      <c r="N12" s="159"/>
      <c r="O12" s="159"/>
      <c r="P12" s="159"/>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row>
    <row r="13" spans="1:96" x14ac:dyDescent="0.2">
      <c r="A13" s="57"/>
      <c r="B13" s="5" t="s">
        <v>18</v>
      </c>
      <c r="C13" s="1"/>
      <c r="D13" s="1"/>
      <c r="E13" s="178">
        <f>calc_scn_rev_base</f>
        <v>0</v>
      </c>
      <c r="F13" s="156"/>
      <c r="G13" s="156"/>
      <c r="H13" s="156"/>
      <c r="I13" s="155">
        <f>calc_scn_rev_downside</f>
        <v>0</v>
      </c>
      <c r="J13" s="156"/>
      <c r="K13" s="156"/>
      <c r="L13" s="156"/>
      <c r="M13" s="155">
        <f>calc_scn_rev_upside</f>
        <v>0</v>
      </c>
      <c r="N13" s="156"/>
      <c r="O13" s="156"/>
      <c r="P13" s="156"/>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row>
    <row r="14" spans="1:96" x14ac:dyDescent="0.2">
      <c r="A14" s="57"/>
      <c r="B14" s="5" t="s">
        <v>19</v>
      </c>
      <c r="C14" s="1"/>
      <c r="D14" s="1"/>
      <c r="E14" s="178">
        <f>calc_scn_ebitda_base</f>
        <v>0</v>
      </c>
      <c r="F14" s="156"/>
      <c r="G14" s="156"/>
      <c r="H14" s="156"/>
      <c r="I14" s="155">
        <f>calc_scn_ebitda_downside</f>
        <v>0</v>
      </c>
      <c r="J14" s="156"/>
      <c r="K14" s="156"/>
      <c r="L14" s="156"/>
      <c r="M14" s="155">
        <f>calc_scn_ebitda_upside</f>
        <v>0</v>
      </c>
      <c r="N14" s="156"/>
      <c r="O14" s="156"/>
      <c r="P14" s="156"/>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row>
    <row r="15" spans="1:96" x14ac:dyDescent="0.2">
      <c r="A15" s="57"/>
      <c r="B15" s="5" t="s">
        <v>20</v>
      </c>
      <c r="C15" s="1"/>
      <c r="D15" s="1"/>
      <c r="E15" s="178">
        <f>calc_scn_cash_base</f>
        <v>0</v>
      </c>
      <c r="F15" s="156"/>
      <c r="G15" s="156"/>
      <c r="H15" s="156"/>
      <c r="I15" s="155">
        <f>calc_scn_cash_downside</f>
        <v>0</v>
      </c>
      <c r="J15" s="156"/>
      <c r="K15" s="156"/>
      <c r="L15" s="156"/>
      <c r="M15" s="155">
        <f>calc_scn_cash_upside</f>
        <v>0</v>
      </c>
      <c r="N15" s="156"/>
      <c r="O15" s="156"/>
      <c r="P15" s="156"/>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row>
    <row r="16" spans="1:96" x14ac:dyDescent="0.2">
      <c r="A16" s="57"/>
      <c r="B16" s="1"/>
      <c r="C16" s="1"/>
      <c r="D16" s="1"/>
      <c r="E16" s="1"/>
      <c r="F16" s="1"/>
      <c r="G16" s="1"/>
      <c r="H16" s="1"/>
      <c r="I16" s="1"/>
      <c r="J16" s="1"/>
      <c r="K16" s="1"/>
      <c r="L16" s="1"/>
      <c r="M16" s="1"/>
      <c r="N16" s="1"/>
      <c r="O16" s="1"/>
      <c r="P16" s="1"/>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row>
    <row r="17" spans="1:96" ht="28" customHeight="1" x14ac:dyDescent="0.2">
      <c r="A17" s="57"/>
      <c r="B17" s="168" t="str">
        <f>"12-MONTH "&amp;UPPER(inp_view)&amp;"  —  switch P&amp;L / Cash Flow / Balance Sheet at the VIEW selector →"</f>
        <v>12-MONTH P&amp;L  —  switch P&amp;L / Cash Flow / Balance Sheet at the VIEW selector →</v>
      </c>
      <c r="C17" s="156"/>
      <c r="D17" s="156"/>
      <c r="E17" s="156"/>
      <c r="F17" s="156"/>
      <c r="G17" s="156"/>
      <c r="H17" s="156"/>
      <c r="I17" s="156"/>
      <c r="J17" s="174" t="str">
        <f>"View · "&amp;inp_view&amp;" · Scenario · "&amp;inp_scenario&amp;" · Region · "&amp;inp_region</f>
        <v>View · P&amp;L · Scenario · Base · Region · AU</v>
      </c>
      <c r="K17" s="156"/>
      <c r="L17" s="156"/>
      <c r="M17" s="156"/>
      <c r="N17" s="156"/>
      <c r="O17" s="156"/>
      <c r="P17" s="1"/>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row>
    <row r="18" spans="1:96" ht="22" customHeight="1" x14ac:dyDescent="0.2">
      <c r="A18" s="57"/>
      <c r="B18" s="4" t="s">
        <v>21</v>
      </c>
      <c r="C18" s="8" t="str">
        <f>CHOOSE(MOD((CHOOSE(MATCH(inp_region,{"AU","NZ","US"},0),7,4,1)-1+1-1),12)+1,"Jan","Feb","Mar","Apr","May","Jun","Jul","Aug","Sep","Oct","Nov","Dec")</f>
        <v>Jul</v>
      </c>
      <c r="D18" s="8" t="str">
        <f>CHOOSE(MOD((CHOOSE(MATCH(inp_region,{"AU","NZ","US"},0),7,4,1)-1+2-1),12)+1,"Jan","Feb","Mar","Apr","May","Jun","Jul","Aug","Sep","Oct","Nov","Dec")</f>
        <v>Aug</v>
      </c>
      <c r="E18" s="8" t="str">
        <f>CHOOSE(MOD((CHOOSE(MATCH(inp_region,{"AU","NZ","US"},0),7,4,1)-1+3-1),12)+1,"Jan","Feb","Mar","Apr","May","Jun","Jul","Aug","Sep","Oct","Nov","Dec")</f>
        <v>Sep</v>
      </c>
      <c r="F18" s="8" t="str">
        <f>CHOOSE(MOD((CHOOSE(MATCH(inp_region,{"AU","NZ","US"},0),7,4,1)-1+4-1),12)+1,"Jan","Feb","Mar","Apr","May","Jun","Jul","Aug","Sep","Oct","Nov","Dec")</f>
        <v>Oct</v>
      </c>
      <c r="G18" s="8" t="str">
        <f>CHOOSE(MOD((CHOOSE(MATCH(inp_region,{"AU","NZ","US"},0),7,4,1)-1+5-1),12)+1,"Jan","Feb","Mar","Apr","May","Jun","Jul","Aug","Sep","Oct","Nov","Dec")</f>
        <v>Nov</v>
      </c>
      <c r="H18" s="8" t="str">
        <f>CHOOSE(MOD((CHOOSE(MATCH(inp_region,{"AU","NZ","US"},0),7,4,1)-1+6-1),12)+1,"Jan","Feb","Mar","Apr","May","Jun","Jul","Aug","Sep","Oct","Nov","Dec")</f>
        <v>Dec</v>
      </c>
      <c r="I18" s="8" t="str">
        <f>CHOOSE(MOD((CHOOSE(MATCH(inp_region,{"AU","NZ","US"},0),7,4,1)-1+7-1),12)+1,"Jan","Feb","Mar","Apr","May","Jun","Jul","Aug","Sep","Oct","Nov","Dec")</f>
        <v>Jan</v>
      </c>
      <c r="J18" s="8" t="str">
        <f>CHOOSE(MOD((CHOOSE(MATCH(inp_region,{"AU","NZ","US"},0),7,4,1)-1+8-1),12)+1,"Jan","Feb","Mar","Apr","May","Jun","Jul","Aug","Sep","Oct","Nov","Dec")</f>
        <v>Feb</v>
      </c>
      <c r="K18" s="8" t="str">
        <f>CHOOSE(MOD((CHOOSE(MATCH(inp_region,{"AU","NZ","US"},0),7,4,1)-1+9-1),12)+1,"Jan","Feb","Mar","Apr","May","Jun","Jul","Aug","Sep","Oct","Nov","Dec")</f>
        <v>Mar</v>
      </c>
      <c r="L18" s="8" t="str">
        <f>CHOOSE(MOD((CHOOSE(MATCH(inp_region,{"AU","NZ","US"},0),7,4,1)-1+10-1),12)+1,"Jan","Feb","Mar","Apr","May","Jun","Jul","Aug","Sep","Oct","Nov","Dec")</f>
        <v>Apr</v>
      </c>
      <c r="M18" s="8" t="str">
        <f>CHOOSE(MOD((CHOOSE(MATCH(inp_region,{"AU","NZ","US"},0),7,4,1)-1+11-1),12)+1,"Jan","Feb","Mar","Apr","May","Jun","Jul","Aug","Sep","Oct","Nov","Dec")</f>
        <v>May</v>
      </c>
      <c r="N18" s="8" t="str">
        <f>CHOOSE(MOD((CHOOSE(MATCH(inp_region,{"AU","NZ","US"},0),7,4,1)-1+12-1),12)+1,"Jan","Feb","Mar","Apr","May","Jun","Jul","Aug","Sep","Oct","Nov","Dec")</f>
        <v>Jun</v>
      </c>
      <c r="O18" s="8" t="s">
        <v>22</v>
      </c>
      <c r="P18" s="1"/>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row>
    <row r="19" spans="1:96" x14ac:dyDescent="0.2">
      <c r="A19" s="57"/>
      <c r="B19" s="9" t="str">
        <f>CHOOSE(MATCH(inp_view,{"P&amp;L","Cash Flow","Balance Sheet"},0),"REVENUE","OPERATING CASH FLOW","ASSETS")</f>
        <v>REVENUE</v>
      </c>
      <c r="C19" s="10" t="str">
        <f>CHOOSE(MATCH(inp_view,{"P&amp;L","Cash Flow","Balance Sheet"},0),"","","")</f>
        <v/>
      </c>
      <c r="D19" s="10" t="str">
        <f>CHOOSE(MATCH(inp_view,{"P&amp;L","Cash Flow","Balance Sheet"},0),"","","")</f>
        <v/>
      </c>
      <c r="E19" s="10" t="str">
        <f>CHOOSE(MATCH(inp_view,{"P&amp;L","Cash Flow","Balance Sheet"},0),"","","")</f>
        <v/>
      </c>
      <c r="F19" s="10" t="str">
        <f>CHOOSE(MATCH(inp_view,{"P&amp;L","Cash Flow","Balance Sheet"},0),"","","")</f>
        <v/>
      </c>
      <c r="G19" s="10" t="str">
        <f>CHOOSE(MATCH(inp_view,{"P&amp;L","Cash Flow","Balance Sheet"},0),"","","")</f>
        <v/>
      </c>
      <c r="H19" s="10" t="str">
        <f>CHOOSE(MATCH(inp_view,{"P&amp;L","Cash Flow","Balance Sheet"},0),"","","")</f>
        <v/>
      </c>
      <c r="I19" s="10" t="str">
        <f>CHOOSE(MATCH(inp_view,{"P&amp;L","Cash Flow","Balance Sheet"},0),"","","")</f>
        <v/>
      </c>
      <c r="J19" s="10" t="str">
        <f>CHOOSE(MATCH(inp_view,{"P&amp;L","Cash Flow","Balance Sheet"},0),"","","")</f>
        <v/>
      </c>
      <c r="K19" s="10" t="str">
        <f>CHOOSE(MATCH(inp_view,{"P&amp;L","Cash Flow","Balance Sheet"},0),"","","")</f>
        <v/>
      </c>
      <c r="L19" s="10" t="str">
        <f>CHOOSE(MATCH(inp_view,{"P&amp;L","Cash Flow","Balance Sheet"},0),"","","")</f>
        <v/>
      </c>
      <c r="M19" s="10" t="str">
        <f>CHOOSE(MATCH(inp_view,{"P&amp;L","Cash Flow","Balance Sheet"},0),"","","")</f>
        <v/>
      </c>
      <c r="N19" s="10" t="str">
        <f>CHOOSE(MATCH(inp_view,{"P&amp;L","Cash Flow","Balance Sheet"},0),"","","")</f>
        <v/>
      </c>
      <c r="O19" s="10" t="str">
        <f>CHOOSE(MATCH(inp_view,{"P&amp;L","Cash Flow","Balance Sheet"},0),"","","")</f>
        <v/>
      </c>
      <c r="P19" s="1"/>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row>
    <row r="20" spans="1:96" x14ac:dyDescent="0.2">
      <c r="A20" s="57"/>
      <c r="B20" s="5" t="str">
        <f>CHOOSE(MATCH(inp_view,{"P&amp;L","Cash Flow","Balance Sheet"},0),"Service line 1","EBITDA","Cash and cash equivalents")</f>
        <v>Service line 1</v>
      </c>
      <c r="C20" s="7">
        <f>CHOOSE(MATCH(inp_view,{"P&amp;L","Cash Flow","Balance Sheet"},0),calc_rev_sl1_m1,calc_ebitda_m1,calc_bs_cash_m1)</f>
        <v>0</v>
      </c>
      <c r="D20" s="7">
        <f>CHOOSE(MATCH(inp_view,{"P&amp;L","Cash Flow","Balance Sheet"},0),calc_rev_sl1_m2,calc_ebitda_m2,calc_bs_cash_m2)</f>
        <v>0</v>
      </c>
      <c r="E20" s="7">
        <f>CHOOSE(MATCH(inp_view,{"P&amp;L","Cash Flow","Balance Sheet"},0),calc_rev_sl1_m3,calc_ebitda_m3,calc_bs_cash_m3)</f>
        <v>0</v>
      </c>
      <c r="F20" s="7">
        <f>CHOOSE(MATCH(inp_view,{"P&amp;L","Cash Flow","Balance Sheet"},0),calc_rev_sl1_m4,calc_ebitda_m4,calc_bs_cash_m4)</f>
        <v>0</v>
      </c>
      <c r="G20" s="7">
        <f>CHOOSE(MATCH(inp_view,{"P&amp;L","Cash Flow","Balance Sheet"},0),calc_rev_sl1_m5,calc_ebitda_m5,calc_bs_cash_m5)</f>
        <v>0</v>
      </c>
      <c r="H20" s="7">
        <f>CHOOSE(MATCH(inp_view,{"P&amp;L","Cash Flow","Balance Sheet"},0),calc_rev_sl1_m6,calc_ebitda_m6,calc_bs_cash_m6)</f>
        <v>0</v>
      </c>
      <c r="I20" s="7">
        <f>CHOOSE(MATCH(inp_view,{"P&amp;L","Cash Flow","Balance Sheet"},0),calc_rev_sl1_m7,calc_ebitda_m7,calc_bs_cash_m7)</f>
        <v>0</v>
      </c>
      <c r="J20" s="7">
        <f>CHOOSE(MATCH(inp_view,{"P&amp;L","Cash Flow","Balance Sheet"},0),calc_rev_sl1_m8,calc_ebitda_m8,calc_bs_cash_m8)</f>
        <v>0</v>
      </c>
      <c r="K20" s="7">
        <f>CHOOSE(MATCH(inp_view,{"P&amp;L","Cash Flow","Balance Sheet"},0),calc_rev_sl1_m9,calc_ebitda_m9,calc_bs_cash_m9)</f>
        <v>0</v>
      </c>
      <c r="L20" s="7">
        <f>CHOOSE(MATCH(inp_view,{"P&amp;L","Cash Flow","Balance Sheet"},0),calc_rev_sl1_m10,calc_ebitda_m10,calc_bs_cash_m10)</f>
        <v>0</v>
      </c>
      <c r="M20" s="7">
        <f>CHOOSE(MATCH(inp_view,{"P&amp;L","Cash Flow","Balance Sheet"},0),calc_rev_sl1_m11,calc_ebitda_m11,calc_bs_cash_m11)</f>
        <v>0</v>
      </c>
      <c r="N20" s="7">
        <f>CHOOSE(MATCH(inp_view,{"P&amp;L","Cash Flow","Balance Sheet"},0),calc_rev_sl1_m12,calc_ebitda_m12,calc_bs_cash_m12)</f>
        <v>0</v>
      </c>
      <c r="O20" s="6">
        <f>CHOOSE(MATCH(inp_view,{"P&amp;L","Cash Flow","Balance Sheet"},0),IFERROR(calc_rev_sl1_ann,""),IFERROR(calc_ebitda_ann,""),IFERROR(calc_bs_cash_ann,""))</f>
        <v>0</v>
      </c>
      <c r="P20" s="1"/>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row>
    <row r="21" spans="1:96" x14ac:dyDescent="0.2">
      <c r="A21" s="57"/>
      <c r="B21" s="5" t="str">
        <f>CHOOSE(MATCH(inp_view,{"P&amp;L","Cash Flow","Balance Sheet"},0),"Service line 2","− Increase in accounts receivable","Accounts receivable")</f>
        <v>Service line 2</v>
      </c>
      <c r="C21" s="7">
        <f>CHOOSE(MATCH(inp_view,{"P&amp;L","Cash Flow","Balance Sheet"},0),calc_rev_sl2_m1,calc_delta_ar_neg_m1,calc_bs_ar_m1)</f>
        <v>0</v>
      </c>
      <c r="D21" s="7">
        <f>CHOOSE(MATCH(inp_view,{"P&amp;L","Cash Flow","Balance Sheet"},0),calc_rev_sl2_m2,calc_delta_ar_neg_m2,calc_bs_ar_m2)</f>
        <v>0</v>
      </c>
      <c r="E21" s="7">
        <f>CHOOSE(MATCH(inp_view,{"P&amp;L","Cash Flow","Balance Sheet"},0),calc_rev_sl2_m3,calc_delta_ar_neg_m3,calc_bs_ar_m3)</f>
        <v>0</v>
      </c>
      <c r="F21" s="7">
        <f>CHOOSE(MATCH(inp_view,{"P&amp;L","Cash Flow","Balance Sheet"},0),calc_rev_sl2_m4,calc_delta_ar_neg_m4,calc_bs_ar_m4)</f>
        <v>0</v>
      </c>
      <c r="G21" s="7">
        <f>CHOOSE(MATCH(inp_view,{"P&amp;L","Cash Flow","Balance Sheet"},0),calc_rev_sl2_m5,calc_delta_ar_neg_m5,calc_bs_ar_m5)</f>
        <v>0</v>
      </c>
      <c r="H21" s="7">
        <f>CHOOSE(MATCH(inp_view,{"P&amp;L","Cash Flow","Balance Sheet"},0),calc_rev_sl2_m6,calc_delta_ar_neg_m6,calc_bs_ar_m6)</f>
        <v>0</v>
      </c>
      <c r="I21" s="7">
        <f>CHOOSE(MATCH(inp_view,{"P&amp;L","Cash Flow","Balance Sheet"},0),calc_rev_sl2_m7,calc_delta_ar_neg_m7,calc_bs_ar_m7)</f>
        <v>0</v>
      </c>
      <c r="J21" s="7">
        <f>CHOOSE(MATCH(inp_view,{"P&amp;L","Cash Flow","Balance Sheet"},0),calc_rev_sl2_m8,calc_delta_ar_neg_m8,calc_bs_ar_m8)</f>
        <v>0</v>
      </c>
      <c r="K21" s="7">
        <f>CHOOSE(MATCH(inp_view,{"P&amp;L","Cash Flow","Balance Sheet"},0),calc_rev_sl2_m9,calc_delta_ar_neg_m9,calc_bs_ar_m9)</f>
        <v>0</v>
      </c>
      <c r="L21" s="7">
        <f>CHOOSE(MATCH(inp_view,{"P&amp;L","Cash Flow","Balance Sheet"},0),calc_rev_sl2_m10,calc_delta_ar_neg_m10,calc_bs_ar_m10)</f>
        <v>0</v>
      </c>
      <c r="M21" s="7">
        <f>CHOOSE(MATCH(inp_view,{"P&amp;L","Cash Flow","Balance Sheet"},0),calc_rev_sl2_m11,calc_delta_ar_neg_m11,calc_bs_ar_m11)</f>
        <v>0</v>
      </c>
      <c r="N21" s="7">
        <f>CHOOSE(MATCH(inp_view,{"P&amp;L","Cash Flow","Balance Sheet"},0),calc_rev_sl2_m12,calc_delta_ar_neg_m12,calc_bs_ar_m12)</f>
        <v>0</v>
      </c>
      <c r="O21" s="6">
        <f>CHOOSE(MATCH(inp_view,{"P&amp;L","Cash Flow","Balance Sheet"},0),IFERROR(calc_rev_sl2_ann,""),IFERROR(calc_delta_ar_neg_ann,""),IFERROR(calc_bs_ar_ann,""))</f>
        <v>0</v>
      </c>
      <c r="P21" s="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row>
    <row r="22" spans="1:96" x14ac:dyDescent="0.2">
      <c r="A22" s="57"/>
      <c r="B22" s="5" t="str">
        <f>CHOOSE(MATCH(inp_view,{"P&amp;L","Cash Flow","Balance Sheet"},0),"Service line 3","+ Increase in accounts payable","Other current assets")</f>
        <v>Service line 3</v>
      </c>
      <c r="C22" s="7">
        <f>CHOOSE(MATCH(inp_view,{"P&amp;L","Cash Flow","Balance Sheet"},0),calc_rev_sl3_m1,calc_delta_ap_pos_m1,calc_bs_other_ca_m1)</f>
        <v>0</v>
      </c>
      <c r="D22" s="7">
        <f>CHOOSE(MATCH(inp_view,{"P&amp;L","Cash Flow","Balance Sheet"},0),calc_rev_sl3_m2,calc_delta_ap_pos_m2,calc_bs_other_ca_m2)</f>
        <v>0</v>
      </c>
      <c r="E22" s="7">
        <f>CHOOSE(MATCH(inp_view,{"P&amp;L","Cash Flow","Balance Sheet"},0),calc_rev_sl3_m3,calc_delta_ap_pos_m3,calc_bs_other_ca_m3)</f>
        <v>0</v>
      </c>
      <c r="F22" s="7">
        <f>CHOOSE(MATCH(inp_view,{"P&amp;L","Cash Flow","Balance Sheet"},0),calc_rev_sl3_m4,calc_delta_ap_pos_m4,calc_bs_other_ca_m4)</f>
        <v>0</v>
      </c>
      <c r="G22" s="7">
        <f>CHOOSE(MATCH(inp_view,{"P&amp;L","Cash Flow","Balance Sheet"},0),calc_rev_sl3_m5,calc_delta_ap_pos_m5,calc_bs_other_ca_m5)</f>
        <v>0</v>
      </c>
      <c r="H22" s="7">
        <f>CHOOSE(MATCH(inp_view,{"P&amp;L","Cash Flow","Balance Sheet"},0),calc_rev_sl3_m6,calc_delta_ap_pos_m6,calc_bs_other_ca_m6)</f>
        <v>0</v>
      </c>
      <c r="I22" s="7">
        <f>CHOOSE(MATCH(inp_view,{"P&amp;L","Cash Flow","Balance Sheet"},0),calc_rev_sl3_m7,calc_delta_ap_pos_m7,calc_bs_other_ca_m7)</f>
        <v>0</v>
      </c>
      <c r="J22" s="7">
        <f>CHOOSE(MATCH(inp_view,{"P&amp;L","Cash Flow","Balance Sheet"},0),calc_rev_sl3_m8,calc_delta_ap_pos_m8,calc_bs_other_ca_m8)</f>
        <v>0</v>
      </c>
      <c r="K22" s="7">
        <f>CHOOSE(MATCH(inp_view,{"P&amp;L","Cash Flow","Balance Sheet"},0),calc_rev_sl3_m9,calc_delta_ap_pos_m9,calc_bs_other_ca_m9)</f>
        <v>0</v>
      </c>
      <c r="L22" s="7">
        <f>CHOOSE(MATCH(inp_view,{"P&amp;L","Cash Flow","Balance Sheet"},0),calc_rev_sl3_m10,calc_delta_ap_pos_m10,calc_bs_other_ca_m10)</f>
        <v>0</v>
      </c>
      <c r="M22" s="7">
        <f>CHOOSE(MATCH(inp_view,{"P&amp;L","Cash Flow","Balance Sheet"},0),calc_rev_sl3_m11,calc_delta_ap_pos_m11,calc_bs_other_ca_m11)</f>
        <v>0</v>
      </c>
      <c r="N22" s="7">
        <f>CHOOSE(MATCH(inp_view,{"P&amp;L","Cash Flow","Balance Sheet"},0),calc_rev_sl3_m12,calc_delta_ap_pos_m12,calc_bs_other_ca_m12)</f>
        <v>0</v>
      </c>
      <c r="O22" s="6">
        <f>CHOOSE(MATCH(inp_view,{"P&amp;L","Cash Flow","Balance Sheet"},0),IFERROR(calc_rev_sl3_ann,""),IFERROR(calc_delta_ap_pos_ann,""),IFERROR(calc_bs_other_ca_ann,""))</f>
        <v>0</v>
      </c>
      <c r="P22" s="1"/>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row>
    <row r="23" spans="1:96" x14ac:dyDescent="0.2">
      <c r="A23" s="57"/>
      <c r="B23" s="5" t="str">
        <f>CHOOSE(MATCH(inp_view,{"P&amp;L","Cash Flow","Balance Sheet"},0),"Service line 4","− Interest paid (cash)","")</f>
        <v>Service line 4</v>
      </c>
      <c r="C23" s="7">
        <f>CHOOSE(MATCH(inp_view,{"P&amp;L","Cash Flow","Balance Sheet"},0),calc_rev_sl4_m1,calc_interest_neg_m1,"")</f>
        <v>0</v>
      </c>
      <c r="D23" s="7">
        <f>CHOOSE(MATCH(inp_view,{"P&amp;L","Cash Flow","Balance Sheet"},0),calc_rev_sl4_m2,calc_interest_neg_m2,"")</f>
        <v>0</v>
      </c>
      <c r="E23" s="7">
        <f>CHOOSE(MATCH(inp_view,{"P&amp;L","Cash Flow","Balance Sheet"},0),calc_rev_sl4_m3,calc_interest_neg_m3,"")</f>
        <v>0</v>
      </c>
      <c r="F23" s="7">
        <f>CHOOSE(MATCH(inp_view,{"P&amp;L","Cash Flow","Balance Sheet"},0),calc_rev_sl4_m4,calc_interest_neg_m4,"")</f>
        <v>0</v>
      </c>
      <c r="G23" s="7">
        <f>CHOOSE(MATCH(inp_view,{"P&amp;L","Cash Flow","Balance Sheet"},0),calc_rev_sl4_m5,calc_interest_neg_m5,"")</f>
        <v>0</v>
      </c>
      <c r="H23" s="7">
        <f>CHOOSE(MATCH(inp_view,{"P&amp;L","Cash Flow","Balance Sheet"},0),calc_rev_sl4_m6,calc_interest_neg_m6,"")</f>
        <v>0</v>
      </c>
      <c r="I23" s="7">
        <f>CHOOSE(MATCH(inp_view,{"P&amp;L","Cash Flow","Balance Sheet"},0),calc_rev_sl4_m7,calc_interest_neg_m7,"")</f>
        <v>0</v>
      </c>
      <c r="J23" s="7">
        <f>CHOOSE(MATCH(inp_view,{"P&amp;L","Cash Flow","Balance Sheet"},0),calc_rev_sl4_m8,calc_interest_neg_m8,"")</f>
        <v>0</v>
      </c>
      <c r="K23" s="7">
        <f>CHOOSE(MATCH(inp_view,{"P&amp;L","Cash Flow","Balance Sheet"},0),calc_rev_sl4_m9,calc_interest_neg_m9,"")</f>
        <v>0</v>
      </c>
      <c r="L23" s="7">
        <f>CHOOSE(MATCH(inp_view,{"P&amp;L","Cash Flow","Balance Sheet"},0),calc_rev_sl4_m10,calc_interest_neg_m10,"")</f>
        <v>0</v>
      </c>
      <c r="M23" s="7">
        <f>CHOOSE(MATCH(inp_view,{"P&amp;L","Cash Flow","Balance Sheet"},0),calc_rev_sl4_m11,calc_interest_neg_m11,"")</f>
        <v>0</v>
      </c>
      <c r="N23" s="7">
        <f>CHOOSE(MATCH(inp_view,{"P&amp;L","Cash Flow","Balance Sheet"},0),calc_rev_sl4_m12,calc_interest_neg_m12,"")</f>
        <v>0</v>
      </c>
      <c r="O23" s="6">
        <f>CHOOSE(MATCH(inp_view,{"P&amp;L","Cash Flow","Balance Sheet"},0),IFERROR(calc_rev_sl4_ann,""),IFERROR(calc_interest_neg_ann,""),"")</f>
        <v>0</v>
      </c>
      <c r="P23" s="1"/>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row>
    <row r="24" spans="1:96" x14ac:dyDescent="0.2">
      <c r="A24" s="57"/>
      <c r="B24" s="5" t="str">
        <f>CHOOSE(MATCH(inp_view,{"P&amp;L","Cash Flow","Balance Sheet"},0),"Service line 5","− Income tax paid (cash)","")</f>
        <v>Service line 5</v>
      </c>
      <c r="C24" s="7">
        <f>CHOOSE(MATCH(inp_view,{"P&amp;L","Cash Flow","Balance Sheet"},0),calc_rev_sl5_m1,calc_tax_paid_neg_m1,"")</f>
        <v>0</v>
      </c>
      <c r="D24" s="7">
        <f>CHOOSE(MATCH(inp_view,{"P&amp;L","Cash Flow","Balance Sheet"},0),calc_rev_sl5_m2,calc_tax_paid_neg_m2,"")</f>
        <v>0</v>
      </c>
      <c r="E24" s="7">
        <f>CHOOSE(MATCH(inp_view,{"P&amp;L","Cash Flow","Balance Sheet"},0),calc_rev_sl5_m3,calc_tax_paid_neg_m3,"")</f>
        <v>0</v>
      </c>
      <c r="F24" s="7">
        <f>CHOOSE(MATCH(inp_view,{"P&amp;L","Cash Flow","Balance Sheet"},0),calc_rev_sl5_m4,calc_tax_paid_neg_m4,"")</f>
        <v>0</v>
      </c>
      <c r="G24" s="7">
        <f>CHOOSE(MATCH(inp_view,{"P&amp;L","Cash Flow","Balance Sheet"},0),calc_rev_sl5_m5,calc_tax_paid_neg_m5,"")</f>
        <v>0</v>
      </c>
      <c r="H24" s="7">
        <f>CHOOSE(MATCH(inp_view,{"P&amp;L","Cash Flow","Balance Sheet"},0),calc_rev_sl5_m6,calc_tax_paid_neg_m6,"")</f>
        <v>0</v>
      </c>
      <c r="I24" s="7">
        <f>CHOOSE(MATCH(inp_view,{"P&amp;L","Cash Flow","Balance Sheet"},0),calc_rev_sl5_m7,calc_tax_paid_neg_m7,"")</f>
        <v>0</v>
      </c>
      <c r="J24" s="7">
        <f>CHOOSE(MATCH(inp_view,{"P&amp;L","Cash Flow","Balance Sheet"},0),calc_rev_sl5_m8,calc_tax_paid_neg_m8,"")</f>
        <v>0</v>
      </c>
      <c r="K24" s="7">
        <f>CHOOSE(MATCH(inp_view,{"P&amp;L","Cash Flow","Balance Sheet"},0),calc_rev_sl5_m9,calc_tax_paid_neg_m9,"")</f>
        <v>0</v>
      </c>
      <c r="L24" s="7">
        <f>CHOOSE(MATCH(inp_view,{"P&amp;L","Cash Flow","Balance Sheet"},0),calc_rev_sl5_m10,calc_tax_paid_neg_m10,"")</f>
        <v>0</v>
      </c>
      <c r="M24" s="7">
        <f>CHOOSE(MATCH(inp_view,{"P&amp;L","Cash Flow","Balance Sheet"},0),calc_rev_sl5_m11,calc_tax_paid_neg_m11,"")</f>
        <v>0</v>
      </c>
      <c r="N24" s="7">
        <f>CHOOSE(MATCH(inp_view,{"P&amp;L","Cash Flow","Balance Sheet"},0),calc_rev_sl5_m12,calc_tax_paid_neg_m12,"")</f>
        <v>0</v>
      </c>
      <c r="O24" s="6">
        <f>CHOOSE(MATCH(inp_view,{"P&amp;L","Cash Flow","Balance Sheet"},0),IFERROR(calc_rev_sl5_ann,""),IFERROR(calc_tax_paid_neg_ann,""),"")</f>
        <v>0</v>
      </c>
      <c r="P24" s="1"/>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row>
    <row r="25" spans="1:96" x14ac:dyDescent="0.2">
      <c r="A25" s="57"/>
      <c r="B25" s="11" t="str">
        <f>CHOOSE(MATCH(inp_view,{"P&amp;L","Cash Flow","Balance Sheet"},0),"Total revenue","Operating cash flow","Total current assets")</f>
        <v>Total revenue</v>
      </c>
      <c r="C25" s="12">
        <f>CHOOSE(MATCH(inp_view,{"P&amp;L","Cash Flow","Balance Sheet"},0),calc_rev_total_m1,calc_op_cf_m1,calc_bs_total_ca_m1)</f>
        <v>0</v>
      </c>
      <c r="D25" s="12">
        <f>CHOOSE(MATCH(inp_view,{"P&amp;L","Cash Flow","Balance Sheet"},0),calc_rev_total_m2,calc_op_cf_m2,calc_bs_total_ca_m2)</f>
        <v>0</v>
      </c>
      <c r="E25" s="12">
        <f>CHOOSE(MATCH(inp_view,{"P&amp;L","Cash Flow","Balance Sheet"},0),calc_rev_total_m3,calc_op_cf_m3,calc_bs_total_ca_m3)</f>
        <v>0</v>
      </c>
      <c r="F25" s="12">
        <f>CHOOSE(MATCH(inp_view,{"P&amp;L","Cash Flow","Balance Sheet"},0),calc_rev_total_m4,calc_op_cf_m4,calc_bs_total_ca_m4)</f>
        <v>0</v>
      </c>
      <c r="G25" s="12">
        <f>CHOOSE(MATCH(inp_view,{"P&amp;L","Cash Flow","Balance Sheet"},0),calc_rev_total_m5,calc_op_cf_m5,calc_bs_total_ca_m5)</f>
        <v>0</v>
      </c>
      <c r="H25" s="12">
        <f>CHOOSE(MATCH(inp_view,{"P&amp;L","Cash Flow","Balance Sheet"},0),calc_rev_total_m6,calc_op_cf_m6,calc_bs_total_ca_m6)</f>
        <v>0</v>
      </c>
      <c r="I25" s="12">
        <f>CHOOSE(MATCH(inp_view,{"P&amp;L","Cash Flow","Balance Sheet"},0),calc_rev_total_m7,calc_op_cf_m7,calc_bs_total_ca_m7)</f>
        <v>0</v>
      </c>
      <c r="J25" s="12">
        <f>CHOOSE(MATCH(inp_view,{"P&amp;L","Cash Flow","Balance Sheet"},0),calc_rev_total_m8,calc_op_cf_m8,calc_bs_total_ca_m8)</f>
        <v>0</v>
      </c>
      <c r="K25" s="12">
        <f>CHOOSE(MATCH(inp_view,{"P&amp;L","Cash Flow","Balance Sheet"},0),calc_rev_total_m9,calc_op_cf_m9,calc_bs_total_ca_m9)</f>
        <v>0</v>
      </c>
      <c r="L25" s="12">
        <f>CHOOSE(MATCH(inp_view,{"P&amp;L","Cash Flow","Balance Sheet"},0),calc_rev_total_m10,calc_op_cf_m10,calc_bs_total_ca_m10)</f>
        <v>0</v>
      </c>
      <c r="M25" s="12">
        <f>CHOOSE(MATCH(inp_view,{"P&amp;L","Cash Flow","Balance Sheet"},0),calc_rev_total_m11,calc_op_cf_m11,calc_bs_total_ca_m11)</f>
        <v>0</v>
      </c>
      <c r="N25" s="12">
        <f>CHOOSE(MATCH(inp_view,{"P&amp;L","Cash Flow","Balance Sheet"},0),calc_rev_total_m12,calc_op_cf_m12,calc_bs_total_ca_m12)</f>
        <v>0</v>
      </c>
      <c r="O25" s="12">
        <f>CHOOSE(MATCH(inp_view,{"P&amp;L","Cash Flow","Balance Sheet"},0),IFERROR(calc_rev_total_ann,""),IFERROR(calc_op_cf_ann,""),IFERROR(calc_bs_total_ca_ann,""))</f>
        <v>0</v>
      </c>
      <c r="P25" s="1"/>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row>
    <row r="26" spans="1:96" x14ac:dyDescent="0.2">
      <c r="A26" s="57"/>
      <c r="B26" s="5" t="str">
        <f>CHOOSE(MATCH(inp_view,{"P&amp;L","Cash Flow","Balance Sheet"},0),"","","")</f>
        <v/>
      </c>
      <c r="C26" s="7" t="str">
        <f>CHOOSE(MATCH(inp_view,{"P&amp;L","Cash Flow","Balance Sheet"},0),"","","")</f>
        <v/>
      </c>
      <c r="D26" s="7" t="str">
        <f>CHOOSE(MATCH(inp_view,{"P&amp;L","Cash Flow","Balance Sheet"},0),"","","")</f>
        <v/>
      </c>
      <c r="E26" s="7" t="str">
        <f>CHOOSE(MATCH(inp_view,{"P&amp;L","Cash Flow","Balance Sheet"},0),"","","")</f>
        <v/>
      </c>
      <c r="F26" s="7" t="str">
        <f>CHOOSE(MATCH(inp_view,{"P&amp;L","Cash Flow","Balance Sheet"},0),"","","")</f>
        <v/>
      </c>
      <c r="G26" s="7" t="str">
        <f>CHOOSE(MATCH(inp_view,{"P&amp;L","Cash Flow","Balance Sheet"},0),"","","")</f>
        <v/>
      </c>
      <c r="H26" s="7" t="str">
        <f>CHOOSE(MATCH(inp_view,{"P&amp;L","Cash Flow","Balance Sheet"},0),"","","")</f>
        <v/>
      </c>
      <c r="I26" s="7" t="str">
        <f>CHOOSE(MATCH(inp_view,{"P&amp;L","Cash Flow","Balance Sheet"},0),"","","")</f>
        <v/>
      </c>
      <c r="J26" s="7" t="str">
        <f>CHOOSE(MATCH(inp_view,{"P&amp;L","Cash Flow","Balance Sheet"},0),"","","")</f>
        <v/>
      </c>
      <c r="K26" s="7" t="str">
        <f>CHOOSE(MATCH(inp_view,{"P&amp;L","Cash Flow","Balance Sheet"},0),"","","")</f>
        <v/>
      </c>
      <c r="L26" s="7" t="str">
        <f>CHOOSE(MATCH(inp_view,{"P&amp;L","Cash Flow","Balance Sheet"},0),"","","")</f>
        <v/>
      </c>
      <c r="M26" s="7" t="str">
        <f>CHOOSE(MATCH(inp_view,{"P&amp;L","Cash Flow","Balance Sheet"},0),"","","")</f>
        <v/>
      </c>
      <c r="N26" s="7" t="str">
        <f>CHOOSE(MATCH(inp_view,{"P&amp;L","Cash Flow","Balance Sheet"},0),"","","")</f>
        <v/>
      </c>
      <c r="O26" s="6" t="str">
        <f>CHOOSE(MATCH(inp_view,{"P&amp;L","Cash Flow","Balance Sheet"},0),"","","")</f>
        <v/>
      </c>
      <c r="P26" s="1"/>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row>
    <row r="27" spans="1:96" x14ac:dyDescent="0.2">
      <c r="A27" s="57"/>
      <c r="B27" s="9" t="str">
        <f>CHOOSE(MATCH(inp_view,{"P&amp;L","Cash Flow","Balance Sheet"},0),"DIRECT COST","INVESTING CASH FLOW","FIXED ASSETS")</f>
        <v>DIRECT COST</v>
      </c>
      <c r="C27" s="10" t="str">
        <f>CHOOSE(MATCH(inp_view,{"P&amp;L","Cash Flow","Balance Sheet"},0),"","","")</f>
        <v/>
      </c>
      <c r="D27" s="10" t="str">
        <f>CHOOSE(MATCH(inp_view,{"P&amp;L","Cash Flow","Balance Sheet"},0),"","","")</f>
        <v/>
      </c>
      <c r="E27" s="10" t="str">
        <f>CHOOSE(MATCH(inp_view,{"P&amp;L","Cash Flow","Balance Sheet"},0),"","","")</f>
        <v/>
      </c>
      <c r="F27" s="10" t="str">
        <f>CHOOSE(MATCH(inp_view,{"P&amp;L","Cash Flow","Balance Sheet"},0),"","","")</f>
        <v/>
      </c>
      <c r="G27" s="10" t="str">
        <f>CHOOSE(MATCH(inp_view,{"P&amp;L","Cash Flow","Balance Sheet"},0),"","","")</f>
        <v/>
      </c>
      <c r="H27" s="10" t="str">
        <f>CHOOSE(MATCH(inp_view,{"P&amp;L","Cash Flow","Balance Sheet"},0),"","","")</f>
        <v/>
      </c>
      <c r="I27" s="10" t="str">
        <f>CHOOSE(MATCH(inp_view,{"P&amp;L","Cash Flow","Balance Sheet"},0),"","","")</f>
        <v/>
      </c>
      <c r="J27" s="10" t="str">
        <f>CHOOSE(MATCH(inp_view,{"P&amp;L","Cash Flow","Balance Sheet"},0),"","","")</f>
        <v/>
      </c>
      <c r="K27" s="10" t="str">
        <f>CHOOSE(MATCH(inp_view,{"P&amp;L","Cash Flow","Balance Sheet"},0),"","","")</f>
        <v/>
      </c>
      <c r="L27" s="10" t="str">
        <f>CHOOSE(MATCH(inp_view,{"P&amp;L","Cash Flow","Balance Sheet"},0),"","","")</f>
        <v/>
      </c>
      <c r="M27" s="10" t="str">
        <f>CHOOSE(MATCH(inp_view,{"P&amp;L","Cash Flow","Balance Sheet"},0),"","","")</f>
        <v/>
      </c>
      <c r="N27" s="10" t="str">
        <f>CHOOSE(MATCH(inp_view,{"P&amp;L","Cash Flow","Balance Sheet"},0),"","","")</f>
        <v/>
      </c>
      <c r="O27" s="10" t="str">
        <f>CHOOSE(MATCH(inp_view,{"P&amp;L","Cash Flow","Balance Sheet"},0),"","","")</f>
        <v/>
      </c>
      <c r="P27" s="1"/>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row>
    <row r="28" spans="1:96" x14ac:dyDescent="0.2">
      <c r="A28" s="57"/>
      <c r="B28" s="5" t="str">
        <f>CHOOSE(MATCH(inp_view,{"P&amp;L","Cash Flow","Balance Sheet"},0),"Delivery payroll (roster)","− Capital expenditure","Property, plant &amp; equipment")</f>
        <v>Delivery payroll (roster)</v>
      </c>
      <c r="C28" s="7">
        <f>CHOOSE(MATCH(inp_view,{"P&amp;L","Cash Flow","Balance Sheet"},0),calc_dc_payroll_m1,calc_capex_neg_m1,calc_bs_ppe_cost_m1)</f>
        <v>0</v>
      </c>
      <c r="D28" s="7">
        <f>CHOOSE(MATCH(inp_view,{"P&amp;L","Cash Flow","Balance Sheet"},0),calc_dc_payroll_m2,calc_capex_neg_m2,calc_bs_ppe_cost_m2)</f>
        <v>0</v>
      </c>
      <c r="E28" s="7">
        <f>CHOOSE(MATCH(inp_view,{"P&amp;L","Cash Flow","Balance Sheet"},0),calc_dc_payroll_m3,calc_capex_neg_m3,calc_bs_ppe_cost_m3)</f>
        <v>0</v>
      </c>
      <c r="F28" s="7">
        <f>CHOOSE(MATCH(inp_view,{"P&amp;L","Cash Flow","Balance Sheet"},0),calc_dc_payroll_m4,calc_capex_neg_m4,calc_bs_ppe_cost_m4)</f>
        <v>0</v>
      </c>
      <c r="G28" s="7">
        <f>CHOOSE(MATCH(inp_view,{"P&amp;L","Cash Flow","Balance Sheet"},0),calc_dc_payroll_m5,calc_capex_neg_m5,calc_bs_ppe_cost_m5)</f>
        <v>0</v>
      </c>
      <c r="H28" s="7">
        <f>CHOOSE(MATCH(inp_view,{"P&amp;L","Cash Flow","Balance Sheet"},0),calc_dc_payroll_m6,calc_capex_neg_m6,calc_bs_ppe_cost_m6)</f>
        <v>0</v>
      </c>
      <c r="I28" s="7">
        <f>CHOOSE(MATCH(inp_view,{"P&amp;L","Cash Flow","Balance Sheet"},0),calc_dc_payroll_m7,calc_capex_neg_m7,calc_bs_ppe_cost_m7)</f>
        <v>0</v>
      </c>
      <c r="J28" s="7">
        <f>CHOOSE(MATCH(inp_view,{"P&amp;L","Cash Flow","Balance Sheet"},0),calc_dc_payroll_m8,calc_capex_neg_m8,calc_bs_ppe_cost_m8)</f>
        <v>0</v>
      </c>
      <c r="K28" s="7">
        <f>CHOOSE(MATCH(inp_view,{"P&amp;L","Cash Flow","Balance Sheet"},0),calc_dc_payroll_m9,calc_capex_neg_m9,calc_bs_ppe_cost_m9)</f>
        <v>0</v>
      </c>
      <c r="L28" s="7">
        <f>CHOOSE(MATCH(inp_view,{"P&amp;L","Cash Flow","Balance Sheet"},0),calc_dc_payroll_m10,calc_capex_neg_m10,calc_bs_ppe_cost_m10)</f>
        <v>0</v>
      </c>
      <c r="M28" s="7">
        <f>CHOOSE(MATCH(inp_view,{"P&amp;L","Cash Flow","Balance Sheet"},0),calc_dc_payroll_m11,calc_capex_neg_m11,calc_bs_ppe_cost_m11)</f>
        <v>0</v>
      </c>
      <c r="N28" s="7">
        <f>CHOOSE(MATCH(inp_view,{"P&amp;L","Cash Flow","Balance Sheet"},0),calc_dc_payroll_m12,calc_capex_neg_m12,calc_bs_ppe_cost_m12)</f>
        <v>0</v>
      </c>
      <c r="O28" s="6">
        <f>CHOOSE(MATCH(inp_view,{"P&amp;L","Cash Flow","Balance Sheet"},0),IFERROR(calc_dc_payroll_ann,""),IFERROR(calc_capex_neg_ann,""),IFERROR(calc_bs_ppe_cost_ann,""))</f>
        <v>0</v>
      </c>
      <c r="P28" s="1"/>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row>
    <row r="29" spans="1:96" x14ac:dyDescent="0.2">
      <c r="A29" s="57"/>
      <c r="B29" s="5" t="str">
        <f>CHOOSE(MATCH(inp_view,{"P&amp;L","Cash Flow","Balance Sheet"},0),"Contractors / freelance","","Less: accumulated D&amp;A")</f>
        <v>Contractors / freelance</v>
      </c>
      <c r="C29" s="7">
        <f>CHOOSE(MATCH(inp_view,{"P&amp;L","Cash Flow","Balance Sheet"},0),calc_dc_contractors_m1,"",calc_bs_acc_da_neg_m1)</f>
        <v>0</v>
      </c>
      <c r="D29" s="7">
        <f>CHOOSE(MATCH(inp_view,{"P&amp;L","Cash Flow","Balance Sheet"},0),calc_dc_contractors_m2,"",calc_bs_acc_da_neg_m2)</f>
        <v>0</v>
      </c>
      <c r="E29" s="7">
        <f>CHOOSE(MATCH(inp_view,{"P&amp;L","Cash Flow","Balance Sheet"},0),calc_dc_contractors_m3,"",calc_bs_acc_da_neg_m3)</f>
        <v>0</v>
      </c>
      <c r="F29" s="7">
        <f>CHOOSE(MATCH(inp_view,{"P&amp;L","Cash Flow","Balance Sheet"},0),calc_dc_contractors_m4,"",calc_bs_acc_da_neg_m4)</f>
        <v>0</v>
      </c>
      <c r="G29" s="7">
        <f>CHOOSE(MATCH(inp_view,{"P&amp;L","Cash Flow","Balance Sheet"},0),calc_dc_contractors_m5,"",calc_bs_acc_da_neg_m5)</f>
        <v>0</v>
      </c>
      <c r="H29" s="7">
        <f>CHOOSE(MATCH(inp_view,{"P&amp;L","Cash Flow","Balance Sheet"},0),calc_dc_contractors_m6,"",calc_bs_acc_da_neg_m6)</f>
        <v>0</v>
      </c>
      <c r="I29" s="7">
        <f>CHOOSE(MATCH(inp_view,{"P&amp;L","Cash Flow","Balance Sheet"},0),calc_dc_contractors_m7,"",calc_bs_acc_da_neg_m7)</f>
        <v>0</v>
      </c>
      <c r="J29" s="7">
        <f>CHOOSE(MATCH(inp_view,{"P&amp;L","Cash Flow","Balance Sheet"},0),calc_dc_contractors_m8,"",calc_bs_acc_da_neg_m8)</f>
        <v>0</v>
      </c>
      <c r="K29" s="7">
        <f>CHOOSE(MATCH(inp_view,{"P&amp;L","Cash Flow","Balance Sheet"},0),calc_dc_contractors_m9,"",calc_bs_acc_da_neg_m9)</f>
        <v>0</v>
      </c>
      <c r="L29" s="7">
        <f>CHOOSE(MATCH(inp_view,{"P&amp;L","Cash Flow","Balance Sheet"},0),calc_dc_contractors_m10,"",calc_bs_acc_da_neg_m10)</f>
        <v>0</v>
      </c>
      <c r="M29" s="7">
        <f>CHOOSE(MATCH(inp_view,{"P&amp;L","Cash Flow","Balance Sheet"},0),calc_dc_contractors_m11,"",calc_bs_acc_da_neg_m11)</f>
        <v>0</v>
      </c>
      <c r="N29" s="7">
        <f>CHOOSE(MATCH(inp_view,{"P&amp;L","Cash Flow","Balance Sheet"},0),calc_dc_contractors_m12,"",calc_bs_acc_da_neg_m12)</f>
        <v>0</v>
      </c>
      <c r="O29" s="6">
        <f>CHOOSE(MATCH(inp_view,{"P&amp;L","Cash Flow","Balance Sheet"},0),IFERROR(calc_dc_contractors_ann,""),"",IFERROR(calc_bs_acc_da_neg_ann,""))</f>
        <v>0</v>
      </c>
      <c r="P29" s="1"/>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row>
    <row r="30" spans="1:96" x14ac:dyDescent="0.2">
      <c r="A30" s="57"/>
      <c r="B30" s="5" t="str">
        <f>CHOOSE(MATCH(inp_view,{"P&amp;L","Cash Flow","Balance Sheet"},0),"Production tools","","")</f>
        <v>Production tools</v>
      </c>
      <c r="C30" s="7">
        <f>CHOOSE(MATCH(inp_view,{"P&amp;L","Cash Flow","Balance Sheet"},0),calc_dc_tools_m1,"","")</f>
        <v>0</v>
      </c>
      <c r="D30" s="7">
        <f>CHOOSE(MATCH(inp_view,{"P&amp;L","Cash Flow","Balance Sheet"},0),calc_dc_tools_m2,"","")</f>
        <v>0</v>
      </c>
      <c r="E30" s="7">
        <f>CHOOSE(MATCH(inp_view,{"P&amp;L","Cash Flow","Balance Sheet"},0),calc_dc_tools_m3,"","")</f>
        <v>0</v>
      </c>
      <c r="F30" s="7">
        <f>CHOOSE(MATCH(inp_view,{"P&amp;L","Cash Flow","Balance Sheet"},0),calc_dc_tools_m4,"","")</f>
        <v>0</v>
      </c>
      <c r="G30" s="7">
        <f>CHOOSE(MATCH(inp_view,{"P&amp;L","Cash Flow","Balance Sheet"},0),calc_dc_tools_m5,"","")</f>
        <v>0</v>
      </c>
      <c r="H30" s="7">
        <f>CHOOSE(MATCH(inp_view,{"P&amp;L","Cash Flow","Balance Sheet"},0),calc_dc_tools_m6,"","")</f>
        <v>0</v>
      </c>
      <c r="I30" s="7">
        <f>CHOOSE(MATCH(inp_view,{"P&amp;L","Cash Flow","Balance Sheet"},0),calc_dc_tools_m7,"","")</f>
        <v>0</v>
      </c>
      <c r="J30" s="7">
        <f>CHOOSE(MATCH(inp_view,{"P&amp;L","Cash Flow","Balance Sheet"},0),calc_dc_tools_m8,"","")</f>
        <v>0</v>
      </c>
      <c r="K30" s="7">
        <f>CHOOSE(MATCH(inp_view,{"P&amp;L","Cash Flow","Balance Sheet"},0),calc_dc_tools_m9,"","")</f>
        <v>0</v>
      </c>
      <c r="L30" s="7">
        <f>CHOOSE(MATCH(inp_view,{"P&amp;L","Cash Flow","Balance Sheet"},0),calc_dc_tools_m10,"","")</f>
        <v>0</v>
      </c>
      <c r="M30" s="7">
        <f>CHOOSE(MATCH(inp_view,{"P&amp;L","Cash Flow","Balance Sheet"},0),calc_dc_tools_m11,"","")</f>
        <v>0</v>
      </c>
      <c r="N30" s="7">
        <f>CHOOSE(MATCH(inp_view,{"P&amp;L","Cash Flow","Balance Sheet"},0),calc_dc_tools_m12,"","")</f>
        <v>0</v>
      </c>
      <c r="O30" s="6">
        <f>CHOOSE(MATCH(inp_view,{"P&amp;L","Cash Flow","Balance Sheet"},0),IFERROR(calc_dc_tools_ann,""),"","")</f>
        <v>0</v>
      </c>
      <c r="P30" s="1"/>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row>
    <row r="31" spans="1:96" x14ac:dyDescent="0.2">
      <c r="A31" s="57"/>
      <c r="B31" s="5" t="str">
        <f>CHOOSE(MATCH(inp_view,{"P&amp;L","Cash Flow","Balance Sheet"},0),"Pass-through media","","")</f>
        <v>Pass-through media</v>
      </c>
      <c r="C31" s="7">
        <f>CHOOSE(MATCH(inp_view,{"P&amp;L","Cash Flow","Balance Sheet"},0),calc_dc_passthrough_m1,"","")</f>
        <v>0</v>
      </c>
      <c r="D31" s="7">
        <f>CHOOSE(MATCH(inp_view,{"P&amp;L","Cash Flow","Balance Sheet"},0),calc_dc_passthrough_m2,"","")</f>
        <v>0</v>
      </c>
      <c r="E31" s="7">
        <f>CHOOSE(MATCH(inp_view,{"P&amp;L","Cash Flow","Balance Sheet"},0),calc_dc_passthrough_m3,"","")</f>
        <v>0</v>
      </c>
      <c r="F31" s="7">
        <f>CHOOSE(MATCH(inp_view,{"P&amp;L","Cash Flow","Balance Sheet"},0),calc_dc_passthrough_m4,"","")</f>
        <v>0</v>
      </c>
      <c r="G31" s="7">
        <f>CHOOSE(MATCH(inp_view,{"P&amp;L","Cash Flow","Balance Sheet"},0),calc_dc_passthrough_m5,"","")</f>
        <v>0</v>
      </c>
      <c r="H31" s="7">
        <f>CHOOSE(MATCH(inp_view,{"P&amp;L","Cash Flow","Balance Sheet"},0),calc_dc_passthrough_m6,"","")</f>
        <v>0</v>
      </c>
      <c r="I31" s="7">
        <f>CHOOSE(MATCH(inp_view,{"P&amp;L","Cash Flow","Balance Sheet"},0),calc_dc_passthrough_m7,"","")</f>
        <v>0</v>
      </c>
      <c r="J31" s="7">
        <f>CHOOSE(MATCH(inp_view,{"P&amp;L","Cash Flow","Balance Sheet"},0),calc_dc_passthrough_m8,"","")</f>
        <v>0</v>
      </c>
      <c r="K31" s="7">
        <f>CHOOSE(MATCH(inp_view,{"P&amp;L","Cash Flow","Balance Sheet"},0),calc_dc_passthrough_m9,"","")</f>
        <v>0</v>
      </c>
      <c r="L31" s="7">
        <f>CHOOSE(MATCH(inp_view,{"P&amp;L","Cash Flow","Balance Sheet"},0),calc_dc_passthrough_m10,"","")</f>
        <v>0</v>
      </c>
      <c r="M31" s="7">
        <f>CHOOSE(MATCH(inp_view,{"P&amp;L","Cash Flow","Balance Sheet"},0),calc_dc_passthrough_m11,"","")</f>
        <v>0</v>
      </c>
      <c r="N31" s="7">
        <f>CHOOSE(MATCH(inp_view,{"P&amp;L","Cash Flow","Balance Sheet"},0),calc_dc_passthrough_m12,"","")</f>
        <v>0</v>
      </c>
      <c r="O31" s="6">
        <f>CHOOSE(MATCH(inp_view,{"P&amp;L","Cash Flow","Balance Sheet"},0),IFERROR(calc_dc_passthrough_ann,""),"","")</f>
        <v>0</v>
      </c>
      <c r="P31" s="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row>
    <row r="32" spans="1:96" ht="16" thickBot="1" x14ac:dyDescent="0.25">
      <c r="A32" s="57"/>
      <c r="B32" s="11" t="str">
        <f>CHOOSE(MATCH(inp_view,{"P&amp;L","Cash Flow","Balance Sheet"},0),"Total direct cost","Investing cash flow","Net fixed assets")</f>
        <v>Total direct cost</v>
      </c>
      <c r="C32" s="12">
        <f>CHOOSE(MATCH(inp_view,{"P&amp;L","Cash Flow","Balance Sheet"},0),calc_dc_total_m1,calc_inv_cf_m1,calc_bs_net_fa_m1)</f>
        <v>0</v>
      </c>
      <c r="D32" s="12">
        <f>CHOOSE(MATCH(inp_view,{"P&amp;L","Cash Flow","Balance Sheet"},0),calc_dc_total_m2,calc_inv_cf_m2,calc_bs_net_fa_m2)</f>
        <v>0</v>
      </c>
      <c r="E32" s="12">
        <f>CHOOSE(MATCH(inp_view,{"P&amp;L","Cash Flow","Balance Sheet"},0),calc_dc_total_m3,calc_inv_cf_m3,calc_bs_net_fa_m3)</f>
        <v>0</v>
      </c>
      <c r="F32" s="12">
        <f>CHOOSE(MATCH(inp_view,{"P&amp;L","Cash Flow","Balance Sheet"},0),calc_dc_total_m4,calc_inv_cf_m4,calc_bs_net_fa_m4)</f>
        <v>0</v>
      </c>
      <c r="G32" s="12">
        <f>CHOOSE(MATCH(inp_view,{"P&amp;L","Cash Flow","Balance Sheet"},0),calc_dc_total_m5,calc_inv_cf_m5,calc_bs_net_fa_m5)</f>
        <v>0</v>
      </c>
      <c r="H32" s="12">
        <f>CHOOSE(MATCH(inp_view,{"P&amp;L","Cash Flow","Balance Sheet"},0),calc_dc_total_m6,calc_inv_cf_m6,calc_bs_net_fa_m6)</f>
        <v>0</v>
      </c>
      <c r="I32" s="12">
        <f>CHOOSE(MATCH(inp_view,{"P&amp;L","Cash Flow","Balance Sheet"},0),calc_dc_total_m7,calc_inv_cf_m7,calc_bs_net_fa_m7)</f>
        <v>0</v>
      </c>
      <c r="J32" s="12">
        <f>CHOOSE(MATCH(inp_view,{"P&amp;L","Cash Flow","Balance Sheet"},0),calc_dc_total_m8,calc_inv_cf_m8,calc_bs_net_fa_m8)</f>
        <v>0</v>
      </c>
      <c r="K32" s="12">
        <f>CHOOSE(MATCH(inp_view,{"P&amp;L","Cash Flow","Balance Sheet"},0),calc_dc_total_m9,calc_inv_cf_m9,calc_bs_net_fa_m9)</f>
        <v>0</v>
      </c>
      <c r="L32" s="12">
        <f>CHOOSE(MATCH(inp_view,{"P&amp;L","Cash Flow","Balance Sheet"},0),calc_dc_total_m10,calc_inv_cf_m10,calc_bs_net_fa_m10)</f>
        <v>0</v>
      </c>
      <c r="M32" s="12">
        <f>CHOOSE(MATCH(inp_view,{"P&amp;L","Cash Flow","Balance Sheet"},0),calc_dc_total_m11,calc_inv_cf_m11,calc_bs_net_fa_m11)</f>
        <v>0</v>
      </c>
      <c r="N32" s="12">
        <f>CHOOSE(MATCH(inp_view,{"P&amp;L","Cash Flow","Balance Sheet"},0),calc_dc_total_m12,calc_inv_cf_m12,calc_bs_net_fa_m12)</f>
        <v>0</v>
      </c>
      <c r="O32" s="12">
        <f>CHOOSE(MATCH(inp_view,{"P&amp;L","Cash Flow","Balance Sheet"},0),IFERROR(calc_dc_total_ann,""),IFERROR(calc_inv_cf_ann,""),IFERROR(calc_bs_net_fa_ann,""))</f>
        <v>0</v>
      </c>
      <c r="P32" s="1"/>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row>
    <row r="33" spans="1:96" ht="16" thickTop="1" x14ac:dyDescent="0.2">
      <c r="A33" s="57"/>
      <c r="B33" s="13" t="str">
        <f>CHOOSE(MATCH(inp_view,{"P&amp;L","Cash Flow","Balance Sheet"},0),"GROSS PROFIT","","TOTAL ASSETS")</f>
        <v>GROSS PROFIT</v>
      </c>
      <c r="C33" s="14">
        <f>CHOOSE(MATCH(inp_view,{"P&amp;L","Cash Flow","Balance Sheet"},0),calc_gp_m1,"",calc_bs_total_assets_m1)</f>
        <v>0</v>
      </c>
      <c r="D33" s="14">
        <f>CHOOSE(MATCH(inp_view,{"P&amp;L","Cash Flow","Balance Sheet"},0),calc_gp_m2,"",calc_bs_total_assets_m2)</f>
        <v>0</v>
      </c>
      <c r="E33" s="14">
        <f>CHOOSE(MATCH(inp_view,{"P&amp;L","Cash Flow","Balance Sheet"},0),calc_gp_m3,"",calc_bs_total_assets_m3)</f>
        <v>0</v>
      </c>
      <c r="F33" s="14">
        <f>CHOOSE(MATCH(inp_view,{"P&amp;L","Cash Flow","Balance Sheet"},0),calc_gp_m4,"",calc_bs_total_assets_m4)</f>
        <v>0</v>
      </c>
      <c r="G33" s="14">
        <f>CHOOSE(MATCH(inp_view,{"P&amp;L","Cash Flow","Balance Sheet"},0),calc_gp_m5,"",calc_bs_total_assets_m5)</f>
        <v>0</v>
      </c>
      <c r="H33" s="14">
        <f>CHOOSE(MATCH(inp_view,{"P&amp;L","Cash Flow","Balance Sheet"},0),calc_gp_m6,"",calc_bs_total_assets_m6)</f>
        <v>0</v>
      </c>
      <c r="I33" s="14">
        <f>CHOOSE(MATCH(inp_view,{"P&amp;L","Cash Flow","Balance Sheet"},0),calc_gp_m7,"",calc_bs_total_assets_m7)</f>
        <v>0</v>
      </c>
      <c r="J33" s="14">
        <f>CHOOSE(MATCH(inp_view,{"P&amp;L","Cash Flow","Balance Sheet"},0),calc_gp_m8,"",calc_bs_total_assets_m8)</f>
        <v>0</v>
      </c>
      <c r="K33" s="14">
        <f>CHOOSE(MATCH(inp_view,{"P&amp;L","Cash Flow","Balance Sheet"},0),calc_gp_m9,"",calc_bs_total_assets_m9)</f>
        <v>0</v>
      </c>
      <c r="L33" s="14">
        <f>CHOOSE(MATCH(inp_view,{"P&amp;L","Cash Flow","Balance Sheet"},0),calc_gp_m10,"",calc_bs_total_assets_m10)</f>
        <v>0</v>
      </c>
      <c r="M33" s="14">
        <f>CHOOSE(MATCH(inp_view,{"P&amp;L","Cash Flow","Balance Sheet"},0),calc_gp_m11,"",calc_bs_total_assets_m11)</f>
        <v>0</v>
      </c>
      <c r="N33" s="14">
        <f>CHOOSE(MATCH(inp_view,{"P&amp;L","Cash Flow","Balance Sheet"},0),calc_gp_m12,"",calc_bs_total_assets_m12)</f>
        <v>0</v>
      </c>
      <c r="O33" s="14">
        <f>CHOOSE(MATCH(inp_view,{"P&amp;L","Cash Flow","Balance Sheet"},0),IFERROR(calc_gp_ann,""),"",IFERROR(calc_bs_total_assets_ann,""))</f>
        <v>0</v>
      </c>
      <c r="P33" s="1"/>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row>
    <row r="34" spans="1:96" x14ac:dyDescent="0.2">
      <c r="A34" s="57"/>
      <c r="B34" s="15" t="str">
        <f>CHOOSE(MATCH(inp_view,{"P&amp;L","Cash Flow","Balance Sheet"},0),"Gross margin %","","")</f>
        <v>Gross margin %</v>
      </c>
      <c r="C34" s="16">
        <f>CHOOSE(MATCH(inp_view,{"P&amp;L","Cash Flow","Balance Sheet"},0),calc_gm_pct_m1,"","")</f>
        <v>0</v>
      </c>
      <c r="D34" s="16">
        <f>CHOOSE(MATCH(inp_view,{"P&amp;L","Cash Flow","Balance Sheet"},0),calc_gm_pct_m2,"","")</f>
        <v>0</v>
      </c>
      <c r="E34" s="16">
        <f>CHOOSE(MATCH(inp_view,{"P&amp;L","Cash Flow","Balance Sheet"},0),calc_gm_pct_m3,"","")</f>
        <v>0</v>
      </c>
      <c r="F34" s="16">
        <f>CHOOSE(MATCH(inp_view,{"P&amp;L","Cash Flow","Balance Sheet"},0),calc_gm_pct_m4,"","")</f>
        <v>0</v>
      </c>
      <c r="G34" s="16">
        <f>CHOOSE(MATCH(inp_view,{"P&amp;L","Cash Flow","Balance Sheet"},0),calc_gm_pct_m5,"","")</f>
        <v>0</v>
      </c>
      <c r="H34" s="16">
        <f>CHOOSE(MATCH(inp_view,{"P&amp;L","Cash Flow","Balance Sheet"},0),calc_gm_pct_m6,"","")</f>
        <v>0</v>
      </c>
      <c r="I34" s="16">
        <f>CHOOSE(MATCH(inp_view,{"P&amp;L","Cash Flow","Balance Sheet"},0),calc_gm_pct_m7,"","")</f>
        <v>0</v>
      </c>
      <c r="J34" s="16">
        <f>CHOOSE(MATCH(inp_view,{"P&amp;L","Cash Flow","Balance Sheet"},0),calc_gm_pct_m8,"","")</f>
        <v>0</v>
      </c>
      <c r="K34" s="16">
        <f>CHOOSE(MATCH(inp_view,{"P&amp;L","Cash Flow","Balance Sheet"},0),calc_gm_pct_m9,"","")</f>
        <v>0</v>
      </c>
      <c r="L34" s="16">
        <f>CHOOSE(MATCH(inp_view,{"P&amp;L","Cash Flow","Balance Sheet"},0),calc_gm_pct_m10,"","")</f>
        <v>0</v>
      </c>
      <c r="M34" s="16">
        <f>CHOOSE(MATCH(inp_view,{"P&amp;L","Cash Flow","Balance Sheet"},0),calc_gm_pct_m11,"","")</f>
        <v>0</v>
      </c>
      <c r="N34" s="16">
        <f>CHOOSE(MATCH(inp_view,{"P&amp;L","Cash Flow","Balance Sheet"},0),calc_gm_pct_m12,"","")</f>
        <v>0</v>
      </c>
      <c r="O34" s="16">
        <f>CHOOSE(MATCH(inp_view,{"P&amp;L","Cash Flow","Balance Sheet"},0),IFERROR(calc_gm_pct_ann,""),"","")</f>
        <v>0</v>
      </c>
      <c r="P34" s="1"/>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row>
    <row r="35" spans="1:96" x14ac:dyDescent="0.2">
      <c r="A35" s="57"/>
      <c r="B35" s="9" t="str">
        <f>CHOOSE(MATCH(inp_view,{"P&amp;L","Cash Flow","Balance Sheet"},0),"OPERATING EXPENSES","FINANCING CASH FLOW","LIABILITIES")</f>
        <v>OPERATING EXPENSES</v>
      </c>
      <c r="C35" s="10" t="str">
        <f>CHOOSE(MATCH(inp_view,{"P&amp;L","Cash Flow","Balance Sheet"},0),"","","")</f>
        <v/>
      </c>
      <c r="D35" s="10" t="str">
        <f>CHOOSE(MATCH(inp_view,{"P&amp;L","Cash Flow","Balance Sheet"},0),"","","")</f>
        <v/>
      </c>
      <c r="E35" s="10" t="str">
        <f>CHOOSE(MATCH(inp_view,{"P&amp;L","Cash Flow","Balance Sheet"},0),"","","")</f>
        <v/>
      </c>
      <c r="F35" s="10" t="str">
        <f>CHOOSE(MATCH(inp_view,{"P&amp;L","Cash Flow","Balance Sheet"},0),"","","")</f>
        <v/>
      </c>
      <c r="G35" s="10" t="str">
        <f>CHOOSE(MATCH(inp_view,{"P&amp;L","Cash Flow","Balance Sheet"},0),"","","")</f>
        <v/>
      </c>
      <c r="H35" s="10" t="str">
        <f>CHOOSE(MATCH(inp_view,{"P&amp;L","Cash Flow","Balance Sheet"},0),"","","")</f>
        <v/>
      </c>
      <c r="I35" s="10" t="str">
        <f>CHOOSE(MATCH(inp_view,{"P&amp;L","Cash Flow","Balance Sheet"},0),"","","")</f>
        <v/>
      </c>
      <c r="J35" s="10" t="str">
        <f>CHOOSE(MATCH(inp_view,{"P&amp;L","Cash Flow","Balance Sheet"},0),"","","")</f>
        <v/>
      </c>
      <c r="K35" s="10" t="str">
        <f>CHOOSE(MATCH(inp_view,{"P&amp;L","Cash Flow","Balance Sheet"},0),"","","")</f>
        <v/>
      </c>
      <c r="L35" s="10" t="str">
        <f>CHOOSE(MATCH(inp_view,{"P&amp;L","Cash Flow","Balance Sheet"},0),"","","")</f>
        <v/>
      </c>
      <c r="M35" s="10" t="str">
        <f>CHOOSE(MATCH(inp_view,{"P&amp;L","Cash Flow","Balance Sheet"},0),"","","")</f>
        <v/>
      </c>
      <c r="N35" s="10" t="str">
        <f>CHOOSE(MATCH(inp_view,{"P&amp;L","Cash Flow","Balance Sheet"},0),"","","")</f>
        <v/>
      </c>
      <c r="O35" s="10" t="str">
        <f>CHOOSE(MATCH(inp_view,{"P&amp;L","Cash Flow","Balance Sheet"},0),"","","")</f>
        <v/>
      </c>
      <c r="P35" s="1"/>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row>
    <row r="36" spans="1:96" x14ac:dyDescent="0.2">
      <c r="A36" s="57"/>
      <c r="B36" s="5" t="str">
        <f>CHOOSE(MATCH(inp_view,{"P&amp;L","Cash Flow","Balance Sheet"},0),"Overhead payroll (roster)","+ Debt drawdowns","Accounts payable")</f>
        <v>Overhead payroll (roster)</v>
      </c>
      <c r="C36" s="7">
        <f>CHOOSE(MATCH(inp_view,{"P&amp;L","Cash Flow","Balance Sheet"},0),calc_ox_payroll_m1,calc_debt_draw_m1,calc_bs_ap_m1)</f>
        <v>0</v>
      </c>
      <c r="D36" s="7">
        <f>CHOOSE(MATCH(inp_view,{"P&amp;L","Cash Flow","Balance Sheet"},0),calc_ox_payroll_m2,calc_debt_draw_m2,calc_bs_ap_m2)</f>
        <v>0</v>
      </c>
      <c r="E36" s="7">
        <f>CHOOSE(MATCH(inp_view,{"P&amp;L","Cash Flow","Balance Sheet"},0),calc_ox_payroll_m3,calc_debt_draw_m3,calc_bs_ap_m3)</f>
        <v>0</v>
      </c>
      <c r="F36" s="7">
        <f>CHOOSE(MATCH(inp_view,{"P&amp;L","Cash Flow","Balance Sheet"},0),calc_ox_payroll_m4,calc_debt_draw_m4,calc_bs_ap_m4)</f>
        <v>0</v>
      </c>
      <c r="G36" s="7">
        <f>CHOOSE(MATCH(inp_view,{"P&amp;L","Cash Flow","Balance Sheet"},0),calc_ox_payroll_m5,calc_debt_draw_m5,calc_bs_ap_m5)</f>
        <v>0</v>
      </c>
      <c r="H36" s="7">
        <f>CHOOSE(MATCH(inp_view,{"P&amp;L","Cash Flow","Balance Sheet"},0),calc_ox_payroll_m6,calc_debt_draw_m6,calc_bs_ap_m6)</f>
        <v>0</v>
      </c>
      <c r="I36" s="7">
        <f>CHOOSE(MATCH(inp_view,{"P&amp;L","Cash Flow","Balance Sheet"},0),calc_ox_payroll_m7,calc_debt_draw_m7,calc_bs_ap_m7)</f>
        <v>0</v>
      </c>
      <c r="J36" s="7">
        <f>CHOOSE(MATCH(inp_view,{"P&amp;L","Cash Flow","Balance Sheet"},0),calc_ox_payroll_m8,calc_debt_draw_m8,calc_bs_ap_m8)</f>
        <v>0</v>
      </c>
      <c r="K36" s="7">
        <f>CHOOSE(MATCH(inp_view,{"P&amp;L","Cash Flow","Balance Sheet"},0),calc_ox_payroll_m9,calc_debt_draw_m9,calc_bs_ap_m9)</f>
        <v>0</v>
      </c>
      <c r="L36" s="7">
        <f>CHOOSE(MATCH(inp_view,{"P&amp;L","Cash Flow","Balance Sheet"},0),calc_ox_payroll_m10,calc_debt_draw_m10,calc_bs_ap_m10)</f>
        <v>0</v>
      </c>
      <c r="M36" s="7">
        <f>CHOOSE(MATCH(inp_view,{"P&amp;L","Cash Flow","Balance Sheet"},0),calc_ox_payroll_m11,calc_debt_draw_m11,calc_bs_ap_m11)</f>
        <v>0</v>
      </c>
      <c r="N36" s="7">
        <f>CHOOSE(MATCH(inp_view,{"P&amp;L","Cash Flow","Balance Sheet"},0),calc_ox_payroll_m12,calc_debt_draw_m12,calc_bs_ap_m12)</f>
        <v>0</v>
      </c>
      <c r="O36" s="6">
        <f>CHOOSE(MATCH(inp_view,{"P&amp;L","Cash Flow","Balance Sheet"},0),IFERROR(calc_ox_payroll_ann,""),IFERROR(calc_debt_draw_ann,""),IFERROR(calc_bs_ap_ann,""))</f>
        <v>0</v>
      </c>
      <c r="P36" s="1"/>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row>
    <row r="37" spans="1:96" x14ac:dyDescent="0.2">
      <c r="A37" s="57"/>
      <c r="B37" s="5" t="str">
        <f>CHOOSE(MATCH(inp_view,{"P&amp;L","Cash Flow","Balance Sheet"},0),"Rent / occupancy","− Debt principal repayments","Interest-bearing debt")</f>
        <v>Rent / occupancy</v>
      </c>
      <c r="C37" s="7">
        <f>CHOOSE(MATCH(inp_view,{"P&amp;L","Cash Flow","Balance Sheet"},0),calc_ox_rent_m1,calc_debt_repay_neg_m1,calc_bs_debt_m1)</f>
        <v>0</v>
      </c>
      <c r="D37" s="7">
        <f>CHOOSE(MATCH(inp_view,{"P&amp;L","Cash Flow","Balance Sheet"},0),calc_ox_rent_m2,calc_debt_repay_neg_m2,calc_bs_debt_m2)</f>
        <v>0</v>
      </c>
      <c r="E37" s="7">
        <f>CHOOSE(MATCH(inp_view,{"P&amp;L","Cash Flow","Balance Sheet"},0),calc_ox_rent_m3,calc_debt_repay_neg_m3,calc_bs_debt_m3)</f>
        <v>0</v>
      </c>
      <c r="F37" s="7">
        <f>CHOOSE(MATCH(inp_view,{"P&amp;L","Cash Flow","Balance Sheet"},0),calc_ox_rent_m4,calc_debt_repay_neg_m4,calc_bs_debt_m4)</f>
        <v>0</v>
      </c>
      <c r="G37" s="7">
        <f>CHOOSE(MATCH(inp_view,{"P&amp;L","Cash Flow","Balance Sheet"},0),calc_ox_rent_m5,calc_debt_repay_neg_m5,calc_bs_debt_m5)</f>
        <v>0</v>
      </c>
      <c r="H37" s="7">
        <f>CHOOSE(MATCH(inp_view,{"P&amp;L","Cash Flow","Balance Sheet"},0),calc_ox_rent_m6,calc_debt_repay_neg_m6,calc_bs_debt_m6)</f>
        <v>0</v>
      </c>
      <c r="I37" s="7">
        <f>CHOOSE(MATCH(inp_view,{"P&amp;L","Cash Flow","Balance Sheet"},0),calc_ox_rent_m7,calc_debt_repay_neg_m7,calc_bs_debt_m7)</f>
        <v>0</v>
      </c>
      <c r="J37" s="7">
        <f>CHOOSE(MATCH(inp_view,{"P&amp;L","Cash Flow","Balance Sheet"},0),calc_ox_rent_m8,calc_debt_repay_neg_m8,calc_bs_debt_m8)</f>
        <v>0</v>
      </c>
      <c r="K37" s="7">
        <f>CHOOSE(MATCH(inp_view,{"P&amp;L","Cash Flow","Balance Sheet"},0),calc_ox_rent_m9,calc_debt_repay_neg_m9,calc_bs_debt_m9)</f>
        <v>0</v>
      </c>
      <c r="L37" s="7">
        <f>CHOOSE(MATCH(inp_view,{"P&amp;L","Cash Flow","Balance Sheet"},0),calc_ox_rent_m10,calc_debt_repay_neg_m10,calc_bs_debt_m10)</f>
        <v>0</v>
      </c>
      <c r="M37" s="7">
        <f>CHOOSE(MATCH(inp_view,{"P&amp;L","Cash Flow","Balance Sheet"},0),calc_ox_rent_m11,calc_debt_repay_neg_m11,calc_bs_debt_m11)</f>
        <v>0</v>
      </c>
      <c r="N37" s="7">
        <f>CHOOSE(MATCH(inp_view,{"P&amp;L","Cash Flow","Balance Sheet"},0),calc_ox_rent_m12,calc_debt_repay_neg_m12,calc_bs_debt_m12)</f>
        <v>0</v>
      </c>
      <c r="O37" s="6">
        <f>CHOOSE(MATCH(inp_view,{"P&amp;L","Cash Flow","Balance Sheet"},0),IFERROR(calc_ox_rent_ann,""),IFERROR(calc_debt_repay_neg_ann,""),IFERROR(calc_bs_debt_ann,""))</f>
        <v>0</v>
      </c>
      <c r="P37" s="1"/>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row>
    <row r="38" spans="1:96" x14ac:dyDescent="0.2">
      <c r="A38" s="57"/>
      <c r="B38" s="5" t="str">
        <f>CHOOSE(MATCH(inp_view,{"P&amp;L","Cash Flow","Balance Sheet"},0),"Software &amp; systems","− Owner distributions","Tax payable")</f>
        <v>Software &amp; systems</v>
      </c>
      <c r="C38" s="7">
        <f>CHOOSE(MATCH(inp_view,{"P&amp;L","Cash Flow","Balance Sheet"},0),calc_ox_software_m1,calc_dist_neg_m1,calc_bs_tax_pay_m1)</f>
        <v>0</v>
      </c>
      <c r="D38" s="7">
        <f>CHOOSE(MATCH(inp_view,{"P&amp;L","Cash Flow","Balance Sheet"},0),calc_ox_software_m2,calc_dist_neg_m2,calc_bs_tax_pay_m2)</f>
        <v>0</v>
      </c>
      <c r="E38" s="7">
        <f>CHOOSE(MATCH(inp_view,{"P&amp;L","Cash Flow","Balance Sheet"},0),calc_ox_software_m3,calc_dist_neg_m3,calc_bs_tax_pay_m3)</f>
        <v>0</v>
      </c>
      <c r="F38" s="7">
        <f>CHOOSE(MATCH(inp_view,{"P&amp;L","Cash Flow","Balance Sheet"},0),calc_ox_software_m4,calc_dist_neg_m4,calc_bs_tax_pay_m4)</f>
        <v>0</v>
      </c>
      <c r="G38" s="7">
        <f>CHOOSE(MATCH(inp_view,{"P&amp;L","Cash Flow","Balance Sheet"},0),calc_ox_software_m5,calc_dist_neg_m5,calc_bs_tax_pay_m5)</f>
        <v>0</v>
      </c>
      <c r="H38" s="7">
        <f>CHOOSE(MATCH(inp_view,{"P&amp;L","Cash Flow","Balance Sheet"},0),calc_ox_software_m6,calc_dist_neg_m6,calc_bs_tax_pay_m6)</f>
        <v>0</v>
      </c>
      <c r="I38" s="7">
        <f>CHOOSE(MATCH(inp_view,{"P&amp;L","Cash Flow","Balance Sheet"},0),calc_ox_software_m7,calc_dist_neg_m7,calc_bs_tax_pay_m7)</f>
        <v>0</v>
      </c>
      <c r="J38" s="7">
        <f>CHOOSE(MATCH(inp_view,{"P&amp;L","Cash Flow","Balance Sheet"},0),calc_ox_software_m8,calc_dist_neg_m8,calc_bs_tax_pay_m8)</f>
        <v>0</v>
      </c>
      <c r="K38" s="7">
        <f>CHOOSE(MATCH(inp_view,{"P&amp;L","Cash Flow","Balance Sheet"},0),calc_ox_software_m9,calc_dist_neg_m9,calc_bs_tax_pay_m9)</f>
        <v>0</v>
      </c>
      <c r="L38" s="7">
        <f>CHOOSE(MATCH(inp_view,{"P&amp;L","Cash Flow","Balance Sheet"},0),calc_ox_software_m10,calc_dist_neg_m10,calc_bs_tax_pay_m10)</f>
        <v>0</v>
      </c>
      <c r="M38" s="7">
        <f>CHOOSE(MATCH(inp_view,{"P&amp;L","Cash Flow","Balance Sheet"},0),calc_ox_software_m11,calc_dist_neg_m11,calc_bs_tax_pay_m11)</f>
        <v>0</v>
      </c>
      <c r="N38" s="7">
        <f>CHOOSE(MATCH(inp_view,{"P&amp;L","Cash Flow","Balance Sheet"},0),calc_ox_software_m12,calc_dist_neg_m12,calc_bs_tax_pay_m12)</f>
        <v>0</v>
      </c>
      <c r="O38" s="6">
        <f>CHOOSE(MATCH(inp_view,{"P&amp;L","Cash Flow","Balance Sheet"},0),IFERROR(calc_ox_software_ann,""),IFERROR(calc_dist_neg_ann,""),IFERROR(calc_bs_tax_pay_ann,""))</f>
        <v>0</v>
      </c>
      <c r="P38" s="1"/>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row>
    <row r="39" spans="1:96" x14ac:dyDescent="0.2">
      <c r="A39" s="57"/>
      <c r="B39" s="5" t="str">
        <f>CHOOSE(MATCH(inp_view,{"P&amp;L","Cash Flow","Balance Sheet"},0),"Sales &amp; marketing","","")</f>
        <v>Sales &amp; marketing</v>
      </c>
      <c r="C39" s="7">
        <f>CHOOSE(MATCH(inp_view,{"P&amp;L","Cash Flow","Balance Sheet"},0),calc_ox_sales_mktg_m1,"","")</f>
        <v>0</v>
      </c>
      <c r="D39" s="7">
        <f>CHOOSE(MATCH(inp_view,{"P&amp;L","Cash Flow","Balance Sheet"},0),calc_ox_sales_mktg_m2,"","")</f>
        <v>0</v>
      </c>
      <c r="E39" s="7">
        <f>CHOOSE(MATCH(inp_view,{"P&amp;L","Cash Flow","Balance Sheet"},0),calc_ox_sales_mktg_m3,"","")</f>
        <v>0</v>
      </c>
      <c r="F39" s="7">
        <f>CHOOSE(MATCH(inp_view,{"P&amp;L","Cash Flow","Balance Sheet"},0),calc_ox_sales_mktg_m4,"","")</f>
        <v>0</v>
      </c>
      <c r="G39" s="7">
        <f>CHOOSE(MATCH(inp_view,{"P&amp;L","Cash Flow","Balance Sheet"},0),calc_ox_sales_mktg_m5,"","")</f>
        <v>0</v>
      </c>
      <c r="H39" s="7">
        <f>CHOOSE(MATCH(inp_view,{"P&amp;L","Cash Flow","Balance Sheet"},0),calc_ox_sales_mktg_m6,"","")</f>
        <v>0</v>
      </c>
      <c r="I39" s="7">
        <f>CHOOSE(MATCH(inp_view,{"P&amp;L","Cash Flow","Balance Sheet"},0),calc_ox_sales_mktg_m7,"","")</f>
        <v>0</v>
      </c>
      <c r="J39" s="7">
        <f>CHOOSE(MATCH(inp_view,{"P&amp;L","Cash Flow","Balance Sheet"},0),calc_ox_sales_mktg_m8,"","")</f>
        <v>0</v>
      </c>
      <c r="K39" s="7">
        <f>CHOOSE(MATCH(inp_view,{"P&amp;L","Cash Flow","Balance Sheet"},0),calc_ox_sales_mktg_m9,"","")</f>
        <v>0</v>
      </c>
      <c r="L39" s="7">
        <f>CHOOSE(MATCH(inp_view,{"P&amp;L","Cash Flow","Balance Sheet"},0),calc_ox_sales_mktg_m10,"","")</f>
        <v>0</v>
      </c>
      <c r="M39" s="7">
        <f>CHOOSE(MATCH(inp_view,{"P&amp;L","Cash Flow","Balance Sheet"},0),calc_ox_sales_mktg_m11,"","")</f>
        <v>0</v>
      </c>
      <c r="N39" s="7">
        <f>CHOOSE(MATCH(inp_view,{"P&amp;L","Cash Flow","Balance Sheet"},0),calc_ox_sales_mktg_m12,"","")</f>
        <v>0</v>
      </c>
      <c r="O39" s="6">
        <f>CHOOSE(MATCH(inp_view,{"P&amp;L","Cash Flow","Balance Sheet"},0),IFERROR(calc_ox_sales_mktg_ann,""),"","")</f>
        <v>0</v>
      </c>
      <c r="P39" s="1"/>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row>
    <row r="40" spans="1:96" x14ac:dyDescent="0.2">
      <c r="A40" s="57"/>
      <c r="B40" s="5" t="str">
        <f>CHOOSE(MATCH(inp_view,{"P&amp;L","Cash Flow","Balance Sheet"},0),"Professional fees","","")</f>
        <v>Professional fees</v>
      </c>
      <c r="C40" s="7">
        <f>CHOOSE(MATCH(inp_view,{"P&amp;L","Cash Flow","Balance Sheet"},0),calc_ox_prof_fees_m1,"","")</f>
        <v>0</v>
      </c>
      <c r="D40" s="7">
        <f>CHOOSE(MATCH(inp_view,{"P&amp;L","Cash Flow","Balance Sheet"},0),calc_ox_prof_fees_m2,"","")</f>
        <v>0</v>
      </c>
      <c r="E40" s="7">
        <f>CHOOSE(MATCH(inp_view,{"P&amp;L","Cash Flow","Balance Sheet"},0),calc_ox_prof_fees_m3,"","")</f>
        <v>0</v>
      </c>
      <c r="F40" s="7">
        <f>CHOOSE(MATCH(inp_view,{"P&amp;L","Cash Flow","Balance Sheet"},0),calc_ox_prof_fees_m4,"","")</f>
        <v>0</v>
      </c>
      <c r="G40" s="7">
        <f>CHOOSE(MATCH(inp_view,{"P&amp;L","Cash Flow","Balance Sheet"},0),calc_ox_prof_fees_m5,"","")</f>
        <v>0</v>
      </c>
      <c r="H40" s="7">
        <f>CHOOSE(MATCH(inp_view,{"P&amp;L","Cash Flow","Balance Sheet"},0),calc_ox_prof_fees_m6,"","")</f>
        <v>0</v>
      </c>
      <c r="I40" s="7">
        <f>CHOOSE(MATCH(inp_view,{"P&amp;L","Cash Flow","Balance Sheet"},0),calc_ox_prof_fees_m7,"","")</f>
        <v>0</v>
      </c>
      <c r="J40" s="7">
        <f>CHOOSE(MATCH(inp_view,{"P&amp;L","Cash Flow","Balance Sheet"},0),calc_ox_prof_fees_m8,"","")</f>
        <v>0</v>
      </c>
      <c r="K40" s="7">
        <f>CHOOSE(MATCH(inp_view,{"P&amp;L","Cash Flow","Balance Sheet"},0),calc_ox_prof_fees_m9,"","")</f>
        <v>0</v>
      </c>
      <c r="L40" s="7">
        <f>CHOOSE(MATCH(inp_view,{"P&amp;L","Cash Flow","Balance Sheet"},0),calc_ox_prof_fees_m10,"","")</f>
        <v>0</v>
      </c>
      <c r="M40" s="7">
        <f>CHOOSE(MATCH(inp_view,{"P&amp;L","Cash Flow","Balance Sheet"},0),calc_ox_prof_fees_m11,"","")</f>
        <v>0</v>
      </c>
      <c r="N40" s="7">
        <f>CHOOSE(MATCH(inp_view,{"P&amp;L","Cash Flow","Balance Sheet"},0),calc_ox_prof_fees_m12,"","")</f>
        <v>0</v>
      </c>
      <c r="O40" s="6">
        <f>CHOOSE(MATCH(inp_view,{"P&amp;L","Cash Flow","Balance Sheet"},0),IFERROR(calc_ox_prof_fees_ann,""),"","")</f>
        <v>0</v>
      </c>
      <c r="P40" s="1"/>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row>
    <row r="41" spans="1:96" x14ac:dyDescent="0.2">
      <c r="A41" s="57"/>
      <c r="B41" s="5" t="str">
        <f>CHOOSE(MATCH(inp_view,{"P&amp;L","Cash Flow","Balance Sheet"},0),"Insurance + other overhead","","")</f>
        <v>Insurance + other overhead</v>
      </c>
      <c r="C41" s="7">
        <f>CHOOSE(MATCH(inp_view,{"P&amp;L","Cash Flow","Balance Sheet"},0),calc_ox_other_bundle_m1,"","")</f>
        <v>0</v>
      </c>
      <c r="D41" s="7">
        <f>CHOOSE(MATCH(inp_view,{"P&amp;L","Cash Flow","Balance Sheet"},0),calc_ox_other_bundle_m2,"","")</f>
        <v>0</v>
      </c>
      <c r="E41" s="7">
        <f>CHOOSE(MATCH(inp_view,{"P&amp;L","Cash Flow","Balance Sheet"},0),calc_ox_other_bundle_m3,"","")</f>
        <v>0</v>
      </c>
      <c r="F41" s="7">
        <f>CHOOSE(MATCH(inp_view,{"P&amp;L","Cash Flow","Balance Sheet"},0),calc_ox_other_bundle_m4,"","")</f>
        <v>0</v>
      </c>
      <c r="G41" s="7">
        <f>CHOOSE(MATCH(inp_view,{"P&amp;L","Cash Flow","Balance Sheet"},0),calc_ox_other_bundle_m5,"","")</f>
        <v>0</v>
      </c>
      <c r="H41" s="7">
        <f>CHOOSE(MATCH(inp_view,{"P&amp;L","Cash Flow","Balance Sheet"},0),calc_ox_other_bundle_m6,"","")</f>
        <v>0</v>
      </c>
      <c r="I41" s="7">
        <f>CHOOSE(MATCH(inp_view,{"P&amp;L","Cash Flow","Balance Sheet"},0),calc_ox_other_bundle_m7,"","")</f>
        <v>0</v>
      </c>
      <c r="J41" s="7">
        <f>CHOOSE(MATCH(inp_view,{"P&amp;L","Cash Flow","Balance Sheet"},0),calc_ox_other_bundle_m8,"","")</f>
        <v>0</v>
      </c>
      <c r="K41" s="7">
        <f>CHOOSE(MATCH(inp_view,{"P&amp;L","Cash Flow","Balance Sheet"},0),calc_ox_other_bundle_m9,"","")</f>
        <v>0</v>
      </c>
      <c r="L41" s="7">
        <f>CHOOSE(MATCH(inp_view,{"P&amp;L","Cash Flow","Balance Sheet"},0),calc_ox_other_bundle_m10,"","")</f>
        <v>0</v>
      </c>
      <c r="M41" s="7">
        <f>CHOOSE(MATCH(inp_view,{"P&amp;L","Cash Flow","Balance Sheet"},0),calc_ox_other_bundle_m11,"","")</f>
        <v>0</v>
      </c>
      <c r="N41" s="7">
        <f>CHOOSE(MATCH(inp_view,{"P&amp;L","Cash Flow","Balance Sheet"},0),calc_ox_other_bundle_m12,"","")</f>
        <v>0</v>
      </c>
      <c r="O41" s="6">
        <f>CHOOSE(MATCH(inp_view,{"P&amp;L","Cash Flow","Balance Sheet"},0),IFERROR(calc_ox_other_bundle_ann,""),"","")</f>
        <v>0</v>
      </c>
      <c r="P41" s="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row>
    <row r="42" spans="1:96" ht="16" thickBot="1" x14ac:dyDescent="0.25">
      <c r="A42" s="57"/>
      <c r="B42" s="11" t="str">
        <f>CHOOSE(MATCH(inp_view,{"P&amp;L","Cash Flow","Balance Sheet"},0),"Total operating expenses","Financing cash flow","Total liabilities")</f>
        <v>Total operating expenses</v>
      </c>
      <c r="C42" s="12">
        <f>CHOOSE(MATCH(inp_view,{"P&amp;L","Cash Flow","Balance Sheet"},0),calc_ox_total_m1,calc_fin_cf_m1,calc_bs_total_liab_m1)</f>
        <v>0</v>
      </c>
      <c r="D42" s="12">
        <f>CHOOSE(MATCH(inp_view,{"P&amp;L","Cash Flow","Balance Sheet"},0),calc_ox_total_m2,calc_fin_cf_m2,calc_bs_total_liab_m2)</f>
        <v>0</v>
      </c>
      <c r="E42" s="12">
        <f>CHOOSE(MATCH(inp_view,{"P&amp;L","Cash Flow","Balance Sheet"},0),calc_ox_total_m3,calc_fin_cf_m3,calc_bs_total_liab_m3)</f>
        <v>0</v>
      </c>
      <c r="F42" s="12">
        <f>CHOOSE(MATCH(inp_view,{"P&amp;L","Cash Flow","Balance Sheet"},0),calc_ox_total_m4,calc_fin_cf_m4,calc_bs_total_liab_m4)</f>
        <v>0</v>
      </c>
      <c r="G42" s="12">
        <f>CHOOSE(MATCH(inp_view,{"P&amp;L","Cash Flow","Balance Sheet"},0),calc_ox_total_m5,calc_fin_cf_m5,calc_bs_total_liab_m5)</f>
        <v>0</v>
      </c>
      <c r="H42" s="12">
        <f>CHOOSE(MATCH(inp_view,{"P&amp;L","Cash Flow","Balance Sheet"},0),calc_ox_total_m6,calc_fin_cf_m6,calc_bs_total_liab_m6)</f>
        <v>0</v>
      </c>
      <c r="I42" s="12">
        <f>CHOOSE(MATCH(inp_view,{"P&amp;L","Cash Flow","Balance Sheet"},0),calc_ox_total_m7,calc_fin_cf_m7,calc_bs_total_liab_m7)</f>
        <v>0</v>
      </c>
      <c r="J42" s="12">
        <f>CHOOSE(MATCH(inp_view,{"P&amp;L","Cash Flow","Balance Sheet"},0),calc_ox_total_m8,calc_fin_cf_m8,calc_bs_total_liab_m8)</f>
        <v>0</v>
      </c>
      <c r="K42" s="12">
        <f>CHOOSE(MATCH(inp_view,{"P&amp;L","Cash Flow","Balance Sheet"},0),calc_ox_total_m9,calc_fin_cf_m9,calc_bs_total_liab_m9)</f>
        <v>0</v>
      </c>
      <c r="L42" s="12">
        <f>CHOOSE(MATCH(inp_view,{"P&amp;L","Cash Flow","Balance Sheet"},0),calc_ox_total_m10,calc_fin_cf_m10,calc_bs_total_liab_m10)</f>
        <v>0</v>
      </c>
      <c r="M42" s="12">
        <f>CHOOSE(MATCH(inp_view,{"P&amp;L","Cash Flow","Balance Sheet"},0),calc_ox_total_m11,calc_fin_cf_m11,calc_bs_total_liab_m11)</f>
        <v>0</v>
      </c>
      <c r="N42" s="12">
        <f>CHOOSE(MATCH(inp_view,{"P&amp;L","Cash Flow","Balance Sheet"},0),calc_ox_total_m12,calc_fin_cf_m12,calc_bs_total_liab_m12)</f>
        <v>0</v>
      </c>
      <c r="O42" s="12">
        <f>CHOOSE(MATCH(inp_view,{"P&amp;L","Cash Flow","Balance Sheet"},0),IFERROR(calc_ox_total_ann,""),IFERROR(calc_fin_cf_ann,""),IFERROR(calc_bs_total_liab_ann,""))</f>
        <v>0</v>
      </c>
      <c r="P42" s="1"/>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row>
    <row r="43" spans="1:96" ht="16" thickTop="1" x14ac:dyDescent="0.2">
      <c r="A43" s="57"/>
      <c r="B43" s="13" t="str">
        <f>CHOOSE(MATCH(inp_view,{"P&amp;L","Cash Flow","Balance Sheet"},0),"EBITDA","NET CHANGE IN CASH","")</f>
        <v>EBITDA</v>
      </c>
      <c r="C43" s="14">
        <f>CHOOSE(MATCH(inp_view,{"P&amp;L","Cash Flow","Balance Sheet"},0),calc_ebitda_m1,calc_net_change_m1,"")</f>
        <v>0</v>
      </c>
      <c r="D43" s="14">
        <f>CHOOSE(MATCH(inp_view,{"P&amp;L","Cash Flow","Balance Sheet"},0),calc_ebitda_m2,calc_net_change_m2,"")</f>
        <v>0</v>
      </c>
      <c r="E43" s="14">
        <f>CHOOSE(MATCH(inp_view,{"P&amp;L","Cash Flow","Balance Sheet"},0),calc_ebitda_m3,calc_net_change_m3,"")</f>
        <v>0</v>
      </c>
      <c r="F43" s="14">
        <f>CHOOSE(MATCH(inp_view,{"P&amp;L","Cash Flow","Balance Sheet"},0),calc_ebitda_m4,calc_net_change_m4,"")</f>
        <v>0</v>
      </c>
      <c r="G43" s="14">
        <f>CHOOSE(MATCH(inp_view,{"P&amp;L","Cash Flow","Balance Sheet"},0),calc_ebitda_m5,calc_net_change_m5,"")</f>
        <v>0</v>
      </c>
      <c r="H43" s="14">
        <f>CHOOSE(MATCH(inp_view,{"P&amp;L","Cash Flow","Balance Sheet"},0),calc_ebitda_m6,calc_net_change_m6,"")</f>
        <v>0</v>
      </c>
      <c r="I43" s="14">
        <f>CHOOSE(MATCH(inp_view,{"P&amp;L","Cash Flow","Balance Sheet"},0),calc_ebitda_m7,calc_net_change_m7,"")</f>
        <v>0</v>
      </c>
      <c r="J43" s="14">
        <f>CHOOSE(MATCH(inp_view,{"P&amp;L","Cash Flow","Balance Sheet"},0),calc_ebitda_m8,calc_net_change_m8,"")</f>
        <v>0</v>
      </c>
      <c r="K43" s="14">
        <f>CHOOSE(MATCH(inp_view,{"P&amp;L","Cash Flow","Balance Sheet"},0),calc_ebitda_m9,calc_net_change_m9,"")</f>
        <v>0</v>
      </c>
      <c r="L43" s="14">
        <f>CHOOSE(MATCH(inp_view,{"P&amp;L","Cash Flow","Balance Sheet"},0),calc_ebitda_m10,calc_net_change_m10,"")</f>
        <v>0</v>
      </c>
      <c r="M43" s="14">
        <f>CHOOSE(MATCH(inp_view,{"P&amp;L","Cash Flow","Balance Sheet"},0),calc_ebitda_m11,calc_net_change_m11,"")</f>
        <v>0</v>
      </c>
      <c r="N43" s="14">
        <f>CHOOSE(MATCH(inp_view,{"P&amp;L","Cash Flow","Balance Sheet"},0),calc_ebitda_m12,calc_net_change_m12,"")</f>
        <v>0</v>
      </c>
      <c r="O43" s="14">
        <f>CHOOSE(MATCH(inp_view,{"P&amp;L","Cash Flow","Balance Sheet"},0),IFERROR(calc_ebitda_ann,""),IFERROR(calc_net_change_ann,""),"")</f>
        <v>0</v>
      </c>
      <c r="P43" s="1"/>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row>
    <row r="44" spans="1:96" x14ac:dyDescent="0.2">
      <c r="A44" s="57"/>
      <c r="B44" s="15" t="str">
        <f>CHOOSE(MATCH(inp_view,{"P&amp;L","Cash Flow","Balance Sheet"},0),"EBITDA %","","")</f>
        <v>EBITDA %</v>
      </c>
      <c r="C44" s="16">
        <f>CHOOSE(MATCH(inp_view,{"P&amp;L","Cash Flow","Balance Sheet"},0),calc_ebitda_pct_m1,"","")</f>
        <v>0</v>
      </c>
      <c r="D44" s="16">
        <f>CHOOSE(MATCH(inp_view,{"P&amp;L","Cash Flow","Balance Sheet"},0),calc_ebitda_pct_m2,"","")</f>
        <v>0</v>
      </c>
      <c r="E44" s="16">
        <f>CHOOSE(MATCH(inp_view,{"P&amp;L","Cash Flow","Balance Sheet"},0),calc_ebitda_pct_m3,"","")</f>
        <v>0</v>
      </c>
      <c r="F44" s="16">
        <f>CHOOSE(MATCH(inp_view,{"P&amp;L","Cash Flow","Balance Sheet"},0),calc_ebitda_pct_m4,"","")</f>
        <v>0</v>
      </c>
      <c r="G44" s="16">
        <f>CHOOSE(MATCH(inp_view,{"P&amp;L","Cash Flow","Balance Sheet"},0),calc_ebitda_pct_m5,"","")</f>
        <v>0</v>
      </c>
      <c r="H44" s="16">
        <f>CHOOSE(MATCH(inp_view,{"P&amp;L","Cash Flow","Balance Sheet"},0),calc_ebitda_pct_m6,"","")</f>
        <v>0</v>
      </c>
      <c r="I44" s="16">
        <f>CHOOSE(MATCH(inp_view,{"P&amp;L","Cash Flow","Balance Sheet"},0),calc_ebitda_pct_m7,"","")</f>
        <v>0</v>
      </c>
      <c r="J44" s="16">
        <f>CHOOSE(MATCH(inp_view,{"P&amp;L","Cash Flow","Balance Sheet"},0),calc_ebitda_pct_m8,"","")</f>
        <v>0</v>
      </c>
      <c r="K44" s="16">
        <f>CHOOSE(MATCH(inp_view,{"P&amp;L","Cash Flow","Balance Sheet"},0),calc_ebitda_pct_m9,"","")</f>
        <v>0</v>
      </c>
      <c r="L44" s="16">
        <f>CHOOSE(MATCH(inp_view,{"P&amp;L","Cash Flow","Balance Sheet"},0),calc_ebitda_pct_m10,"","")</f>
        <v>0</v>
      </c>
      <c r="M44" s="16">
        <f>CHOOSE(MATCH(inp_view,{"P&amp;L","Cash Flow","Balance Sheet"},0),calc_ebitda_pct_m11,"","")</f>
        <v>0</v>
      </c>
      <c r="N44" s="16">
        <f>CHOOSE(MATCH(inp_view,{"P&amp;L","Cash Flow","Balance Sheet"},0),calc_ebitda_pct_m12,"","")</f>
        <v>0</v>
      </c>
      <c r="O44" s="16">
        <f>CHOOSE(MATCH(inp_view,{"P&amp;L","Cash Flow","Balance Sheet"},0),IFERROR(calc_ebitda_pct_ann,""),"","")</f>
        <v>0</v>
      </c>
      <c r="P44" s="1"/>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row>
    <row r="45" spans="1:96" x14ac:dyDescent="0.2">
      <c r="A45" s="57"/>
      <c r="B45" s="5" t="str">
        <f>CHOOSE(MATCH(inp_view,{"P&amp;L","Cash Flow","Balance Sheet"},0),"Depreciation &amp; amortisation","Opening cash balance","EQUITY")</f>
        <v>Depreciation &amp; amortisation</v>
      </c>
      <c r="C45" s="7">
        <f>CHOOSE(MATCH(inp_view,{"P&amp;L","Cash Flow","Balance Sheet"},0),calc_da_m1,calc_open_cash_m1,"")</f>
        <v>0</v>
      </c>
      <c r="D45" s="7">
        <f>CHOOSE(MATCH(inp_view,{"P&amp;L","Cash Flow","Balance Sheet"},0),calc_da_m2,calc_open_cash_m2,"")</f>
        <v>0</v>
      </c>
      <c r="E45" s="7">
        <f>CHOOSE(MATCH(inp_view,{"P&amp;L","Cash Flow","Balance Sheet"},0),calc_da_m3,calc_open_cash_m3,"")</f>
        <v>0</v>
      </c>
      <c r="F45" s="7">
        <f>CHOOSE(MATCH(inp_view,{"P&amp;L","Cash Flow","Balance Sheet"},0),calc_da_m4,calc_open_cash_m4,"")</f>
        <v>0</v>
      </c>
      <c r="G45" s="7">
        <f>CHOOSE(MATCH(inp_view,{"P&amp;L","Cash Flow","Balance Sheet"},0),calc_da_m5,calc_open_cash_m5,"")</f>
        <v>0</v>
      </c>
      <c r="H45" s="7">
        <f>CHOOSE(MATCH(inp_view,{"P&amp;L","Cash Flow","Balance Sheet"},0),calc_da_m6,calc_open_cash_m6,"")</f>
        <v>0</v>
      </c>
      <c r="I45" s="7">
        <f>CHOOSE(MATCH(inp_view,{"P&amp;L","Cash Flow","Balance Sheet"},0),calc_da_m7,calc_open_cash_m7,"")</f>
        <v>0</v>
      </c>
      <c r="J45" s="7">
        <f>CHOOSE(MATCH(inp_view,{"P&amp;L","Cash Flow","Balance Sheet"},0),calc_da_m8,calc_open_cash_m8,"")</f>
        <v>0</v>
      </c>
      <c r="K45" s="7">
        <f>CHOOSE(MATCH(inp_view,{"P&amp;L","Cash Flow","Balance Sheet"},0),calc_da_m9,calc_open_cash_m9,"")</f>
        <v>0</v>
      </c>
      <c r="L45" s="7">
        <f>CHOOSE(MATCH(inp_view,{"P&amp;L","Cash Flow","Balance Sheet"},0),calc_da_m10,calc_open_cash_m10,"")</f>
        <v>0</v>
      </c>
      <c r="M45" s="7">
        <f>CHOOSE(MATCH(inp_view,{"P&amp;L","Cash Flow","Balance Sheet"},0),calc_da_m11,calc_open_cash_m11,"")</f>
        <v>0</v>
      </c>
      <c r="N45" s="7">
        <f>CHOOSE(MATCH(inp_view,{"P&amp;L","Cash Flow","Balance Sheet"},0),calc_da_m12,calc_open_cash_m12,"")</f>
        <v>0</v>
      </c>
      <c r="O45" s="6">
        <f>CHOOSE(MATCH(inp_view,{"P&amp;L","Cash Flow","Balance Sheet"},0),IFERROR(calc_da_ann,""),IFERROR(calc_open_cash_ann,""),"")</f>
        <v>0</v>
      </c>
      <c r="P45" s="1"/>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row>
    <row r="46" spans="1:96" x14ac:dyDescent="0.2">
      <c r="A46" s="57"/>
      <c r="B46" s="5" t="str">
        <f>CHOOSE(MATCH(inp_view,{"P&amp;L","Cash Flow","Balance Sheet"},0),"Interest expense","+ Net change in month","Paid-in capital")</f>
        <v>Interest expense</v>
      </c>
      <c r="C46" s="7">
        <f>CHOOSE(MATCH(inp_view,{"P&amp;L","Cash Flow","Balance Sheet"},0),calc_interest_m1,calc_net_change_m1,calc_bs_paid_in_m1)</f>
        <v>0</v>
      </c>
      <c r="D46" s="7">
        <f ca="1">CHOOSE(MATCH(inp_view,{"P&amp;L","Cash Flow","Balance Sheet"},0),calc_interest_m2,calc_net_change_m2,calc_bs_paid_in_m2)</f>
        <v>0</v>
      </c>
      <c r="E46" s="7">
        <f ca="1">CHOOSE(MATCH(inp_view,{"P&amp;L","Cash Flow","Balance Sheet"},0),calc_interest_m3,calc_net_change_m3,calc_bs_paid_in_m3)</f>
        <v>0</v>
      </c>
      <c r="F46" s="7">
        <f ca="1">CHOOSE(MATCH(inp_view,{"P&amp;L","Cash Flow","Balance Sheet"},0),calc_interest_m4,calc_net_change_m4,calc_bs_paid_in_m4)</f>
        <v>0</v>
      </c>
      <c r="G46" s="7">
        <f ca="1">CHOOSE(MATCH(inp_view,{"P&amp;L","Cash Flow","Balance Sheet"},0),calc_interest_m5,calc_net_change_m5,calc_bs_paid_in_m5)</f>
        <v>0</v>
      </c>
      <c r="H46" s="7">
        <f ca="1">CHOOSE(MATCH(inp_view,{"P&amp;L","Cash Flow","Balance Sheet"},0),calc_interest_m6,calc_net_change_m6,calc_bs_paid_in_m6)</f>
        <v>0</v>
      </c>
      <c r="I46" s="7">
        <f ca="1">CHOOSE(MATCH(inp_view,{"P&amp;L","Cash Flow","Balance Sheet"},0),calc_interest_m7,calc_net_change_m7,calc_bs_paid_in_m7)</f>
        <v>0</v>
      </c>
      <c r="J46" s="7">
        <f ca="1">CHOOSE(MATCH(inp_view,{"P&amp;L","Cash Flow","Balance Sheet"},0),calc_interest_m8,calc_net_change_m8,calc_bs_paid_in_m8)</f>
        <v>0</v>
      </c>
      <c r="K46" s="7">
        <f ca="1">CHOOSE(MATCH(inp_view,{"P&amp;L","Cash Flow","Balance Sheet"},0),calc_interest_m9,calc_net_change_m9,calc_bs_paid_in_m9)</f>
        <v>0</v>
      </c>
      <c r="L46" s="7">
        <f ca="1">CHOOSE(MATCH(inp_view,{"P&amp;L","Cash Flow","Balance Sheet"},0),calc_interest_m10,calc_net_change_m10,calc_bs_paid_in_m10)</f>
        <v>0</v>
      </c>
      <c r="M46" s="7">
        <f ca="1">CHOOSE(MATCH(inp_view,{"P&amp;L","Cash Flow","Balance Sheet"},0),calc_interest_m11,calc_net_change_m11,calc_bs_paid_in_m11)</f>
        <v>0</v>
      </c>
      <c r="N46" s="7">
        <f ca="1">CHOOSE(MATCH(inp_view,{"P&amp;L","Cash Flow","Balance Sheet"},0),calc_interest_m12,calc_net_change_m12,calc_bs_paid_in_m12)</f>
        <v>0</v>
      </c>
      <c r="O46" s="6">
        <f ca="1">CHOOSE(MATCH(inp_view,{"P&amp;L","Cash Flow","Balance Sheet"},0),IFERROR(calc_interest_ann,""),IFERROR(calc_net_change_ann,""),IFERROR(calc_bs_paid_in_ann,""))</f>
        <v>0</v>
      </c>
      <c r="P46" s="1"/>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row>
    <row r="47" spans="1:96" ht="16" thickBot="1" x14ac:dyDescent="0.25">
      <c r="A47" s="57"/>
      <c r="B47" s="5" t="str">
        <f>CHOOSE(MATCH(inp_view,{"P&amp;L","Cash Flow","Balance Sheet"},0),"Income tax expense","","Retained earnings")</f>
        <v>Income tax expense</v>
      </c>
      <c r="C47" s="7">
        <f>CHOOSE(MATCH(inp_view,{"P&amp;L","Cash Flow","Balance Sheet"},0),calc_tax_m1,"",calc_bs_ret_earn_m1)</f>
        <v>0</v>
      </c>
      <c r="D47" s="7">
        <f ca="1">CHOOSE(MATCH(inp_view,{"P&amp;L","Cash Flow","Balance Sheet"},0),calc_tax_m2,"",calc_bs_ret_earn_m2)</f>
        <v>0</v>
      </c>
      <c r="E47" s="7">
        <f ca="1">CHOOSE(MATCH(inp_view,{"P&amp;L","Cash Flow","Balance Sheet"},0),calc_tax_m3,"",calc_bs_ret_earn_m3)</f>
        <v>0</v>
      </c>
      <c r="F47" s="7">
        <f ca="1">CHOOSE(MATCH(inp_view,{"P&amp;L","Cash Flow","Balance Sheet"},0),calc_tax_m4,"",calc_bs_ret_earn_m4)</f>
        <v>0</v>
      </c>
      <c r="G47" s="7">
        <f ca="1">CHOOSE(MATCH(inp_view,{"P&amp;L","Cash Flow","Balance Sheet"},0),calc_tax_m5,"",calc_bs_ret_earn_m5)</f>
        <v>0</v>
      </c>
      <c r="H47" s="7">
        <f ca="1">CHOOSE(MATCH(inp_view,{"P&amp;L","Cash Flow","Balance Sheet"},0),calc_tax_m6,"",calc_bs_ret_earn_m6)</f>
        <v>0</v>
      </c>
      <c r="I47" s="7">
        <f ca="1">CHOOSE(MATCH(inp_view,{"P&amp;L","Cash Flow","Balance Sheet"},0),calc_tax_m7,"",calc_bs_ret_earn_m7)</f>
        <v>0</v>
      </c>
      <c r="J47" s="7">
        <f ca="1">CHOOSE(MATCH(inp_view,{"P&amp;L","Cash Flow","Balance Sheet"},0),calc_tax_m8,"",calc_bs_ret_earn_m8)</f>
        <v>0</v>
      </c>
      <c r="K47" s="7">
        <f ca="1">CHOOSE(MATCH(inp_view,{"P&amp;L","Cash Flow","Balance Sheet"},0),calc_tax_m9,"",calc_bs_ret_earn_m9)</f>
        <v>0</v>
      </c>
      <c r="L47" s="7">
        <f ca="1">CHOOSE(MATCH(inp_view,{"P&amp;L","Cash Flow","Balance Sheet"},0),calc_tax_m10,"",calc_bs_ret_earn_m10)</f>
        <v>0</v>
      </c>
      <c r="M47" s="7">
        <f ca="1">CHOOSE(MATCH(inp_view,{"P&amp;L","Cash Flow","Balance Sheet"},0),calc_tax_m11,"",calc_bs_ret_earn_m11)</f>
        <v>0</v>
      </c>
      <c r="N47" s="7">
        <f ca="1">CHOOSE(MATCH(inp_view,{"P&amp;L","Cash Flow","Balance Sheet"},0),calc_tax_m12,"",calc_bs_ret_earn_m12)</f>
        <v>0</v>
      </c>
      <c r="O47" s="6">
        <f ca="1">CHOOSE(MATCH(inp_view,{"P&amp;L","Cash Flow","Balance Sheet"},0),IFERROR(calc_tax_ann,""),"",IFERROR(calc_bs_ret_earn_ann,""))</f>
        <v>0</v>
      </c>
      <c r="P47" s="1"/>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row>
    <row r="48" spans="1:96" ht="16" thickTop="1" x14ac:dyDescent="0.2">
      <c r="A48" s="57"/>
      <c r="B48" s="13" t="str">
        <f>CHOOSE(MATCH(inp_view,{"P&amp;L","Cash Flow","Balance Sheet"},0),"NET PROFIT","CLOSING CASH","TOTAL LIABILITIES + EQUITY")</f>
        <v>NET PROFIT</v>
      </c>
      <c r="C48" s="14">
        <f>CHOOSE(MATCH(inp_view,{"P&amp;L","Cash Flow","Balance Sheet"},0),calc_net_profit_m1,calc_close_cash_m1,calc_bs_total_le_m1)</f>
        <v>0</v>
      </c>
      <c r="D48" s="14">
        <f ca="1">CHOOSE(MATCH(inp_view,{"P&amp;L","Cash Flow","Balance Sheet"},0),calc_net_profit_m2,calc_close_cash_m2,calc_bs_total_le_m2)</f>
        <v>0</v>
      </c>
      <c r="E48" s="14">
        <f ca="1">CHOOSE(MATCH(inp_view,{"P&amp;L","Cash Flow","Balance Sheet"},0),calc_net_profit_m3,calc_close_cash_m3,calc_bs_total_le_m3)</f>
        <v>0</v>
      </c>
      <c r="F48" s="14">
        <f ca="1">CHOOSE(MATCH(inp_view,{"P&amp;L","Cash Flow","Balance Sheet"},0),calc_net_profit_m4,calc_close_cash_m4,calc_bs_total_le_m4)</f>
        <v>0</v>
      </c>
      <c r="G48" s="14">
        <f ca="1">CHOOSE(MATCH(inp_view,{"P&amp;L","Cash Flow","Balance Sheet"},0),calc_net_profit_m5,calc_close_cash_m5,calc_bs_total_le_m5)</f>
        <v>0</v>
      </c>
      <c r="H48" s="14">
        <f ca="1">CHOOSE(MATCH(inp_view,{"P&amp;L","Cash Flow","Balance Sheet"},0),calc_net_profit_m6,calc_close_cash_m6,calc_bs_total_le_m6)</f>
        <v>0</v>
      </c>
      <c r="I48" s="14">
        <f ca="1">CHOOSE(MATCH(inp_view,{"P&amp;L","Cash Flow","Balance Sheet"},0),calc_net_profit_m7,calc_close_cash_m7,calc_bs_total_le_m7)</f>
        <v>0</v>
      </c>
      <c r="J48" s="14">
        <f ca="1">CHOOSE(MATCH(inp_view,{"P&amp;L","Cash Flow","Balance Sheet"},0),calc_net_profit_m8,calc_close_cash_m8,calc_bs_total_le_m8)</f>
        <v>0</v>
      </c>
      <c r="K48" s="14">
        <f ca="1">CHOOSE(MATCH(inp_view,{"P&amp;L","Cash Flow","Balance Sheet"},0),calc_net_profit_m9,calc_close_cash_m9,calc_bs_total_le_m9)</f>
        <v>0</v>
      </c>
      <c r="L48" s="14">
        <f ca="1">CHOOSE(MATCH(inp_view,{"P&amp;L","Cash Flow","Balance Sheet"},0),calc_net_profit_m10,calc_close_cash_m10,calc_bs_total_le_m10)</f>
        <v>0</v>
      </c>
      <c r="M48" s="14">
        <f ca="1">CHOOSE(MATCH(inp_view,{"P&amp;L","Cash Flow","Balance Sheet"},0),calc_net_profit_m11,calc_close_cash_m11,calc_bs_total_le_m11)</f>
        <v>0</v>
      </c>
      <c r="N48" s="14">
        <f ca="1">CHOOSE(MATCH(inp_view,{"P&amp;L","Cash Flow","Balance Sheet"},0),calc_net_profit_m12,calc_close_cash_m12,calc_bs_total_le_m12)</f>
        <v>0</v>
      </c>
      <c r="O48" s="14">
        <f ca="1">CHOOSE(MATCH(inp_view,{"P&amp;L","Cash Flow","Balance Sheet"},0),IFERROR(calc_net_profit_ann,""),IFERROR(calc_close_cash_ann,""),IFERROR(calc_bs_total_le_ann,""))</f>
        <v>0</v>
      </c>
      <c r="P48" s="1"/>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row>
    <row r="49" spans="1:96" x14ac:dyDescent="0.2">
      <c r="A49" s="57"/>
      <c r="B49" s="15" t="str">
        <f>CHOOSE(MATCH(inp_view,{"P&amp;L","Cash Flow","Balance Sheet"},0),"Net margin %","","")</f>
        <v>Net margin %</v>
      </c>
      <c r="C49" s="16">
        <f>CHOOSE(MATCH(inp_view,{"P&amp;L","Cash Flow","Balance Sheet"},0),calc_np_pct_m1,"","")</f>
        <v>0</v>
      </c>
      <c r="D49" s="16">
        <f ca="1">CHOOSE(MATCH(inp_view,{"P&amp;L","Cash Flow","Balance Sheet"},0),calc_np_pct_m2,"","")</f>
        <v>0</v>
      </c>
      <c r="E49" s="16">
        <f ca="1">CHOOSE(MATCH(inp_view,{"P&amp;L","Cash Flow","Balance Sheet"},0),calc_np_pct_m3,"","")</f>
        <v>0</v>
      </c>
      <c r="F49" s="16">
        <f ca="1">CHOOSE(MATCH(inp_view,{"P&amp;L","Cash Flow","Balance Sheet"},0),calc_np_pct_m4,"","")</f>
        <v>0</v>
      </c>
      <c r="G49" s="16">
        <f ca="1">CHOOSE(MATCH(inp_view,{"P&amp;L","Cash Flow","Balance Sheet"},0),calc_np_pct_m5,"","")</f>
        <v>0</v>
      </c>
      <c r="H49" s="16">
        <f ca="1">CHOOSE(MATCH(inp_view,{"P&amp;L","Cash Flow","Balance Sheet"},0),calc_np_pct_m6,"","")</f>
        <v>0</v>
      </c>
      <c r="I49" s="16">
        <f ca="1">CHOOSE(MATCH(inp_view,{"P&amp;L","Cash Flow","Balance Sheet"},0),calc_np_pct_m7,"","")</f>
        <v>0</v>
      </c>
      <c r="J49" s="16">
        <f ca="1">CHOOSE(MATCH(inp_view,{"P&amp;L","Cash Flow","Balance Sheet"},0),calc_np_pct_m8,"","")</f>
        <v>0</v>
      </c>
      <c r="K49" s="16">
        <f ca="1">CHOOSE(MATCH(inp_view,{"P&amp;L","Cash Flow","Balance Sheet"},0),calc_np_pct_m9,"","")</f>
        <v>0</v>
      </c>
      <c r="L49" s="16">
        <f ca="1">CHOOSE(MATCH(inp_view,{"P&amp;L","Cash Flow","Balance Sheet"},0),calc_np_pct_m10,"","")</f>
        <v>0</v>
      </c>
      <c r="M49" s="16">
        <f ca="1">CHOOSE(MATCH(inp_view,{"P&amp;L","Cash Flow","Balance Sheet"},0),calc_np_pct_m11,"","")</f>
        <v>0</v>
      </c>
      <c r="N49" s="16">
        <f ca="1">CHOOSE(MATCH(inp_view,{"P&amp;L","Cash Flow","Balance Sheet"},0),calc_np_pct_m12,"","")</f>
        <v>0</v>
      </c>
      <c r="O49" s="16">
        <f ca="1">CHOOSE(MATCH(inp_view,{"P&amp;L","Cash Flow","Balance Sheet"},0),IFERROR(calc_np_pct_ann,""),"","")</f>
        <v>0</v>
      </c>
      <c r="P49" s="1"/>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row>
    <row r="50" spans="1:96" x14ac:dyDescent="0.2">
      <c r="A50" s="57"/>
      <c r="B50" s="5" t="str">
        <f>CHOOSE(MATCH(inp_view,{"P&amp;L","Cash Flow","Balance Sheet"},0),"Closing headcount (FTE)","Months below minimum buffer (YTD)","BS check (assets − L+E)")</f>
        <v>Closing headcount (FTE)</v>
      </c>
      <c r="C50" s="17">
        <f>CHOOSE(MATCH(inp_view,{"P&amp;L","Cash Flow","Balance Sheet"},0),calc_fte_close_m1,calc_below_buffer_count_m1,calc_bs_check_m1)</f>
        <v>0</v>
      </c>
      <c r="D50" s="17">
        <f>CHOOSE(MATCH(inp_view,{"P&amp;L","Cash Flow","Balance Sheet"},0),calc_fte_close_m2,calc_below_buffer_count_m2,calc_bs_check_m2)</f>
        <v>0</v>
      </c>
      <c r="E50" s="17">
        <f>CHOOSE(MATCH(inp_view,{"P&amp;L","Cash Flow","Balance Sheet"},0),calc_fte_close_m3,calc_below_buffer_count_m3,calc_bs_check_m3)</f>
        <v>0</v>
      </c>
      <c r="F50" s="17">
        <f>CHOOSE(MATCH(inp_view,{"P&amp;L","Cash Flow","Balance Sheet"},0),calc_fte_close_m4,calc_below_buffer_count_m4,calc_bs_check_m4)</f>
        <v>0</v>
      </c>
      <c r="G50" s="17">
        <f>CHOOSE(MATCH(inp_view,{"P&amp;L","Cash Flow","Balance Sheet"},0),calc_fte_close_m5,calc_below_buffer_count_m5,calc_bs_check_m5)</f>
        <v>0</v>
      </c>
      <c r="H50" s="17">
        <f>CHOOSE(MATCH(inp_view,{"P&amp;L","Cash Flow","Balance Sheet"},0),calc_fte_close_m6,calc_below_buffer_count_m6,calc_bs_check_m6)</f>
        <v>0</v>
      </c>
      <c r="I50" s="17">
        <f>CHOOSE(MATCH(inp_view,{"P&amp;L","Cash Flow","Balance Sheet"},0),calc_fte_close_m7,calc_below_buffer_count_m7,calc_bs_check_m7)</f>
        <v>0</v>
      </c>
      <c r="J50" s="17">
        <f>CHOOSE(MATCH(inp_view,{"P&amp;L","Cash Flow","Balance Sheet"},0),calc_fte_close_m8,calc_below_buffer_count_m8,calc_bs_check_m8)</f>
        <v>0</v>
      </c>
      <c r="K50" s="17">
        <f>CHOOSE(MATCH(inp_view,{"P&amp;L","Cash Flow","Balance Sheet"},0),calc_fte_close_m9,calc_below_buffer_count_m9,calc_bs_check_m9)</f>
        <v>0</v>
      </c>
      <c r="L50" s="17">
        <f>CHOOSE(MATCH(inp_view,{"P&amp;L","Cash Flow","Balance Sheet"},0),calc_fte_close_m10,calc_below_buffer_count_m10,calc_bs_check_m10)</f>
        <v>0</v>
      </c>
      <c r="M50" s="17">
        <f>CHOOSE(MATCH(inp_view,{"P&amp;L","Cash Flow","Balance Sheet"},0),calc_fte_close_m11,calc_below_buffer_count_m11,calc_bs_check_m11)</f>
        <v>0</v>
      </c>
      <c r="N50" s="17">
        <f>CHOOSE(MATCH(inp_view,{"P&amp;L","Cash Flow","Balance Sheet"},0),calc_fte_close_m12,calc_below_buffer_count_m12,calc_bs_check_m12)</f>
        <v>0</v>
      </c>
      <c r="O50" s="18">
        <f>CHOOSE(MATCH(inp_view,{"P&amp;L","Cash Flow","Balance Sheet"},0),IFERROR(calc_fte_close_ann,""),IFERROR(calc_below_buffer_count_ann,""),IFERROR(calc_bs_check_ann,""))</f>
        <v>0</v>
      </c>
      <c r="P50" s="1"/>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row>
    <row r="51" spans="1:96" x14ac:dyDescent="0.2">
      <c r="A51" s="57"/>
      <c r="B51" s="1"/>
      <c r="C51" s="1"/>
      <c r="D51" s="1"/>
      <c r="E51" s="1"/>
      <c r="F51" s="1"/>
      <c r="G51" s="1"/>
      <c r="H51" s="1"/>
      <c r="I51" s="1"/>
      <c r="J51" s="1"/>
      <c r="K51" s="1"/>
      <c r="L51" s="1"/>
      <c r="M51" s="1"/>
      <c r="N51" s="1"/>
      <c r="O51" s="1"/>
      <c r="P51" s="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row>
    <row r="52" spans="1:96" ht="26" customHeight="1" x14ac:dyDescent="0.2">
      <c r="A52" s="57"/>
      <c r="B52" s="173" t="s">
        <v>23</v>
      </c>
      <c r="C52" s="156"/>
      <c r="D52" s="156"/>
      <c r="E52" s="156"/>
      <c r="F52" s="156"/>
      <c r="G52" s="156"/>
      <c r="H52" s="156"/>
      <c r="I52" s="156"/>
      <c r="J52" s="174" t="s">
        <v>24</v>
      </c>
      <c r="K52" s="156"/>
      <c r="L52" s="156"/>
      <c r="M52" s="156"/>
      <c r="N52" s="156"/>
      <c r="O52" s="156"/>
      <c r="P52" s="1"/>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row>
    <row r="53" spans="1:96" x14ac:dyDescent="0.2">
      <c r="A53" s="57"/>
      <c r="B53" s="4" t="s">
        <v>21</v>
      </c>
      <c r="C53" s="19"/>
      <c r="D53" s="19"/>
      <c r="E53" s="8" t="s">
        <v>25</v>
      </c>
      <c r="F53" s="19"/>
      <c r="G53" s="19"/>
      <c r="H53" s="8" t="s">
        <v>26</v>
      </c>
      <c r="I53" s="19"/>
      <c r="J53" s="19"/>
      <c r="K53" s="8" t="s">
        <v>27</v>
      </c>
      <c r="L53" s="19"/>
      <c r="M53" s="19"/>
      <c r="N53" s="8" t="s">
        <v>28</v>
      </c>
      <c r="O53" s="19"/>
      <c r="P53" s="1"/>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row>
    <row r="54" spans="1:96" x14ac:dyDescent="0.2">
      <c r="A54" s="57"/>
      <c r="B54" s="5" t="s">
        <v>29</v>
      </c>
      <c r="C54" s="1"/>
      <c r="D54" s="1"/>
      <c r="E54" s="155">
        <f>SUMPRODUCT(calc_rev_total_m1m12,--(inp_act_rev_m1m12&lt;&gt;"")*(inp_act_rev_m1m12&lt;&gt;0))</f>
        <v>0</v>
      </c>
      <c r="F54" s="156"/>
      <c r="G54" s="156"/>
      <c r="H54" s="155">
        <f>SUMIF(inp_act_rev_m1m12,"&lt;&gt;")</f>
        <v>0</v>
      </c>
      <c r="I54" s="156"/>
      <c r="J54" s="156"/>
      <c r="K54" s="165">
        <f t="shared" ref="K54:K60" si="0">IFERROR(H54-E54,0)</f>
        <v>0</v>
      </c>
      <c r="L54" s="156"/>
      <c r="M54" s="156"/>
      <c r="N54" s="175">
        <f t="shared" ref="N54:N60" si="1">IFERROR((H54-E54)/E54,0)</f>
        <v>0</v>
      </c>
      <c r="O54" s="156"/>
      <c r="P54" s="1"/>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row>
    <row r="55" spans="1:96" x14ac:dyDescent="0.2">
      <c r="A55" s="57"/>
      <c r="B55" s="5" t="s">
        <v>30</v>
      </c>
      <c r="C55" s="1"/>
      <c r="D55" s="1"/>
      <c r="E55" s="155">
        <f>SUMPRODUCT(calc_dc_total_m1m12,--(inp_act_rev_m1m12&lt;&gt;"")*(inp_act_rev_m1m12&lt;&gt;0))</f>
        <v>0</v>
      </c>
      <c r="F55" s="156"/>
      <c r="G55" s="156"/>
      <c r="H55" s="155">
        <f>SUMIF(inp_act_dc_m1m12,"&lt;&gt;")</f>
        <v>0</v>
      </c>
      <c r="I55" s="156"/>
      <c r="J55" s="156"/>
      <c r="K55" s="165">
        <f t="shared" si="0"/>
        <v>0</v>
      </c>
      <c r="L55" s="156"/>
      <c r="M55" s="156"/>
      <c r="N55" s="175">
        <f t="shared" si="1"/>
        <v>0</v>
      </c>
      <c r="O55" s="156"/>
      <c r="P55" s="1"/>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row>
    <row r="56" spans="1:96" x14ac:dyDescent="0.2">
      <c r="A56" s="57"/>
      <c r="B56" s="5" t="s">
        <v>31</v>
      </c>
      <c r="C56" s="1"/>
      <c r="D56" s="1"/>
      <c r="E56" s="155">
        <f>SUMPRODUCT(calc_gp_m1m12,--(inp_act_rev_m1m12&lt;&gt;"")*(inp_act_rev_m1m12&lt;&gt;0))</f>
        <v>0</v>
      </c>
      <c r="F56" s="156"/>
      <c r="G56" s="156"/>
      <c r="H56" s="155">
        <f>SUMIF(inp_act_rev_m1m12,"&lt;&gt;")-SUMIF(inp_act_dc_m1m12,"&lt;&gt;")</f>
        <v>0</v>
      </c>
      <c r="I56" s="156"/>
      <c r="J56" s="156"/>
      <c r="K56" s="165">
        <f t="shared" si="0"/>
        <v>0</v>
      </c>
      <c r="L56" s="156"/>
      <c r="M56" s="156"/>
      <c r="N56" s="175">
        <f t="shared" si="1"/>
        <v>0</v>
      </c>
      <c r="O56" s="156"/>
      <c r="P56" s="1"/>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row>
    <row r="57" spans="1:96" x14ac:dyDescent="0.2">
      <c r="A57" s="57"/>
      <c r="B57" s="5" t="s">
        <v>32</v>
      </c>
      <c r="C57" s="1"/>
      <c r="D57" s="1"/>
      <c r="E57" s="155">
        <f>SUMPRODUCT(calc_ox_total_m1m12,--(inp_act_rev_m1m12&lt;&gt;"")*(inp_act_rev_m1m12&lt;&gt;0))</f>
        <v>0</v>
      </c>
      <c r="F57" s="156"/>
      <c r="G57" s="156"/>
      <c r="H57" s="155">
        <f>SUMIF(inp_act_ox_m1m12,"&lt;&gt;")</f>
        <v>0</v>
      </c>
      <c r="I57" s="156"/>
      <c r="J57" s="156"/>
      <c r="K57" s="165">
        <f t="shared" si="0"/>
        <v>0</v>
      </c>
      <c r="L57" s="156"/>
      <c r="M57" s="156"/>
      <c r="N57" s="175">
        <f t="shared" si="1"/>
        <v>0</v>
      </c>
      <c r="O57" s="156"/>
      <c r="P57" s="1"/>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row>
    <row r="58" spans="1:96" x14ac:dyDescent="0.2">
      <c r="A58" s="57"/>
      <c r="B58" s="5" t="s">
        <v>33</v>
      </c>
      <c r="C58" s="1"/>
      <c r="D58" s="1"/>
      <c r="E58" s="155">
        <f>SUMPRODUCT(calc_ebitda_m1m12,--(inp_act_rev_m1m12&lt;&gt;"")*(inp_act_rev_m1m12&lt;&gt;0))</f>
        <v>0</v>
      </c>
      <c r="F58" s="156"/>
      <c r="G58" s="156"/>
      <c r="H58" s="155">
        <f>SUMIF(inp_act_ebitda_m1m12,"&lt;&gt;")</f>
        <v>0</v>
      </c>
      <c r="I58" s="156"/>
      <c r="J58" s="156"/>
      <c r="K58" s="165">
        <f t="shared" si="0"/>
        <v>0</v>
      </c>
      <c r="L58" s="156"/>
      <c r="M58" s="156"/>
      <c r="N58" s="175">
        <f t="shared" si="1"/>
        <v>0</v>
      </c>
      <c r="O58" s="156"/>
      <c r="P58" s="1"/>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row>
    <row r="59" spans="1:96" x14ac:dyDescent="0.2">
      <c r="A59" s="57"/>
      <c r="B59" s="5" t="s">
        <v>34</v>
      </c>
      <c r="C59" s="1"/>
      <c r="D59" s="1"/>
      <c r="E59" s="155">
        <f ca="1">SUMPRODUCT(calc_net_profit_m1m12,--(inp_act_rev_m1m12&lt;&gt;"")*(inp_act_rev_m1m12&lt;&gt;0))</f>
        <v>0</v>
      </c>
      <c r="F59" s="156"/>
      <c r="G59" s="156"/>
      <c r="H59" s="155">
        <f>SUMIF(inp_act_np_m1m12,"&lt;&gt;")</f>
        <v>0</v>
      </c>
      <c r="I59" s="156"/>
      <c r="J59" s="156"/>
      <c r="K59" s="165">
        <f t="shared" ca="1" si="0"/>
        <v>0</v>
      </c>
      <c r="L59" s="156"/>
      <c r="M59" s="156"/>
      <c r="N59" s="175">
        <f t="shared" ca="1" si="1"/>
        <v>0</v>
      </c>
      <c r="O59" s="156"/>
      <c r="P59" s="1"/>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row>
    <row r="60" spans="1:96" x14ac:dyDescent="0.2">
      <c r="A60" s="57"/>
      <c r="B60" s="5" t="s">
        <v>35</v>
      </c>
      <c r="C60" s="1"/>
      <c r="D60" s="1"/>
      <c r="E60" s="155">
        <f>IF(SUMPRODUCT(--(inp_act_rev_m1m12&lt;&gt;"")*(inp_act_rev_m1m12&lt;&gt;0))=0,0,INDEX(calc_close_cash_m1m12,SUMPRODUCT(--(inp_act_rev_m1m12&lt;&gt;"")*(inp_act_rev_m1m12&lt;&gt;0))))</f>
        <v>0</v>
      </c>
      <c r="F60" s="156"/>
      <c r="G60" s="156"/>
      <c r="H60" s="155">
        <f>IFERROR(LOOKUP(2,1/((inp_act_cash_m1m12&lt;&gt;"")),inp_act_cash_m1m12),0)</f>
        <v>0</v>
      </c>
      <c r="I60" s="156"/>
      <c r="J60" s="156"/>
      <c r="K60" s="165">
        <f t="shared" si="0"/>
        <v>0</v>
      </c>
      <c r="L60" s="156"/>
      <c r="M60" s="156"/>
      <c r="N60" s="175">
        <f t="shared" si="1"/>
        <v>0</v>
      </c>
      <c r="O60" s="156"/>
      <c r="P60" s="1"/>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row>
    <row r="61" spans="1:96" x14ac:dyDescent="0.2">
      <c r="A61" s="57"/>
      <c r="B61" s="1"/>
      <c r="C61" s="1"/>
      <c r="D61" s="1"/>
      <c r="E61" s="1"/>
      <c r="F61" s="1"/>
      <c r="G61" s="1"/>
      <c r="H61" s="1"/>
      <c r="I61" s="1"/>
      <c r="J61" s="1"/>
      <c r="K61" s="1"/>
      <c r="L61" s="1"/>
      <c r="M61" s="1"/>
      <c r="N61" s="1"/>
      <c r="O61" s="1"/>
      <c r="P61" s="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row>
    <row r="62" spans="1:96" ht="26" hidden="1" customHeight="1" x14ac:dyDescent="0.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row>
    <row r="63" spans="1:96" hidden="1" x14ac:dyDescent="0.2">
      <c r="O63" s="59"/>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row>
    <row r="64" spans="1:96" hidden="1" x14ac:dyDescent="0.2">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row>
    <row r="65" spans="1:96" hidden="1" x14ac:dyDescent="0.2">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row>
    <row r="66" spans="1:96" hidden="1" x14ac:dyDescent="0.2">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row>
    <row r="67" spans="1:96" hidden="1" x14ac:dyDescent="0.2">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row>
    <row r="68" spans="1:96" hidden="1" x14ac:dyDescent="0.2">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row>
    <row r="69" spans="1:96" ht="26" customHeight="1" x14ac:dyDescent="0.2">
      <c r="A69" s="57"/>
      <c r="B69" s="173" t="s">
        <v>37</v>
      </c>
      <c r="C69" s="156"/>
      <c r="D69" s="156"/>
      <c r="E69" s="156"/>
      <c r="F69" s="156"/>
      <c r="G69" s="156"/>
      <c r="H69" s="156"/>
      <c r="I69" s="156"/>
      <c r="J69" s="174" t="s">
        <v>38</v>
      </c>
      <c r="K69" s="156"/>
      <c r="L69" s="156"/>
      <c r="M69" s="156"/>
      <c r="N69" s="156"/>
      <c r="O69" s="156"/>
      <c r="P69" s="1"/>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row>
    <row r="70" spans="1:96" ht="22" customHeight="1" x14ac:dyDescent="0.2">
      <c r="A70" s="57"/>
      <c r="B70" s="5" t="s">
        <v>39</v>
      </c>
      <c r="C70" s="1"/>
      <c r="D70" s="1"/>
      <c r="E70" s="155">
        <f>IF(SUM(inp_alloc_sl1)&gt;0,SUM(inp_sl1_committed_m1m12),0)+IF(SUM(inp_alloc_sl2)&gt;0,SUM(inp_sl2_committed_m1m12),0)+IF(SUM(inp_alloc_sl3)&gt;0,SUM(inp_sl3_committed_m1m12),0)+IF(SUM(inp_alloc_sl4)&gt;0,SUM(inp_sl4_committed_m1m12),0)+IF(SUM(inp_alloc_sl5)&gt;0,SUM(inp_sl5_committed_m1m12),0)</f>
        <v>0</v>
      </c>
      <c r="F70" s="156"/>
      <c r="G70" s="156"/>
      <c r="H70" s="155">
        <f>SUM(calc_roster_revcap_annual)</f>
        <v>0</v>
      </c>
      <c r="I70" s="156"/>
      <c r="J70" s="156"/>
      <c r="K70" s="176" t="str">
        <f>IF(SUM(calc_roster_revcap_annual)&lt;=0,"Set delivery capacity on the roster",IF((IF(SUM(inp_alloc_sl1)&gt;0,SUM(inp_sl1_committed_m1m12),0)+IF(SUM(inp_alloc_sl2)&gt;0,SUM(inp_sl2_committed_m1m12),0)+IF(SUM(inp_alloc_sl3)&gt;0,SUM(inp_sl3_committed_m1m12),0)+IF(SUM(inp_alloc_sl4)&gt;0,SUM(inp_sl4_committed_m1m12),0)+IF(SUM(inp_alloc_sl5)&gt;0,SUM(inp_sl5_committed_m1m12),0))&gt;SUM(calc_roster_revcap_annual)*1.05,"OVER - plan exceeds billable delivery capacity; add delivery headcount or raise rates","WITHIN - plan fits billable delivery capacity"))</f>
        <v>Set delivery capacity on the roster</v>
      </c>
      <c r="L70" s="156"/>
      <c r="M70" s="156"/>
      <c r="N70" s="156"/>
      <c r="O70" s="156"/>
      <c r="P70" s="1"/>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row>
    <row r="71" spans="1:96" x14ac:dyDescent="0.2">
      <c r="A71" s="57"/>
      <c r="B71" s="203"/>
      <c r="C71" s="203"/>
      <c r="D71" s="203"/>
      <c r="E71" s="203"/>
      <c r="F71" s="203"/>
      <c r="G71" s="203"/>
      <c r="H71" s="203"/>
      <c r="I71" s="203"/>
      <c r="J71" s="203"/>
      <c r="K71" s="203"/>
      <c r="L71" s="203"/>
      <c r="M71" s="203"/>
      <c r="N71" s="203"/>
      <c r="O71" s="203"/>
      <c r="P71" s="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row>
    <row r="72" spans="1:96" x14ac:dyDescent="0.2">
      <c r="A72" s="57"/>
      <c r="B72" s="206" t="s">
        <v>703</v>
      </c>
      <c r="C72" s="206"/>
      <c r="D72" s="206"/>
      <c r="E72" s="206"/>
      <c r="F72" s="206"/>
      <c r="G72" s="206"/>
      <c r="H72" s="206"/>
      <c r="I72" s="206"/>
      <c r="J72" s="204"/>
      <c r="K72" s="204"/>
      <c r="L72" s="204"/>
      <c r="M72" s="204"/>
      <c r="N72" s="204"/>
      <c r="O72" s="203"/>
      <c r="P72" s="1"/>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row>
    <row r="73" spans="1:96" ht="32" customHeight="1" x14ac:dyDescent="0.2">
      <c r="A73" s="57"/>
      <c r="B73" s="179" t="s">
        <v>40</v>
      </c>
      <c r="C73" s="156"/>
      <c r="D73" s="156"/>
      <c r="E73" s="156"/>
      <c r="F73" s="156"/>
      <c r="G73" s="156"/>
      <c r="H73" s="156"/>
      <c r="I73" s="174" t="s">
        <v>41</v>
      </c>
      <c r="J73" s="156"/>
      <c r="K73" s="156"/>
      <c r="L73" s="181" t="str">
        <f ca="1">IF(COUNTIF(N75:N110,"PASS")=36,"PASS","FAIL")</f>
        <v>PASS</v>
      </c>
      <c r="M73" s="156"/>
      <c r="N73" s="156"/>
      <c r="O73" s="156"/>
      <c r="P73" s="1"/>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row>
    <row r="74" spans="1:96" x14ac:dyDescent="0.2">
      <c r="A74" s="57"/>
      <c r="B74" s="4" t="s">
        <v>42</v>
      </c>
      <c r="C74" s="19"/>
      <c r="D74" s="19"/>
      <c r="E74" s="19"/>
      <c r="F74" s="19"/>
      <c r="G74" s="19"/>
      <c r="H74" s="8" t="s">
        <v>43</v>
      </c>
      <c r="I74" s="19"/>
      <c r="J74" s="8" t="s">
        <v>44</v>
      </c>
      <c r="K74" s="19"/>
      <c r="L74" s="8" t="s">
        <v>45</v>
      </c>
      <c r="M74" s="19"/>
      <c r="N74" s="8" t="s">
        <v>36</v>
      </c>
      <c r="O74" s="19"/>
      <c r="P74" s="1"/>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row>
    <row r="75" spans="1:96" x14ac:dyDescent="0.2">
      <c r="A75" s="57"/>
      <c r="B75" s="160" t="s">
        <v>46</v>
      </c>
      <c r="C75" s="156"/>
      <c r="D75" s="156"/>
      <c r="E75" s="156"/>
      <c r="F75" s="156"/>
      <c r="G75" s="156"/>
      <c r="H75" s="162">
        <f ca="1">calc_bs_total_assets_m1</f>
        <v>0</v>
      </c>
      <c r="I75" s="156"/>
      <c r="J75" s="162">
        <f ca="1">calc_bs_total_le_m1</f>
        <v>0</v>
      </c>
      <c r="K75" s="156"/>
      <c r="L75" s="157">
        <f t="shared" ref="L75:L110" ca="1" si="2">H75-J75</f>
        <v>0</v>
      </c>
      <c r="M75" s="156"/>
      <c r="N75" s="161" t="str">
        <f t="shared" ref="N75:N102" ca="1" si="3">IF(ABS(L75)&lt;=1,"PASS","FAIL")</f>
        <v>PASS</v>
      </c>
      <c r="O75" s="156"/>
      <c r="P75" s="1"/>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row>
    <row r="76" spans="1:96" x14ac:dyDescent="0.2">
      <c r="A76" s="57"/>
      <c r="B76" s="160" t="s">
        <v>47</v>
      </c>
      <c r="C76" s="156"/>
      <c r="D76" s="156"/>
      <c r="E76" s="156"/>
      <c r="F76" s="156"/>
      <c r="G76" s="156"/>
      <c r="H76" s="162">
        <f ca="1">calc_bs_total_assets_m2</f>
        <v>0</v>
      </c>
      <c r="I76" s="156"/>
      <c r="J76" s="162">
        <f ca="1">calc_bs_total_le_m2</f>
        <v>0</v>
      </c>
      <c r="K76" s="156"/>
      <c r="L76" s="157">
        <f t="shared" ca="1" si="2"/>
        <v>0</v>
      </c>
      <c r="M76" s="156"/>
      <c r="N76" s="161" t="str">
        <f t="shared" ca="1" si="3"/>
        <v>PASS</v>
      </c>
      <c r="O76" s="156"/>
      <c r="P76" s="1"/>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row>
    <row r="77" spans="1:96" x14ac:dyDescent="0.2">
      <c r="A77" s="57"/>
      <c r="B77" s="160" t="s">
        <v>48</v>
      </c>
      <c r="C77" s="156"/>
      <c r="D77" s="156"/>
      <c r="E77" s="156"/>
      <c r="F77" s="156"/>
      <c r="G77" s="156"/>
      <c r="H77" s="162">
        <f ca="1">calc_bs_total_assets_m3</f>
        <v>0</v>
      </c>
      <c r="I77" s="156"/>
      <c r="J77" s="162">
        <f ca="1">calc_bs_total_le_m3</f>
        <v>0</v>
      </c>
      <c r="K77" s="156"/>
      <c r="L77" s="157">
        <f t="shared" ca="1" si="2"/>
        <v>0</v>
      </c>
      <c r="M77" s="156"/>
      <c r="N77" s="161" t="str">
        <f t="shared" ca="1" si="3"/>
        <v>PASS</v>
      </c>
      <c r="O77" s="156"/>
      <c r="P77" s="1"/>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row>
    <row r="78" spans="1:96" x14ac:dyDescent="0.2">
      <c r="A78" s="57"/>
      <c r="B78" s="160" t="s">
        <v>49</v>
      </c>
      <c r="C78" s="156"/>
      <c r="D78" s="156"/>
      <c r="E78" s="156"/>
      <c r="F78" s="156"/>
      <c r="G78" s="156"/>
      <c r="H78" s="162">
        <f ca="1">calc_bs_total_assets_m4</f>
        <v>0</v>
      </c>
      <c r="I78" s="156"/>
      <c r="J78" s="162">
        <f ca="1">calc_bs_total_le_m4</f>
        <v>0</v>
      </c>
      <c r="K78" s="156"/>
      <c r="L78" s="157">
        <f t="shared" ca="1" si="2"/>
        <v>0</v>
      </c>
      <c r="M78" s="156"/>
      <c r="N78" s="161" t="str">
        <f t="shared" ca="1" si="3"/>
        <v>PASS</v>
      </c>
      <c r="O78" s="156"/>
      <c r="P78" s="1"/>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row>
    <row r="79" spans="1:96" x14ac:dyDescent="0.2">
      <c r="A79" s="57"/>
      <c r="B79" s="160" t="s">
        <v>50</v>
      </c>
      <c r="C79" s="156"/>
      <c r="D79" s="156"/>
      <c r="E79" s="156"/>
      <c r="F79" s="156"/>
      <c r="G79" s="156"/>
      <c r="H79" s="162">
        <f ca="1">calc_bs_total_assets_m5</f>
        <v>0</v>
      </c>
      <c r="I79" s="156"/>
      <c r="J79" s="162">
        <f ca="1">calc_bs_total_le_m5</f>
        <v>0</v>
      </c>
      <c r="K79" s="156"/>
      <c r="L79" s="157">
        <f t="shared" ca="1" si="2"/>
        <v>0</v>
      </c>
      <c r="M79" s="156"/>
      <c r="N79" s="161" t="str">
        <f t="shared" ca="1" si="3"/>
        <v>PASS</v>
      </c>
      <c r="O79" s="156"/>
      <c r="P79" s="1"/>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row>
    <row r="80" spans="1:96" x14ac:dyDescent="0.2">
      <c r="A80" s="57"/>
      <c r="B80" s="160" t="s">
        <v>51</v>
      </c>
      <c r="C80" s="156"/>
      <c r="D80" s="156"/>
      <c r="E80" s="156"/>
      <c r="F80" s="156"/>
      <c r="G80" s="156"/>
      <c r="H80" s="162">
        <f ca="1">calc_bs_total_assets_m6</f>
        <v>0</v>
      </c>
      <c r="I80" s="156"/>
      <c r="J80" s="162">
        <f ca="1">calc_bs_total_le_m6</f>
        <v>0</v>
      </c>
      <c r="K80" s="156"/>
      <c r="L80" s="157">
        <f t="shared" ca="1" si="2"/>
        <v>0</v>
      </c>
      <c r="M80" s="156"/>
      <c r="N80" s="161" t="str">
        <f t="shared" ca="1" si="3"/>
        <v>PASS</v>
      </c>
      <c r="O80" s="156"/>
      <c r="P80" s="1"/>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row>
    <row r="81" spans="1:96" x14ac:dyDescent="0.2">
      <c r="A81" s="57"/>
      <c r="B81" s="160" t="s">
        <v>52</v>
      </c>
      <c r="C81" s="156"/>
      <c r="D81" s="156"/>
      <c r="E81" s="156"/>
      <c r="F81" s="156"/>
      <c r="G81" s="156"/>
      <c r="H81" s="162">
        <f ca="1">calc_bs_total_assets_m7</f>
        <v>0</v>
      </c>
      <c r="I81" s="156"/>
      <c r="J81" s="162">
        <f ca="1">calc_bs_total_le_m7</f>
        <v>0</v>
      </c>
      <c r="K81" s="156"/>
      <c r="L81" s="157">
        <f t="shared" ca="1" si="2"/>
        <v>0</v>
      </c>
      <c r="M81" s="156"/>
      <c r="N81" s="161" t="str">
        <f t="shared" ca="1" si="3"/>
        <v>PASS</v>
      </c>
      <c r="O81" s="156"/>
      <c r="P81" s="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row>
    <row r="82" spans="1:96" x14ac:dyDescent="0.2">
      <c r="A82" s="57"/>
      <c r="B82" s="160" t="s">
        <v>53</v>
      </c>
      <c r="C82" s="156"/>
      <c r="D82" s="156"/>
      <c r="E82" s="156"/>
      <c r="F82" s="156"/>
      <c r="G82" s="156"/>
      <c r="H82" s="162">
        <f ca="1">calc_bs_total_assets_m8</f>
        <v>0</v>
      </c>
      <c r="I82" s="156"/>
      <c r="J82" s="162">
        <f ca="1">calc_bs_total_le_m8</f>
        <v>0</v>
      </c>
      <c r="K82" s="156"/>
      <c r="L82" s="157">
        <f t="shared" ca="1" si="2"/>
        <v>0</v>
      </c>
      <c r="M82" s="156"/>
      <c r="N82" s="161" t="str">
        <f t="shared" ca="1" si="3"/>
        <v>PASS</v>
      </c>
      <c r="O82" s="156"/>
      <c r="P82" s="1"/>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row>
    <row r="83" spans="1:96" x14ac:dyDescent="0.2">
      <c r="A83" s="57"/>
      <c r="B83" s="160" t="s">
        <v>54</v>
      </c>
      <c r="C83" s="156"/>
      <c r="D83" s="156"/>
      <c r="E83" s="156"/>
      <c r="F83" s="156"/>
      <c r="G83" s="156"/>
      <c r="H83" s="162">
        <f ca="1">calc_bs_total_assets_m9</f>
        <v>0</v>
      </c>
      <c r="I83" s="156"/>
      <c r="J83" s="162">
        <f ca="1">calc_bs_total_le_m9</f>
        <v>0</v>
      </c>
      <c r="K83" s="156"/>
      <c r="L83" s="157">
        <f t="shared" ca="1" si="2"/>
        <v>0</v>
      </c>
      <c r="M83" s="156"/>
      <c r="N83" s="161" t="str">
        <f t="shared" ca="1" si="3"/>
        <v>PASS</v>
      </c>
      <c r="O83" s="156"/>
      <c r="P83" s="1"/>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row>
    <row r="84" spans="1:96" x14ac:dyDescent="0.2">
      <c r="A84" s="57"/>
      <c r="B84" s="160" t="s">
        <v>55</v>
      </c>
      <c r="C84" s="156"/>
      <c r="D84" s="156"/>
      <c r="E84" s="156"/>
      <c r="F84" s="156"/>
      <c r="G84" s="156"/>
      <c r="H84" s="162">
        <f ca="1">calc_bs_total_assets_m10</f>
        <v>0</v>
      </c>
      <c r="I84" s="156"/>
      <c r="J84" s="162">
        <f ca="1">calc_bs_total_le_m10</f>
        <v>0</v>
      </c>
      <c r="K84" s="156"/>
      <c r="L84" s="157">
        <f t="shared" ca="1" si="2"/>
        <v>0</v>
      </c>
      <c r="M84" s="156"/>
      <c r="N84" s="161" t="str">
        <f t="shared" ca="1" si="3"/>
        <v>PASS</v>
      </c>
      <c r="O84" s="156"/>
      <c r="P84" s="1"/>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row>
    <row r="85" spans="1:96" x14ac:dyDescent="0.2">
      <c r="A85" s="57"/>
      <c r="B85" s="160" t="s">
        <v>56</v>
      </c>
      <c r="C85" s="156"/>
      <c r="D85" s="156"/>
      <c r="E85" s="156"/>
      <c r="F85" s="156"/>
      <c r="G85" s="156"/>
      <c r="H85" s="162">
        <f ca="1">calc_bs_total_assets_m11</f>
        <v>0</v>
      </c>
      <c r="I85" s="156"/>
      <c r="J85" s="162">
        <f ca="1">calc_bs_total_le_m11</f>
        <v>0</v>
      </c>
      <c r="K85" s="156"/>
      <c r="L85" s="157">
        <f t="shared" ca="1" si="2"/>
        <v>0</v>
      </c>
      <c r="M85" s="156"/>
      <c r="N85" s="161" t="str">
        <f t="shared" ca="1" si="3"/>
        <v>PASS</v>
      </c>
      <c r="O85" s="156"/>
      <c r="P85" s="1"/>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row>
    <row r="86" spans="1:96" x14ac:dyDescent="0.2">
      <c r="A86" s="57"/>
      <c r="B86" s="160" t="s">
        <v>57</v>
      </c>
      <c r="C86" s="156"/>
      <c r="D86" s="156"/>
      <c r="E86" s="156"/>
      <c r="F86" s="156"/>
      <c r="G86" s="156"/>
      <c r="H86" s="162">
        <f ca="1">calc_bs_total_assets_m12</f>
        <v>0</v>
      </c>
      <c r="I86" s="156"/>
      <c r="J86" s="162">
        <f ca="1">calc_bs_total_le_m12</f>
        <v>0</v>
      </c>
      <c r="K86" s="156"/>
      <c r="L86" s="157">
        <f t="shared" ca="1" si="2"/>
        <v>0</v>
      </c>
      <c r="M86" s="156"/>
      <c r="N86" s="161" t="str">
        <f t="shared" ca="1" si="3"/>
        <v>PASS</v>
      </c>
      <c r="O86" s="156"/>
      <c r="P86" s="1"/>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row>
    <row r="87" spans="1:96" x14ac:dyDescent="0.2">
      <c r="A87" s="57"/>
      <c r="B87" s="160" t="s">
        <v>58</v>
      </c>
      <c r="C87" s="156"/>
      <c r="D87" s="156"/>
      <c r="E87" s="156"/>
      <c r="F87" s="156"/>
      <c r="G87" s="156"/>
      <c r="H87" s="162">
        <f>calc_rev_total_ann</f>
        <v>0</v>
      </c>
      <c r="I87" s="156"/>
      <c r="J87" s="162">
        <f>SUM(calc_rev_total_m1,calc_rev_total_m2,calc_rev_total_m3,calc_rev_total_m4,calc_rev_total_m5,calc_rev_total_m6,calc_rev_total_m7,calc_rev_total_m8,calc_rev_total_m9,calc_rev_total_m10,calc_rev_total_m11,calc_rev_total_m12)</f>
        <v>0</v>
      </c>
      <c r="K87" s="156"/>
      <c r="L87" s="157">
        <f t="shared" si="2"/>
        <v>0</v>
      </c>
      <c r="M87" s="156"/>
      <c r="N87" s="161" t="str">
        <f t="shared" si="3"/>
        <v>PASS</v>
      </c>
      <c r="O87" s="156"/>
      <c r="P87" s="1"/>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row>
    <row r="88" spans="1:96" x14ac:dyDescent="0.2">
      <c r="A88" s="57"/>
      <c r="B88" s="160" t="s">
        <v>59</v>
      </c>
      <c r="C88" s="156"/>
      <c r="D88" s="156"/>
      <c r="E88" s="156"/>
      <c r="F88" s="156"/>
      <c r="G88" s="156"/>
      <c r="H88" s="162">
        <f>calc_ebitda_ann</f>
        <v>0</v>
      </c>
      <c r="I88" s="156"/>
      <c r="J88" s="162">
        <f>SUM(calc_ebitda_m1,calc_ebitda_m2,calc_ebitda_m3,calc_ebitda_m4,calc_ebitda_m5,calc_ebitda_m6,calc_ebitda_m7,calc_ebitda_m8,calc_ebitda_m9,calc_ebitda_m10,calc_ebitda_m11,calc_ebitda_m12)</f>
        <v>0</v>
      </c>
      <c r="K88" s="156"/>
      <c r="L88" s="157">
        <f t="shared" si="2"/>
        <v>0</v>
      </c>
      <c r="M88" s="156"/>
      <c r="N88" s="161" t="str">
        <f t="shared" si="3"/>
        <v>PASS</v>
      </c>
      <c r="O88" s="156"/>
      <c r="P88" s="1"/>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row>
    <row r="89" spans="1:96" x14ac:dyDescent="0.2">
      <c r="A89" s="57"/>
      <c r="B89" s="160" t="s">
        <v>60</v>
      </c>
      <c r="C89" s="156"/>
      <c r="D89" s="156"/>
      <c r="E89" s="156"/>
      <c r="F89" s="156"/>
      <c r="G89" s="156"/>
      <c r="H89" s="162">
        <f>calc_open_cash_m2</f>
        <v>0</v>
      </c>
      <c r="I89" s="156"/>
      <c r="J89" s="162">
        <f>calc_close_cash_m1</f>
        <v>0</v>
      </c>
      <c r="K89" s="156"/>
      <c r="L89" s="157">
        <f t="shared" si="2"/>
        <v>0</v>
      </c>
      <c r="M89" s="156"/>
      <c r="N89" s="161" t="str">
        <f t="shared" si="3"/>
        <v>PASS</v>
      </c>
      <c r="O89" s="156"/>
      <c r="P89" s="1"/>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row>
    <row r="90" spans="1:96" x14ac:dyDescent="0.2">
      <c r="A90" s="57"/>
      <c r="B90" s="160" t="s">
        <v>61</v>
      </c>
      <c r="C90" s="156"/>
      <c r="D90" s="156"/>
      <c r="E90" s="156"/>
      <c r="F90" s="156"/>
      <c r="G90" s="156"/>
      <c r="H90" s="162">
        <f ca="1">calc_open_cash_m3</f>
        <v>0</v>
      </c>
      <c r="I90" s="156"/>
      <c r="J90" s="162">
        <f ca="1">calc_close_cash_m2</f>
        <v>0</v>
      </c>
      <c r="K90" s="156"/>
      <c r="L90" s="157">
        <f t="shared" ca="1" si="2"/>
        <v>0</v>
      </c>
      <c r="M90" s="156"/>
      <c r="N90" s="161" t="str">
        <f t="shared" ca="1" si="3"/>
        <v>PASS</v>
      </c>
      <c r="O90" s="156"/>
      <c r="P90" s="1"/>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row>
    <row r="91" spans="1:96" x14ac:dyDescent="0.2">
      <c r="A91" s="57"/>
      <c r="B91" s="160" t="s">
        <v>62</v>
      </c>
      <c r="C91" s="156"/>
      <c r="D91" s="156"/>
      <c r="E91" s="156"/>
      <c r="F91" s="156"/>
      <c r="G91" s="156"/>
      <c r="H91" s="162">
        <f ca="1">calc_open_cash_m4</f>
        <v>0</v>
      </c>
      <c r="I91" s="156"/>
      <c r="J91" s="162">
        <f ca="1">calc_close_cash_m3</f>
        <v>0</v>
      </c>
      <c r="K91" s="156"/>
      <c r="L91" s="157">
        <f t="shared" ca="1" si="2"/>
        <v>0</v>
      </c>
      <c r="M91" s="156"/>
      <c r="N91" s="161" t="str">
        <f t="shared" ca="1" si="3"/>
        <v>PASS</v>
      </c>
      <c r="O91" s="156"/>
      <c r="P91" s="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row>
    <row r="92" spans="1:96" x14ac:dyDescent="0.2">
      <c r="A92" s="57"/>
      <c r="B92" s="160" t="s">
        <v>63</v>
      </c>
      <c r="C92" s="156"/>
      <c r="D92" s="156"/>
      <c r="E92" s="156"/>
      <c r="F92" s="156"/>
      <c r="G92" s="156"/>
      <c r="H92" s="162">
        <f ca="1">calc_open_cash_m5</f>
        <v>0</v>
      </c>
      <c r="I92" s="156"/>
      <c r="J92" s="162">
        <f ca="1">calc_close_cash_m4</f>
        <v>0</v>
      </c>
      <c r="K92" s="156"/>
      <c r="L92" s="157">
        <f t="shared" ca="1" si="2"/>
        <v>0</v>
      </c>
      <c r="M92" s="156"/>
      <c r="N92" s="161" t="str">
        <f t="shared" ca="1" si="3"/>
        <v>PASS</v>
      </c>
      <c r="O92" s="156"/>
      <c r="P92" s="1"/>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row>
    <row r="93" spans="1:96" x14ac:dyDescent="0.2">
      <c r="A93" s="57"/>
      <c r="B93" s="160" t="s">
        <v>64</v>
      </c>
      <c r="C93" s="156"/>
      <c r="D93" s="156"/>
      <c r="E93" s="156"/>
      <c r="F93" s="156"/>
      <c r="G93" s="156"/>
      <c r="H93" s="162">
        <f ca="1">calc_open_cash_m6</f>
        <v>0</v>
      </c>
      <c r="I93" s="156"/>
      <c r="J93" s="162">
        <f ca="1">calc_close_cash_m5</f>
        <v>0</v>
      </c>
      <c r="K93" s="156"/>
      <c r="L93" s="157">
        <f t="shared" ca="1" si="2"/>
        <v>0</v>
      </c>
      <c r="M93" s="156"/>
      <c r="N93" s="161" t="str">
        <f t="shared" ca="1" si="3"/>
        <v>PASS</v>
      </c>
      <c r="O93" s="156"/>
      <c r="P93" s="1"/>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row>
    <row r="94" spans="1:96" x14ac:dyDescent="0.2">
      <c r="A94" s="57"/>
      <c r="B94" s="160" t="s">
        <v>65</v>
      </c>
      <c r="C94" s="156"/>
      <c r="D94" s="156"/>
      <c r="E94" s="156"/>
      <c r="F94" s="156"/>
      <c r="G94" s="156"/>
      <c r="H94" s="162">
        <f ca="1">calc_open_cash_m7</f>
        <v>0</v>
      </c>
      <c r="I94" s="156"/>
      <c r="J94" s="162">
        <f ca="1">calc_close_cash_m6</f>
        <v>0</v>
      </c>
      <c r="K94" s="156"/>
      <c r="L94" s="157">
        <f t="shared" ca="1" si="2"/>
        <v>0</v>
      </c>
      <c r="M94" s="156"/>
      <c r="N94" s="161" t="str">
        <f t="shared" ca="1" si="3"/>
        <v>PASS</v>
      </c>
      <c r="O94" s="156"/>
      <c r="P94" s="1"/>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row>
    <row r="95" spans="1:96" x14ac:dyDescent="0.2">
      <c r="A95" s="57"/>
      <c r="B95" s="160" t="s">
        <v>66</v>
      </c>
      <c r="C95" s="156"/>
      <c r="D95" s="156"/>
      <c r="E95" s="156"/>
      <c r="F95" s="156"/>
      <c r="G95" s="156"/>
      <c r="H95" s="162">
        <f ca="1">calc_open_cash_m8</f>
        <v>0</v>
      </c>
      <c r="I95" s="156"/>
      <c r="J95" s="162">
        <f ca="1">calc_close_cash_m7</f>
        <v>0</v>
      </c>
      <c r="K95" s="156"/>
      <c r="L95" s="157">
        <f t="shared" ca="1" si="2"/>
        <v>0</v>
      </c>
      <c r="M95" s="156"/>
      <c r="N95" s="161" t="str">
        <f t="shared" ca="1" si="3"/>
        <v>PASS</v>
      </c>
      <c r="O95" s="156"/>
      <c r="P95" s="1"/>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row>
    <row r="96" spans="1:96" x14ac:dyDescent="0.2">
      <c r="A96" s="57"/>
      <c r="B96" s="160" t="s">
        <v>67</v>
      </c>
      <c r="C96" s="156"/>
      <c r="D96" s="156"/>
      <c r="E96" s="156"/>
      <c r="F96" s="156"/>
      <c r="G96" s="156"/>
      <c r="H96" s="162">
        <f ca="1">calc_open_cash_m9</f>
        <v>0</v>
      </c>
      <c r="I96" s="156"/>
      <c r="J96" s="162">
        <f ca="1">calc_close_cash_m8</f>
        <v>0</v>
      </c>
      <c r="K96" s="156"/>
      <c r="L96" s="157">
        <f t="shared" ca="1" si="2"/>
        <v>0</v>
      </c>
      <c r="M96" s="156"/>
      <c r="N96" s="161" t="str">
        <f t="shared" ca="1" si="3"/>
        <v>PASS</v>
      </c>
      <c r="O96" s="156"/>
      <c r="P96" s="1"/>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row>
    <row r="97" spans="1:96" x14ac:dyDescent="0.2">
      <c r="A97" s="57"/>
      <c r="B97" s="160" t="s">
        <v>68</v>
      </c>
      <c r="C97" s="156"/>
      <c r="D97" s="156"/>
      <c r="E97" s="156"/>
      <c r="F97" s="156"/>
      <c r="G97" s="156"/>
      <c r="H97" s="162">
        <f ca="1">calc_open_cash_m10</f>
        <v>0</v>
      </c>
      <c r="I97" s="156"/>
      <c r="J97" s="162">
        <f ca="1">calc_close_cash_m9</f>
        <v>0</v>
      </c>
      <c r="K97" s="156"/>
      <c r="L97" s="157">
        <f t="shared" ca="1" si="2"/>
        <v>0</v>
      </c>
      <c r="M97" s="156"/>
      <c r="N97" s="161" t="str">
        <f t="shared" ca="1" si="3"/>
        <v>PASS</v>
      </c>
      <c r="O97" s="156"/>
      <c r="P97" s="1"/>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row>
    <row r="98" spans="1:96" x14ac:dyDescent="0.2">
      <c r="A98" s="57"/>
      <c r="B98" s="160" t="s">
        <v>69</v>
      </c>
      <c r="C98" s="156"/>
      <c r="D98" s="156"/>
      <c r="E98" s="156"/>
      <c r="F98" s="156"/>
      <c r="G98" s="156"/>
      <c r="H98" s="162">
        <f ca="1">calc_open_cash_m11</f>
        <v>0</v>
      </c>
      <c r="I98" s="156"/>
      <c r="J98" s="162">
        <f ca="1">calc_close_cash_m10</f>
        <v>0</v>
      </c>
      <c r="K98" s="156"/>
      <c r="L98" s="157">
        <f t="shared" ca="1" si="2"/>
        <v>0</v>
      </c>
      <c r="M98" s="156"/>
      <c r="N98" s="161" t="str">
        <f t="shared" ca="1" si="3"/>
        <v>PASS</v>
      </c>
      <c r="O98" s="156"/>
      <c r="P98" s="1"/>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row>
    <row r="99" spans="1:96" x14ac:dyDescent="0.2">
      <c r="A99" s="57"/>
      <c r="B99" s="160" t="s">
        <v>70</v>
      </c>
      <c r="C99" s="156"/>
      <c r="D99" s="156"/>
      <c r="E99" s="156"/>
      <c r="F99" s="156"/>
      <c r="G99" s="156"/>
      <c r="H99" s="162">
        <f ca="1">calc_open_cash_m12</f>
        <v>0</v>
      </c>
      <c r="I99" s="156"/>
      <c r="J99" s="162">
        <f ca="1">calc_close_cash_m11</f>
        <v>0</v>
      </c>
      <c r="K99" s="156"/>
      <c r="L99" s="157">
        <f t="shared" ca="1" si="2"/>
        <v>0</v>
      </c>
      <c r="M99" s="156"/>
      <c r="N99" s="161" t="str">
        <f t="shared" ca="1" si="3"/>
        <v>PASS</v>
      </c>
      <c r="O99" s="156"/>
      <c r="P99" s="1"/>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row>
    <row r="100" spans="1:96" x14ac:dyDescent="0.2">
      <c r="A100" s="57"/>
      <c r="B100" s="160" t="s">
        <v>71</v>
      </c>
      <c r="C100" s="156"/>
      <c r="D100" s="156"/>
      <c r="E100" s="156"/>
      <c r="F100" s="156"/>
      <c r="G100" s="156"/>
      <c r="H100" s="162">
        <f ca="1">calc_net_change_ann</f>
        <v>0</v>
      </c>
      <c r="I100" s="156"/>
      <c r="J100" s="162">
        <f ca="1">calc_op_cf_ann+calc_inv_cf_ann+calc_fin_cf_ann</f>
        <v>0</v>
      </c>
      <c r="K100" s="156"/>
      <c r="L100" s="157">
        <f t="shared" ca="1" si="2"/>
        <v>0</v>
      </c>
      <c r="M100" s="156"/>
      <c r="N100" s="161" t="str">
        <f t="shared" ca="1" si="3"/>
        <v>PASS</v>
      </c>
      <c r="O100" s="156"/>
      <c r="P100" s="1"/>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row>
    <row r="101" spans="1:96" x14ac:dyDescent="0.2">
      <c r="A101" s="57"/>
      <c r="B101" s="160" t="s">
        <v>72</v>
      </c>
      <c r="C101" s="156"/>
      <c r="D101" s="156"/>
      <c r="E101" s="156"/>
      <c r="F101" s="156"/>
      <c r="G101" s="156"/>
      <c r="H101" s="162">
        <f>SUM(calc_dc_payroll_m1,calc_dc_payroll_m2,calc_dc_payroll_m3,calc_dc_payroll_m4,calc_dc_payroll_m5,calc_dc_payroll_m6,calc_dc_payroll_m7,calc_dc_payroll_m8,calc_dc_payroll_m9,calc_dc_payroll_m10,calc_dc_payroll_m11,calc_dc_payroll_m12)</f>
        <v>0</v>
      </c>
      <c r="I101" s="156"/>
      <c r="J101" s="162">
        <f>calc_dc_payroll_ann</f>
        <v>0</v>
      </c>
      <c r="K101" s="156"/>
      <c r="L101" s="157">
        <f t="shared" si="2"/>
        <v>0</v>
      </c>
      <c r="M101" s="156"/>
      <c r="N101" s="161" t="str">
        <f t="shared" si="3"/>
        <v>PASS</v>
      </c>
      <c r="O101" s="156"/>
      <c r="P101" s="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row>
    <row r="102" spans="1:96" x14ac:dyDescent="0.2">
      <c r="A102" s="57"/>
      <c r="B102" s="160" t="s">
        <v>73</v>
      </c>
      <c r="C102" s="156"/>
      <c r="D102" s="156"/>
      <c r="E102" s="156"/>
      <c r="F102" s="156"/>
      <c r="G102" s="156"/>
      <c r="H102" s="162">
        <f ca="1">calc_bs_ret_earn_m12</f>
        <v>0</v>
      </c>
      <c r="I102" s="156"/>
      <c r="J102" s="162">
        <f ca="1">calc_net_profit_ann-SUM((inp_dist_m1m12))</f>
        <v>0</v>
      </c>
      <c r="K102" s="156"/>
      <c r="L102" s="157">
        <f t="shared" ca="1" si="2"/>
        <v>0</v>
      </c>
      <c r="M102" s="156"/>
      <c r="N102" s="161" t="str">
        <f t="shared" ca="1" si="3"/>
        <v>PASS</v>
      </c>
      <c r="O102" s="156"/>
      <c r="P102" s="1"/>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row>
    <row r="103" spans="1:96" x14ac:dyDescent="0.2">
      <c r="A103" s="57"/>
      <c r="B103" s="160" t="s">
        <v>74</v>
      </c>
      <c r="C103" s="156"/>
      <c r="D103" s="156"/>
      <c r="E103" s="156"/>
      <c r="F103" s="156"/>
      <c r="G103" s="156"/>
      <c r="H103" s="162">
        <f>--(OR(inp_region="AU",inp_region="NZ",inp_region="US"))</f>
        <v>1</v>
      </c>
      <c r="I103" s="156"/>
      <c r="J103" s="162">
        <f>1</f>
        <v>1</v>
      </c>
      <c r="K103" s="156"/>
      <c r="L103" s="157">
        <f t="shared" si="2"/>
        <v>0</v>
      </c>
      <c r="M103" s="156"/>
      <c r="N103" s="161" t="str">
        <f t="shared" ref="N103:N110" si="4">IF(H103&gt;=1,"PASS","FAIL")</f>
        <v>PASS</v>
      </c>
      <c r="O103" s="156"/>
      <c r="P103" s="1"/>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row>
    <row r="104" spans="1:96" x14ac:dyDescent="0.2">
      <c r="A104" s="57"/>
      <c r="B104" s="160" t="s">
        <v>75</v>
      </c>
      <c r="C104" s="156"/>
      <c r="D104" s="156"/>
      <c r="E104" s="156"/>
      <c r="F104" s="156"/>
      <c r="G104" s="156"/>
      <c r="H104" s="162">
        <f>--(OR(inp_scenario="Base",inp_scenario="Downside",inp_scenario="Upside"))</f>
        <v>1</v>
      </c>
      <c r="I104" s="156"/>
      <c r="J104" s="162">
        <f>1</f>
        <v>1</v>
      </c>
      <c r="K104" s="156"/>
      <c r="L104" s="157">
        <f t="shared" si="2"/>
        <v>0</v>
      </c>
      <c r="M104" s="156"/>
      <c r="N104" s="161" t="str">
        <f t="shared" si="4"/>
        <v>PASS</v>
      </c>
      <c r="O104" s="156"/>
      <c r="P104" s="1"/>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row>
    <row r="105" spans="1:96" x14ac:dyDescent="0.2">
      <c r="A105" s="57"/>
      <c r="B105" s="160" t="s">
        <v>76</v>
      </c>
      <c r="C105" s="156"/>
      <c r="D105" s="156"/>
      <c r="E105" s="156"/>
      <c r="F105" s="156"/>
      <c r="G105" s="156"/>
      <c r="H105" s="162">
        <f>--(OR(inp_view="P&amp;L",inp_view="Cash Flow",inp_view="Balance Sheet"))</f>
        <v>1</v>
      </c>
      <c r="I105" s="156"/>
      <c r="J105" s="162">
        <f>1</f>
        <v>1</v>
      </c>
      <c r="K105" s="156"/>
      <c r="L105" s="157">
        <f t="shared" si="2"/>
        <v>0</v>
      </c>
      <c r="M105" s="156"/>
      <c r="N105" s="161" t="str">
        <f t="shared" si="4"/>
        <v>PASS</v>
      </c>
      <c r="O105" s="156"/>
      <c r="P105" s="1"/>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row>
    <row r="106" spans="1:96" x14ac:dyDescent="0.2">
      <c r="A106" s="57"/>
      <c r="B106" s="160" t="s">
        <v>77</v>
      </c>
      <c r="C106" s="156"/>
      <c r="D106" s="156"/>
      <c r="E106" s="156"/>
      <c r="F106" s="156"/>
      <c r="G106" s="156"/>
      <c r="H106" s="162">
        <f>--(calc_bs_ar_m12&gt;=0)</f>
        <v>1</v>
      </c>
      <c r="I106" s="156"/>
      <c r="J106" s="162">
        <f>1</f>
        <v>1</v>
      </c>
      <c r="K106" s="156"/>
      <c r="L106" s="157">
        <f t="shared" si="2"/>
        <v>0</v>
      </c>
      <c r="M106" s="156"/>
      <c r="N106" s="161" t="str">
        <f t="shared" si="4"/>
        <v>PASS</v>
      </c>
      <c r="O106" s="156"/>
      <c r="P106" s="1"/>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row>
    <row r="107" spans="1:96" x14ac:dyDescent="0.2">
      <c r="A107" s="57"/>
      <c r="B107" s="160" t="s">
        <v>78</v>
      </c>
      <c r="C107" s="156"/>
      <c r="D107" s="156"/>
      <c r="E107" s="156"/>
      <c r="F107" s="156"/>
      <c r="G107" s="156"/>
      <c r="H107" s="162">
        <f>--(calc_bs_ap_m12&gt;=0)</f>
        <v>1</v>
      </c>
      <c r="I107" s="156"/>
      <c r="J107" s="162">
        <f>1</f>
        <v>1</v>
      </c>
      <c r="K107" s="156"/>
      <c r="L107" s="157">
        <f t="shared" si="2"/>
        <v>0</v>
      </c>
      <c r="M107" s="156"/>
      <c r="N107" s="161" t="str">
        <f t="shared" si="4"/>
        <v>PASS</v>
      </c>
      <c r="O107" s="156"/>
      <c r="P107" s="1"/>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row>
    <row r="108" spans="1:96" x14ac:dyDescent="0.2">
      <c r="A108" s="57"/>
      <c r="B108" s="160" t="s">
        <v>79</v>
      </c>
      <c r="C108" s="156"/>
      <c r="D108" s="156"/>
      <c r="E108" s="156"/>
      <c r="F108" s="156"/>
      <c r="G108" s="156"/>
      <c r="H108" s="162">
        <f ca="1">--(calc_bs_debt_m1&gt;=0)</f>
        <v>1</v>
      </c>
      <c r="I108" s="156"/>
      <c r="J108" s="162">
        <f>1</f>
        <v>1</v>
      </c>
      <c r="K108" s="156"/>
      <c r="L108" s="157">
        <f t="shared" ca="1" si="2"/>
        <v>0</v>
      </c>
      <c r="M108" s="156"/>
      <c r="N108" s="161" t="str">
        <f t="shared" ca="1" si="4"/>
        <v>PASS</v>
      </c>
      <c r="O108" s="156"/>
      <c r="P108" s="1"/>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row>
    <row r="109" spans="1:96" x14ac:dyDescent="0.2">
      <c r="A109" s="57"/>
      <c r="B109" s="160" t="s">
        <v>80</v>
      </c>
      <c r="C109" s="156"/>
      <c r="D109" s="156"/>
      <c r="E109" s="156"/>
      <c r="F109" s="156"/>
      <c r="G109" s="156"/>
      <c r="H109" s="162">
        <f ca="1">--(calc_bs_debt_m6&gt;=0)</f>
        <v>1</v>
      </c>
      <c r="I109" s="156"/>
      <c r="J109" s="162">
        <f>1</f>
        <v>1</v>
      </c>
      <c r="K109" s="156"/>
      <c r="L109" s="157">
        <f t="shared" ca="1" si="2"/>
        <v>0</v>
      </c>
      <c r="M109" s="156"/>
      <c r="N109" s="161" t="str">
        <f t="shared" ca="1" si="4"/>
        <v>PASS</v>
      </c>
      <c r="O109" s="156"/>
      <c r="P109" s="1"/>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row>
    <row r="110" spans="1:96" x14ac:dyDescent="0.2">
      <c r="A110" s="57"/>
      <c r="B110" s="160" t="s">
        <v>81</v>
      </c>
      <c r="C110" s="156"/>
      <c r="D110" s="156"/>
      <c r="E110" s="156"/>
      <c r="F110" s="156"/>
      <c r="G110" s="156"/>
      <c r="H110" s="162">
        <f ca="1">--(calc_bs_debt_m12&gt;=0)</f>
        <v>1</v>
      </c>
      <c r="I110" s="156"/>
      <c r="J110" s="162">
        <f>1</f>
        <v>1</v>
      </c>
      <c r="K110" s="156"/>
      <c r="L110" s="157">
        <f t="shared" ca="1" si="2"/>
        <v>0</v>
      </c>
      <c r="M110" s="156"/>
      <c r="N110" s="161" t="str">
        <f t="shared" ca="1" si="4"/>
        <v>PASS</v>
      </c>
      <c r="O110" s="156"/>
      <c r="P110" s="1"/>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row>
    <row r="111" spans="1:96" x14ac:dyDescent="0.2">
      <c r="A111" s="57"/>
      <c r="B111" s="1"/>
      <c r="C111" s="1"/>
      <c r="D111" s="1"/>
      <c r="E111" s="1"/>
      <c r="F111" s="1"/>
      <c r="G111" s="1"/>
      <c r="H111" s="1"/>
      <c r="I111" s="1"/>
      <c r="J111" s="1"/>
      <c r="K111" s="1"/>
      <c r="L111" s="1"/>
      <c r="M111" s="1"/>
      <c r="N111" s="1"/>
      <c r="O111" s="1"/>
      <c r="P111" s="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row>
    <row r="112" spans="1:96" ht="22" customHeight="1" x14ac:dyDescent="0.2">
      <c r="A112" s="57"/>
      <c r="B112" s="3" t="s">
        <v>82</v>
      </c>
      <c r="C112" s="57"/>
      <c r="D112" s="57"/>
      <c r="E112" s="57"/>
      <c r="F112" s="57"/>
      <c r="G112" s="57"/>
      <c r="H112" s="57"/>
      <c r="I112" s="57"/>
      <c r="J112" s="57"/>
      <c r="K112" s="57"/>
      <c r="L112" s="57"/>
      <c r="M112" s="57"/>
      <c r="N112" s="57"/>
      <c r="O112" s="2" t="s">
        <v>83</v>
      </c>
      <c r="P112" s="57"/>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row>
    <row r="113" spans="1:96" x14ac:dyDescent="0.2">
      <c r="A113" s="1"/>
      <c r="B113" s="1"/>
      <c r="C113" s="1"/>
      <c r="D113" s="1"/>
      <c r="E113" s="1"/>
      <c r="F113" s="1"/>
      <c r="G113" s="1"/>
      <c r="H113" s="1"/>
      <c r="I113" s="1"/>
      <c r="J113" s="1"/>
      <c r="K113" s="1"/>
      <c r="L113" s="1"/>
      <c r="M113" s="1"/>
      <c r="N113" s="1"/>
      <c r="O113" s="1"/>
      <c r="P113" s="1"/>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row>
    <row r="114" spans="1:96" x14ac:dyDescent="0.2">
      <c r="A114" s="1"/>
      <c r="B114" s="1"/>
      <c r="C114" s="1"/>
      <c r="D114" s="1"/>
      <c r="E114" s="1"/>
      <c r="F114" s="1"/>
      <c r="G114" s="1"/>
      <c r="H114" s="1"/>
      <c r="I114" s="1"/>
      <c r="J114" s="1"/>
      <c r="K114" s="1"/>
      <c r="L114" s="1"/>
      <c r="M114" s="1"/>
      <c r="N114" s="1"/>
      <c r="O114" s="1"/>
      <c r="P114" s="1"/>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row>
    <row r="115" spans="1:96" x14ac:dyDescent="0.2">
      <c r="A115" s="1"/>
      <c r="B115" s="1"/>
      <c r="C115" s="1"/>
      <c r="D115" s="1"/>
      <c r="E115" s="1"/>
      <c r="F115" s="1"/>
      <c r="G115" s="1"/>
      <c r="H115" s="1"/>
      <c r="I115" s="1"/>
      <c r="J115" s="1"/>
      <c r="K115" s="1"/>
      <c r="L115" s="1"/>
      <c r="M115" s="1"/>
      <c r="N115" s="1"/>
      <c r="O115" s="1"/>
      <c r="P115" s="1"/>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row>
    <row r="116" spans="1:96" x14ac:dyDescent="0.2">
      <c r="A116" s="1"/>
      <c r="B116" s="1"/>
      <c r="C116" s="1"/>
      <c r="D116" s="1"/>
      <c r="E116" s="1"/>
      <c r="F116" s="1"/>
      <c r="G116" s="1"/>
      <c r="H116" s="1"/>
      <c r="I116" s="1"/>
      <c r="J116" s="1"/>
      <c r="K116" s="1"/>
      <c r="L116" s="1"/>
      <c r="M116" s="1"/>
      <c r="N116" s="1"/>
      <c r="O116" s="1"/>
      <c r="P116" s="1"/>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row>
    <row r="117" spans="1:96" x14ac:dyDescent="0.2">
      <c r="A117" s="1"/>
      <c r="B117" s="1"/>
      <c r="C117" s="1"/>
      <c r="D117" s="1"/>
      <c r="E117" s="1"/>
      <c r="F117" s="1"/>
      <c r="G117" s="1"/>
      <c r="H117" s="1"/>
      <c r="I117" s="1"/>
      <c r="J117" s="1"/>
      <c r="K117" s="1"/>
      <c r="L117" s="1"/>
      <c r="M117" s="1"/>
      <c r="N117" s="1"/>
      <c r="O117" s="1"/>
      <c r="P117" s="1"/>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row>
    <row r="118" spans="1:96" x14ac:dyDescent="0.2">
      <c r="A118" s="1"/>
      <c r="B118" s="1"/>
      <c r="C118" s="1"/>
      <c r="D118" s="1"/>
      <c r="E118" s="1"/>
      <c r="F118" s="1"/>
      <c r="G118" s="1"/>
      <c r="H118" s="1"/>
      <c r="I118" s="1"/>
      <c r="J118" s="1"/>
      <c r="K118" s="1"/>
      <c r="L118" s="1"/>
      <c r="M118" s="1"/>
      <c r="N118" s="1"/>
      <c r="O118" s="1"/>
      <c r="P118" s="1"/>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row>
    <row r="119" spans="1:96" x14ac:dyDescent="0.2">
      <c r="A119" s="1"/>
      <c r="B119" s="1"/>
      <c r="C119" s="1"/>
      <c r="D119" s="1"/>
      <c r="E119" s="1"/>
      <c r="F119" s="1"/>
      <c r="G119" s="1"/>
      <c r="H119" s="1"/>
      <c r="I119" s="1"/>
      <c r="J119" s="1"/>
      <c r="K119" s="1"/>
      <c r="L119" s="1"/>
      <c r="M119" s="1"/>
      <c r="N119" s="1"/>
      <c r="O119" s="1"/>
      <c r="P119" s="1"/>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row>
    <row r="120" spans="1:96" x14ac:dyDescent="0.2">
      <c r="A120" s="1"/>
      <c r="B120" s="1"/>
      <c r="C120" s="1"/>
      <c r="D120" s="1"/>
      <c r="E120" s="1"/>
      <c r="F120" s="1"/>
      <c r="G120" s="1"/>
      <c r="H120" s="1"/>
      <c r="I120" s="1"/>
      <c r="J120" s="1"/>
      <c r="K120" s="1"/>
      <c r="L120" s="1"/>
      <c r="M120" s="1"/>
      <c r="N120" s="1"/>
      <c r="O120" s="1"/>
      <c r="P120" s="1"/>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row>
    <row r="121" spans="1:96" x14ac:dyDescent="0.2">
      <c r="A121" s="1"/>
      <c r="B121" s="1"/>
      <c r="C121" s="1"/>
      <c r="D121" s="1"/>
      <c r="E121" s="1"/>
      <c r="F121" s="1"/>
      <c r="G121" s="1"/>
      <c r="H121" s="1"/>
      <c r="I121" s="1"/>
      <c r="J121" s="1"/>
      <c r="K121" s="1"/>
      <c r="L121" s="1"/>
      <c r="M121" s="1"/>
      <c r="N121" s="1"/>
      <c r="O121" s="1"/>
      <c r="P121" s="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row>
    <row r="122" spans="1:96" x14ac:dyDescent="0.2">
      <c r="A122" s="1"/>
      <c r="B122" s="1"/>
      <c r="C122" s="1"/>
      <c r="D122" s="1"/>
      <c r="E122" s="1"/>
      <c r="F122" s="1"/>
      <c r="G122" s="1"/>
      <c r="H122" s="1"/>
      <c r="I122" s="1"/>
      <c r="J122" s="1"/>
      <c r="K122" s="1"/>
      <c r="L122" s="1"/>
      <c r="M122" s="1"/>
      <c r="N122" s="1"/>
      <c r="O122" s="1"/>
      <c r="P122" s="1"/>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row>
    <row r="123" spans="1:96" x14ac:dyDescent="0.2">
      <c r="A123" s="1"/>
      <c r="B123" s="1"/>
      <c r="C123" s="1"/>
      <c r="D123" s="1"/>
      <c r="E123" s="1"/>
      <c r="F123" s="1"/>
      <c r="G123" s="1"/>
      <c r="H123" s="1"/>
      <c r="I123" s="1"/>
      <c r="J123" s="1"/>
      <c r="K123" s="1"/>
      <c r="L123" s="1"/>
      <c r="M123" s="1"/>
      <c r="N123" s="1"/>
      <c r="O123" s="1"/>
      <c r="P123" s="1"/>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row>
    <row r="124" spans="1:96" x14ac:dyDescent="0.2">
      <c r="A124" s="1"/>
      <c r="B124" s="1"/>
      <c r="C124" s="1"/>
      <c r="D124" s="1"/>
      <c r="E124" s="1"/>
      <c r="F124" s="1"/>
      <c r="G124" s="1"/>
      <c r="H124" s="1"/>
      <c r="I124" s="1"/>
      <c r="J124" s="1"/>
      <c r="K124" s="1"/>
      <c r="L124" s="1"/>
      <c r="M124" s="1"/>
      <c r="N124" s="1"/>
      <c r="O124" s="1"/>
      <c r="P124" s="1"/>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row>
    <row r="125" spans="1:96" x14ac:dyDescent="0.2">
      <c r="A125" s="1"/>
      <c r="B125" s="1"/>
      <c r="C125" s="1"/>
      <c r="D125" s="1"/>
      <c r="E125" s="1"/>
      <c r="F125" s="1"/>
      <c r="G125" s="1"/>
      <c r="H125" s="1"/>
      <c r="I125" s="1"/>
      <c r="J125" s="1"/>
      <c r="K125" s="1"/>
      <c r="L125" s="1"/>
      <c r="M125" s="1"/>
      <c r="N125" s="1"/>
      <c r="O125" s="1"/>
      <c r="P125" s="1"/>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row>
    <row r="126" spans="1:96" x14ac:dyDescent="0.2">
      <c r="A126" s="1"/>
      <c r="B126" s="1"/>
      <c r="C126" s="1"/>
      <c r="D126" s="1"/>
      <c r="E126" s="1"/>
      <c r="F126" s="1"/>
      <c r="G126" s="1"/>
      <c r="H126" s="1"/>
      <c r="I126" s="1"/>
      <c r="J126" s="1"/>
      <c r="K126" s="1"/>
      <c r="L126" s="1"/>
      <c r="M126" s="1"/>
      <c r="N126" s="1"/>
      <c r="O126" s="1"/>
      <c r="P126" s="1"/>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row>
    <row r="127" spans="1:96" x14ac:dyDescent="0.2">
      <c r="A127" s="1"/>
      <c r="B127" s="1"/>
      <c r="C127" s="1"/>
      <c r="D127" s="1"/>
      <c r="E127" s="1"/>
      <c r="F127" s="1"/>
      <c r="G127" s="1"/>
      <c r="H127" s="1"/>
      <c r="I127" s="1"/>
      <c r="J127" s="1"/>
      <c r="K127" s="1"/>
      <c r="L127" s="1"/>
      <c r="M127" s="1"/>
      <c r="N127" s="1"/>
      <c r="O127" s="1"/>
      <c r="P127" s="1"/>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row>
    <row r="128" spans="1:96" x14ac:dyDescent="0.2">
      <c r="A128" s="1"/>
      <c r="B128" s="1"/>
      <c r="C128" s="1"/>
      <c r="D128" s="1"/>
      <c r="E128" s="1"/>
      <c r="F128" s="1"/>
      <c r="G128" s="1"/>
      <c r="H128" s="1"/>
      <c r="I128" s="1"/>
      <c r="J128" s="1"/>
      <c r="K128" s="1"/>
      <c r="L128" s="1"/>
      <c r="M128" s="1"/>
      <c r="N128" s="1"/>
      <c r="O128" s="1"/>
      <c r="P128" s="1"/>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row>
    <row r="129" spans="1:96" x14ac:dyDescent="0.2">
      <c r="A129" s="1"/>
      <c r="B129" s="1"/>
      <c r="C129" s="1"/>
      <c r="D129" s="1"/>
      <c r="E129" s="1"/>
      <c r="F129" s="1"/>
      <c r="G129" s="1"/>
      <c r="H129" s="1"/>
      <c r="I129" s="1"/>
      <c r="J129" s="1"/>
      <c r="K129" s="1"/>
      <c r="L129" s="1"/>
      <c r="M129" s="1"/>
      <c r="N129" s="1"/>
      <c r="O129" s="1"/>
      <c r="P129" s="1"/>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row>
    <row r="130" spans="1:96" x14ac:dyDescent="0.2">
      <c r="A130" s="1"/>
      <c r="B130" s="1"/>
      <c r="C130" s="1"/>
      <c r="D130" s="1"/>
      <c r="E130" s="1"/>
      <c r="F130" s="1"/>
      <c r="G130" s="1"/>
      <c r="H130" s="1"/>
      <c r="I130" s="1"/>
      <c r="J130" s="1"/>
      <c r="K130" s="1"/>
      <c r="L130" s="1"/>
      <c r="M130" s="1"/>
      <c r="N130" s="1"/>
      <c r="O130" s="1"/>
      <c r="P130" s="1"/>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row>
    <row r="131" spans="1:96" x14ac:dyDescent="0.2">
      <c r="A131" s="1"/>
      <c r="B131" s="1"/>
      <c r="C131" s="1"/>
      <c r="D131" s="1"/>
      <c r="E131" s="1"/>
      <c r="F131" s="1"/>
      <c r="G131" s="1"/>
      <c r="H131" s="1"/>
      <c r="I131" s="1"/>
      <c r="J131" s="1"/>
      <c r="K131" s="1"/>
      <c r="L131" s="1"/>
      <c r="M131" s="1"/>
      <c r="N131" s="1"/>
      <c r="O131" s="1"/>
      <c r="P131" s="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row>
    <row r="132" spans="1:96" x14ac:dyDescent="0.2">
      <c r="A132" s="1"/>
      <c r="B132" s="1"/>
      <c r="C132" s="1"/>
      <c r="D132" s="1"/>
      <c r="E132" s="1"/>
      <c r="F132" s="1"/>
      <c r="G132" s="1"/>
      <c r="H132" s="1"/>
      <c r="I132" s="1"/>
      <c r="J132" s="1"/>
      <c r="K132" s="1"/>
      <c r="L132" s="1"/>
      <c r="M132" s="1"/>
      <c r="N132" s="1"/>
      <c r="O132" s="1"/>
      <c r="P132" s="1"/>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row>
    <row r="133" spans="1:96" x14ac:dyDescent="0.2">
      <c r="A133" s="1"/>
      <c r="B133" s="1"/>
      <c r="C133" s="1"/>
      <c r="D133" s="1"/>
      <c r="E133" s="1"/>
      <c r="F133" s="1"/>
      <c r="G133" s="1"/>
      <c r="H133" s="1"/>
      <c r="I133" s="1"/>
      <c r="J133" s="1"/>
      <c r="K133" s="1"/>
      <c r="L133" s="1"/>
      <c r="M133" s="1"/>
      <c r="N133" s="1"/>
      <c r="O133" s="1"/>
      <c r="P133" s="1"/>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row>
    <row r="134" spans="1:96" x14ac:dyDescent="0.2">
      <c r="A134" s="1"/>
      <c r="B134" s="1"/>
      <c r="C134" s="1"/>
      <c r="D134" s="1"/>
      <c r="E134" s="1"/>
      <c r="F134" s="1"/>
      <c r="G134" s="1"/>
      <c r="H134" s="1"/>
      <c r="I134" s="1"/>
      <c r="J134" s="1"/>
      <c r="K134" s="1"/>
      <c r="L134" s="1"/>
      <c r="M134" s="1"/>
      <c r="N134" s="1"/>
      <c r="O134" s="1"/>
      <c r="P134" s="1"/>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row>
    <row r="135" spans="1:96" x14ac:dyDescent="0.2">
      <c r="A135" s="1"/>
      <c r="B135" s="1"/>
      <c r="C135" s="1"/>
      <c r="D135" s="1"/>
      <c r="E135" s="1"/>
      <c r="F135" s="1"/>
      <c r="G135" s="1"/>
      <c r="H135" s="1"/>
      <c r="I135" s="1"/>
      <c r="J135" s="1"/>
      <c r="K135" s="1"/>
      <c r="L135" s="1"/>
      <c r="M135" s="1"/>
      <c r="N135" s="1"/>
      <c r="O135" s="1"/>
      <c r="P135" s="1"/>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row>
    <row r="136" spans="1:96" x14ac:dyDescent="0.2">
      <c r="A136" s="1"/>
      <c r="B136" s="1"/>
      <c r="C136" s="1"/>
      <c r="D136" s="1"/>
      <c r="E136" s="1"/>
      <c r="F136" s="1"/>
      <c r="G136" s="1"/>
      <c r="H136" s="1"/>
      <c r="I136" s="1"/>
      <c r="J136" s="1"/>
      <c r="K136" s="1"/>
      <c r="L136" s="1"/>
      <c r="M136" s="1"/>
      <c r="N136" s="1"/>
      <c r="O136" s="1"/>
      <c r="P136" s="1"/>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row>
    <row r="137" spans="1:96" x14ac:dyDescent="0.2">
      <c r="A137" s="1"/>
      <c r="B137" s="1"/>
      <c r="C137" s="1"/>
      <c r="D137" s="1"/>
      <c r="E137" s="1"/>
      <c r="F137" s="1"/>
      <c r="G137" s="1"/>
      <c r="H137" s="1"/>
      <c r="I137" s="1"/>
      <c r="J137" s="1"/>
      <c r="K137" s="1"/>
      <c r="L137" s="1"/>
      <c r="M137" s="1"/>
      <c r="N137" s="1"/>
      <c r="O137" s="1"/>
      <c r="P137" s="1"/>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row>
    <row r="138" spans="1:96" x14ac:dyDescent="0.2">
      <c r="A138" s="1"/>
      <c r="B138" s="1"/>
      <c r="C138" s="1"/>
      <c r="D138" s="1"/>
      <c r="E138" s="1"/>
      <c r="F138" s="1"/>
      <c r="G138" s="1"/>
      <c r="H138" s="1"/>
      <c r="I138" s="1"/>
      <c r="J138" s="1"/>
      <c r="K138" s="1"/>
      <c r="L138" s="1"/>
      <c r="M138" s="1"/>
      <c r="N138" s="1"/>
      <c r="O138" s="1"/>
      <c r="P138" s="1"/>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row>
    <row r="139" spans="1:96" x14ac:dyDescent="0.2">
      <c r="A139" s="1"/>
      <c r="B139" s="1"/>
      <c r="C139" s="1"/>
      <c r="D139" s="1"/>
      <c r="E139" s="1"/>
      <c r="F139" s="1"/>
      <c r="G139" s="1"/>
      <c r="H139" s="1"/>
      <c r="I139" s="1"/>
      <c r="J139" s="1"/>
      <c r="K139" s="1"/>
      <c r="L139" s="1"/>
      <c r="M139" s="1"/>
      <c r="N139" s="1"/>
      <c r="O139" s="1"/>
      <c r="P139" s="1"/>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row>
    <row r="140" spans="1:96" x14ac:dyDescent="0.2">
      <c r="A140" s="1"/>
      <c r="B140" s="1"/>
      <c r="C140" s="1"/>
      <c r="D140" s="1"/>
      <c r="E140" s="1"/>
      <c r="F140" s="1"/>
      <c r="G140" s="1"/>
      <c r="H140" s="1"/>
      <c r="I140" s="1"/>
      <c r="J140" s="1"/>
      <c r="K140" s="1"/>
      <c r="L140" s="1"/>
      <c r="M140" s="1"/>
      <c r="N140" s="1"/>
      <c r="O140" s="1"/>
      <c r="P140" s="1"/>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row>
    <row r="141" spans="1:96" x14ac:dyDescent="0.2">
      <c r="A141" s="1"/>
      <c r="B141" s="1"/>
      <c r="C141" s="1"/>
      <c r="D141" s="1"/>
      <c r="E141" s="1"/>
      <c r="F141" s="1"/>
      <c r="G141" s="1"/>
      <c r="H141" s="1"/>
      <c r="I141" s="1"/>
      <c r="J141" s="1"/>
      <c r="K141" s="1"/>
      <c r="L141" s="1"/>
      <c r="M141" s="1"/>
      <c r="N141" s="1"/>
      <c r="O141" s="1"/>
      <c r="P141" s="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row>
    <row r="142" spans="1:96" x14ac:dyDescent="0.2">
      <c r="A142" s="1"/>
      <c r="B142" s="1"/>
      <c r="C142" s="1"/>
      <c r="D142" s="1"/>
      <c r="E142" s="1"/>
      <c r="F142" s="1"/>
      <c r="G142" s="1"/>
      <c r="H142" s="1"/>
      <c r="I142" s="1"/>
      <c r="J142" s="1"/>
      <c r="K142" s="1"/>
      <c r="L142" s="1"/>
      <c r="M142" s="1"/>
      <c r="N142" s="1"/>
      <c r="O142" s="1"/>
      <c r="P142" s="1"/>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row>
    <row r="143" spans="1:96" x14ac:dyDescent="0.2">
      <c r="A143" s="1"/>
      <c r="B143" s="1"/>
      <c r="C143" s="1"/>
      <c r="D143" s="1"/>
      <c r="E143" s="1"/>
      <c r="F143" s="1"/>
      <c r="G143" s="1"/>
      <c r="H143" s="1"/>
      <c r="I143" s="1"/>
      <c r="J143" s="1"/>
      <c r="K143" s="1"/>
      <c r="L143" s="1"/>
      <c r="M143" s="1"/>
      <c r="N143" s="1"/>
      <c r="O143" s="1"/>
      <c r="P143" s="1"/>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row>
    <row r="144" spans="1:96" x14ac:dyDescent="0.2">
      <c r="A144" s="1"/>
      <c r="B144" s="1"/>
      <c r="C144" s="1"/>
      <c r="D144" s="1"/>
      <c r="E144" s="1"/>
      <c r="F144" s="1"/>
      <c r="G144" s="1"/>
      <c r="H144" s="1"/>
      <c r="I144" s="1"/>
      <c r="J144" s="1"/>
      <c r="K144" s="1"/>
      <c r="L144" s="1"/>
      <c r="M144" s="1"/>
      <c r="N144" s="1"/>
      <c r="O144" s="1"/>
      <c r="P144" s="1"/>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row>
    <row r="145" spans="1:96" x14ac:dyDescent="0.2">
      <c r="A145" s="1"/>
      <c r="B145" s="1"/>
      <c r="C145" s="1"/>
      <c r="D145" s="1"/>
      <c r="E145" s="1"/>
      <c r="F145" s="1"/>
      <c r="G145" s="1"/>
      <c r="H145" s="1"/>
      <c r="I145" s="1"/>
      <c r="J145" s="1"/>
      <c r="K145" s="1"/>
      <c r="L145" s="1"/>
      <c r="M145" s="1"/>
      <c r="N145" s="1"/>
      <c r="O145" s="1"/>
      <c r="P145" s="1"/>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row>
    <row r="146" spans="1:96" x14ac:dyDescent="0.2">
      <c r="A146" s="1"/>
      <c r="B146" s="1"/>
      <c r="C146" s="1"/>
      <c r="D146" s="1"/>
      <c r="E146" s="1"/>
      <c r="F146" s="1"/>
      <c r="G146" s="1"/>
      <c r="H146" s="1"/>
      <c r="I146" s="1"/>
      <c r="J146" s="1"/>
      <c r="K146" s="1"/>
      <c r="L146" s="1"/>
      <c r="M146" s="1"/>
      <c r="N146" s="1"/>
      <c r="O146" s="1"/>
      <c r="P146" s="1"/>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row>
    <row r="147" spans="1:96" x14ac:dyDescent="0.2">
      <c r="A147" s="1"/>
      <c r="B147" s="1"/>
      <c r="C147" s="1"/>
      <c r="D147" s="1"/>
      <c r="E147" s="1"/>
      <c r="F147" s="1"/>
      <c r="G147" s="1"/>
      <c r="H147" s="1"/>
      <c r="I147" s="1"/>
      <c r="J147" s="1"/>
      <c r="K147" s="1"/>
      <c r="L147" s="1"/>
      <c r="M147" s="1"/>
      <c r="N147" s="1"/>
      <c r="O147" s="1"/>
      <c r="P147" s="1"/>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row>
    <row r="148" spans="1:96" x14ac:dyDescent="0.2">
      <c r="A148" s="1"/>
      <c r="B148" s="1"/>
      <c r="C148" s="1"/>
      <c r="D148" s="1"/>
      <c r="E148" s="1"/>
      <c r="F148" s="1"/>
      <c r="G148" s="1"/>
      <c r="H148" s="1"/>
      <c r="I148" s="1"/>
      <c r="J148" s="1"/>
      <c r="K148" s="1"/>
      <c r="L148" s="1"/>
      <c r="M148" s="1"/>
      <c r="N148" s="1"/>
      <c r="O148" s="1"/>
      <c r="P148" s="1"/>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row>
    <row r="149" spans="1:96" x14ac:dyDescent="0.2">
      <c r="A149" s="1"/>
      <c r="B149" s="1"/>
      <c r="C149" s="1"/>
      <c r="D149" s="1"/>
      <c r="E149" s="1"/>
      <c r="F149" s="1"/>
      <c r="G149" s="1"/>
      <c r="H149" s="1"/>
      <c r="I149" s="1"/>
      <c r="J149" s="1"/>
      <c r="K149" s="1"/>
      <c r="L149" s="1"/>
      <c r="M149" s="1"/>
      <c r="N149" s="1"/>
      <c r="O149" s="1"/>
      <c r="P149" s="1"/>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row>
    <row r="150" spans="1:96" x14ac:dyDescent="0.2">
      <c r="A150" s="1"/>
      <c r="B150" s="1"/>
      <c r="C150" s="1"/>
      <c r="D150" s="1"/>
      <c r="E150" s="1"/>
      <c r="F150" s="1"/>
      <c r="G150" s="1"/>
      <c r="H150" s="1"/>
      <c r="I150" s="1"/>
      <c r="J150" s="1"/>
      <c r="K150" s="1"/>
      <c r="L150" s="1"/>
      <c r="M150" s="1"/>
      <c r="N150" s="1"/>
      <c r="O150" s="1"/>
      <c r="P150" s="1"/>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row>
    <row r="151" spans="1:96" x14ac:dyDescent="0.2">
      <c r="A151" s="1"/>
      <c r="B151" s="1"/>
      <c r="C151" s="1"/>
      <c r="D151" s="1"/>
      <c r="E151" s="1"/>
      <c r="F151" s="1"/>
      <c r="G151" s="1"/>
      <c r="H151" s="1"/>
      <c r="I151" s="1"/>
      <c r="J151" s="1"/>
      <c r="K151" s="1"/>
      <c r="L151" s="1"/>
      <c r="M151" s="1"/>
      <c r="N151" s="1"/>
      <c r="O151" s="1"/>
      <c r="P151" s="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row>
    <row r="152" spans="1:96" x14ac:dyDescent="0.2">
      <c r="A152" s="1"/>
      <c r="B152" s="1"/>
      <c r="C152" s="1"/>
      <c r="D152" s="1"/>
      <c r="E152" s="1"/>
      <c r="F152" s="1"/>
      <c r="G152" s="1"/>
      <c r="H152" s="1"/>
      <c r="I152" s="1"/>
      <c r="J152" s="1"/>
      <c r="K152" s="1"/>
      <c r="L152" s="1"/>
      <c r="M152" s="1"/>
      <c r="N152" s="1"/>
      <c r="O152" s="1"/>
      <c r="P152" s="1"/>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row>
    <row r="153" spans="1:96" x14ac:dyDescent="0.2">
      <c r="A153" s="1"/>
      <c r="B153" s="1"/>
      <c r="C153" s="1"/>
      <c r="D153" s="1"/>
      <c r="E153" s="1"/>
      <c r="F153" s="1"/>
      <c r="G153" s="1"/>
      <c r="H153" s="1"/>
      <c r="I153" s="1"/>
      <c r="J153" s="1"/>
      <c r="K153" s="1"/>
      <c r="L153" s="1"/>
      <c r="M153" s="1"/>
      <c r="N153" s="1"/>
      <c r="O153" s="1"/>
      <c r="P153" s="1"/>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row>
    <row r="154" spans="1:96" x14ac:dyDescent="0.2">
      <c r="A154" s="1"/>
      <c r="B154" s="1"/>
      <c r="C154" s="1"/>
      <c r="D154" s="1"/>
      <c r="E154" s="1"/>
      <c r="F154" s="1"/>
      <c r="G154" s="1"/>
      <c r="H154" s="1"/>
      <c r="I154" s="1"/>
      <c r="J154" s="1"/>
      <c r="K154" s="1"/>
      <c r="L154" s="1"/>
      <c r="M154" s="1"/>
      <c r="N154" s="1"/>
      <c r="O154" s="1"/>
      <c r="P154" s="1"/>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row>
    <row r="155" spans="1:96" x14ac:dyDescent="0.2">
      <c r="A155" s="1"/>
      <c r="B155" s="1"/>
      <c r="C155" s="1"/>
      <c r="D155" s="1"/>
      <c r="E155" s="1"/>
      <c r="F155" s="1"/>
      <c r="G155" s="1"/>
      <c r="H155" s="1"/>
      <c r="I155" s="1"/>
      <c r="J155" s="1"/>
      <c r="K155" s="1"/>
      <c r="L155" s="1"/>
      <c r="M155" s="1"/>
      <c r="N155" s="1"/>
      <c r="O155" s="1"/>
      <c r="P155" s="1"/>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row>
    <row r="156" spans="1:96" x14ac:dyDescent="0.2">
      <c r="A156" s="1"/>
      <c r="B156" s="1"/>
      <c r="C156" s="1"/>
      <c r="D156" s="1"/>
      <c r="E156" s="1"/>
      <c r="F156" s="1"/>
      <c r="G156" s="1"/>
      <c r="H156" s="1"/>
      <c r="I156" s="1"/>
      <c r="J156" s="1"/>
      <c r="K156" s="1"/>
      <c r="L156" s="1"/>
      <c r="M156" s="1"/>
      <c r="N156" s="1"/>
      <c r="O156" s="1"/>
      <c r="P156" s="1"/>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row>
    <row r="157" spans="1:96" x14ac:dyDescent="0.2">
      <c r="A157" s="1"/>
      <c r="B157" s="1"/>
      <c r="C157" s="1"/>
      <c r="D157" s="1"/>
      <c r="E157" s="1"/>
      <c r="F157" s="1"/>
      <c r="G157" s="1"/>
      <c r="H157" s="1"/>
      <c r="I157" s="1"/>
      <c r="J157" s="1"/>
      <c r="K157" s="1"/>
      <c r="L157" s="1"/>
      <c r="M157" s="1"/>
      <c r="N157" s="1"/>
      <c r="O157" s="1"/>
      <c r="P157" s="1"/>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row>
    <row r="158" spans="1:96" x14ac:dyDescent="0.2">
      <c r="A158" s="1"/>
      <c r="B158" s="1"/>
      <c r="C158" s="1"/>
      <c r="D158" s="1"/>
      <c r="E158" s="1"/>
      <c r="F158" s="1"/>
      <c r="G158" s="1"/>
      <c r="H158" s="1"/>
      <c r="I158" s="1"/>
      <c r="J158" s="1"/>
      <c r="K158" s="1"/>
      <c r="L158" s="1"/>
      <c r="M158" s="1"/>
      <c r="N158" s="1"/>
      <c r="O158" s="1"/>
      <c r="P158" s="1"/>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row>
    <row r="159" spans="1:96" x14ac:dyDescent="0.2">
      <c r="A159" s="1"/>
      <c r="B159" s="1"/>
      <c r="C159" s="1"/>
      <c r="D159" s="1"/>
      <c r="E159" s="1"/>
      <c r="F159" s="1"/>
      <c r="G159" s="1"/>
      <c r="H159" s="1"/>
      <c r="I159" s="1"/>
      <c r="J159" s="1"/>
      <c r="K159" s="1"/>
      <c r="L159" s="1"/>
      <c r="M159" s="1"/>
      <c r="N159" s="1"/>
      <c r="O159" s="1"/>
      <c r="P159" s="1"/>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row>
    <row r="160" spans="1:96" x14ac:dyDescent="0.2">
      <c r="A160" s="1"/>
      <c r="B160" s="1"/>
      <c r="C160" s="1"/>
      <c r="D160" s="1"/>
      <c r="E160" s="1"/>
      <c r="F160" s="1"/>
      <c r="G160" s="1"/>
      <c r="H160" s="1"/>
      <c r="I160" s="1"/>
      <c r="J160" s="1"/>
      <c r="K160" s="1"/>
      <c r="L160" s="1"/>
      <c r="M160" s="1"/>
      <c r="N160" s="1"/>
      <c r="O160" s="1"/>
      <c r="P160" s="1"/>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row>
    <row r="161" spans="1:96" x14ac:dyDescent="0.2">
      <c r="A161" s="1"/>
      <c r="B161" s="1"/>
      <c r="C161" s="1"/>
      <c r="D161" s="1"/>
      <c r="E161" s="1"/>
      <c r="F161" s="1"/>
      <c r="G161" s="1"/>
      <c r="H161" s="1"/>
      <c r="I161" s="1"/>
      <c r="J161" s="1"/>
      <c r="K161" s="1"/>
      <c r="L161" s="1"/>
      <c r="M161" s="1"/>
      <c r="N161" s="1"/>
      <c r="O161" s="1"/>
      <c r="P161" s="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row>
    <row r="162" spans="1:96" x14ac:dyDescent="0.2">
      <c r="A162" s="1"/>
      <c r="B162" s="1"/>
      <c r="C162" s="1"/>
      <c r="D162" s="1"/>
      <c r="E162" s="1"/>
      <c r="F162" s="1"/>
      <c r="G162" s="1"/>
      <c r="H162" s="1"/>
      <c r="I162" s="1"/>
      <c r="J162" s="1"/>
      <c r="K162" s="1"/>
      <c r="L162" s="1"/>
      <c r="M162" s="1"/>
      <c r="N162" s="1"/>
      <c r="O162" s="1"/>
      <c r="P162" s="1"/>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row>
    <row r="163" spans="1:96" x14ac:dyDescent="0.2">
      <c r="A163" s="1"/>
      <c r="B163" s="1"/>
      <c r="C163" s="1"/>
      <c r="D163" s="1"/>
      <c r="E163" s="1"/>
      <c r="F163" s="1"/>
      <c r="G163" s="1"/>
      <c r="H163" s="1"/>
      <c r="I163" s="1"/>
      <c r="J163" s="1"/>
      <c r="K163" s="1"/>
      <c r="L163" s="1"/>
      <c r="M163" s="1"/>
      <c r="N163" s="1"/>
      <c r="O163" s="1"/>
      <c r="P163" s="1"/>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row>
    <row r="164" spans="1:96" x14ac:dyDescent="0.2">
      <c r="A164" s="1"/>
      <c r="B164" s="1"/>
      <c r="C164" s="1"/>
      <c r="D164" s="1"/>
      <c r="E164" s="1"/>
      <c r="F164" s="1"/>
      <c r="G164" s="1"/>
      <c r="H164" s="1"/>
      <c r="I164" s="1"/>
      <c r="J164" s="1"/>
      <c r="K164" s="1"/>
      <c r="L164" s="1"/>
      <c r="M164" s="1"/>
      <c r="N164" s="1"/>
      <c r="O164" s="1"/>
      <c r="P164" s="1"/>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row>
    <row r="165" spans="1:96" x14ac:dyDescent="0.2">
      <c r="A165" s="1"/>
      <c r="B165" s="1"/>
      <c r="C165" s="1"/>
      <c r="D165" s="1"/>
      <c r="E165" s="1"/>
      <c r="F165" s="1"/>
      <c r="G165" s="1"/>
      <c r="H165" s="1"/>
      <c r="I165" s="1"/>
      <c r="J165" s="1"/>
      <c r="K165" s="1"/>
      <c r="L165" s="1"/>
      <c r="M165" s="1"/>
      <c r="N165" s="1"/>
      <c r="O165" s="1"/>
      <c r="P165" s="1"/>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row>
    <row r="166" spans="1:96" x14ac:dyDescent="0.2">
      <c r="A166" s="1"/>
      <c r="B166" s="1"/>
      <c r="C166" s="1"/>
      <c r="D166" s="1"/>
      <c r="E166" s="1"/>
      <c r="F166" s="1"/>
      <c r="G166" s="1"/>
      <c r="H166" s="1"/>
      <c r="I166" s="1"/>
      <c r="J166" s="1"/>
      <c r="K166" s="1"/>
      <c r="L166" s="1"/>
      <c r="M166" s="1"/>
      <c r="N166" s="1"/>
      <c r="O166" s="1"/>
      <c r="P166" s="1"/>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row>
    <row r="167" spans="1:96" x14ac:dyDescent="0.2">
      <c r="A167" s="1"/>
      <c r="B167" s="1"/>
      <c r="C167" s="1"/>
      <c r="D167" s="1"/>
      <c r="E167" s="1"/>
      <c r="F167" s="1"/>
      <c r="G167" s="1"/>
      <c r="H167" s="1"/>
      <c r="I167" s="1"/>
      <c r="J167" s="1"/>
      <c r="K167" s="1"/>
      <c r="L167" s="1"/>
      <c r="M167" s="1"/>
      <c r="N167" s="1"/>
      <c r="O167" s="1"/>
      <c r="P167" s="1"/>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row>
    <row r="168" spans="1:96" x14ac:dyDescent="0.2">
      <c r="A168" s="1"/>
      <c r="B168" s="1"/>
      <c r="C168" s="1"/>
      <c r="D168" s="1"/>
      <c r="E168" s="1"/>
      <c r="F168" s="1"/>
      <c r="G168" s="1"/>
      <c r="H168" s="1"/>
      <c r="I168" s="1"/>
      <c r="J168" s="1"/>
      <c r="K168" s="1"/>
      <c r="L168" s="1"/>
      <c r="M168" s="1"/>
      <c r="N168" s="1"/>
      <c r="O168" s="1"/>
      <c r="P168" s="1"/>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row>
    <row r="169" spans="1:96" x14ac:dyDescent="0.2">
      <c r="A169" s="1"/>
      <c r="B169" s="1"/>
      <c r="C169" s="1"/>
      <c r="D169" s="1"/>
      <c r="E169" s="1"/>
      <c r="F169" s="1"/>
      <c r="G169" s="1"/>
      <c r="H169" s="1"/>
      <c r="I169" s="1"/>
      <c r="J169" s="1"/>
      <c r="K169" s="1"/>
      <c r="L169" s="1"/>
      <c r="M169" s="1"/>
      <c r="N169" s="1"/>
      <c r="O169" s="1"/>
      <c r="P169" s="1"/>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row>
    <row r="170" spans="1:96" x14ac:dyDescent="0.2">
      <c r="A170" s="1"/>
      <c r="B170" s="1"/>
      <c r="C170" s="1"/>
      <c r="D170" s="1"/>
      <c r="E170" s="1"/>
      <c r="F170" s="1"/>
      <c r="G170" s="1"/>
      <c r="H170" s="1"/>
      <c r="I170" s="1"/>
      <c r="J170" s="1"/>
      <c r="K170" s="1"/>
      <c r="L170" s="1"/>
      <c r="M170" s="1"/>
      <c r="N170" s="1"/>
      <c r="O170" s="1"/>
      <c r="P170" s="1"/>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row>
    <row r="171" spans="1:96" x14ac:dyDescent="0.2">
      <c r="A171" s="1"/>
      <c r="B171" s="1"/>
      <c r="C171" s="1"/>
      <c r="D171" s="1"/>
      <c r="E171" s="1"/>
      <c r="F171" s="1"/>
      <c r="G171" s="1"/>
      <c r="H171" s="1"/>
      <c r="I171" s="1"/>
      <c r="J171" s="1"/>
      <c r="K171" s="1"/>
      <c r="L171" s="1"/>
      <c r="M171" s="1"/>
      <c r="N171" s="1"/>
      <c r="O171" s="1"/>
      <c r="P171" s="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row>
    <row r="172" spans="1:96" x14ac:dyDescent="0.2">
      <c r="A172" s="1"/>
      <c r="B172" s="1"/>
      <c r="C172" s="1"/>
      <c r="D172" s="1"/>
      <c r="E172" s="1"/>
      <c r="F172" s="1"/>
      <c r="G172" s="1"/>
      <c r="H172" s="1"/>
      <c r="I172" s="1"/>
      <c r="J172" s="1"/>
      <c r="K172" s="1"/>
      <c r="L172" s="1"/>
      <c r="M172" s="1"/>
      <c r="N172" s="1"/>
      <c r="O172" s="1"/>
      <c r="P172" s="1"/>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row>
    <row r="173" spans="1:96" x14ac:dyDescent="0.2">
      <c r="A173" s="1"/>
      <c r="B173" s="1"/>
      <c r="C173" s="1"/>
      <c r="D173" s="1"/>
      <c r="E173" s="1"/>
      <c r="F173" s="1"/>
      <c r="G173" s="1"/>
      <c r="H173" s="1"/>
      <c r="I173" s="1"/>
      <c r="J173" s="1"/>
      <c r="K173" s="1"/>
      <c r="L173" s="1"/>
      <c r="M173" s="1"/>
      <c r="N173" s="1"/>
      <c r="O173" s="1"/>
      <c r="P173" s="1"/>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row>
    <row r="174" spans="1:96" x14ac:dyDescent="0.2">
      <c r="A174" s="1"/>
      <c r="B174" s="1"/>
      <c r="C174" s="1"/>
      <c r="D174" s="1"/>
      <c r="E174" s="1"/>
      <c r="F174" s="1"/>
      <c r="G174" s="1"/>
      <c r="H174" s="1"/>
      <c r="I174" s="1"/>
      <c r="J174" s="1"/>
      <c r="K174" s="1"/>
      <c r="L174" s="1"/>
      <c r="M174" s="1"/>
      <c r="N174" s="1"/>
      <c r="O174" s="1"/>
      <c r="P174" s="1"/>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row>
    <row r="175" spans="1:96" x14ac:dyDescent="0.2">
      <c r="A175" s="1"/>
      <c r="B175" s="1"/>
      <c r="C175" s="1"/>
      <c r="D175" s="1"/>
      <c r="E175" s="1"/>
      <c r="F175" s="1"/>
      <c r="G175" s="1"/>
      <c r="H175" s="1"/>
      <c r="I175" s="1"/>
      <c r="J175" s="1"/>
      <c r="K175" s="1"/>
      <c r="L175" s="1"/>
      <c r="M175" s="1"/>
      <c r="N175" s="1"/>
      <c r="O175" s="1"/>
      <c r="P175" s="1"/>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row>
    <row r="176" spans="1:96" x14ac:dyDescent="0.2">
      <c r="A176" s="1"/>
      <c r="B176" s="1"/>
      <c r="C176" s="1"/>
      <c r="D176" s="1"/>
      <c r="E176" s="1"/>
      <c r="F176" s="1"/>
      <c r="G176" s="1"/>
      <c r="H176" s="1"/>
      <c r="I176" s="1"/>
      <c r="J176" s="1"/>
      <c r="K176" s="1"/>
      <c r="L176" s="1"/>
      <c r="M176" s="1"/>
      <c r="N176" s="1"/>
      <c r="O176" s="1"/>
      <c r="P176" s="1"/>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row>
    <row r="177" spans="1:96" x14ac:dyDescent="0.2">
      <c r="A177" s="1"/>
      <c r="B177" s="1"/>
      <c r="C177" s="1"/>
      <c r="D177" s="1"/>
      <c r="E177" s="1"/>
      <c r="F177" s="1"/>
      <c r="G177" s="1"/>
      <c r="H177" s="1"/>
      <c r="I177" s="1"/>
      <c r="J177" s="1"/>
      <c r="K177" s="1"/>
      <c r="L177" s="1"/>
      <c r="M177" s="1"/>
      <c r="N177" s="1"/>
      <c r="O177" s="1"/>
      <c r="P177" s="1"/>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row>
    <row r="178" spans="1:96" x14ac:dyDescent="0.2">
      <c r="A178" s="1"/>
      <c r="B178" s="1"/>
      <c r="C178" s="1"/>
      <c r="D178" s="1"/>
      <c r="E178" s="1"/>
      <c r="F178" s="1"/>
      <c r="G178" s="1"/>
      <c r="H178" s="1"/>
      <c r="I178" s="1"/>
      <c r="J178" s="1"/>
      <c r="K178" s="1"/>
      <c r="L178" s="1"/>
      <c r="M178" s="1"/>
      <c r="N178" s="1"/>
      <c r="O178" s="1"/>
      <c r="P178" s="1"/>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row>
    <row r="179" spans="1:96" x14ac:dyDescent="0.2">
      <c r="A179" s="1"/>
      <c r="B179" s="1"/>
      <c r="C179" s="1"/>
      <c r="D179" s="1"/>
      <c r="E179" s="1"/>
      <c r="F179" s="1"/>
      <c r="G179" s="1"/>
      <c r="H179" s="1"/>
      <c r="I179" s="1"/>
      <c r="J179" s="1"/>
      <c r="K179" s="1"/>
      <c r="L179" s="1"/>
      <c r="M179" s="1"/>
      <c r="N179" s="1"/>
      <c r="O179" s="1"/>
      <c r="P179" s="1"/>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row>
    <row r="180" spans="1:96" x14ac:dyDescent="0.2">
      <c r="A180" s="1"/>
      <c r="B180" s="1"/>
      <c r="C180" s="1"/>
      <c r="D180" s="1"/>
      <c r="E180" s="1"/>
      <c r="F180" s="1"/>
      <c r="G180" s="1"/>
      <c r="H180" s="1"/>
      <c r="I180" s="1"/>
      <c r="J180" s="1"/>
      <c r="K180" s="1"/>
      <c r="L180" s="1"/>
      <c r="M180" s="1"/>
      <c r="N180" s="1"/>
      <c r="O180" s="1"/>
      <c r="P180" s="1"/>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row>
    <row r="181" spans="1:96" x14ac:dyDescent="0.2">
      <c r="A181" s="1"/>
      <c r="B181" s="1"/>
      <c r="C181" s="1"/>
      <c r="D181" s="1"/>
      <c r="E181" s="1"/>
      <c r="F181" s="1"/>
      <c r="G181" s="1"/>
      <c r="H181" s="1"/>
      <c r="I181" s="1"/>
      <c r="J181" s="1"/>
      <c r="K181" s="1"/>
      <c r="L181" s="1"/>
      <c r="M181" s="1"/>
      <c r="N181" s="1"/>
      <c r="O181" s="1"/>
      <c r="P181" s="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row>
    <row r="182" spans="1:96" x14ac:dyDescent="0.2">
      <c r="A182" s="1"/>
      <c r="B182" s="1"/>
      <c r="C182" s="1"/>
      <c r="D182" s="1"/>
      <c r="E182" s="1"/>
      <c r="F182" s="1"/>
      <c r="G182" s="1"/>
      <c r="H182" s="1"/>
      <c r="I182" s="1"/>
      <c r="J182" s="1"/>
      <c r="K182" s="1"/>
      <c r="L182" s="1"/>
      <c r="M182" s="1"/>
      <c r="N182" s="1"/>
      <c r="O182" s="1"/>
      <c r="P182" s="1"/>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row>
    <row r="183" spans="1:96" x14ac:dyDescent="0.2">
      <c r="A183" s="1"/>
      <c r="B183" s="1"/>
      <c r="C183" s="1"/>
      <c r="D183" s="1"/>
      <c r="E183" s="1"/>
      <c r="F183" s="1"/>
      <c r="G183" s="1"/>
      <c r="H183" s="1"/>
      <c r="I183" s="1"/>
      <c r="J183" s="1"/>
      <c r="K183" s="1"/>
      <c r="L183" s="1"/>
      <c r="M183" s="1"/>
      <c r="N183" s="1"/>
      <c r="O183" s="1"/>
      <c r="P183" s="1"/>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row>
    <row r="184" spans="1:96" x14ac:dyDescent="0.2">
      <c r="A184" s="1"/>
      <c r="B184" s="1"/>
      <c r="C184" s="1"/>
      <c r="D184" s="1"/>
      <c r="E184" s="1"/>
      <c r="F184" s="1"/>
      <c r="G184" s="1"/>
      <c r="H184" s="1"/>
      <c r="I184" s="1"/>
      <c r="J184" s="1"/>
      <c r="K184" s="1"/>
      <c r="L184" s="1"/>
      <c r="M184" s="1"/>
      <c r="N184" s="1"/>
      <c r="O184" s="1"/>
      <c r="P184" s="1"/>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row>
    <row r="185" spans="1:96" x14ac:dyDescent="0.2">
      <c r="A185" s="1"/>
      <c r="B185" s="1"/>
      <c r="C185" s="1"/>
      <c r="D185" s="1"/>
      <c r="E185" s="1"/>
      <c r="F185" s="1"/>
      <c r="G185" s="1"/>
      <c r="H185" s="1"/>
      <c r="I185" s="1"/>
      <c r="J185" s="1"/>
      <c r="K185" s="1"/>
      <c r="L185" s="1"/>
      <c r="M185" s="1"/>
      <c r="N185" s="1"/>
      <c r="O185" s="1"/>
      <c r="P185" s="1"/>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row>
    <row r="186" spans="1:96" x14ac:dyDescent="0.2">
      <c r="A186" s="1"/>
      <c r="B186" s="1"/>
      <c r="C186" s="1"/>
      <c r="D186" s="1"/>
      <c r="E186" s="1"/>
      <c r="F186" s="1"/>
      <c r="G186" s="1"/>
      <c r="H186" s="1"/>
      <c r="I186" s="1"/>
      <c r="J186" s="1"/>
      <c r="K186" s="1"/>
      <c r="L186" s="1"/>
      <c r="M186" s="1"/>
      <c r="N186" s="1"/>
      <c r="O186" s="1"/>
      <c r="P186" s="1"/>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row>
    <row r="187" spans="1:96" x14ac:dyDescent="0.2">
      <c r="A187" s="1"/>
      <c r="B187" s="1"/>
      <c r="C187" s="1"/>
      <c r="D187" s="1"/>
      <c r="E187" s="1"/>
      <c r="F187" s="1"/>
      <c r="G187" s="1"/>
      <c r="H187" s="1"/>
      <c r="I187" s="1"/>
      <c r="J187" s="1"/>
      <c r="K187" s="1"/>
      <c r="L187" s="1"/>
      <c r="M187" s="1"/>
      <c r="N187" s="1"/>
      <c r="O187" s="1"/>
      <c r="P187" s="1"/>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row>
    <row r="188" spans="1:96" x14ac:dyDescent="0.2">
      <c r="A188" s="1"/>
      <c r="B188" s="1"/>
      <c r="C188" s="1"/>
      <c r="D188" s="1"/>
      <c r="E188" s="1"/>
      <c r="F188" s="1"/>
      <c r="G188" s="1"/>
      <c r="H188" s="1"/>
      <c r="I188" s="1"/>
      <c r="J188" s="1"/>
      <c r="K188" s="1"/>
      <c r="L188" s="1"/>
      <c r="M188" s="1"/>
      <c r="N188" s="1"/>
      <c r="O188" s="1"/>
      <c r="P188" s="1"/>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row>
    <row r="189" spans="1:96" x14ac:dyDescent="0.2">
      <c r="A189" s="1"/>
      <c r="B189" s="1"/>
      <c r="C189" s="1"/>
      <c r="D189" s="1"/>
      <c r="E189" s="1"/>
      <c r="F189" s="1"/>
      <c r="G189" s="1"/>
      <c r="H189" s="1"/>
      <c r="I189" s="1"/>
      <c r="J189" s="1"/>
      <c r="K189" s="1"/>
      <c r="L189" s="1"/>
      <c r="M189" s="1"/>
      <c r="N189" s="1"/>
      <c r="O189" s="1"/>
      <c r="P189" s="1"/>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row>
    <row r="190" spans="1:96" x14ac:dyDescent="0.2">
      <c r="A190" s="1"/>
      <c r="B190" s="1"/>
      <c r="C190" s="1"/>
      <c r="D190" s="1"/>
      <c r="E190" s="1"/>
      <c r="F190" s="1"/>
      <c r="G190" s="1"/>
      <c r="H190" s="1"/>
      <c r="I190" s="1"/>
      <c r="J190" s="1"/>
      <c r="K190" s="1"/>
      <c r="L190" s="1"/>
      <c r="M190" s="1"/>
      <c r="N190" s="1"/>
      <c r="O190" s="1"/>
      <c r="P190" s="1"/>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row>
    <row r="191" spans="1:96" x14ac:dyDescent="0.2">
      <c r="A191" s="1" t="s">
        <v>691</v>
      </c>
      <c r="B191" s="1">
        <f>CHOOSE(MATCH(inp_scenario,{"Base","Downside","Upside"},0),scn_lag_base,scn_lag_downside,scn_lag_upside)</f>
        <v>0</v>
      </c>
      <c r="C191" s="1"/>
      <c r="D191" s="1"/>
      <c r="E191" s="1"/>
      <c r="F191" s="1"/>
      <c r="G191" s="1"/>
      <c r="H191" s="1"/>
      <c r="I191" s="1"/>
      <c r="J191" s="1"/>
      <c r="K191" s="1"/>
      <c r="L191" s="1"/>
      <c r="M191" s="1"/>
      <c r="N191" s="1"/>
      <c r="O191" s="1"/>
      <c r="P191" s="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row>
    <row r="192" spans="1:96" x14ac:dyDescent="0.2">
      <c r="A192" s="1"/>
      <c r="B192" s="1"/>
      <c r="C192" s="1"/>
      <c r="D192" s="1"/>
      <c r="E192" s="1"/>
      <c r="F192" s="1"/>
      <c r="G192" s="1"/>
      <c r="H192" s="1"/>
      <c r="I192" s="1"/>
      <c r="J192" s="1"/>
      <c r="K192" s="1"/>
      <c r="L192" s="1"/>
      <c r="M192" s="1"/>
      <c r="N192" s="1"/>
      <c r="O192" s="1"/>
      <c r="P192" s="1"/>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row>
    <row r="193" spans="1:96" x14ac:dyDescent="0.2">
      <c r="A193" s="1"/>
      <c r="B193" s="1"/>
      <c r="C193" s="1"/>
      <c r="D193" s="1"/>
      <c r="E193" s="1"/>
      <c r="F193" s="1"/>
      <c r="G193" s="1"/>
      <c r="H193" s="1"/>
      <c r="I193" s="1"/>
      <c r="J193" s="1"/>
      <c r="K193" s="1"/>
      <c r="L193" s="1"/>
      <c r="M193" s="1"/>
      <c r="N193" s="1"/>
      <c r="O193" s="1"/>
      <c r="P193" s="1"/>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row>
    <row r="194" spans="1:96" x14ac:dyDescent="0.2">
      <c r="A194" s="1"/>
      <c r="B194" s="1"/>
      <c r="C194" s="1"/>
      <c r="D194" s="1"/>
      <c r="E194" s="1"/>
      <c r="F194" s="1"/>
      <c r="G194" s="1"/>
      <c r="H194" s="1"/>
      <c r="I194" s="1"/>
      <c r="J194" s="1"/>
      <c r="K194" s="1"/>
      <c r="L194" s="1"/>
      <c r="M194" s="1"/>
      <c r="N194" s="1"/>
      <c r="O194" s="1"/>
      <c r="P194" s="1"/>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row>
    <row r="195" spans="1:96" x14ac:dyDescent="0.2">
      <c r="A195" s="48" t="s">
        <v>84</v>
      </c>
      <c r="B195" s="49">
        <f>CHOOSE(MATCH(inp_scenario,{"Base","Downside","Upside"},0),scn_rev_base,scn_rev_downside,scn_rev_upside)</f>
        <v>1</v>
      </c>
      <c r="C195" s="49">
        <f>CHOOSE(MATCH(inp_scenario,{"Base","Downside","Upside"},0),scn_rev_base,scn_rev_downside,scn_rev_upside)</f>
        <v>1</v>
      </c>
      <c r="D195" s="49">
        <f>CHOOSE(MATCH(inp_scenario,{"Base","Downside","Upside"},0),scn_rev_base,scn_rev_downside,scn_rev_upside)</f>
        <v>1</v>
      </c>
      <c r="E195" s="49">
        <f>CHOOSE(MATCH(inp_scenario,{"Base","Downside","Upside"},0),scn_rev_base,scn_rev_downside,scn_rev_upside)</f>
        <v>1</v>
      </c>
      <c r="F195" s="49">
        <f>CHOOSE(MATCH(inp_scenario,{"Base","Downside","Upside"},0),scn_rev_base,scn_rev_downside,scn_rev_upside)</f>
        <v>1</v>
      </c>
      <c r="G195" s="49">
        <f>CHOOSE(MATCH(inp_scenario,{"Base","Downside","Upside"},0),scn_rev_base,scn_rev_downside,scn_rev_upside)</f>
        <v>1</v>
      </c>
      <c r="H195" s="49">
        <f>CHOOSE(MATCH(inp_scenario,{"Base","Downside","Upside"},0),scn_rev_base,scn_rev_downside,scn_rev_upside)</f>
        <v>1</v>
      </c>
      <c r="I195" s="49">
        <f>CHOOSE(MATCH(inp_scenario,{"Base","Downside","Upside"},0),scn_rev_base,scn_rev_downside,scn_rev_upside)</f>
        <v>1</v>
      </c>
      <c r="J195" s="49">
        <f>CHOOSE(MATCH(inp_scenario,{"Base","Downside","Upside"},0),scn_rev_base,scn_rev_downside,scn_rev_upside)</f>
        <v>1</v>
      </c>
      <c r="K195" s="49">
        <f>CHOOSE(MATCH(inp_scenario,{"Base","Downside","Upside"},0),scn_rev_base,scn_rev_downside,scn_rev_upside)</f>
        <v>1</v>
      </c>
      <c r="L195" s="49">
        <f>CHOOSE(MATCH(inp_scenario,{"Base","Downside","Upside"},0),scn_rev_base,scn_rev_downside,scn_rev_upside)</f>
        <v>1</v>
      </c>
      <c r="M195" s="49">
        <f>CHOOSE(MATCH(inp_scenario,{"Base","Downside","Upside"},0),scn_rev_base,scn_rev_downside,scn_rev_upside)</f>
        <v>1</v>
      </c>
      <c r="N195" s="50">
        <f>AVERAGE(B195:M195)</f>
        <v>1</v>
      </c>
      <c r="O195" s="1"/>
      <c r="P195" s="1"/>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row>
    <row r="196" spans="1:96" x14ac:dyDescent="0.2">
      <c r="A196" s="48" t="s">
        <v>85</v>
      </c>
      <c r="B196" s="49">
        <f>CHOOSE(MATCH(inp_scenario,{"Base","Downside","Upside"},0),scn_util_base,scn_util_downside,scn_util_upside)</f>
        <v>1</v>
      </c>
      <c r="C196" s="49">
        <f>CHOOSE(MATCH(inp_scenario,{"Base","Downside","Upside"},0),scn_util_base,scn_util_downside,scn_util_upside)</f>
        <v>1</v>
      </c>
      <c r="D196" s="49">
        <f>CHOOSE(MATCH(inp_scenario,{"Base","Downside","Upside"},0),scn_util_base,scn_util_downside,scn_util_upside)</f>
        <v>1</v>
      </c>
      <c r="E196" s="49">
        <f>CHOOSE(MATCH(inp_scenario,{"Base","Downside","Upside"},0),scn_util_base,scn_util_downside,scn_util_upside)</f>
        <v>1</v>
      </c>
      <c r="F196" s="49">
        <f>CHOOSE(MATCH(inp_scenario,{"Base","Downside","Upside"},0),scn_util_base,scn_util_downside,scn_util_upside)</f>
        <v>1</v>
      </c>
      <c r="G196" s="49">
        <f>CHOOSE(MATCH(inp_scenario,{"Base","Downside","Upside"},0),scn_util_base,scn_util_downside,scn_util_upside)</f>
        <v>1</v>
      </c>
      <c r="H196" s="49">
        <f>CHOOSE(MATCH(inp_scenario,{"Base","Downside","Upside"},0),scn_util_base,scn_util_downside,scn_util_upside)</f>
        <v>1</v>
      </c>
      <c r="I196" s="49">
        <f>CHOOSE(MATCH(inp_scenario,{"Base","Downside","Upside"},0),scn_util_base,scn_util_downside,scn_util_upside)</f>
        <v>1</v>
      </c>
      <c r="J196" s="49">
        <f>CHOOSE(MATCH(inp_scenario,{"Base","Downside","Upside"},0),scn_util_base,scn_util_downside,scn_util_upside)</f>
        <v>1</v>
      </c>
      <c r="K196" s="49">
        <f>CHOOSE(MATCH(inp_scenario,{"Base","Downside","Upside"},0),scn_util_base,scn_util_downside,scn_util_upside)</f>
        <v>1</v>
      </c>
      <c r="L196" s="49">
        <f>CHOOSE(MATCH(inp_scenario,{"Base","Downside","Upside"},0),scn_util_base,scn_util_downside,scn_util_upside)</f>
        <v>1</v>
      </c>
      <c r="M196" s="49">
        <f>CHOOSE(MATCH(inp_scenario,{"Base","Downside","Upside"},0),scn_util_base,scn_util_downside,scn_util_upside)</f>
        <v>1</v>
      </c>
      <c r="N196" s="50">
        <f>AVERAGE(B196:M196)</f>
        <v>1</v>
      </c>
      <c r="O196" s="1"/>
      <c r="P196" s="1"/>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row>
    <row r="197" spans="1:96" x14ac:dyDescent="0.2">
      <c r="A197" s="48" t="s">
        <v>86</v>
      </c>
      <c r="B197" s="49">
        <f>CHOOSE(MATCH(inp_scenario,{"Base","Downside","Upside"},0),scn_cost_base,scn_cost_downside,scn_cost_upside)</f>
        <v>1</v>
      </c>
      <c r="C197" s="49">
        <f>CHOOSE(MATCH(inp_scenario,{"Base","Downside","Upside"},0),scn_cost_base,scn_cost_downside,scn_cost_upside)</f>
        <v>1</v>
      </c>
      <c r="D197" s="49">
        <f>CHOOSE(MATCH(inp_scenario,{"Base","Downside","Upside"},0),scn_cost_base,scn_cost_downside,scn_cost_upside)</f>
        <v>1</v>
      </c>
      <c r="E197" s="49">
        <f>CHOOSE(MATCH(inp_scenario,{"Base","Downside","Upside"},0),scn_cost_base,scn_cost_downside,scn_cost_upside)</f>
        <v>1</v>
      </c>
      <c r="F197" s="49">
        <f>CHOOSE(MATCH(inp_scenario,{"Base","Downside","Upside"},0),scn_cost_base,scn_cost_downside,scn_cost_upside)</f>
        <v>1</v>
      </c>
      <c r="G197" s="49">
        <f>CHOOSE(MATCH(inp_scenario,{"Base","Downside","Upside"},0),scn_cost_base,scn_cost_downside,scn_cost_upside)</f>
        <v>1</v>
      </c>
      <c r="H197" s="49">
        <f>CHOOSE(MATCH(inp_scenario,{"Base","Downside","Upside"},0),scn_cost_base,scn_cost_downside,scn_cost_upside)</f>
        <v>1</v>
      </c>
      <c r="I197" s="49">
        <f>CHOOSE(MATCH(inp_scenario,{"Base","Downside","Upside"},0),scn_cost_base,scn_cost_downside,scn_cost_upside)</f>
        <v>1</v>
      </c>
      <c r="J197" s="49">
        <f>CHOOSE(MATCH(inp_scenario,{"Base","Downside","Upside"},0),scn_cost_base,scn_cost_downside,scn_cost_upside)</f>
        <v>1</v>
      </c>
      <c r="K197" s="49">
        <f>CHOOSE(MATCH(inp_scenario,{"Base","Downside","Upside"},0),scn_cost_base,scn_cost_downside,scn_cost_upside)</f>
        <v>1</v>
      </c>
      <c r="L197" s="49">
        <f>CHOOSE(MATCH(inp_scenario,{"Base","Downside","Upside"},0),scn_cost_base,scn_cost_downside,scn_cost_upside)</f>
        <v>1</v>
      </c>
      <c r="M197" s="49">
        <f>CHOOSE(MATCH(inp_scenario,{"Base","Downside","Upside"},0),scn_cost_base,scn_cost_downside,scn_cost_upside)</f>
        <v>1</v>
      </c>
      <c r="N197" s="50">
        <f>AVERAGE(B197:M197)</f>
        <v>1</v>
      </c>
      <c r="O197" s="1"/>
      <c r="P197" s="1"/>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row>
    <row r="198" spans="1:96" x14ac:dyDescent="0.2">
      <c r="A198" s="48" t="s">
        <v>87</v>
      </c>
      <c r="B198" s="49">
        <f>calc_scn_rev_m1*INDEX(active_sl1_m1m12,1)</f>
        <v>0</v>
      </c>
      <c r="C198" s="49">
        <f>calc_scn_rev_m2*INDEX(active_sl1_m1m12,2)</f>
        <v>0</v>
      </c>
      <c r="D198" s="49">
        <f>calc_scn_rev_m3*INDEX(active_sl1_m1m12,3)</f>
        <v>0</v>
      </c>
      <c r="E198" s="49">
        <f>calc_scn_rev_m4*INDEX(active_sl1_m1m12,4)</f>
        <v>0</v>
      </c>
      <c r="F198" s="49">
        <f>calc_scn_rev_m5*INDEX(active_sl1_m1m12,5)</f>
        <v>0</v>
      </c>
      <c r="G198" s="49">
        <f>calc_scn_rev_m6*INDEX(active_sl1_m1m12,6)</f>
        <v>0</v>
      </c>
      <c r="H198" s="49">
        <f>calc_scn_rev_m7*INDEX(active_sl1_m1m12,7)</f>
        <v>0</v>
      </c>
      <c r="I198" s="49">
        <f>calc_scn_rev_m8*INDEX(active_sl1_m1m12,8)</f>
        <v>0</v>
      </c>
      <c r="J198" s="49">
        <f>calc_scn_rev_m9*INDEX(active_sl1_m1m12,9)</f>
        <v>0</v>
      </c>
      <c r="K198" s="49">
        <f>calc_scn_rev_m10*INDEX(active_sl1_m1m12,10)</f>
        <v>0</v>
      </c>
      <c r="L198" s="49">
        <f>calc_scn_rev_m11*INDEX(active_sl1_m1m12,11)</f>
        <v>0</v>
      </c>
      <c r="M198" s="49">
        <f>calc_scn_rev_m12*INDEX(active_sl1_m1m12,12)</f>
        <v>0</v>
      </c>
      <c r="N198" s="50">
        <f t="shared" ref="N198:N210" si="5">SUM(B198:M198)</f>
        <v>0</v>
      </c>
      <c r="O198" s="1"/>
      <c r="P198" s="1"/>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row>
    <row r="199" spans="1:96" x14ac:dyDescent="0.2">
      <c r="A199" s="48" t="s">
        <v>88</v>
      </c>
      <c r="B199" s="49">
        <f>calc_scn_rev_m1*INDEX(active_sl2_m1m12,1)</f>
        <v>0</v>
      </c>
      <c r="C199" s="49">
        <f>calc_scn_rev_m2*INDEX(active_sl2_m1m12,2)</f>
        <v>0</v>
      </c>
      <c r="D199" s="49">
        <f>calc_scn_rev_m3*INDEX(active_sl2_m1m12,3)</f>
        <v>0</v>
      </c>
      <c r="E199" s="49">
        <f>calc_scn_rev_m4*INDEX(active_sl2_m1m12,4)</f>
        <v>0</v>
      </c>
      <c r="F199" s="49">
        <f>calc_scn_rev_m5*INDEX(active_sl2_m1m12,5)</f>
        <v>0</v>
      </c>
      <c r="G199" s="49">
        <f>calc_scn_rev_m6*INDEX(active_sl2_m1m12,6)</f>
        <v>0</v>
      </c>
      <c r="H199" s="49">
        <f>calc_scn_rev_m7*INDEX(active_sl2_m1m12,7)</f>
        <v>0</v>
      </c>
      <c r="I199" s="49">
        <f>calc_scn_rev_m8*INDEX(active_sl2_m1m12,8)</f>
        <v>0</v>
      </c>
      <c r="J199" s="49">
        <f>calc_scn_rev_m9*INDEX(active_sl2_m1m12,9)</f>
        <v>0</v>
      </c>
      <c r="K199" s="49">
        <f>calc_scn_rev_m10*INDEX(active_sl2_m1m12,10)</f>
        <v>0</v>
      </c>
      <c r="L199" s="49">
        <f>calc_scn_rev_m11*INDEX(active_sl2_m1m12,11)</f>
        <v>0</v>
      </c>
      <c r="M199" s="49">
        <f>calc_scn_rev_m12*INDEX(active_sl2_m1m12,12)</f>
        <v>0</v>
      </c>
      <c r="N199" s="50">
        <f t="shared" si="5"/>
        <v>0</v>
      </c>
      <c r="O199" s="1"/>
      <c r="P199" s="1"/>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row>
    <row r="200" spans="1:96" x14ac:dyDescent="0.2">
      <c r="A200" s="48" t="s">
        <v>89</v>
      </c>
      <c r="B200" s="49">
        <f>calc_scn_rev_m1*INDEX(active_sl3_m1m12,1)</f>
        <v>0</v>
      </c>
      <c r="C200" s="49">
        <f>calc_scn_rev_m2*INDEX(active_sl3_m1m12,2)</f>
        <v>0</v>
      </c>
      <c r="D200" s="49">
        <f>calc_scn_rev_m3*INDEX(active_sl3_m1m12,3)</f>
        <v>0</v>
      </c>
      <c r="E200" s="49">
        <f>calc_scn_rev_m4*INDEX(active_sl3_m1m12,4)</f>
        <v>0</v>
      </c>
      <c r="F200" s="49">
        <f>calc_scn_rev_m5*INDEX(active_sl3_m1m12,5)</f>
        <v>0</v>
      </c>
      <c r="G200" s="49">
        <f>calc_scn_rev_m6*INDEX(active_sl3_m1m12,6)</f>
        <v>0</v>
      </c>
      <c r="H200" s="49">
        <f>calc_scn_rev_m7*INDEX(active_sl3_m1m12,7)</f>
        <v>0</v>
      </c>
      <c r="I200" s="49">
        <f>calc_scn_rev_m8*INDEX(active_sl3_m1m12,8)</f>
        <v>0</v>
      </c>
      <c r="J200" s="49">
        <f>calc_scn_rev_m9*INDEX(active_sl3_m1m12,9)</f>
        <v>0</v>
      </c>
      <c r="K200" s="49">
        <f>calc_scn_rev_m10*INDEX(active_sl3_m1m12,10)</f>
        <v>0</v>
      </c>
      <c r="L200" s="49">
        <f>calc_scn_rev_m11*INDEX(active_sl3_m1m12,11)</f>
        <v>0</v>
      </c>
      <c r="M200" s="49">
        <f>calc_scn_rev_m12*INDEX(active_sl3_m1m12,12)</f>
        <v>0</v>
      </c>
      <c r="N200" s="50">
        <f t="shared" si="5"/>
        <v>0</v>
      </c>
      <c r="O200" s="1"/>
      <c r="P200" s="1"/>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row>
    <row r="201" spans="1:96" x14ac:dyDescent="0.2">
      <c r="A201" s="48" t="s">
        <v>90</v>
      </c>
      <c r="B201" s="49">
        <f>calc_scn_rev_m1*INDEX(active_sl4_m1m12,1)</f>
        <v>0</v>
      </c>
      <c r="C201" s="49">
        <f>calc_scn_rev_m2*INDEX(active_sl4_m1m12,2)</f>
        <v>0</v>
      </c>
      <c r="D201" s="49">
        <f>calc_scn_rev_m3*INDEX(active_sl4_m1m12,3)</f>
        <v>0</v>
      </c>
      <c r="E201" s="49">
        <f>calc_scn_rev_m4*INDEX(active_sl4_m1m12,4)</f>
        <v>0</v>
      </c>
      <c r="F201" s="49">
        <f>calc_scn_rev_m5*INDEX(active_sl4_m1m12,5)</f>
        <v>0</v>
      </c>
      <c r="G201" s="49">
        <f>calc_scn_rev_m6*INDEX(active_sl4_m1m12,6)</f>
        <v>0</v>
      </c>
      <c r="H201" s="49">
        <f>calc_scn_rev_m7*INDEX(active_sl4_m1m12,7)</f>
        <v>0</v>
      </c>
      <c r="I201" s="49">
        <f>calc_scn_rev_m8*INDEX(active_sl4_m1m12,8)</f>
        <v>0</v>
      </c>
      <c r="J201" s="49">
        <f>calc_scn_rev_m9*INDEX(active_sl4_m1m12,9)</f>
        <v>0</v>
      </c>
      <c r="K201" s="49">
        <f>calc_scn_rev_m10*INDEX(active_sl4_m1m12,10)</f>
        <v>0</v>
      </c>
      <c r="L201" s="49">
        <f>calc_scn_rev_m11*INDEX(active_sl4_m1m12,11)</f>
        <v>0</v>
      </c>
      <c r="M201" s="49">
        <f>calc_scn_rev_m12*INDEX(active_sl4_m1m12,12)</f>
        <v>0</v>
      </c>
      <c r="N201" s="50">
        <f t="shared" si="5"/>
        <v>0</v>
      </c>
      <c r="O201" s="1"/>
      <c r="P201" s="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row>
    <row r="202" spans="1:96" x14ac:dyDescent="0.2">
      <c r="A202" s="48" t="s">
        <v>91</v>
      </c>
      <c r="B202" s="49">
        <f>calc_scn_rev_m1*INDEX(active_sl5_m1m12,1)</f>
        <v>0</v>
      </c>
      <c r="C202" s="49">
        <f>calc_scn_rev_m2*INDEX(active_sl5_m1m12,2)</f>
        <v>0</v>
      </c>
      <c r="D202" s="49">
        <f>calc_scn_rev_m3*INDEX(active_sl5_m1m12,3)</f>
        <v>0</v>
      </c>
      <c r="E202" s="49">
        <f>calc_scn_rev_m4*INDEX(active_sl5_m1m12,4)</f>
        <v>0</v>
      </c>
      <c r="F202" s="49">
        <f>calc_scn_rev_m5*INDEX(active_sl5_m1m12,5)</f>
        <v>0</v>
      </c>
      <c r="G202" s="49">
        <f>calc_scn_rev_m6*INDEX(active_sl5_m1m12,6)</f>
        <v>0</v>
      </c>
      <c r="H202" s="49">
        <f>calc_scn_rev_m7*INDEX(active_sl5_m1m12,7)</f>
        <v>0</v>
      </c>
      <c r="I202" s="49">
        <f>calc_scn_rev_m8*INDEX(active_sl5_m1m12,8)</f>
        <v>0</v>
      </c>
      <c r="J202" s="49">
        <f>calc_scn_rev_m9*INDEX(active_sl5_m1m12,9)</f>
        <v>0</v>
      </c>
      <c r="K202" s="49">
        <f>calc_scn_rev_m10*INDEX(active_sl5_m1m12,10)</f>
        <v>0</v>
      </c>
      <c r="L202" s="49">
        <f>calc_scn_rev_m11*INDEX(active_sl5_m1m12,11)</f>
        <v>0</v>
      </c>
      <c r="M202" s="49">
        <f>calc_scn_rev_m12*INDEX(active_sl5_m1m12,12)</f>
        <v>0</v>
      </c>
      <c r="N202" s="50">
        <f t="shared" si="5"/>
        <v>0</v>
      </c>
      <c r="O202" s="1"/>
      <c r="P202" s="1"/>
    </row>
    <row r="203" spans="1:96" x14ac:dyDescent="0.2">
      <c r="A203" s="48" t="s">
        <v>92</v>
      </c>
      <c r="B203" s="49">
        <f>calc_rev_sl1_m1+calc_rev_sl2_m1+calc_rev_sl3_m1+calc_rev_sl4_m1+calc_rev_sl5_m1</f>
        <v>0</v>
      </c>
      <c r="C203" s="49">
        <f>calc_rev_sl1_m2+calc_rev_sl2_m2+calc_rev_sl3_m2+calc_rev_sl4_m2+calc_rev_sl5_m2</f>
        <v>0</v>
      </c>
      <c r="D203" s="49">
        <f>calc_rev_sl1_m3+calc_rev_sl2_m3+calc_rev_sl3_m3+calc_rev_sl4_m3+calc_rev_sl5_m3</f>
        <v>0</v>
      </c>
      <c r="E203" s="49">
        <f>calc_rev_sl1_m4+calc_rev_sl2_m4+calc_rev_sl3_m4+calc_rev_sl4_m4+calc_rev_sl5_m4</f>
        <v>0</v>
      </c>
      <c r="F203" s="49">
        <f>calc_rev_sl1_m5+calc_rev_sl2_m5+calc_rev_sl3_m5+calc_rev_sl4_m5+calc_rev_sl5_m5</f>
        <v>0</v>
      </c>
      <c r="G203" s="49">
        <f>calc_rev_sl1_m6+calc_rev_sl2_m6+calc_rev_sl3_m6+calc_rev_sl4_m6+calc_rev_sl5_m6</f>
        <v>0</v>
      </c>
      <c r="H203" s="49">
        <f>calc_rev_sl1_m7+calc_rev_sl2_m7+calc_rev_sl3_m7+calc_rev_sl4_m7+calc_rev_sl5_m7</f>
        <v>0</v>
      </c>
      <c r="I203" s="49">
        <f>calc_rev_sl1_m8+calc_rev_sl2_m8+calc_rev_sl3_m8+calc_rev_sl4_m8+calc_rev_sl5_m8</f>
        <v>0</v>
      </c>
      <c r="J203" s="49">
        <f>calc_rev_sl1_m9+calc_rev_sl2_m9+calc_rev_sl3_m9+calc_rev_sl4_m9+calc_rev_sl5_m9</f>
        <v>0</v>
      </c>
      <c r="K203" s="49">
        <f>calc_rev_sl1_m10+calc_rev_sl2_m10+calc_rev_sl3_m10+calc_rev_sl4_m10+calc_rev_sl5_m10</f>
        <v>0</v>
      </c>
      <c r="L203" s="49">
        <f>calc_rev_sl1_m11+calc_rev_sl2_m11+calc_rev_sl3_m11+calc_rev_sl4_m11+calc_rev_sl5_m11</f>
        <v>0</v>
      </c>
      <c r="M203" s="49">
        <f>calc_rev_sl1_m12+calc_rev_sl2_m12+calc_rev_sl3_m12+calc_rev_sl4_m12+calc_rev_sl5_m12</f>
        <v>0</v>
      </c>
      <c r="N203" s="50">
        <f t="shared" si="5"/>
        <v>0</v>
      </c>
      <c r="O203" s="1"/>
      <c r="P203" s="1"/>
    </row>
    <row r="204" spans="1:96" x14ac:dyDescent="0.2">
      <c r="A204" s="48" t="s">
        <v>93</v>
      </c>
      <c r="B204" s="49">
        <f>INDEX(active_delivery_payroll_m1m12,1)*calc_scn_cost_m1</f>
        <v>0</v>
      </c>
      <c r="C204" s="49">
        <f>INDEX(active_delivery_payroll_m1m12,2)*calc_scn_cost_m2</f>
        <v>0</v>
      </c>
      <c r="D204" s="49">
        <f>INDEX(active_delivery_payroll_m1m12,3)*calc_scn_cost_m3</f>
        <v>0</v>
      </c>
      <c r="E204" s="49">
        <f>INDEX(active_delivery_payroll_m1m12,4)*calc_scn_cost_m4</f>
        <v>0</v>
      </c>
      <c r="F204" s="49">
        <f>INDEX(active_delivery_payroll_m1m12,5)*calc_scn_cost_m5</f>
        <v>0</v>
      </c>
      <c r="G204" s="49">
        <f>INDEX(active_delivery_payroll_m1m12,6)*calc_scn_cost_m6</f>
        <v>0</v>
      </c>
      <c r="H204" s="49">
        <f>INDEX(active_delivery_payroll_m1m12,7)*calc_scn_cost_m7</f>
        <v>0</v>
      </c>
      <c r="I204" s="49">
        <f>INDEX(active_delivery_payroll_m1m12,8)*calc_scn_cost_m8</f>
        <v>0</v>
      </c>
      <c r="J204" s="49">
        <f>INDEX(active_delivery_payroll_m1m12,9)*calc_scn_cost_m9</f>
        <v>0</v>
      </c>
      <c r="K204" s="49">
        <f>INDEX(active_delivery_payroll_m1m12,10)*calc_scn_cost_m10</f>
        <v>0</v>
      </c>
      <c r="L204" s="49">
        <f>INDEX(active_delivery_payroll_m1m12,11)*calc_scn_cost_m11</f>
        <v>0</v>
      </c>
      <c r="M204" s="49">
        <f>INDEX(active_delivery_payroll_m1m12,12)*calc_scn_cost_m12</f>
        <v>0</v>
      </c>
      <c r="N204" s="50">
        <f t="shared" si="5"/>
        <v>0</v>
      </c>
      <c r="O204" s="1"/>
      <c r="P204" s="1"/>
    </row>
    <row r="205" spans="1:96" x14ac:dyDescent="0.2">
      <c r="A205" s="48" t="s">
        <v>94</v>
      </c>
      <c r="B205" s="49">
        <f>_xlfn.SINGLE(INDEX(inp_dc_contractors_m1m12,1))*calc_scn_cost_m1</f>
        <v>0</v>
      </c>
      <c r="C205" s="49">
        <f>_xlfn.SINGLE(INDEX(inp_dc_contractors_m1m12,2))*calc_scn_cost_m2</f>
        <v>0</v>
      </c>
      <c r="D205" s="49">
        <f>_xlfn.SINGLE(INDEX(inp_dc_contractors_m1m12,3))*calc_scn_cost_m3</f>
        <v>0</v>
      </c>
      <c r="E205" s="49">
        <f>_xlfn.SINGLE(INDEX(inp_dc_contractors_m1m12,4))*calc_scn_cost_m4</f>
        <v>0</v>
      </c>
      <c r="F205" s="49">
        <f>_xlfn.SINGLE(INDEX(inp_dc_contractors_m1m12,5))*calc_scn_cost_m5</f>
        <v>0</v>
      </c>
      <c r="G205" s="49">
        <f>_xlfn.SINGLE(INDEX(inp_dc_contractors_m1m12,6))*calc_scn_cost_m6</f>
        <v>0</v>
      </c>
      <c r="H205" s="49">
        <f>_xlfn.SINGLE(INDEX(inp_dc_contractors_m1m12,7))*calc_scn_cost_m7</f>
        <v>0</v>
      </c>
      <c r="I205" s="49">
        <f>_xlfn.SINGLE(INDEX(inp_dc_contractors_m1m12,8))*calc_scn_cost_m8</f>
        <v>0</v>
      </c>
      <c r="J205" s="49">
        <f>_xlfn.SINGLE(INDEX(inp_dc_contractors_m1m12,9))*calc_scn_cost_m9</f>
        <v>0</v>
      </c>
      <c r="K205" s="49">
        <f>_xlfn.SINGLE(INDEX(inp_dc_contractors_m1m12,10))*calc_scn_cost_m10</f>
        <v>0</v>
      </c>
      <c r="L205" s="49">
        <f>_xlfn.SINGLE(INDEX(inp_dc_contractors_m1m12,11))*calc_scn_cost_m11</f>
        <v>0</v>
      </c>
      <c r="M205" s="49">
        <f>_xlfn.SINGLE(INDEX(inp_dc_contractors_m1m12,12))*calc_scn_cost_m12</f>
        <v>0</v>
      </c>
      <c r="N205" s="50">
        <f t="shared" si="5"/>
        <v>0</v>
      </c>
      <c r="O205" s="1"/>
      <c r="P205" s="1"/>
    </row>
    <row r="206" spans="1:96" x14ac:dyDescent="0.2">
      <c r="A206" s="48" t="s">
        <v>95</v>
      </c>
      <c r="B206" s="49">
        <f>_xlfn.SINGLE(INDEX(inp_dc_tools_m1m12,1))*calc_scn_cost_m1</f>
        <v>0</v>
      </c>
      <c r="C206" s="49">
        <f>_xlfn.SINGLE(INDEX(inp_dc_tools_m1m12,2))*calc_scn_cost_m2</f>
        <v>0</v>
      </c>
      <c r="D206" s="49">
        <f>_xlfn.SINGLE(INDEX(inp_dc_tools_m1m12,3))*calc_scn_cost_m3</f>
        <v>0</v>
      </c>
      <c r="E206" s="49">
        <f>_xlfn.SINGLE(INDEX(inp_dc_tools_m1m12,4))*calc_scn_cost_m4</f>
        <v>0</v>
      </c>
      <c r="F206" s="49">
        <f>_xlfn.SINGLE(INDEX(inp_dc_tools_m1m12,5))*calc_scn_cost_m5</f>
        <v>0</v>
      </c>
      <c r="G206" s="49">
        <f>_xlfn.SINGLE(INDEX(inp_dc_tools_m1m12,6))*calc_scn_cost_m6</f>
        <v>0</v>
      </c>
      <c r="H206" s="49">
        <f>_xlfn.SINGLE(INDEX(inp_dc_tools_m1m12,7))*calc_scn_cost_m7</f>
        <v>0</v>
      </c>
      <c r="I206" s="49">
        <f>_xlfn.SINGLE(INDEX(inp_dc_tools_m1m12,8))*calc_scn_cost_m8</f>
        <v>0</v>
      </c>
      <c r="J206" s="49">
        <f>_xlfn.SINGLE(INDEX(inp_dc_tools_m1m12,9))*calc_scn_cost_m9</f>
        <v>0</v>
      </c>
      <c r="K206" s="49">
        <f>_xlfn.SINGLE(INDEX(inp_dc_tools_m1m12,10))*calc_scn_cost_m10</f>
        <v>0</v>
      </c>
      <c r="L206" s="49">
        <f>_xlfn.SINGLE(INDEX(inp_dc_tools_m1m12,11))*calc_scn_cost_m11</f>
        <v>0</v>
      </c>
      <c r="M206" s="49">
        <f>_xlfn.SINGLE(INDEX(inp_dc_tools_m1m12,12))*calc_scn_cost_m12</f>
        <v>0</v>
      </c>
      <c r="N206" s="50">
        <f t="shared" si="5"/>
        <v>0</v>
      </c>
      <c r="O206" s="1"/>
      <c r="P206" s="1"/>
    </row>
    <row r="207" spans="1:96" x14ac:dyDescent="0.2">
      <c r="A207" s="48" t="s">
        <v>96</v>
      </c>
      <c r="B207" s="49">
        <f>_xlfn.SINGLE(INDEX(inp_dc_passthrough_m1m12,1))*calc_scn_cost_m1</f>
        <v>0</v>
      </c>
      <c r="C207" s="49">
        <f>_xlfn.SINGLE(INDEX(inp_dc_passthrough_m1m12,2))*calc_scn_cost_m2</f>
        <v>0</v>
      </c>
      <c r="D207" s="49">
        <f>_xlfn.SINGLE(INDEX(inp_dc_passthrough_m1m12,3))*calc_scn_cost_m3</f>
        <v>0</v>
      </c>
      <c r="E207" s="49">
        <f>_xlfn.SINGLE(INDEX(inp_dc_passthrough_m1m12,4))*calc_scn_cost_m4</f>
        <v>0</v>
      </c>
      <c r="F207" s="49">
        <f>_xlfn.SINGLE(INDEX(inp_dc_passthrough_m1m12,5))*calc_scn_cost_m5</f>
        <v>0</v>
      </c>
      <c r="G207" s="49">
        <f>_xlfn.SINGLE(INDEX(inp_dc_passthrough_m1m12,6))*calc_scn_cost_m6</f>
        <v>0</v>
      </c>
      <c r="H207" s="49">
        <f>_xlfn.SINGLE(INDEX(inp_dc_passthrough_m1m12,7))*calc_scn_cost_m7</f>
        <v>0</v>
      </c>
      <c r="I207" s="49">
        <f>_xlfn.SINGLE(INDEX(inp_dc_passthrough_m1m12,8))*calc_scn_cost_m8</f>
        <v>0</v>
      </c>
      <c r="J207" s="49">
        <f>_xlfn.SINGLE(INDEX(inp_dc_passthrough_m1m12,9))*calc_scn_cost_m9</f>
        <v>0</v>
      </c>
      <c r="K207" s="49">
        <f>_xlfn.SINGLE(INDEX(inp_dc_passthrough_m1m12,10))*calc_scn_cost_m10</f>
        <v>0</v>
      </c>
      <c r="L207" s="49">
        <f>_xlfn.SINGLE(INDEX(inp_dc_passthrough_m1m12,11))*calc_scn_cost_m11</f>
        <v>0</v>
      </c>
      <c r="M207" s="49">
        <f>_xlfn.SINGLE(INDEX(inp_dc_passthrough_m1m12,12))*calc_scn_cost_m12</f>
        <v>0</v>
      </c>
      <c r="N207" s="50">
        <f t="shared" si="5"/>
        <v>0</v>
      </c>
      <c r="O207" s="1"/>
      <c r="P207" s="1"/>
    </row>
    <row r="208" spans="1:96" x14ac:dyDescent="0.2">
      <c r="A208" s="48" t="s">
        <v>97</v>
      </c>
      <c r="B208" s="49">
        <f>_xlfn.SINGLE(INDEX(inp_dc_other_dc_m1m12,1))*calc_scn_cost_m1</f>
        <v>0</v>
      </c>
      <c r="C208" s="49">
        <f>_xlfn.SINGLE(INDEX(inp_dc_other_dc_m1m12,2))*calc_scn_cost_m2</f>
        <v>0</v>
      </c>
      <c r="D208" s="49">
        <f>_xlfn.SINGLE(INDEX(inp_dc_other_dc_m1m12,3))*calc_scn_cost_m3</f>
        <v>0</v>
      </c>
      <c r="E208" s="49">
        <f>_xlfn.SINGLE(INDEX(inp_dc_other_dc_m1m12,4))*calc_scn_cost_m4</f>
        <v>0</v>
      </c>
      <c r="F208" s="49">
        <f>_xlfn.SINGLE(INDEX(inp_dc_other_dc_m1m12,5))*calc_scn_cost_m5</f>
        <v>0</v>
      </c>
      <c r="G208" s="49">
        <f>_xlfn.SINGLE(INDEX(inp_dc_other_dc_m1m12,6))*calc_scn_cost_m6</f>
        <v>0</v>
      </c>
      <c r="H208" s="49">
        <f>_xlfn.SINGLE(INDEX(inp_dc_other_dc_m1m12,7))*calc_scn_cost_m7</f>
        <v>0</v>
      </c>
      <c r="I208" s="49">
        <f>_xlfn.SINGLE(INDEX(inp_dc_other_dc_m1m12,8))*calc_scn_cost_m8</f>
        <v>0</v>
      </c>
      <c r="J208" s="49">
        <f>_xlfn.SINGLE(INDEX(inp_dc_other_dc_m1m12,9))*calc_scn_cost_m9</f>
        <v>0</v>
      </c>
      <c r="K208" s="49">
        <f>_xlfn.SINGLE(INDEX(inp_dc_other_dc_m1m12,10))*calc_scn_cost_m10</f>
        <v>0</v>
      </c>
      <c r="L208" s="49">
        <f>_xlfn.SINGLE(INDEX(inp_dc_other_dc_m1m12,11))*calc_scn_cost_m11</f>
        <v>0</v>
      </c>
      <c r="M208" s="49">
        <f>_xlfn.SINGLE(INDEX(inp_dc_other_dc_m1m12,12))*calc_scn_cost_m12</f>
        <v>0</v>
      </c>
      <c r="N208" s="50">
        <f t="shared" si="5"/>
        <v>0</v>
      </c>
      <c r="O208" s="1"/>
      <c r="P208" s="1"/>
    </row>
    <row r="209" spans="1:16" x14ac:dyDescent="0.2">
      <c r="A209" s="48" t="s">
        <v>98</v>
      </c>
      <c r="B209" s="49">
        <f>calc_dc_payroll_m1+calc_dc_contractors_m1+calc_dc_tools_m1+calc_dc_passthrough_m1+calc_dc_other_dc_m1</f>
        <v>0</v>
      </c>
      <c r="C209" s="49">
        <f>calc_dc_payroll_m2+calc_dc_contractors_m2+calc_dc_tools_m2+calc_dc_passthrough_m2+calc_dc_other_dc_m2</f>
        <v>0</v>
      </c>
      <c r="D209" s="49">
        <f>calc_dc_payroll_m3+calc_dc_contractors_m3+calc_dc_tools_m3+calc_dc_passthrough_m3+calc_dc_other_dc_m3</f>
        <v>0</v>
      </c>
      <c r="E209" s="49">
        <f>calc_dc_payroll_m4+calc_dc_contractors_m4+calc_dc_tools_m4+calc_dc_passthrough_m4+calc_dc_other_dc_m4</f>
        <v>0</v>
      </c>
      <c r="F209" s="49">
        <f>calc_dc_payroll_m5+calc_dc_contractors_m5+calc_dc_tools_m5+calc_dc_passthrough_m5+calc_dc_other_dc_m5</f>
        <v>0</v>
      </c>
      <c r="G209" s="49">
        <f>calc_dc_payroll_m6+calc_dc_contractors_m6+calc_dc_tools_m6+calc_dc_passthrough_m6+calc_dc_other_dc_m6</f>
        <v>0</v>
      </c>
      <c r="H209" s="49">
        <f>calc_dc_payroll_m7+calc_dc_contractors_m7+calc_dc_tools_m7+calc_dc_passthrough_m7+calc_dc_other_dc_m7</f>
        <v>0</v>
      </c>
      <c r="I209" s="49">
        <f>calc_dc_payroll_m8+calc_dc_contractors_m8+calc_dc_tools_m8+calc_dc_passthrough_m8+calc_dc_other_dc_m8</f>
        <v>0</v>
      </c>
      <c r="J209" s="49">
        <f>calc_dc_payroll_m9+calc_dc_contractors_m9+calc_dc_tools_m9+calc_dc_passthrough_m9+calc_dc_other_dc_m9</f>
        <v>0</v>
      </c>
      <c r="K209" s="49">
        <f>calc_dc_payroll_m10+calc_dc_contractors_m10+calc_dc_tools_m10+calc_dc_passthrough_m10+calc_dc_other_dc_m10</f>
        <v>0</v>
      </c>
      <c r="L209" s="49">
        <f>calc_dc_payroll_m11+calc_dc_contractors_m11+calc_dc_tools_m11+calc_dc_passthrough_m11+calc_dc_other_dc_m11</f>
        <v>0</v>
      </c>
      <c r="M209" s="49">
        <f>calc_dc_payroll_m12+calc_dc_contractors_m12+calc_dc_tools_m12+calc_dc_passthrough_m12+calc_dc_other_dc_m12</f>
        <v>0</v>
      </c>
      <c r="N209" s="50">
        <f t="shared" si="5"/>
        <v>0</v>
      </c>
      <c r="O209" s="1"/>
      <c r="P209" s="1"/>
    </row>
    <row r="210" spans="1:16" x14ac:dyDescent="0.2">
      <c r="A210" s="48" t="s">
        <v>31</v>
      </c>
      <c r="B210" s="49">
        <f>calc_rev_total_m1-calc_dc_total_m1</f>
        <v>0</v>
      </c>
      <c r="C210" s="49">
        <f>calc_rev_total_m2-calc_dc_total_m2</f>
        <v>0</v>
      </c>
      <c r="D210" s="49">
        <f>calc_rev_total_m3-calc_dc_total_m3</f>
        <v>0</v>
      </c>
      <c r="E210" s="49">
        <f>calc_rev_total_m4-calc_dc_total_m4</f>
        <v>0</v>
      </c>
      <c r="F210" s="49">
        <f>calc_rev_total_m5-calc_dc_total_m5</f>
        <v>0</v>
      </c>
      <c r="G210" s="49">
        <f>calc_rev_total_m6-calc_dc_total_m6</f>
        <v>0</v>
      </c>
      <c r="H210" s="49">
        <f>calc_rev_total_m7-calc_dc_total_m7</f>
        <v>0</v>
      </c>
      <c r="I210" s="49">
        <f>calc_rev_total_m8-calc_dc_total_m8</f>
        <v>0</v>
      </c>
      <c r="J210" s="49">
        <f>calc_rev_total_m9-calc_dc_total_m9</f>
        <v>0</v>
      </c>
      <c r="K210" s="49">
        <f>calc_rev_total_m10-calc_dc_total_m10</f>
        <v>0</v>
      </c>
      <c r="L210" s="49">
        <f>calc_rev_total_m11-calc_dc_total_m11</f>
        <v>0</v>
      </c>
      <c r="M210" s="49">
        <f>calc_rev_total_m12-calc_dc_total_m12</f>
        <v>0</v>
      </c>
      <c r="N210" s="50">
        <f t="shared" si="5"/>
        <v>0</v>
      </c>
      <c r="O210" s="1"/>
      <c r="P210" s="1"/>
    </row>
    <row r="211" spans="1:16" x14ac:dyDescent="0.2">
      <c r="A211" s="48" t="s">
        <v>99</v>
      </c>
      <c r="B211" s="51">
        <f>IFERROR(calc_gp_m1/calc_rev_total_m1,0)</f>
        <v>0</v>
      </c>
      <c r="C211" s="51">
        <f>IFERROR(calc_gp_m2/calc_rev_total_m2,0)</f>
        <v>0</v>
      </c>
      <c r="D211" s="51">
        <f>IFERROR(calc_gp_m3/calc_rev_total_m3,0)</f>
        <v>0</v>
      </c>
      <c r="E211" s="51">
        <f>IFERROR(calc_gp_m4/calc_rev_total_m4,0)</f>
        <v>0</v>
      </c>
      <c r="F211" s="51">
        <f>IFERROR(calc_gp_m5/calc_rev_total_m5,0)</f>
        <v>0</v>
      </c>
      <c r="G211" s="51">
        <f>IFERROR(calc_gp_m6/calc_rev_total_m6,0)</f>
        <v>0</v>
      </c>
      <c r="H211" s="51">
        <f>IFERROR(calc_gp_m7/calc_rev_total_m7,0)</f>
        <v>0</v>
      </c>
      <c r="I211" s="51">
        <f>IFERROR(calc_gp_m8/calc_rev_total_m8,0)</f>
        <v>0</v>
      </c>
      <c r="J211" s="51">
        <f>IFERROR(calc_gp_m9/calc_rev_total_m9,0)</f>
        <v>0</v>
      </c>
      <c r="K211" s="51">
        <f>IFERROR(calc_gp_m10/calc_rev_total_m10,0)</f>
        <v>0</v>
      </c>
      <c r="L211" s="51">
        <f>IFERROR(calc_gp_m11/calc_rev_total_m11,0)</f>
        <v>0</v>
      </c>
      <c r="M211" s="51">
        <f>IFERROR(calc_gp_m12/calc_rev_total_m12,0)</f>
        <v>0</v>
      </c>
      <c r="N211" s="52">
        <f>IFERROR(calc_gp_ann/calc_rev_total_ann,0)</f>
        <v>0</v>
      </c>
      <c r="O211" s="1"/>
      <c r="P211" s="1"/>
    </row>
    <row r="212" spans="1:16" x14ac:dyDescent="0.2">
      <c r="A212" s="48" t="s">
        <v>100</v>
      </c>
      <c r="B212" s="49">
        <f>INDEX(active_overhead_payroll_m1m12,1)*calc_scn_cost_m1</f>
        <v>0</v>
      </c>
      <c r="C212" s="49">
        <f>INDEX(active_overhead_payroll_m1m12,2)*calc_scn_cost_m2</f>
        <v>0</v>
      </c>
      <c r="D212" s="49">
        <f>INDEX(active_overhead_payroll_m1m12,3)*calc_scn_cost_m3</f>
        <v>0</v>
      </c>
      <c r="E212" s="49">
        <f>INDEX(active_overhead_payroll_m1m12,4)*calc_scn_cost_m4</f>
        <v>0</v>
      </c>
      <c r="F212" s="49">
        <f>INDEX(active_overhead_payroll_m1m12,5)*calc_scn_cost_m5</f>
        <v>0</v>
      </c>
      <c r="G212" s="49">
        <f>INDEX(active_overhead_payroll_m1m12,6)*calc_scn_cost_m6</f>
        <v>0</v>
      </c>
      <c r="H212" s="49">
        <f>INDEX(active_overhead_payroll_m1m12,7)*calc_scn_cost_m7</f>
        <v>0</v>
      </c>
      <c r="I212" s="49">
        <f>INDEX(active_overhead_payroll_m1m12,8)*calc_scn_cost_m8</f>
        <v>0</v>
      </c>
      <c r="J212" s="49">
        <f>INDEX(active_overhead_payroll_m1m12,9)*calc_scn_cost_m9</f>
        <v>0</v>
      </c>
      <c r="K212" s="49">
        <f>INDEX(active_overhead_payroll_m1m12,10)*calc_scn_cost_m10</f>
        <v>0</v>
      </c>
      <c r="L212" s="49">
        <f>INDEX(active_overhead_payroll_m1m12,11)*calc_scn_cost_m11</f>
        <v>0</v>
      </c>
      <c r="M212" s="49">
        <f>INDEX(active_overhead_payroll_m1m12,12)*calc_scn_cost_m12</f>
        <v>0</v>
      </c>
      <c r="N212" s="50">
        <f t="shared" ref="N212:N224" si="6">SUM(B212:M212)</f>
        <v>0</v>
      </c>
      <c r="O212" s="1"/>
      <c r="P212" s="1"/>
    </row>
    <row r="213" spans="1:16" x14ac:dyDescent="0.2">
      <c r="A213" s="48" t="s">
        <v>101</v>
      </c>
      <c r="B213" s="49">
        <f>INDEX(active_ox_rent_m1m12,1)*calc_scn_cost_m1</f>
        <v>0</v>
      </c>
      <c r="C213" s="49">
        <f>INDEX(active_ox_rent_m1m12,2)*calc_scn_cost_m2</f>
        <v>0</v>
      </c>
      <c r="D213" s="49">
        <f>INDEX(active_ox_rent_m1m12,3)*calc_scn_cost_m3</f>
        <v>0</v>
      </c>
      <c r="E213" s="49">
        <f>INDEX(active_ox_rent_m1m12,4)*calc_scn_cost_m4</f>
        <v>0</v>
      </c>
      <c r="F213" s="49">
        <f>INDEX(active_ox_rent_m1m12,5)*calc_scn_cost_m5</f>
        <v>0</v>
      </c>
      <c r="G213" s="49">
        <f>INDEX(active_ox_rent_m1m12,6)*calc_scn_cost_m6</f>
        <v>0</v>
      </c>
      <c r="H213" s="49">
        <f>INDEX(active_ox_rent_m1m12,7)*calc_scn_cost_m7</f>
        <v>0</v>
      </c>
      <c r="I213" s="49">
        <f>INDEX(active_ox_rent_m1m12,8)*calc_scn_cost_m8</f>
        <v>0</v>
      </c>
      <c r="J213" s="49">
        <f>INDEX(active_ox_rent_m1m12,9)*calc_scn_cost_m9</f>
        <v>0</v>
      </c>
      <c r="K213" s="49">
        <f>INDEX(active_ox_rent_m1m12,10)*calc_scn_cost_m10</f>
        <v>0</v>
      </c>
      <c r="L213" s="49">
        <f>INDEX(active_ox_rent_m1m12,11)*calc_scn_cost_m11</f>
        <v>0</v>
      </c>
      <c r="M213" s="49">
        <f>INDEX(active_ox_rent_m1m12,12)*calc_scn_cost_m12</f>
        <v>0</v>
      </c>
      <c r="N213" s="50">
        <f t="shared" si="6"/>
        <v>0</v>
      </c>
      <c r="O213" s="1"/>
      <c r="P213" s="1"/>
    </row>
    <row r="214" spans="1:16" x14ac:dyDescent="0.2">
      <c r="A214" s="48" t="s">
        <v>102</v>
      </c>
      <c r="B214" s="49">
        <f>INDEX(active_ox_software_m1m12,1)*calc_scn_cost_m1</f>
        <v>0</v>
      </c>
      <c r="C214" s="49">
        <f>INDEX(active_ox_software_m1m12,2)*calc_scn_cost_m2</f>
        <v>0</v>
      </c>
      <c r="D214" s="49">
        <f>INDEX(active_ox_software_m1m12,3)*calc_scn_cost_m3</f>
        <v>0</v>
      </c>
      <c r="E214" s="49">
        <f>INDEX(active_ox_software_m1m12,4)*calc_scn_cost_m4</f>
        <v>0</v>
      </c>
      <c r="F214" s="49">
        <f>INDEX(active_ox_software_m1m12,5)*calc_scn_cost_m5</f>
        <v>0</v>
      </c>
      <c r="G214" s="49">
        <f>INDEX(active_ox_software_m1m12,6)*calc_scn_cost_m6</f>
        <v>0</v>
      </c>
      <c r="H214" s="49">
        <f>INDEX(active_ox_software_m1m12,7)*calc_scn_cost_m7</f>
        <v>0</v>
      </c>
      <c r="I214" s="49">
        <f>INDEX(active_ox_software_m1m12,8)*calc_scn_cost_m8</f>
        <v>0</v>
      </c>
      <c r="J214" s="49">
        <f>INDEX(active_ox_software_m1m12,9)*calc_scn_cost_m9</f>
        <v>0</v>
      </c>
      <c r="K214" s="49">
        <f>INDEX(active_ox_software_m1m12,10)*calc_scn_cost_m10</f>
        <v>0</v>
      </c>
      <c r="L214" s="49">
        <f>INDEX(active_ox_software_m1m12,11)*calc_scn_cost_m11</f>
        <v>0</v>
      </c>
      <c r="M214" s="49">
        <f>INDEX(active_ox_software_m1m12,12)*calc_scn_cost_m12</f>
        <v>0</v>
      </c>
      <c r="N214" s="50">
        <f t="shared" si="6"/>
        <v>0</v>
      </c>
      <c r="O214" s="1"/>
      <c r="P214" s="1"/>
    </row>
    <row r="215" spans="1:16" x14ac:dyDescent="0.2">
      <c r="A215" s="48" t="s">
        <v>103</v>
      </c>
      <c r="B215" s="49">
        <f>INDEX(active_ox_sales_mktg_m1m12,1)*calc_scn_cost_m1</f>
        <v>0</v>
      </c>
      <c r="C215" s="49">
        <f>INDEX(active_ox_sales_mktg_m1m12,2)*calc_scn_cost_m2</f>
        <v>0</v>
      </c>
      <c r="D215" s="49">
        <f>INDEX(active_ox_sales_mktg_m1m12,3)*calc_scn_cost_m3</f>
        <v>0</v>
      </c>
      <c r="E215" s="49">
        <f>INDEX(active_ox_sales_mktg_m1m12,4)*calc_scn_cost_m4</f>
        <v>0</v>
      </c>
      <c r="F215" s="49">
        <f>INDEX(active_ox_sales_mktg_m1m12,5)*calc_scn_cost_m5</f>
        <v>0</v>
      </c>
      <c r="G215" s="49">
        <f>INDEX(active_ox_sales_mktg_m1m12,6)*calc_scn_cost_m6</f>
        <v>0</v>
      </c>
      <c r="H215" s="49">
        <f>INDEX(active_ox_sales_mktg_m1m12,7)*calc_scn_cost_m7</f>
        <v>0</v>
      </c>
      <c r="I215" s="49">
        <f>INDEX(active_ox_sales_mktg_m1m12,8)*calc_scn_cost_m8</f>
        <v>0</v>
      </c>
      <c r="J215" s="49">
        <f>INDEX(active_ox_sales_mktg_m1m12,9)*calc_scn_cost_m9</f>
        <v>0</v>
      </c>
      <c r="K215" s="49">
        <f>INDEX(active_ox_sales_mktg_m1m12,10)*calc_scn_cost_m10</f>
        <v>0</v>
      </c>
      <c r="L215" s="49">
        <f>INDEX(active_ox_sales_mktg_m1m12,11)*calc_scn_cost_m11</f>
        <v>0</v>
      </c>
      <c r="M215" s="49">
        <f>INDEX(active_ox_sales_mktg_m1m12,12)*calc_scn_cost_m12</f>
        <v>0</v>
      </c>
      <c r="N215" s="50">
        <f t="shared" si="6"/>
        <v>0</v>
      </c>
      <c r="O215" s="1"/>
      <c r="P215" s="1"/>
    </row>
    <row r="216" spans="1:16" x14ac:dyDescent="0.2">
      <c r="A216" s="48" t="s">
        <v>104</v>
      </c>
      <c r="B216" s="49">
        <f>INDEX(active_ox_prof_fees_m1m12,1)*calc_scn_cost_m1</f>
        <v>0</v>
      </c>
      <c r="C216" s="49">
        <f>INDEX(active_ox_prof_fees_m1m12,2)*calc_scn_cost_m2</f>
        <v>0</v>
      </c>
      <c r="D216" s="49">
        <f>INDEX(active_ox_prof_fees_m1m12,3)*calc_scn_cost_m3</f>
        <v>0</v>
      </c>
      <c r="E216" s="49">
        <f>INDEX(active_ox_prof_fees_m1m12,4)*calc_scn_cost_m4</f>
        <v>0</v>
      </c>
      <c r="F216" s="49">
        <f>INDEX(active_ox_prof_fees_m1m12,5)*calc_scn_cost_m5</f>
        <v>0</v>
      </c>
      <c r="G216" s="49">
        <f>INDEX(active_ox_prof_fees_m1m12,6)*calc_scn_cost_m6</f>
        <v>0</v>
      </c>
      <c r="H216" s="49">
        <f>INDEX(active_ox_prof_fees_m1m12,7)*calc_scn_cost_m7</f>
        <v>0</v>
      </c>
      <c r="I216" s="49">
        <f>INDEX(active_ox_prof_fees_m1m12,8)*calc_scn_cost_m8</f>
        <v>0</v>
      </c>
      <c r="J216" s="49">
        <f>INDEX(active_ox_prof_fees_m1m12,9)*calc_scn_cost_m9</f>
        <v>0</v>
      </c>
      <c r="K216" s="49">
        <f>INDEX(active_ox_prof_fees_m1m12,10)*calc_scn_cost_m10</f>
        <v>0</v>
      </c>
      <c r="L216" s="49">
        <f>INDEX(active_ox_prof_fees_m1m12,11)*calc_scn_cost_m11</f>
        <v>0</v>
      </c>
      <c r="M216" s="49">
        <f>INDEX(active_ox_prof_fees_m1m12,12)*calc_scn_cost_m12</f>
        <v>0</v>
      </c>
      <c r="N216" s="50">
        <f t="shared" si="6"/>
        <v>0</v>
      </c>
      <c r="O216" s="1"/>
      <c r="P216" s="1"/>
    </row>
    <row r="217" spans="1:16" x14ac:dyDescent="0.2">
      <c r="A217" s="48" t="s">
        <v>105</v>
      </c>
      <c r="B217" s="49">
        <f>INDEX(active_ox_insurance_m1m12,1)*calc_scn_cost_m1</f>
        <v>0</v>
      </c>
      <c r="C217" s="49">
        <f>INDEX(active_ox_insurance_m1m12,2)*calc_scn_cost_m2</f>
        <v>0</v>
      </c>
      <c r="D217" s="49">
        <f>INDEX(active_ox_insurance_m1m12,3)*calc_scn_cost_m3</f>
        <v>0</v>
      </c>
      <c r="E217" s="49">
        <f>INDEX(active_ox_insurance_m1m12,4)*calc_scn_cost_m4</f>
        <v>0</v>
      </c>
      <c r="F217" s="49">
        <f>INDEX(active_ox_insurance_m1m12,5)*calc_scn_cost_m5</f>
        <v>0</v>
      </c>
      <c r="G217" s="49">
        <f>INDEX(active_ox_insurance_m1m12,6)*calc_scn_cost_m6</f>
        <v>0</v>
      </c>
      <c r="H217" s="49">
        <f>INDEX(active_ox_insurance_m1m12,7)*calc_scn_cost_m7</f>
        <v>0</v>
      </c>
      <c r="I217" s="49">
        <f>INDEX(active_ox_insurance_m1m12,8)*calc_scn_cost_m8</f>
        <v>0</v>
      </c>
      <c r="J217" s="49">
        <f>INDEX(active_ox_insurance_m1m12,9)*calc_scn_cost_m9</f>
        <v>0</v>
      </c>
      <c r="K217" s="49">
        <f>INDEX(active_ox_insurance_m1m12,10)*calc_scn_cost_m10</f>
        <v>0</v>
      </c>
      <c r="L217" s="49">
        <f>INDEX(active_ox_insurance_m1m12,11)*calc_scn_cost_m11</f>
        <v>0</v>
      </c>
      <c r="M217" s="49">
        <f>INDEX(active_ox_insurance_m1m12,12)*calc_scn_cost_m12</f>
        <v>0</v>
      </c>
      <c r="N217" s="50">
        <f t="shared" si="6"/>
        <v>0</v>
      </c>
      <c r="O217" s="1"/>
      <c r="P217" s="1"/>
    </row>
    <row r="218" spans="1:16" x14ac:dyDescent="0.2">
      <c r="A218" s="48" t="s">
        <v>106</v>
      </c>
      <c r="B218" s="49">
        <f>INDEX(active_ox_travel_m1m12,1)*calc_scn_cost_m1</f>
        <v>0</v>
      </c>
      <c r="C218" s="49">
        <f>INDEX(active_ox_travel_m1m12,2)*calc_scn_cost_m2</f>
        <v>0</v>
      </c>
      <c r="D218" s="49">
        <f>INDEX(active_ox_travel_m1m12,3)*calc_scn_cost_m3</f>
        <v>0</v>
      </c>
      <c r="E218" s="49">
        <f>INDEX(active_ox_travel_m1m12,4)*calc_scn_cost_m4</f>
        <v>0</v>
      </c>
      <c r="F218" s="49">
        <f>INDEX(active_ox_travel_m1m12,5)*calc_scn_cost_m5</f>
        <v>0</v>
      </c>
      <c r="G218" s="49">
        <f>INDEX(active_ox_travel_m1m12,6)*calc_scn_cost_m6</f>
        <v>0</v>
      </c>
      <c r="H218" s="49">
        <f>INDEX(active_ox_travel_m1m12,7)*calc_scn_cost_m7</f>
        <v>0</v>
      </c>
      <c r="I218" s="49">
        <f>INDEX(active_ox_travel_m1m12,8)*calc_scn_cost_m8</f>
        <v>0</v>
      </c>
      <c r="J218" s="49">
        <f>INDEX(active_ox_travel_m1m12,9)*calc_scn_cost_m9</f>
        <v>0</v>
      </c>
      <c r="K218" s="49">
        <f>INDEX(active_ox_travel_m1m12,10)*calc_scn_cost_m10</f>
        <v>0</v>
      </c>
      <c r="L218" s="49">
        <f>INDEX(active_ox_travel_m1m12,11)*calc_scn_cost_m11</f>
        <v>0</v>
      </c>
      <c r="M218" s="49">
        <f>INDEX(active_ox_travel_m1m12,12)*calc_scn_cost_m12</f>
        <v>0</v>
      </c>
      <c r="N218" s="50">
        <f t="shared" si="6"/>
        <v>0</v>
      </c>
      <c r="O218" s="1"/>
      <c r="P218" s="1"/>
    </row>
    <row r="219" spans="1:16" x14ac:dyDescent="0.2">
      <c r="A219" s="48" t="s">
        <v>107</v>
      </c>
      <c r="B219" s="49">
        <f>INDEX(active_ox_comms_m1m12,1)*calc_scn_cost_m1</f>
        <v>0</v>
      </c>
      <c r="C219" s="49">
        <f>INDEX(active_ox_comms_m1m12,2)*calc_scn_cost_m2</f>
        <v>0</v>
      </c>
      <c r="D219" s="49">
        <f>INDEX(active_ox_comms_m1m12,3)*calc_scn_cost_m3</f>
        <v>0</v>
      </c>
      <c r="E219" s="49">
        <f>INDEX(active_ox_comms_m1m12,4)*calc_scn_cost_m4</f>
        <v>0</v>
      </c>
      <c r="F219" s="49">
        <f>INDEX(active_ox_comms_m1m12,5)*calc_scn_cost_m5</f>
        <v>0</v>
      </c>
      <c r="G219" s="49">
        <f>INDEX(active_ox_comms_m1m12,6)*calc_scn_cost_m6</f>
        <v>0</v>
      </c>
      <c r="H219" s="49">
        <f>INDEX(active_ox_comms_m1m12,7)*calc_scn_cost_m7</f>
        <v>0</v>
      </c>
      <c r="I219" s="49">
        <f>INDEX(active_ox_comms_m1m12,8)*calc_scn_cost_m8</f>
        <v>0</v>
      </c>
      <c r="J219" s="49">
        <f>INDEX(active_ox_comms_m1m12,9)*calc_scn_cost_m9</f>
        <v>0</v>
      </c>
      <c r="K219" s="49">
        <f>INDEX(active_ox_comms_m1m12,10)*calc_scn_cost_m10</f>
        <v>0</v>
      </c>
      <c r="L219" s="49">
        <f>INDEX(active_ox_comms_m1m12,11)*calc_scn_cost_m11</f>
        <v>0</v>
      </c>
      <c r="M219" s="49">
        <f>INDEX(active_ox_comms_m1m12,12)*calc_scn_cost_m12</f>
        <v>0</v>
      </c>
      <c r="N219" s="50">
        <f t="shared" si="6"/>
        <v>0</v>
      </c>
      <c r="O219" s="1"/>
      <c r="P219" s="1"/>
    </row>
    <row r="220" spans="1:16" x14ac:dyDescent="0.2">
      <c r="A220" s="48" t="s">
        <v>108</v>
      </c>
      <c r="B220" s="49">
        <f>INDEX(active_ox_other_ox_m1m12,1)*calc_scn_cost_m1</f>
        <v>0</v>
      </c>
      <c r="C220" s="49">
        <f>INDEX(active_ox_other_ox_m1m12,2)*calc_scn_cost_m2</f>
        <v>0</v>
      </c>
      <c r="D220" s="49">
        <f>INDEX(active_ox_other_ox_m1m12,3)*calc_scn_cost_m3</f>
        <v>0</v>
      </c>
      <c r="E220" s="49">
        <f>INDEX(active_ox_other_ox_m1m12,4)*calc_scn_cost_m4</f>
        <v>0</v>
      </c>
      <c r="F220" s="49">
        <f>INDEX(active_ox_other_ox_m1m12,5)*calc_scn_cost_m5</f>
        <v>0</v>
      </c>
      <c r="G220" s="49">
        <f>INDEX(active_ox_other_ox_m1m12,6)*calc_scn_cost_m6</f>
        <v>0</v>
      </c>
      <c r="H220" s="49">
        <f>INDEX(active_ox_other_ox_m1m12,7)*calc_scn_cost_m7</f>
        <v>0</v>
      </c>
      <c r="I220" s="49">
        <f>INDEX(active_ox_other_ox_m1m12,8)*calc_scn_cost_m8</f>
        <v>0</v>
      </c>
      <c r="J220" s="49">
        <f>INDEX(active_ox_other_ox_m1m12,9)*calc_scn_cost_m9</f>
        <v>0</v>
      </c>
      <c r="K220" s="49">
        <f>INDEX(active_ox_other_ox_m1m12,10)*calc_scn_cost_m10</f>
        <v>0</v>
      </c>
      <c r="L220" s="49">
        <f>INDEX(active_ox_other_ox_m1m12,11)*calc_scn_cost_m11</f>
        <v>0</v>
      </c>
      <c r="M220" s="49">
        <f>INDEX(active_ox_other_ox_m1m12,12)*calc_scn_cost_m12</f>
        <v>0</v>
      </c>
      <c r="N220" s="50">
        <f t="shared" si="6"/>
        <v>0</v>
      </c>
      <c r="O220" s="1"/>
      <c r="P220" s="1"/>
    </row>
    <row r="221" spans="1:16" x14ac:dyDescent="0.2">
      <c r="A221" s="48" t="s">
        <v>109</v>
      </c>
      <c r="B221" s="49">
        <f>calc_rev_total_m1*inp_ox_commission_pct</f>
        <v>0</v>
      </c>
      <c r="C221" s="49">
        <f>calc_rev_total_m2*inp_ox_commission_pct</f>
        <v>0</v>
      </c>
      <c r="D221" s="49">
        <f>calc_rev_total_m3*inp_ox_commission_pct</f>
        <v>0</v>
      </c>
      <c r="E221" s="49">
        <f>calc_rev_total_m4*inp_ox_commission_pct</f>
        <v>0</v>
      </c>
      <c r="F221" s="49">
        <f>calc_rev_total_m5*inp_ox_commission_pct</f>
        <v>0</v>
      </c>
      <c r="G221" s="49">
        <f>calc_rev_total_m6*inp_ox_commission_pct</f>
        <v>0</v>
      </c>
      <c r="H221" s="49">
        <f>calc_rev_total_m7*inp_ox_commission_pct</f>
        <v>0</v>
      </c>
      <c r="I221" s="49">
        <f>calc_rev_total_m8*inp_ox_commission_pct</f>
        <v>0</v>
      </c>
      <c r="J221" s="49">
        <f>calc_rev_total_m9*inp_ox_commission_pct</f>
        <v>0</v>
      </c>
      <c r="K221" s="49">
        <f>calc_rev_total_m10*inp_ox_commission_pct</f>
        <v>0</v>
      </c>
      <c r="L221" s="49">
        <f>calc_rev_total_m11*inp_ox_commission_pct</f>
        <v>0</v>
      </c>
      <c r="M221" s="49">
        <f>calc_rev_total_m12*inp_ox_commission_pct</f>
        <v>0</v>
      </c>
      <c r="N221" s="50">
        <f t="shared" si="6"/>
        <v>0</v>
      </c>
      <c r="O221" s="1"/>
      <c r="P221" s="1"/>
    </row>
    <row r="222" spans="1:16" x14ac:dyDescent="0.2">
      <c r="A222" s="48" t="s">
        <v>110</v>
      </c>
      <c r="B222" s="49">
        <f>calc_ox_insurance_m1+calc_ox_travel_m1+calc_ox_comms_m1+calc_ox_other_ox_m1+calc_ox_commission_m1</f>
        <v>0</v>
      </c>
      <c r="C222" s="49">
        <f>calc_ox_insurance_m2+calc_ox_travel_m2+calc_ox_comms_m2+calc_ox_other_ox_m2+calc_ox_commission_m2</f>
        <v>0</v>
      </c>
      <c r="D222" s="49">
        <f>calc_ox_insurance_m3+calc_ox_travel_m3+calc_ox_comms_m3+calc_ox_other_ox_m3+calc_ox_commission_m3</f>
        <v>0</v>
      </c>
      <c r="E222" s="49">
        <f>calc_ox_insurance_m4+calc_ox_travel_m4+calc_ox_comms_m4+calc_ox_other_ox_m4+calc_ox_commission_m4</f>
        <v>0</v>
      </c>
      <c r="F222" s="49">
        <f>calc_ox_insurance_m5+calc_ox_travel_m5+calc_ox_comms_m5+calc_ox_other_ox_m5+calc_ox_commission_m5</f>
        <v>0</v>
      </c>
      <c r="G222" s="49">
        <f>calc_ox_insurance_m6+calc_ox_travel_m6+calc_ox_comms_m6+calc_ox_other_ox_m6+calc_ox_commission_m6</f>
        <v>0</v>
      </c>
      <c r="H222" s="49">
        <f>calc_ox_insurance_m7+calc_ox_travel_m7+calc_ox_comms_m7+calc_ox_other_ox_m7+calc_ox_commission_m7</f>
        <v>0</v>
      </c>
      <c r="I222" s="49">
        <f>calc_ox_insurance_m8+calc_ox_travel_m8+calc_ox_comms_m8+calc_ox_other_ox_m8+calc_ox_commission_m8</f>
        <v>0</v>
      </c>
      <c r="J222" s="49">
        <f>calc_ox_insurance_m9+calc_ox_travel_m9+calc_ox_comms_m9+calc_ox_other_ox_m9+calc_ox_commission_m9</f>
        <v>0</v>
      </c>
      <c r="K222" s="49">
        <f>calc_ox_insurance_m10+calc_ox_travel_m10+calc_ox_comms_m10+calc_ox_other_ox_m10+calc_ox_commission_m10</f>
        <v>0</v>
      </c>
      <c r="L222" s="49">
        <f>calc_ox_insurance_m11+calc_ox_travel_m11+calc_ox_comms_m11+calc_ox_other_ox_m11+calc_ox_commission_m11</f>
        <v>0</v>
      </c>
      <c r="M222" s="49">
        <f>calc_ox_insurance_m12+calc_ox_travel_m12+calc_ox_comms_m12+calc_ox_other_ox_m12+calc_ox_commission_m12</f>
        <v>0</v>
      </c>
      <c r="N222" s="50">
        <f t="shared" si="6"/>
        <v>0</v>
      </c>
      <c r="O222" s="1"/>
      <c r="P222" s="1"/>
    </row>
    <row r="223" spans="1:16" x14ac:dyDescent="0.2">
      <c r="A223" s="48" t="s">
        <v>111</v>
      </c>
      <c r="B223" s="49">
        <f>calc_ox_payroll_m1+calc_ox_rent_m1+calc_ox_software_m1+calc_ox_sales_mktg_m1+calc_ox_prof_fees_m1+calc_ox_other_bundle_m1</f>
        <v>0</v>
      </c>
      <c r="C223" s="49">
        <f>calc_ox_payroll_m2+calc_ox_rent_m2+calc_ox_software_m2+calc_ox_sales_mktg_m2+calc_ox_prof_fees_m2+calc_ox_other_bundle_m2</f>
        <v>0</v>
      </c>
      <c r="D223" s="49">
        <f>calc_ox_payroll_m3+calc_ox_rent_m3+calc_ox_software_m3+calc_ox_sales_mktg_m3+calc_ox_prof_fees_m3+calc_ox_other_bundle_m3</f>
        <v>0</v>
      </c>
      <c r="E223" s="49">
        <f>calc_ox_payroll_m4+calc_ox_rent_m4+calc_ox_software_m4+calc_ox_sales_mktg_m4+calc_ox_prof_fees_m4+calc_ox_other_bundle_m4</f>
        <v>0</v>
      </c>
      <c r="F223" s="49">
        <f>calc_ox_payroll_m5+calc_ox_rent_m5+calc_ox_software_m5+calc_ox_sales_mktg_m5+calc_ox_prof_fees_m5+calc_ox_other_bundle_m5</f>
        <v>0</v>
      </c>
      <c r="G223" s="49">
        <f>calc_ox_payroll_m6+calc_ox_rent_m6+calc_ox_software_m6+calc_ox_sales_mktg_m6+calc_ox_prof_fees_m6+calc_ox_other_bundle_m6</f>
        <v>0</v>
      </c>
      <c r="H223" s="49">
        <f>calc_ox_payroll_m7+calc_ox_rent_m7+calc_ox_software_m7+calc_ox_sales_mktg_m7+calc_ox_prof_fees_m7+calc_ox_other_bundle_m7</f>
        <v>0</v>
      </c>
      <c r="I223" s="49">
        <f>calc_ox_payroll_m8+calc_ox_rent_m8+calc_ox_software_m8+calc_ox_sales_mktg_m8+calc_ox_prof_fees_m8+calc_ox_other_bundle_m8</f>
        <v>0</v>
      </c>
      <c r="J223" s="49">
        <f>calc_ox_payroll_m9+calc_ox_rent_m9+calc_ox_software_m9+calc_ox_sales_mktg_m9+calc_ox_prof_fees_m9+calc_ox_other_bundle_m9</f>
        <v>0</v>
      </c>
      <c r="K223" s="49">
        <f>calc_ox_payroll_m10+calc_ox_rent_m10+calc_ox_software_m10+calc_ox_sales_mktg_m10+calc_ox_prof_fees_m10+calc_ox_other_bundle_m10</f>
        <v>0</v>
      </c>
      <c r="L223" s="49">
        <f>calc_ox_payroll_m11+calc_ox_rent_m11+calc_ox_software_m11+calc_ox_sales_mktg_m11+calc_ox_prof_fees_m11+calc_ox_other_bundle_m11</f>
        <v>0</v>
      </c>
      <c r="M223" s="49">
        <f>calc_ox_payroll_m12+calc_ox_rent_m12+calc_ox_software_m12+calc_ox_sales_mktg_m12+calc_ox_prof_fees_m12+calc_ox_other_bundle_m12</f>
        <v>0</v>
      </c>
      <c r="N223" s="50">
        <f t="shared" si="6"/>
        <v>0</v>
      </c>
      <c r="O223" s="1"/>
      <c r="P223" s="1"/>
    </row>
    <row r="224" spans="1:16" x14ac:dyDescent="0.2">
      <c r="A224" s="48" t="s">
        <v>33</v>
      </c>
      <c r="B224" s="49">
        <f>calc_gp_m1-calc_ox_total_m1</f>
        <v>0</v>
      </c>
      <c r="C224" s="49">
        <f>calc_gp_m2-calc_ox_total_m2</f>
        <v>0</v>
      </c>
      <c r="D224" s="49">
        <f>calc_gp_m3-calc_ox_total_m3</f>
        <v>0</v>
      </c>
      <c r="E224" s="49">
        <f>calc_gp_m4-calc_ox_total_m4</f>
        <v>0</v>
      </c>
      <c r="F224" s="49">
        <f>calc_gp_m5-calc_ox_total_m5</f>
        <v>0</v>
      </c>
      <c r="G224" s="49">
        <f>calc_gp_m6-calc_ox_total_m6</f>
        <v>0</v>
      </c>
      <c r="H224" s="49">
        <f>calc_gp_m7-calc_ox_total_m7</f>
        <v>0</v>
      </c>
      <c r="I224" s="49">
        <f>calc_gp_m8-calc_ox_total_m8</f>
        <v>0</v>
      </c>
      <c r="J224" s="49">
        <f>calc_gp_m9-calc_ox_total_m9</f>
        <v>0</v>
      </c>
      <c r="K224" s="49">
        <f>calc_gp_m10-calc_ox_total_m10</f>
        <v>0</v>
      </c>
      <c r="L224" s="49">
        <f>calc_gp_m11-calc_ox_total_m11</f>
        <v>0</v>
      </c>
      <c r="M224" s="49">
        <f>calc_gp_m12-calc_ox_total_m12</f>
        <v>0</v>
      </c>
      <c r="N224" s="50">
        <f t="shared" si="6"/>
        <v>0</v>
      </c>
      <c r="O224" s="1"/>
      <c r="P224" s="1"/>
    </row>
    <row r="225" spans="1:16" x14ac:dyDescent="0.2">
      <c r="A225" s="48" t="s">
        <v>10</v>
      </c>
      <c r="B225" s="51">
        <f>IFERROR(calc_ebitda_m1/calc_rev_total_m1,0)</f>
        <v>0</v>
      </c>
      <c r="C225" s="51">
        <f>IFERROR(calc_ebitda_m2/calc_rev_total_m2,0)</f>
        <v>0</v>
      </c>
      <c r="D225" s="51">
        <f>IFERROR(calc_ebitda_m3/calc_rev_total_m3,0)</f>
        <v>0</v>
      </c>
      <c r="E225" s="51">
        <f>IFERROR(calc_ebitda_m4/calc_rev_total_m4,0)</f>
        <v>0</v>
      </c>
      <c r="F225" s="51">
        <f>IFERROR(calc_ebitda_m5/calc_rev_total_m5,0)</f>
        <v>0</v>
      </c>
      <c r="G225" s="51">
        <f>IFERROR(calc_ebitda_m6/calc_rev_total_m6,0)</f>
        <v>0</v>
      </c>
      <c r="H225" s="51">
        <f>IFERROR(calc_ebitda_m7/calc_rev_total_m7,0)</f>
        <v>0</v>
      </c>
      <c r="I225" s="51">
        <f>IFERROR(calc_ebitda_m8/calc_rev_total_m8,0)</f>
        <v>0</v>
      </c>
      <c r="J225" s="51">
        <f>IFERROR(calc_ebitda_m9/calc_rev_total_m9,0)</f>
        <v>0</v>
      </c>
      <c r="K225" s="51">
        <f>IFERROR(calc_ebitda_m10/calc_rev_total_m10,0)</f>
        <v>0</v>
      </c>
      <c r="L225" s="51">
        <f>IFERROR(calc_ebitda_m11/calc_rev_total_m11,0)</f>
        <v>0</v>
      </c>
      <c r="M225" s="51">
        <f>IFERROR(calc_ebitda_m12/calc_rev_total_m12,0)</f>
        <v>0</v>
      </c>
      <c r="N225" s="52">
        <f>IFERROR(calc_ebitda_ann/calc_rev_total_ann,0)</f>
        <v>0</v>
      </c>
      <c r="O225" s="1"/>
      <c r="P225" s="1"/>
    </row>
    <row r="226" spans="1:16" x14ac:dyDescent="0.2">
      <c r="A226" s="48" t="s">
        <v>112</v>
      </c>
      <c r="B226" s="49">
        <f t="shared" ref="B226:M226" si="7">inp_da_existing/12</f>
        <v>0</v>
      </c>
      <c r="C226" s="49">
        <f t="shared" si="7"/>
        <v>0</v>
      </c>
      <c r="D226" s="49">
        <f t="shared" si="7"/>
        <v>0</v>
      </c>
      <c r="E226" s="49">
        <f t="shared" si="7"/>
        <v>0</v>
      </c>
      <c r="F226" s="49">
        <f t="shared" si="7"/>
        <v>0</v>
      </c>
      <c r="G226" s="49">
        <f t="shared" si="7"/>
        <v>0</v>
      </c>
      <c r="H226" s="49">
        <f t="shared" si="7"/>
        <v>0</v>
      </c>
      <c r="I226" s="49">
        <f t="shared" si="7"/>
        <v>0</v>
      </c>
      <c r="J226" s="49">
        <f t="shared" si="7"/>
        <v>0</v>
      </c>
      <c r="K226" s="49">
        <f t="shared" si="7"/>
        <v>0</v>
      </c>
      <c r="L226" s="49">
        <f t="shared" si="7"/>
        <v>0</v>
      </c>
      <c r="M226" s="49">
        <f t="shared" si="7"/>
        <v>0</v>
      </c>
      <c r="N226" s="50">
        <f>SUM(B226:M226)</f>
        <v>0</v>
      </c>
      <c r="O226" s="1"/>
      <c r="P226" s="1"/>
    </row>
    <row r="227" spans="1:16" x14ac:dyDescent="0.2">
      <c r="A227" s="48" t="s">
        <v>113</v>
      </c>
      <c r="B227" s="49">
        <f>(inp_open_debt)*inp_int_rate/12</f>
        <v>0</v>
      </c>
      <c r="C227" s="49">
        <f ca="1">(inp_open_debt+SUM(OFFSET(inp_debt_draw_m1m12,0,0,1,1))-SUM(OFFSET(inp_debt_repay_m1m12,0,0,1,1)))*inp_int_rate/12</f>
        <v>0</v>
      </c>
      <c r="D227" s="49">
        <f ca="1">(inp_open_debt+SUM(OFFSET(inp_debt_draw_m1m12,0,0,1,2))-SUM(OFFSET(inp_debt_repay_m1m12,0,0,1,2)))*inp_int_rate/12</f>
        <v>0</v>
      </c>
      <c r="E227" s="49">
        <f ca="1">(inp_open_debt+SUM(OFFSET(inp_debt_draw_m1m12,0,0,1,3))-SUM(OFFSET(inp_debt_repay_m1m12,0,0,1,3)))*inp_int_rate/12</f>
        <v>0</v>
      </c>
      <c r="F227" s="49">
        <f ca="1">(inp_open_debt+SUM(OFFSET(inp_debt_draw_m1m12,0,0,1,4))-SUM(OFFSET(inp_debt_repay_m1m12,0,0,1,4)))*inp_int_rate/12</f>
        <v>0</v>
      </c>
      <c r="G227" s="49">
        <f ca="1">(inp_open_debt+SUM(OFFSET(inp_debt_draw_m1m12,0,0,1,5))-SUM(OFFSET(inp_debt_repay_m1m12,0,0,1,5)))*inp_int_rate/12</f>
        <v>0</v>
      </c>
      <c r="H227" s="49">
        <f ca="1">(inp_open_debt+SUM(OFFSET(inp_debt_draw_m1m12,0,0,1,6))-SUM(OFFSET(inp_debt_repay_m1m12,0,0,1,6)))*inp_int_rate/12</f>
        <v>0</v>
      </c>
      <c r="I227" s="49">
        <f ca="1">(inp_open_debt+SUM(OFFSET(inp_debt_draw_m1m12,0,0,1,7))-SUM(OFFSET(inp_debt_repay_m1m12,0,0,1,7)))*inp_int_rate/12</f>
        <v>0</v>
      </c>
      <c r="J227" s="49">
        <f ca="1">(inp_open_debt+SUM(OFFSET(inp_debt_draw_m1m12,0,0,1,8))-SUM(OFFSET(inp_debt_repay_m1m12,0,0,1,8)))*inp_int_rate/12</f>
        <v>0</v>
      </c>
      <c r="K227" s="49">
        <f ca="1">(inp_open_debt+SUM(OFFSET(inp_debt_draw_m1m12,0,0,1,9))-SUM(OFFSET(inp_debt_repay_m1m12,0,0,1,9)))*inp_int_rate/12</f>
        <v>0</v>
      </c>
      <c r="L227" s="49">
        <f ca="1">(inp_open_debt+SUM(OFFSET(inp_debt_draw_m1m12,0,0,1,10))-SUM(OFFSET(inp_debt_repay_m1m12,0,0,1,10)))*inp_int_rate/12</f>
        <v>0</v>
      </c>
      <c r="M227" s="49">
        <f ca="1">(inp_open_debt+SUM(OFFSET(inp_debt_draw_m1m12,0,0,1,11))-SUM(OFFSET(inp_debt_repay_m1m12,0,0,1,11)))*inp_int_rate/12</f>
        <v>0</v>
      </c>
      <c r="N227" s="50">
        <f ca="1">SUM(B227:M227)</f>
        <v>0</v>
      </c>
      <c r="O227" s="1"/>
      <c r="P227" s="1"/>
    </row>
    <row r="228" spans="1:16" x14ac:dyDescent="0.2">
      <c r="A228" s="48" t="s">
        <v>114</v>
      </c>
      <c r="B228" s="49">
        <f>MAX(0,(calc_ebitda_m1-calc_da_m1-calc_interest_m1)*inp_tax_rate)</f>
        <v>0</v>
      </c>
      <c r="C228" s="49">
        <f ca="1">MAX(0,(calc_ebitda_m2-calc_da_m2-calc_interest_m2)*inp_tax_rate)</f>
        <v>0</v>
      </c>
      <c r="D228" s="49">
        <f ca="1">MAX(0,(calc_ebitda_m3-calc_da_m3-calc_interest_m3)*inp_tax_rate)</f>
        <v>0</v>
      </c>
      <c r="E228" s="49">
        <f ca="1">MAX(0,(calc_ebitda_m4-calc_da_m4-calc_interest_m4)*inp_tax_rate)</f>
        <v>0</v>
      </c>
      <c r="F228" s="49">
        <f ca="1">MAX(0,(calc_ebitda_m5-calc_da_m5-calc_interest_m5)*inp_tax_rate)</f>
        <v>0</v>
      </c>
      <c r="G228" s="49">
        <f ca="1">MAX(0,(calc_ebitda_m6-calc_da_m6-calc_interest_m6)*inp_tax_rate)</f>
        <v>0</v>
      </c>
      <c r="H228" s="49">
        <f ca="1">MAX(0,(calc_ebitda_m7-calc_da_m7-calc_interest_m7)*inp_tax_rate)</f>
        <v>0</v>
      </c>
      <c r="I228" s="49">
        <f ca="1">MAX(0,(calc_ebitda_m8-calc_da_m8-calc_interest_m8)*inp_tax_rate)</f>
        <v>0</v>
      </c>
      <c r="J228" s="49">
        <f ca="1">MAX(0,(calc_ebitda_m9-calc_da_m9-calc_interest_m9)*inp_tax_rate)</f>
        <v>0</v>
      </c>
      <c r="K228" s="49">
        <f ca="1">MAX(0,(calc_ebitda_m10-calc_da_m10-calc_interest_m10)*inp_tax_rate)</f>
        <v>0</v>
      </c>
      <c r="L228" s="49">
        <f ca="1">MAX(0,(calc_ebitda_m11-calc_da_m11-calc_interest_m11)*inp_tax_rate)</f>
        <v>0</v>
      </c>
      <c r="M228" s="49">
        <f ca="1">MAX(0,(calc_ebitda_m12-calc_da_m12-calc_interest_m12)*inp_tax_rate)</f>
        <v>0</v>
      </c>
      <c r="N228" s="50">
        <f ca="1">SUM(B228:M228)</f>
        <v>0</v>
      </c>
      <c r="O228" s="1"/>
      <c r="P228" s="1"/>
    </row>
    <row r="229" spans="1:16" x14ac:dyDescent="0.2">
      <c r="A229" s="48" t="s">
        <v>34</v>
      </c>
      <c r="B229" s="49">
        <f>calc_ebitda_m1-calc_da_m1-calc_interest_m1-calc_tax_m1</f>
        <v>0</v>
      </c>
      <c r="C229" s="49">
        <f ca="1">calc_ebitda_m2-calc_da_m2-calc_interest_m2-calc_tax_m2</f>
        <v>0</v>
      </c>
      <c r="D229" s="49">
        <f ca="1">calc_ebitda_m3-calc_da_m3-calc_interest_m3-calc_tax_m3</f>
        <v>0</v>
      </c>
      <c r="E229" s="49">
        <f ca="1">calc_ebitda_m4-calc_da_m4-calc_interest_m4-calc_tax_m4</f>
        <v>0</v>
      </c>
      <c r="F229" s="49">
        <f ca="1">calc_ebitda_m5-calc_da_m5-calc_interest_m5-calc_tax_m5</f>
        <v>0</v>
      </c>
      <c r="G229" s="49">
        <f ca="1">calc_ebitda_m6-calc_da_m6-calc_interest_m6-calc_tax_m6</f>
        <v>0</v>
      </c>
      <c r="H229" s="49">
        <f ca="1">calc_ebitda_m7-calc_da_m7-calc_interest_m7-calc_tax_m7</f>
        <v>0</v>
      </c>
      <c r="I229" s="49">
        <f ca="1">calc_ebitda_m8-calc_da_m8-calc_interest_m8-calc_tax_m8</f>
        <v>0</v>
      </c>
      <c r="J229" s="49">
        <f ca="1">calc_ebitda_m9-calc_da_m9-calc_interest_m9-calc_tax_m9</f>
        <v>0</v>
      </c>
      <c r="K229" s="49">
        <f ca="1">calc_ebitda_m10-calc_da_m10-calc_interest_m10-calc_tax_m10</f>
        <v>0</v>
      </c>
      <c r="L229" s="49">
        <f ca="1">calc_ebitda_m11-calc_da_m11-calc_interest_m11-calc_tax_m11</f>
        <v>0</v>
      </c>
      <c r="M229" s="49">
        <f ca="1">calc_ebitda_m12-calc_da_m12-calc_interest_m12-calc_tax_m12</f>
        <v>0</v>
      </c>
      <c r="N229" s="50">
        <f ca="1">SUM(B229:M229)</f>
        <v>0</v>
      </c>
      <c r="O229" s="1"/>
      <c r="P229" s="1"/>
    </row>
    <row r="230" spans="1:16" x14ac:dyDescent="0.2">
      <c r="A230" s="48" t="s">
        <v>115</v>
      </c>
      <c r="B230" s="51">
        <f>IFERROR(calc_net_profit_m1/calc_rev_total_m1,0)</f>
        <v>0</v>
      </c>
      <c r="C230" s="51">
        <f ca="1">IFERROR(calc_net_profit_m2/calc_rev_total_m2,0)</f>
        <v>0</v>
      </c>
      <c r="D230" s="51">
        <f ca="1">IFERROR(calc_net_profit_m3/calc_rev_total_m3,0)</f>
        <v>0</v>
      </c>
      <c r="E230" s="51">
        <f ca="1">IFERROR(calc_net_profit_m4/calc_rev_total_m4,0)</f>
        <v>0</v>
      </c>
      <c r="F230" s="51">
        <f ca="1">IFERROR(calc_net_profit_m5/calc_rev_total_m5,0)</f>
        <v>0</v>
      </c>
      <c r="G230" s="51">
        <f ca="1">IFERROR(calc_net_profit_m6/calc_rev_total_m6,0)</f>
        <v>0</v>
      </c>
      <c r="H230" s="51">
        <f ca="1">IFERROR(calc_net_profit_m7/calc_rev_total_m7,0)</f>
        <v>0</v>
      </c>
      <c r="I230" s="51">
        <f ca="1">IFERROR(calc_net_profit_m8/calc_rev_total_m8,0)</f>
        <v>0</v>
      </c>
      <c r="J230" s="51">
        <f ca="1">IFERROR(calc_net_profit_m9/calc_rev_total_m9,0)</f>
        <v>0</v>
      </c>
      <c r="K230" s="51">
        <f ca="1">IFERROR(calc_net_profit_m10/calc_rev_total_m10,0)</f>
        <v>0</v>
      </c>
      <c r="L230" s="51">
        <f ca="1">IFERROR(calc_net_profit_m11/calc_rev_total_m11,0)</f>
        <v>0</v>
      </c>
      <c r="M230" s="51">
        <f ca="1">IFERROR(calc_net_profit_m12/calc_rev_total_m12,0)</f>
        <v>0</v>
      </c>
      <c r="N230" s="52">
        <f ca="1">IFERROR(calc_net_profit_ann/calc_rev_total_ann,0)</f>
        <v>0</v>
      </c>
      <c r="O230" s="1"/>
      <c r="P230" s="1"/>
    </row>
    <row r="231" spans="1:16" x14ac:dyDescent="0.2">
      <c r="A231" s="48" t="s">
        <v>116</v>
      </c>
      <c r="B231" s="53">
        <f>INDEX(active_fte_m1m12,1)</f>
        <v>0</v>
      </c>
      <c r="C231" s="53">
        <f>INDEX(active_fte_m1m12,2)</f>
        <v>0</v>
      </c>
      <c r="D231" s="53">
        <f>INDEX(active_fte_m1m12,3)</f>
        <v>0</v>
      </c>
      <c r="E231" s="53">
        <f>INDEX(active_fte_m1m12,4)</f>
        <v>0</v>
      </c>
      <c r="F231" s="53">
        <f>INDEX(active_fte_m1m12,5)</f>
        <v>0</v>
      </c>
      <c r="G231" s="53">
        <f>INDEX(active_fte_m1m12,6)</f>
        <v>0</v>
      </c>
      <c r="H231" s="53">
        <f>INDEX(active_fte_m1m12,7)</f>
        <v>0</v>
      </c>
      <c r="I231" s="53">
        <f>INDEX(active_fte_m1m12,8)</f>
        <v>0</v>
      </c>
      <c r="J231" s="53">
        <f>INDEX(active_fte_m1m12,9)</f>
        <v>0</v>
      </c>
      <c r="K231" s="53">
        <f>INDEX(active_fte_m1m12,10)</f>
        <v>0</v>
      </c>
      <c r="L231" s="53">
        <f>INDEX(active_fte_m1m12,11)</f>
        <v>0</v>
      </c>
      <c r="M231" s="53">
        <f>INDEX(active_fte_m1m12,12)</f>
        <v>0</v>
      </c>
      <c r="N231" s="54">
        <f>M231</f>
        <v>0</v>
      </c>
      <c r="O231" s="1"/>
      <c r="P231" s="1"/>
    </row>
    <row r="232" spans="1:16" x14ac:dyDescent="0.2">
      <c r="A232" s="48" t="s">
        <v>117</v>
      </c>
      <c r="B232" s="49">
        <f>MAX(0,calc_rev_total_m1*(inp_dso+calc_scn_lag*30)/30)</f>
        <v>0</v>
      </c>
      <c r="C232" s="49">
        <f>MAX(0,calc_rev_total_m2*(inp_dso+calc_scn_lag*30)/30)</f>
        <v>0</v>
      </c>
      <c r="D232" s="49">
        <f>MAX(0,calc_rev_total_m3*(inp_dso+calc_scn_lag*30)/30)</f>
        <v>0</v>
      </c>
      <c r="E232" s="49">
        <f>MAX(0,calc_rev_total_m4*(inp_dso+calc_scn_lag*30)/30)</f>
        <v>0</v>
      </c>
      <c r="F232" s="49">
        <f>MAX(0,calc_rev_total_m5*(inp_dso+calc_scn_lag*30)/30)</f>
        <v>0</v>
      </c>
      <c r="G232" s="49">
        <f>MAX(0,calc_rev_total_m6*(inp_dso+calc_scn_lag*30)/30)</f>
        <v>0</v>
      </c>
      <c r="H232" s="49">
        <f>MAX(0,calc_rev_total_m7*(inp_dso+calc_scn_lag*30)/30)</f>
        <v>0</v>
      </c>
      <c r="I232" s="49">
        <f>MAX(0,calc_rev_total_m8*(inp_dso+calc_scn_lag*30)/30)</f>
        <v>0</v>
      </c>
      <c r="J232" s="49">
        <f>MAX(0,calc_rev_total_m9*(inp_dso+calc_scn_lag*30)/30)</f>
        <v>0</v>
      </c>
      <c r="K232" s="49">
        <f>MAX(0,calc_rev_total_m10*(inp_dso+calc_scn_lag*30)/30)</f>
        <v>0</v>
      </c>
      <c r="L232" s="49">
        <f>MAX(0,calc_rev_total_m11*(inp_dso+calc_scn_lag*30)/30)</f>
        <v>0</v>
      </c>
      <c r="M232" s="49">
        <f>MAX(0,calc_rev_total_m12*(inp_dso+calc_scn_lag*30)/30)</f>
        <v>0</v>
      </c>
      <c r="N232" s="50">
        <f>M232</f>
        <v>0</v>
      </c>
      <c r="O232" s="1"/>
      <c r="P232" s="1"/>
    </row>
    <row r="233" spans="1:16" x14ac:dyDescent="0.2">
      <c r="A233" s="48" t="s">
        <v>118</v>
      </c>
      <c r="B233" s="49">
        <f>MAX(0,calc_dc_total_m1*inp_dpo/30)</f>
        <v>0</v>
      </c>
      <c r="C233" s="49">
        <f>MAX(0,calc_dc_total_m2*inp_dpo/30)</f>
        <v>0</v>
      </c>
      <c r="D233" s="49">
        <f>MAX(0,calc_dc_total_m3*inp_dpo/30)</f>
        <v>0</v>
      </c>
      <c r="E233" s="49">
        <f>MAX(0,calc_dc_total_m4*inp_dpo/30)</f>
        <v>0</v>
      </c>
      <c r="F233" s="49">
        <f>MAX(0,calc_dc_total_m5*inp_dpo/30)</f>
        <v>0</v>
      </c>
      <c r="G233" s="49">
        <f>MAX(0,calc_dc_total_m6*inp_dpo/30)</f>
        <v>0</v>
      </c>
      <c r="H233" s="49">
        <f>MAX(0,calc_dc_total_m7*inp_dpo/30)</f>
        <v>0</v>
      </c>
      <c r="I233" s="49">
        <f>MAX(0,calc_dc_total_m8*inp_dpo/30)</f>
        <v>0</v>
      </c>
      <c r="J233" s="49">
        <f>MAX(0,calc_dc_total_m9*inp_dpo/30)</f>
        <v>0</v>
      </c>
      <c r="K233" s="49">
        <f>MAX(0,calc_dc_total_m10*inp_dpo/30)</f>
        <v>0</v>
      </c>
      <c r="L233" s="49">
        <f>MAX(0,calc_dc_total_m11*inp_dpo/30)</f>
        <v>0</v>
      </c>
      <c r="M233" s="49">
        <f>MAX(0,calc_dc_total_m12*inp_dpo/30)</f>
        <v>0</v>
      </c>
      <c r="N233" s="50">
        <f>M233</f>
        <v>0</v>
      </c>
      <c r="O233" s="1"/>
      <c r="P233" s="1"/>
    </row>
    <row r="234" spans="1:16" x14ac:dyDescent="0.2">
      <c r="A234" s="48" t="s">
        <v>119</v>
      </c>
      <c r="B234" s="49">
        <f>-(calc_bs_ar_m1-inp_open_ar)</f>
        <v>0</v>
      </c>
      <c r="C234" s="49">
        <f>-(calc_bs_ar_m2-calc_bs_ar_m1)</f>
        <v>0</v>
      </c>
      <c r="D234" s="49">
        <f>-(calc_bs_ar_m3-calc_bs_ar_m2)</f>
        <v>0</v>
      </c>
      <c r="E234" s="49">
        <f>-(calc_bs_ar_m4-calc_bs_ar_m3)</f>
        <v>0</v>
      </c>
      <c r="F234" s="49">
        <f>-(calc_bs_ar_m5-calc_bs_ar_m4)</f>
        <v>0</v>
      </c>
      <c r="G234" s="49">
        <f>-(calc_bs_ar_m6-calc_bs_ar_m5)</f>
        <v>0</v>
      </c>
      <c r="H234" s="49">
        <f>-(calc_bs_ar_m7-calc_bs_ar_m6)</f>
        <v>0</v>
      </c>
      <c r="I234" s="49">
        <f>-(calc_bs_ar_m8-calc_bs_ar_m7)</f>
        <v>0</v>
      </c>
      <c r="J234" s="49">
        <f>-(calc_bs_ar_m9-calc_bs_ar_m8)</f>
        <v>0</v>
      </c>
      <c r="K234" s="49">
        <f>-(calc_bs_ar_m10-calc_bs_ar_m9)</f>
        <v>0</v>
      </c>
      <c r="L234" s="49">
        <f>-(calc_bs_ar_m11-calc_bs_ar_m10)</f>
        <v>0</v>
      </c>
      <c r="M234" s="49">
        <f>-(calc_bs_ar_m12-calc_bs_ar_m11)</f>
        <v>0</v>
      </c>
      <c r="N234" s="50">
        <f t="shared" ref="N234:N245" si="8">SUM(B234:M234)</f>
        <v>0</v>
      </c>
      <c r="O234" s="1"/>
      <c r="P234" s="1"/>
    </row>
    <row r="235" spans="1:16" x14ac:dyDescent="0.2">
      <c r="A235" s="48" t="s">
        <v>120</v>
      </c>
      <c r="B235" s="49">
        <f>(calc_bs_ap_m1-inp_open_ap)</f>
        <v>0</v>
      </c>
      <c r="C235" s="49">
        <f>(calc_bs_ap_m2-calc_bs_ap_m1)</f>
        <v>0</v>
      </c>
      <c r="D235" s="49">
        <f>(calc_bs_ap_m3-calc_bs_ap_m2)</f>
        <v>0</v>
      </c>
      <c r="E235" s="49">
        <f>(calc_bs_ap_m4-calc_bs_ap_m3)</f>
        <v>0</v>
      </c>
      <c r="F235" s="49">
        <f>(calc_bs_ap_m5-calc_bs_ap_m4)</f>
        <v>0</v>
      </c>
      <c r="G235" s="49">
        <f>(calc_bs_ap_m6-calc_bs_ap_m5)</f>
        <v>0</v>
      </c>
      <c r="H235" s="49">
        <f>(calc_bs_ap_m7-calc_bs_ap_m6)</f>
        <v>0</v>
      </c>
      <c r="I235" s="49">
        <f>(calc_bs_ap_m8-calc_bs_ap_m7)</f>
        <v>0</v>
      </c>
      <c r="J235" s="49">
        <f>(calc_bs_ap_m9-calc_bs_ap_m8)</f>
        <v>0</v>
      </c>
      <c r="K235" s="49">
        <f>(calc_bs_ap_m10-calc_bs_ap_m9)</f>
        <v>0</v>
      </c>
      <c r="L235" s="49">
        <f>(calc_bs_ap_m11-calc_bs_ap_m10)</f>
        <v>0</v>
      </c>
      <c r="M235" s="49">
        <f>(calc_bs_ap_m12-calc_bs_ap_m11)</f>
        <v>0</v>
      </c>
      <c r="N235" s="50">
        <f t="shared" si="8"/>
        <v>0</v>
      </c>
      <c r="O235" s="1"/>
      <c r="P235" s="1"/>
    </row>
    <row r="236" spans="1:16" x14ac:dyDescent="0.2">
      <c r="A236" s="48" t="s">
        <v>121</v>
      </c>
      <c r="B236" s="49">
        <f>-calc_tax_m1</f>
        <v>0</v>
      </c>
      <c r="C236" s="49">
        <f ca="1">-calc_tax_m2</f>
        <v>0</v>
      </c>
      <c r="D236" s="49">
        <f ca="1">-calc_tax_m3</f>
        <v>0</v>
      </c>
      <c r="E236" s="49">
        <f ca="1">-calc_tax_m4</f>
        <v>0</v>
      </c>
      <c r="F236" s="49">
        <f ca="1">-calc_tax_m5</f>
        <v>0</v>
      </c>
      <c r="G236" s="49">
        <f ca="1">-calc_tax_m6</f>
        <v>0</v>
      </c>
      <c r="H236" s="49">
        <f ca="1">-calc_tax_m7</f>
        <v>0</v>
      </c>
      <c r="I236" s="49">
        <f ca="1">-calc_tax_m8</f>
        <v>0</v>
      </c>
      <c r="J236" s="49">
        <f ca="1">-calc_tax_m9</f>
        <v>0</v>
      </c>
      <c r="K236" s="49">
        <f ca="1">-calc_tax_m10</f>
        <v>0</v>
      </c>
      <c r="L236" s="49">
        <f ca="1">-calc_tax_m11</f>
        <v>0</v>
      </c>
      <c r="M236" s="49">
        <f ca="1">-calc_tax_m12</f>
        <v>0</v>
      </c>
      <c r="N236" s="50">
        <f t="shared" ca="1" si="8"/>
        <v>0</v>
      </c>
      <c r="O236" s="1"/>
      <c r="P236" s="1"/>
    </row>
    <row r="237" spans="1:16" x14ac:dyDescent="0.2">
      <c r="A237" s="48" t="s">
        <v>122</v>
      </c>
      <c r="B237" s="49">
        <f>calc_ebitda_m1+calc_delta_ar_neg_m1+calc_delta_ap_pos_m1+calc_tax_paid_neg_m1+calc_interest_neg_m1</f>
        <v>0</v>
      </c>
      <c r="C237" s="49">
        <f ca="1">calc_ebitda_m2+calc_delta_ar_neg_m2+calc_delta_ap_pos_m2+calc_tax_paid_neg_m2+calc_interest_neg_m2</f>
        <v>0</v>
      </c>
      <c r="D237" s="49">
        <f ca="1">calc_ebitda_m3+calc_delta_ar_neg_m3+calc_delta_ap_pos_m3+calc_tax_paid_neg_m3+calc_interest_neg_m3</f>
        <v>0</v>
      </c>
      <c r="E237" s="49">
        <f ca="1">calc_ebitda_m4+calc_delta_ar_neg_m4+calc_delta_ap_pos_m4+calc_tax_paid_neg_m4+calc_interest_neg_m4</f>
        <v>0</v>
      </c>
      <c r="F237" s="49">
        <f ca="1">calc_ebitda_m5+calc_delta_ar_neg_m5+calc_delta_ap_pos_m5+calc_tax_paid_neg_m5+calc_interest_neg_m5</f>
        <v>0</v>
      </c>
      <c r="G237" s="49">
        <f ca="1">calc_ebitda_m6+calc_delta_ar_neg_m6+calc_delta_ap_pos_m6+calc_tax_paid_neg_m6+calc_interest_neg_m6</f>
        <v>0</v>
      </c>
      <c r="H237" s="49">
        <f ca="1">calc_ebitda_m7+calc_delta_ar_neg_m7+calc_delta_ap_pos_m7+calc_tax_paid_neg_m7+calc_interest_neg_m7</f>
        <v>0</v>
      </c>
      <c r="I237" s="49">
        <f ca="1">calc_ebitda_m8+calc_delta_ar_neg_m8+calc_delta_ap_pos_m8+calc_tax_paid_neg_m8+calc_interest_neg_m8</f>
        <v>0</v>
      </c>
      <c r="J237" s="49">
        <f ca="1">calc_ebitda_m9+calc_delta_ar_neg_m9+calc_delta_ap_pos_m9+calc_tax_paid_neg_m9+calc_interest_neg_m9</f>
        <v>0</v>
      </c>
      <c r="K237" s="49">
        <f ca="1">calc_ebitda_m10+calc_delta_ar_neg_m10+calc_delta_ap_pos_m10+calc_tax_paid_neg_m10+calc_interest_neg_m10</f>
        <v>0</v>
      </c>
      <c r="L237" s="49">
        <f ca="1">calc_ebitda_m11+calc_delta_ar_neg_m11+calc_delta_ap_pos_m11+calc_tax_paid_neg_m11+calc_interest_neg_m11</f>
        <v>0</v>
      </c>
      <c r="M237" s="49">
        <f ca="1">calc_ebitda_m12+calc_delta_ar_neg_m12+calc_delta_ap_pos_m12+calc_tax_paid_neg_m12+calc_interest_neg_m12</f>
        <v>0</v>
      </c>
      <c r="N237" s="50">
        <f t="shared" ca="1" si="8"/>
        <v>0</v>
      </c>
      <c r="O237" s="1"/>
      <c r="P237" s="1"/>
    </row>
    <row r="238" spans="1:16" x14ac:dyDescent="0.2">
      <c r="A238" s="48" t="s">
        <v>123</v>
      </c>
      <c r="B238" s="49">
        <f>-_xlfn.SINGLE(INDEX(inp_capex_m1m12,1))</f>
        <v>0</v>
      </c>
      <c r="C238" s="49">
        <f>-_xlfn.SINGLE(INDEX(inp_capex_m1m12,2))</f>
        <v>0</v>
      </c>
      <c r="D238" s="49">
        <f>-_xlfn.SINGLE(INDEX(inp_capex_m1m12,3))</f>
        <v>0</v>
      </c>
      <c r="E238" s="49">
        <f>-_xlfn.SINGLE(INDEX(inp_capex_m1m12,4))</f>
        <v>0</v>
      </c>
      <c r="F238" s="49">
        <f>-_xlfn.SINGLE(INDEX(inp_capex_m1m12,5))</f>
        <v>0</v>
      </c>
      <c r="G238" s="49">
        <f>-_xlfn.SINGLE(INDEX(inp_capex_m1m12,6))</f>
        <v>0</v>
      </c>
      <c r="H238" s="49">
        <f>-_xlfn.SINGLE(INDEX(inp_capex_m1m12,7))</f>
        <v>0</v>
      </c>
      <c r="I238" s="49">
        <f>-_xlfn.SINGLE(INDEX(inp_capex_m1m12,8))</f>
        <v>0</v>
      </c>
      <c r="J238" s="49">
        <f>-_xlfn.SINGLE(INDEX(inp_capex_m1m12,9))</f>
        <v>0</v>
      </c>
      <c r="K238" s="49">
        <f>-_xlfn.SINGLE(INDEX(inp_capex_m1m12,10))</f>
        <v>0</v>
      </c>
      <c r="L238" s="49">
        <f>-_xlfn.SINGLE(INDEX(inp_capex_m1m12,11))</f>
        <v>0</v>
      </c>
      <c r="M238" s="49">
        <f>-_xlfn.SINGLE(INDEX(inp_capex_m1m12,12))</f>
        <v>0</v>
      </c>
      <c r="N238" s="50">
        <f t="shared" si="8"/>
        <v>0</v>
      </c>
      <c r="O238" s="1"/>
      <c r="P238" s="1"/>
    </row>
    <row r="239" spans="1:16" x14ac:dyDescent="0.2">
      <c r="A239" s="48" t="s">
        <v>124</v>
      </c>
      <c r="B239" s="49">
        <f>calc_capex_neg_m1</f>
        <v>0</v>
      </c>
      <c r="C239" s="49">
        <f>calc_capex_neg_m2</f>
        <v>0</v>
      </c>
      <c r="D239" s="49">
        <f>calc_capex_neg_m3</f>
        <v>0</v>
      </c>
      <c r="E239" s="49">
        <f>calc_capex_neg_m4</f>
        <v>0</v>
      </c>
      <c r="F239" s="49">
        <f>calc_capex_neg_m5</f>
        <v>0</v>
      </c>
      <c r="G239" s="49">
        <f>calc_capex_neg_m6</f>
        <v>0</v>
      </c>
      <c r="H239" s="49">
        <f>calc_capex_neg_m7</f>
        <v>0</v>
      </c>
      <c r="I239" s="49">
        <f>calc_capex_neg_m8</f>
        <v>0</v>
      </c>
      <c r="J239" s="49">
        <f>calc_capex_neg_m9</f>
        <v>0</v>
      </c>
      <c r="K239" s="49">
        <f>calc_capex_neg_m10</f>
        <v>0</v>
      </c>
      <c r="L239" s="49">
        <f>calc_capex_neg_m11</f>
        <v>0</v>
      </c>
      <c r="M239" s="49">
        <f>calc_capex_neg_m12</f>
        <v>0</v>
      </c>
      <c r="N239" s="50">
        <f t="shared" si="8"/>
        <v>0</v>
      </c>
      <c r="O239" s="1"/>
      <c r="P239" s="1"/>
    </row>
    <row r="240" spans="1:16" x14ac:dyDescent="0.2">
      <c r="A240" s="48" t="s">
        <v>125</v>
      </c>
      <c r="B240" s="49">
        <f>_xlfn.SINGLE(INDEX(inp_debt_draw_m1m12,1))</f>
        <v>0</v>
      </c>
      <c r="C240" s="49">
        <f>_xlfn.SINGLE(INDEX(inp_debt_draw_m1m12,2))</f>
        <v>0</v>
      </c>
      <c r="D240" s="49">
        <f>_xlfn.SINGLE(INDEX(inp_debt_draw_m1m12,3))</f>
        <v>0</v>
      </c>
      <c r="E240" s="49">
        <f>_xlfn.SINGLE(INDEX(inp_debt_draw_m1m12,4))</f>
        <v>0</v>
      </c>
      <c r="F240" s="49">
        <f>_xlfn.SINGLE(INDEX(inp_debt_draw_m1m12,5))</f>
        <v>0</v>
      </c>
      <c r="G240" s="49">
        <f>_xlfn.SINGLE(INDEX(inp_debt_draw_m1m12,6))</f>
        <v>0</v>
      </c>
      <c r="H240" s="49">
        <f>_xlfn.SINGLE(INDEX(inp_debt_draw_m1m12,7))</f>
        <v>0</v>
      </c>
      <c r="I240" s="49">
        <f>_xlfn.SINGLE(INDEX(inp_debt_draw_m1m12,8))</f>
        <v>0</v>
      </c>
      <c r="J240" s="49">
        <f>_xlfn.SINGLE(INDEX(inp_debt_draw_m1m12,9))</f>
        <v>0</v>
      </c>
      <c r="K240" s="49">
        <f>_xlfn.SINGLE(INDEX(inp_debt_draw_m1m12,10))</f>
        <v>0</v>
      </c>
      <c r="L240" s="49">
        <f>_xlfn.SINGLE(INDEX(inp_debt_draw_m1m12,11))</f>
        <v>0</v>
      </c>
      <c r="M240" s="49">
        <f>_xlfn.SINGLE(INDEX(inp_debt_draw_m1m12,12))</f>
        <v>0</v>
      </c>
      <c r="N240" s="50">
        <f t="shared" si="8"/>
        <v>0</v>
      </c>
      <c r="O240" s="1"/>
      <c r="P240" s="1"/>
    </row>
    <row r="241" spans="1:16" x14ac:dyDescent="0.2">
      <c r="A241" s="48" t="s">
        <v>126</v>
      </c>
      <c r="B241" s="49">
        <f>-_xlfn.SINGLE(INDEX(inp_debt_repay_m1m12,1))</f>
        <v>0</v>
      </c>
      <c r="C241" s="49">
        <f>-_xlfn.SINGLE(INDEX(inp_debt_repay_m1m12,2))</f>
        <v>0</v>
      </c>
      <c r="D241" s="49">
        <f>-_xlfn.SINGLE(INDEX(inp_debt_repay_m1m12,3))</f>
        <v>0</v>
      </c>
      <c r="E241" s="49">
        <f>-_xlfn.SINGLE(INDEX(inp_debt_repay_m1m12,4))</f>
        <v>0</v>
      </c>
      <c r="F241" s="49">
        <f>-_xlfn.SINGLE(INDEX(inp_debt_repay_m1m12,5))</f>
        <v>0</v>
      </c>
      <c r="G241" s="49">
        <f>-_xlfn.SINGLE(INDEX(inp_debt_repay_m1m12,6))</f>
        <v>0</v>
      </c>
      <c r="H241" s="49">
        <f>-_xlfn.SINGLE(INDEX(inp_debt_repay_m1m12,7))</f>
        <v>0</v>
      </c>
      <c r="I241" s="49">
        <f>-_xlfn.SINGLE(INDEX(inp_debt_repay_m1m12,8))</f>
        <v>0</v>
      </c>
      <c r="J241" s="49">
        <f>-_xlfn.SINGLE(INDEX(inp_debt_repay_m1m12,9))</f>
        <v>0</v>
      </c>
      <c r="K241" s="49">
        <f>-_xlfn.SINGLE(INDEX(inp_debt_repay_m1m12,10))</f>
        <v>0</v>
      </c>
      <c r="L241" s="49">
        <f>-_xlfn.SINGLE(INDEX(inp_debt_repay_m1m12,11))</f>
        <v>0</v>
      </c>
      <c r="M241" s="49">
        <f>-_xlfn.SINGLE(INDEX(inp_debt_repay_m1m12,12))</f>
        <v>0</v>
      </c>
      <c r="N241" s="50">
        <f t="shared" si="8"/>
        <v>0</v>
      </c>
      <c r="O241" s="1"/>
      <c r="P241" s="1"/>
    </row>
    <row r="242" spans="1:16" x14ac:dyDescent="0.2">
      <c r="A242" s="48" t="s">
        <v>127</v>
      </c>
      <c r="B242" s="49">
        <f>-_xlfn.SINGLE(INDEX(inp_dist_m1m12,1))</f>
        <v>0</v>
      </c>
      <c r="C242" s="49">
        <f>-_xlfn.SINGLE(INDEX(inp_dist_m1m12,2))</f>
        <v>0</v>
      </c>
      <c r="D242" s="49">
        <f>-_xlfn.SINGLE(INDEX(inp_dist_m1m12,3))</f>
        <v>0</v>
      </c>
      <c r="E242" s="49">
        <f>-_xlfn.SINGLE(INDEX(inp_dist_m1m12,4))</f>
        <v>0</v>
      </c>
      <c r="F242" s="49">
        <f>-_xlfn.SINGLE(INDEX(inp_dist_m1m12,5))</f>
        <v>0</v>
      </c>
      <c r="G242" s="49">
        <f>-_xlfn.SINGLE(INDEX(inp_dist_m1m12,6))</f>
        <v>0</v>
      </c>
      <c r="H242" s="49">
        <f>-_xlfn.SINGLE(INDEX(inp_dist_m1m12,7))</f>
        <v>0</v>
      </c>
      <c r="I242" s="49">
        <f>-_xlfn.SINGLE(INDEX(inp_dist_m1m12,8))</f>
        <v>0</v>
      </c>
      <c r="J242" s="49">
        <f>-_xlfn.SINGLE(INDEX(inp_dist_m1m12,9))</f>
        <v>0</v>
      </c>
      <c r="K242" s="49">
        <f>-_xlfn.SINGLE(INDEX(inp_dist_m1m12,10))</f>
        <v>0</v>
      </c>
      <c r="L242" s="49">
        <f>-_xlfn.SINGLE(INDEX(inp_dist_m1m12,11))</f>
        <v>0</v>
      </c>
      <c r="M242" s="49">
        <f>-_xlfn.SINGLE(INDEX(inp_dist_m1m12,12))</f>
        <v>0</v>
      </c>
      <c r="N242" s="50">
        <f t="shared" si="8"/>
        <v>0</v>
      </c>
      <c r="O242" s="1"/>
      <c r="P242" s="1"/>
    </row>
    <row r="243" spans="1:16" x14ac:dyDescent="0.2">
      <c r="A243" s="48" t="s">
        <v>128</v>
      </c>
      <c r="B243" s="49">
        <f>-calc_interest_m1</f>
        <v>0</v>
      </c>
      <c r="C243" s="49">
        <f ca="1">-calc_interest_m2</f>
        <v>0</v>
      </c>
      <c r="D243" s="49">
        <f ca="1">-calc_interest_m3</f>
        <v>0</v>
      </c>
      <c r="E243" s="49">
        <f ca="1">-calc_interest_m4</f>
        <v>0</v>
      </c>
      <c r="F243" s="49">
        <f ca="1">-calc_interest_m5</f>
        <v>0</v>
      </c>
      <c r="G243" s="49">
        <f ca="1">-calc_interest_m6</f>
        <v>0</v>
      </c>
      <c r="H243" s="49">
        <f ca="1">-calc_interest_m7</f>
        <v>0</v>
      </c>
      <c r="I243" s="49">
        <f ca="1">-calc_interest_m8</f>
        <v>0</v>
      </c>
      <c r="J243" s="49">
        <f ca="1">-calc_interest_m9</f>
        <v>0</v>
      </c>
      <c r="K243" s="49">
        <f ca="1">-calc_interest_m10</f>
        <v>0</v>
      </c>
      <c r="L243" s="49">
        <f ca="1">-calc_interest_m11</f>
        <v>0</v>
      </c>
      <c r="M243" s="49">
        <f ca="1">-calc_interest_m12</f>
        <v>0</v>
      </c>
      <c r="N243" s="50">
        <f t="shared" ca="1" si="8"/>
        <v>0</v>
      </c>
      <c r="O243" s="1"/>
      <c r="P243" s="1"/>
    </row>
    <row r="244" spans="1:16" x14ac:dyDescent="0.2">
      <c r="A244" s="48" t="s">
        <v>129</v>
      </c>
      <c r="B244" s="49">
        <f>calc_debt_draw_m1+calc_debt_repay_neg_m1+calc_dist_neg_m1</f>
        <v>0</v>
      </c>
      <c r="C244" s="49">
        <f>calc_debt_draw_m2+calc_debt_repay_neg_m2+calc_dist_neg_m2</f>
        <v>0</v>
      </c>
      <c r="D244" s="49">
        <f>calc_debt_draw_m3+calc_debt_repay_neg_m3+calc_dist_neg_m3</f>
        <v>0</v>
      </c>
      <c r="E244" s="49">
        <f>calc_debt_draw_m4+calc_debt_repay_neg_m4+calc_dist_neg_m4</f>
        <v>0</v>
      </c>
      <c r="F244" s="49">
        <f>calc_debt_draw_m5+calc_debt_repay_neg_m5+calc_dist_neg_m5</f>
        <v>0</v>
      </c>
      <c r="G244" s="49">
        <f>calc_debt_draw_m6+calc_debt_repay_neg_m6+calc_dist_neg_m6</f>
        <v>0</v>
      </c>
      <c r="H244" s="49">
        <f>calc_debt_draw_m7+calc_debt_repay_neg_m7+calc_dist_neg_m7</f>
        <v>0</v>
      </c>
      <c r="I244" s="49">
        <f>calc_debt_draw_m8+calc_debt_repay_neg_m8+calc_dist_neg_m8</f>
        <v>0</v>
      </c>
      <c r="J244" s="49">
        <f>calc_debt_draw_m9+calc_debt_repay_neg_m9+calc_dist_neg_m9</f>
        <v>0</v>
      </c>
      <c r="K244" s="49">
        <f>calc_debt_draw_m10+calc_debt_repay_neg_m10+calc_dist_neg_m10</f>
        <v>0</v>
      </c>
      <c r="L244" s="49">
        <f>calc_debt_draw_m11+calc_debt_repay_neg_m11+calc_dist_neg_m11</f>
        <v>0</v>
      </c>
      <c r="M244" s="49">
        <f>calc_debt_draw_m12+calc_debt_repay_neg_m12+calc_dist_neg_m12</f>
        <v>0</v>
      </c>
      <c r="N244" s="50">
        <f t="shared" si="8"/>
        <v>0</v>
      </c>
      <c r="O244" s="1"/>
      <c r="P244" s="1"/>
    </row>
    <row r="245" spans="1:16" x14ac:dyDescent="0.2">
      <c r="A245" s="48" t="s">
        <v>130</v>
      </c>
      <c r="B245" s="49">
        <f>calc_op_cf_m1+calc_inv_cf_m1+calc_fin_cf_m1</f>
        <v>0</v>
      </c>
      <c r="C245" s="49">
        <f ca="1">calc_op_cf_m2+calc_inv_cf_m2+calc_fin_cf_m2</f>
        <v>0</v>
      </c>
      <c r="D245" s="49">
        <f ca="1">calc_op_cf_m3+calc_inv_cf_m3+calc_fin_cf_m3</f>
        <v>0</v>
      </c>
      <c r="E245" s="49">
        <f ca="1">calc_op_cf_m4+calc_inv_cf_m4+calc_fin_cf_m4</f>
        <v>0</v>
      </c>
      <c r="F245" s="49">
        <f ca="1">calc_op_cf_m5+calc_inv_cf_m5+calc_fin_cf_m5</f>
        <v>0</v>
      </c>
      <c r="G245" s="49">
        <f ca="1">calc_op_cf_m6+calc_inv_cf_m6+calc_fin_cf_m6</f>
        <v>0</v>
      </c>
      <c r="H245" s="49">
        <f ca="1">calc_op_cf_m7+calc_inv_cf_m7+calc_fin_cf_m7</f>
        <v>0</v>
      </c>
      <c r="I245" s="49">
        <f ca="1">calc_op_cf_m8+calc_inv_cf_m8+calc_fin_cf_m8</f>
        <v>0</v>
      </c>
      <c r="J245" s="49">
        <f ca="1">calc_op_cf_m9+calc_inv_cf_m9+calc_fin_cf_m9</f>
        <v>0</v>
      </c>
      <c r="K245" s="49">
        <f ca="1">calc_op_cf_m10+calc_inv_cf_m10+calc_fin_cf_m10</f>
        <v>0</v>
      </c>
      <c r="L245" s="49">
        <f ca="1">calc_op_cf_m11+calc_inv_cf_m11+calc_fin_cf_m11</f>
        <v>0</v>
      </c>
      <c r="M245" s="49">
        <f ca="1">calc_op_cf_m12+calc_inv_cf_m12+calc_fin_cf_m12</f>
        <v>0</v>
      </c>
      <c r="N245" s="50">
        <f t="shared" ca="1" si="8"/>
        <v>0</v>
      </c>
      <c r="O245" s="1"/>
      <c r="P245" s="1"/>
    </row>
    <row r="246" spans="1:16" x14ac:dyDescent="0.2">
      <c r="A246" s="48" t="s">
        <v>131</v>
      </c>
      <c r="B246" s="49">
        <f>inp_open_cash</f>
        <v>0</v>
      </c>
      <c r="C246" s="49">
        <f>calc_close_cash_m1</f>
        <v>0</v>
      </c>
      <c r="D246" s="49">
        <f ca="1">calc_close_cash_m2</f>
        <v>0</v>
      </c>
      <c r="E246" s="49">
        <f ca="1">calc_close_cash_m3</f>
        <v>0</v>
      </c>
      <c r="F246" s="49">
        <f ca="1">calc_close_cash_m4</f>
        <v>0</v>
      </c>
      <c r="G246" s="49">
        <f ca="1">calc_close_cash_m5</f>
        <v>0</v>
      </c>
      <c r="H246" s="49">
        <f ca="1">calc_close_cash_m6</f>
        <v>0</v>
      </c>
      <c r="I246" s="49">
        <f ca="1">calc_close_cash_m7</f>
        <v>0</v>
      </c>
      <c r="J246" s="49">
        <f ca="1">calc_close_cash_m8</f>
        <v>0</v>
      </c>
      <c r="K246" s="49">
        <f ca="1">calc_close_cash_m9</f>
        <v>0</v>
      </c>
      <c r="L246" s="49">
        <f ca="1">calc_close_cash_m10</f>
        <v>0</v>
      </c>
      <c r="M246" s="49">
        <f ca="1">calc_close_cash_m11</f>
        <v>0</v>
      </c>
      <c r="N246" s="50">
        <f>B246</f>
        <v>0</v>
      </c>
      <c r="O246" s="1"/>
      <c r="P246" s="1"/>
    </row>
    <row r="247" spans="1:16" x14ac:dyDescent="0.2">
      <c r="A247" s="48" t="s">
        <v>132</v>
      </c>
      <c r="B247" s="49">
        <f>calc_open_cash_m1+calc_net_change_m1</f>
        <v>0</v>
      </c>
      <c r="C247" s="49">
        <f ca="1">calc_open_cash_m2+calc_net_change_m2</f>
        <v>0</v>
      </c>
      <c r="D247" s="49">
        <f ca="1">calc_open_cash_m3+calc_net_change_m3</f>
        <v>0</v>
      </c>
      <c r="E247" s="49">
        <f ca="1">calc_open_cash_m4+calc_net_change_m4</f>
        <v>0</v>
      </c>
      <c r="F247" s="49">
        <f ca="1">calc_open_cash_m5+calc_net_change_m5</f>
        <v>0</v>
      </c>
      <c r="G247" s="49">
        <f ca="1">calc_open_cash_m6+calc_net_change_m6</f>
        <v>0</v>
      </c>
      <c r="H247" s="49">
        <f ca="1">calc_open_cash_m7+calc_net_change_m7</f>
        <v>0</v>
      </c>
      <c r="I247" s="49">
        <f ca="1">calc_open_cash_m8+calc_net_change_m8</f>
        <v>0</v>
      </c>
      <c r="J247" s="49">
        <f ca="1">calc_open_cash_m9+calc_net_change_m9</f>
        <v>0</v>
      </c>
      <c r="K247" s="49">
        <f ca="1">calc_open_cash_m10+calc_net_change_m10</f>
        <v>0</v>
      </c>
      <c r="L247" s="49">
        <f ca="1">calc_open_cash_m11+calc_net_change_m11</f>
        <v>0</v>
      </c>
      <c r="M247" s="49">
        <f ca="1">calc_open_cash_m12+calc_net_change_m12</f>
        <v>0</v>
      </c>
      <c r="N247" s="50">
        <f t="shared" ref="N247:N262" ca="1" si="9">M247</f>
        <v>0</v>
      </c>
      <c r="O247" s="1"/>
      <c r="P247" s="1"/>
    </row>
    <row r="248" spans="1:16" x14ac:dyDescent="0.2">
      <c r="A248" s="48" t="s">
        <v>133</v>
      </c>
      <c r="B248" s="49">
        <f>(calc_close_cash_m1&lt;inp_min_buffer)*1</f>
        <v>0</v>
      </c>
      <c r="C248" s="49">
        <f ca="1">(calc_close_cash_m1&lt;inp_min_buffer)*1+(calc_close_cash_m2&lt;inp_min_buffer)*1</f>
        <v>0</v>
      </c>
      <c r="D248" s="49">
        <f ca="1">(calc_close_cash_m1&lt;inp_min_buffer)*1+(calc_close_cash_m2&lt;inp_min_buffer)*1+(calc_close_cash_m3&lt;inp_min_buffer)*1</f>
        <v>0</v>
      </c>
      <c r="E248" s="49">
        <f ca="1">(calc_close_cash_m1&lt;inp_min_buffer)*1+(calc_close_cash_m2&lt;inp_min_buffer)*1+(calc_close_cash_m3&lt;inp_min_buffer)*1+(calc_close_cash_m4&lt;inp_min_buffer)*1</f>
        <v>0</v>
      </c>
      <c r="F248" s="49">
        <f ca="1">(calc_close_cash_m1&lt;inp_min_buffer)*1+(calc_close_cash_m2&lt;inp_min_buffer)*1+(calc_close_cash_m3&lt;inp_min_buffer)*1+(calc_close_cash_m4&lt;inp_min_buffer)*1+(calc_close_cash_m5&lt;inp_min_buffer)*1</f>
        <v>0</v>
      </c>
      <c r="G248" s="49">
        <f ca="1">(calc_close_cash_m1&lt;inp_min_buffer)*1+(calc_close_cash_m2&lt;inp_min_buffer)*1+(calc_close_cash_m3&lt;inp_min_buffer)*1+(calc_close_cash_m4&lt;inp_min_buffer)*1+(calc_close_cash_m5&lt;inp_min_buffer)*1+(calc_close_cash_m6&lt;inp_min_buffer)*1</f>
        <v>0</v>
      </c>
      <c r="H248" s="49">
        <f ca="1">(calc_close_cash_m1&lt;inp_min_buffer)*1+(calc_close_cash_m2&lt;inp_min_buffer)*1+(calc_close_cash_m3&lt;inp_min_buffer)*1+(calc_close_cash_m4&lt;inp_min_buffer)*1+(calc_close_cash_m5&lt;inp_min_buffer)*1+(calc_close_cash_m6&lt;inp_min_buffer)*1+(calc_close_cash_m7&lt;inp_min_buffer)*1</f>
        <v>0</v>
      </c>
      <c r="I248" s="49">
        <f ca="1">(calc_close_cash_m1&lt;inp_min_buffer)*1+(calc_close_cash_m2&lt;inp_min_buffer)*1+(calc_close_cash_m3&lt;inp_min_buffer)*1+(calc_close_cash_m4&lt;inp_min_buffer)*1+(calc_close_cash_m5&lt;inp_min_buffer)*1+(calc_close_cash_m6&lt;inp_min_buffer)*1+(calc_close_cash_m7&lt;inp_min_buffer)*1+(calc_close_cash_m8&lt;inp_min_buffer)*1</f>
        <v>0</v>
      </c>
      <c r="J248" s="49">
        <f ca="1">(calc_close_cash_m1&lt;inp_min_buffer)*1+(calc_close_cash_m2&lt;inp_min_buffer)*1+(calc_close_cash_m3&lt;inp_min_buffer)*1+(calc_close_cash_m4&lt;inp_min_buffer)*1+(calc_close_cash_m5&lt;inp_min_buffer)*1+(calc_close_cash_m6&lt;inp_min_buffer)*1+(calc_close_cash_m7&lt;inp_min_buffer)*1+(calc_close_cash_m8&lt;inp_min_buffer)*1+(calc_close_cash_m9&lt;inp_min_buffer)*1</f>
        <v>0</v>
      </c>
      <c r="K248" s="49">
        <f ca="1">(calc_close_cash_m1&lt;inp_min_buffer)*1+(calc_close_cash_m2&lt;inp_min_buffer)*1+(calc_close_cash_m3&lt;inp_min_buffer)*1+(calc_close_cash_m4&lt;inp_min_buffer)*1+(calc_close_cash_m5&lt;inp_min_buffer)*1+(calc_close_cash_m6&lt;inp_min_buffer)*1+(calc_close_cash_m7&lt;inp_min_buffer)*1+(calc_close_cash_m8&lt;inp_min_buffer)*1+(calc_close_cash_m9&lt;inp_min_buffer)*1+(calc_close_cash_m10&lt;inp_min_buffer)*1</f>
        <v>0</v>
      </c>
      <c r="L248" s="49">
        <f ca="1">(calc_close_cash_m1&lt;inp_min_buffer)*1+(calc_close_cash_m2&lt;inp_min_buffer)*1+(calc_close_cash_m3&lt;inp_min_buffer)*1+(calc_close_cash_m4&lt;inp_min_buffer)*1+(calc_close_cash_m5&lt;inp_min_buffer)*1+(calc_close_cash_m6&lt;inp_min_buffer)*1+(calc_close_cash_m7&lt;inp_min_buffer)*1+(calc_close_cash_m8&lt;inp_min_buffer)*1+(calc_close_cash_m9&lt;inp_min_buffer)*1+(calc_close_cash_m10&lt;inp_min_buffer)*1+(calc_close_cash_m11&lt;inp_min_buffer)*1</f>
        <v>0</v>
      </c>
      <c r="M248" s="49">
        <f ca="1">(calc_close_cash_m1&lt;inp_min_buffer)*1+(calc_close_cash_m2&lt;inp_min_buffer)*1+(calc_close_cash_m3&lt;inp_min_buffer)*1+(calc_close_cash_m4&lt;inp_min_buffer)*1+(calc_close_cash_m5&lt;inp_min_buffer)*1+(calc_close_cash_m6&lt;inp_min_buffer)*1+(calc_close_cash_m7&lt;inp_min_buffer)*1+(calc_close_cash_m8&lt;inp_min_buffer)*1+(calc_close_cash_m9&lt;inp_min_buffer)*1+(calc_close_cash_m10&lt;inp_min_buffer)*1+(calc_close_cash_m11&lt;inp_min_buffer)*1+(calc_close_cash_m12&lt;inp_min_buffer)*1</f>
        <v>0</v>
      </c>
      <c r="N248" s="50">
        <f t="shared" ca="1" si="9"/>
        <v>0</v>
      </c>
      <c r="O248" s="1"/>
      <c r="P248" s="1"/>
    </row>
    <row r="249" spans="1:16" x14ac:dyDescent="0.2">
      <c r="A249" s="48" t="s">
        <v>134</v>
      </c>
      <c r="B249" s="49">
        <f>calc_close_cash_m1</f>
        <v>0</v>
      </c>
      <c r="C249" s="49">
        <f ca="1">calc_close_cash_m2</f>
        <v>0</v>
      </c>
      <c r="D249" s="49">
        <f ca="1">calc_close_cash_m3</f>
        <v>0</v>
      </c>
      <c r="E249" s="49">
        <f ca="1">calc_close_cash_m4</f>
        <v>0</v>
      </c>
      <c r="F249" s="49">
        <f ca="1">calc_close_cash_m5</f>
        <v>0</v>
      </c>
      <c r="G249" s="49">
        <f ca="1">calc_close_cash_m6</f>
        <v>0</v>
      </c>
      <c r="H249" s="49">
        <f ca="1">calc_close_cash_m7</f>
        <v>0</v>
      </c>
      <c r="I249" s="49">
        <f ca="1">calc_close_cash_m8</f>
        <v>0</v>
      </c>
      <c r="J249" s="49">
        <f ca="1">calc_close_cash_m9</f>
        <v>0</v>
      </c>
      <c r="K249" s="49">
        <f ca="1">calc_close_cash_m10</f>
        <v>0</v>
      </c>
      <c r="L249" s="49">
        <f ca="1">calc_close_cash_m11</f>
        <v>0</v>
      </c>
      <c r="M249" s="49">
        <f ca="1">calc_close_cash_m12</f>
        <v>0</v>
      </c>
      <c r="N249" s="50">
        <f t="shared" ca="1" si="9"/>
        <v>0</v>
      </c>
      <c r="O249" s="1"/>
      <c r="P249" s="1"/>
    </row>
    <row r="250" spans="1:16" x14ac:dyDescent="0.2">
      <c r="A250" s="48" t="s">
        <v>135</v>
      </c>
      <c r="B250" s="49">
        <f t="shared" ref="B250:M250" si="10">inp_other_ca</f>
        <v>0</v>
      </c>
      <c r="C250" s="49">
        <f t="shared" si="10"/>
        <v>0</v>
      </c>
      <c r="D250" s="49">
        <f t="shared" si="10"/>
        <v>0</v>
      </c>
      <c r="E250" s="49">
        <f t="shared" si="10"/>
        <v>0</v>
      </c>
      <c r="F250" s="49">
        <f t="shared" si="10"/>
        <v>0</v>
      </c>
      <c r="G250" s="49">
        <f t="shared" si="10"/>
        <v>0</v>
      </c>
      <c r="H250" s="49">
        <f t="shared" si="10"/>
        <v>0</v>
      </c>
      <c r="I250" s="49">
        <f t="shared" si="10"/>
        <v>0</v>
      </c>
      <c r="J250" s="49">
        <f t="shared" si="10"/>
        <v>0</v>
      </c>
      <c r="K250" s="49">
        <f t="shared" si="10"/>
        <v>0</v>
      </c>
      <c r="L250" s="49">
        <f t="shared" si="10"/>
        <v>0</v>
      </c>
      <c r="M250" s="49">
        <f t="shared" si="10"/>
        <v>0</v>
      </c>
      <c r="N250" s="50">
        <f t="shared" si="9"/>
        <v>0</v>
      </c>
      <c r="O250" s="1"/>
      <c r="P250" s="1"/>
    </row>
    <row r="251" spans="1:16" x14ac:dyDescent="0.2">
      <c r="A251" s="48" t="s">
        <v>136</v>
      </c>
      <c r="B251" s="49">
        <f>calc_bs_cash_m1+calc_bs_ar_m1+calc_bs_other_ca_m1</f>
        <v>0</v>
      </c>
      <c r="C251" s="49">
        <f ca="1">calc_bs_cash_m2+calc_bs_ar_m2+calc_bs_other_ca_m2</f>
        <v>0</v>
      </c>
      <c r="D251" s="49">
        <f ca="1">calc_bs_cash_m3+calc_bs_ar_m3+calc_bs_other_ca_m3</f>
        <v>0</v>
      </c>
      <c r="E251" s="49">
        <f ca="1">calc_bs_cash_m4+calc_bs_ar_m4+calc_bs_other_ca_m4</f>
        <v>0</v>
      </c>
      <c r="F251" s="49">
        <f ca="1">calc_bs_cash_m5+calc_bs_ar_m5+calc_bs_other_ca_m5</f>
        <v>0</v>
      </c>
      <c r="G251" s="49">
        <f ca="1">calc_bs_cash_m6+calc_bs_ar_m6+calc_bs_other_ca_m6</f>
        <v>0</v>
      </c>
      <c r="H251" s="49">
        <f ca="1">calc_bs_cash_m7+calc_bs_ar_m7+calc_bs_other_ca_m7</f>
        <v>0</v>
      </c>
      <c r="I251" s="49">
        <f ca="1">calc_bs_cash_m8+calc_bs_ar_m8+calc_bs_other_ca_m8</f>
        <v>0</v>
      </c>
      <c r="J251" s="49">
        <f ca="1">calc_bs_cash_m9+calc_bs_ar_m9+calc_bs_other_ca_m9</f>
        <v>0</v>
      </c>
      <c r="K251" s="49">
        <f ca="1">calc_bs_cash_m10+calc_bs_ar_m10+calc_bs_other_ca_m10</f>
        <v>0</v>
      </c>
      <c r="L251" s="49">
        <f ca="1">calc_bs_cash_m11+calc_bs_ar_m11+calc_bs_other_ca_m11</f>
        <v>0</v>
      </c>
      <c r="M251" s="49">
        <f ca="1">calc_bs_cash_m12+calc_bs_ar_m12+calc_bs_other_ca_m12</f>
        <v>0</v>
      </c>
      <c r="N251" s="50">
        <f t="shared" ca="1" si="9"/>
        <v>0</v>
      </c>
      <c r="O251" s="1"/>
      <c r="P251" s="1"/>
    </row>
    <row r="252" spans="1:16" x14ac:dyDescent="0.2">
      <c r="A252" s="48" t="s">
        <v>137</v>
      </c>
      <c r="B252" s="49">
        <f ca="1">inp_open_fa+SUM(OFFSET(inp_capex_m1m12,0,0,1,1))</f>
        <v>0</v>
      </c>
      <c r="C252" s="49">
        <f ca="1">inp_open_fa+SUM(OFFSET(inp_capex_m1m12,0,0,1,2))</f>
        <v>0</v>
      </c>
      <c r="D252" s="49">
        <f ca="1">inp_open_fa+SUM(OFFSET(inp_capex_m1m12,0,0,1,3))</f>
        <v>0</v>
      </c>
      <c r="E252" s="49">
        <f ca="1">inp_open_fa+SUM(OFFSET(inp_capex_m1m12,0,0,1,4))</f>
        <v>0</v>
      </c>
      <c r="F252" s="49">
        <f ca="1">inp_open_fa+SUM(OFFSET(inp_capex_m1m12,0,0,1,5))</f>
        <v>0</v>
      </c>
      <c r="G252" s="49">
        <f ca="1">inp_open_fa+SUM(OFFSET(inp_capex_m1m12,0,0,1,6))</f>
        <v>0</v>
      </c>
      <c r="H252" s="49">
        <f ca="1">inp_open_fa+SUM(OFFSET(inp_capex_m1m12,0,0,1,7))</f>
        <v>0</v>
      </c>
      <c r="I252" s="49">
        <f ca="1">inp_open_fa+SUM(OFFSET(inp_capex_m1m12,0,0,1,8))</f>
        <v>0</v>
      </c>
      <c r="J252" s="49">
        <f ca="1">inp_open_fa+SUM(OFFSET(inp_capex_m1m12,0,0,1,9))</f>
        <v>0</v>
      </c>
      <c r="K252" s="49">
        <f ca="1">inp_open_fa+SUM(OFFSET(inp_capex_m1m12,0,0,1,10))</f>
        <v>0</v>
      </c>
      <c r="L252" s="49">
        <f ca="1">inp_open_fa+SUM(OFFSET(inp_capex_m1m12,0,0,1,11))</f>
        <v>0</v>
      </c>
      <c r="M252" s="49">
        <f ca="1">inp_open_fa+SUM(OFFSET(inp_capex_m1m12,0,0,1,12))</f>
        <v>0</v>
      </c>
      <c r="N252" s="50">
        <f t="shared" ca="1" si="9"/>
        <v>0</v>
      </c>
      <c r="O252" s="1"/>
      <c r="P252" s="1"/>
    </row>
    <row r="253" spans="1:16" x14ac:dyDescent="0.2">
      <c r="A253" s="48" t="s">
        <v>138</v>
      </c>
      <c r="B253" s="49">
        <f>-(calc_da_m1*1)</f>
        <v>0</v>
      </c>
      <c r="C253" s="49">
        <f>-(calc_da_m1*2)</f>
        <v>0</v>
      </c>
      <c r="D253" s="49">
        <f>-(calc_da_m1*3)</f>
        <v>0</v>
      </c>
      <c r="E253" s="49">
        <f>-(calc_da_m1*4)</f>
        <v>0</v>
      </c>
      <c r="F253" s="49">
        <f>-(calc_da_m1*5)</f>
        <v>0</v>
      </c>
      <c r="G253" s="49">
        <f>-(calc_da_m1*6)</f>
        <v>0</v>
      </c>
      <c r="H253" s="49">
        <f>-(calc_da_m1*7)</f>
        <v>0</v>
      </c>
      <c r="I253" s="49">
        <f>-(calc_da_m1*8)</f>
        <v>0</v>
      </c>
      <c r="J253" s="49">
        <f>-(calc_da_m1*9)</f>
        <v>0</v>
      </c>
      <c r="K253" s="49">
        <f>-(calc_da_m1*10)</f>
        <v>0</v>
      </c>
      <c r="L253" s="49">
        <f>-(calc_da_m1*11)</f>
        <v>0</v>
      </c>
      <c r="M253" s="49">
        <f>-(calc_da_m1*12)</f>
        <v>0</v>
      </c>
      <c r="N253" s="50">
        <f t="shared" si="9"/>
        <v>0</v>
      </c>
      <c r="O253" s="1"/>
      <c r="P253" s="1"/>
    </row>
    <row r="254" spans="1:16" x14ac:dyDescent="0.2">
      <c r="A254" s="48" t="s">
        <v>139</v>
      </c>
      <c r="B254" s="49">
        <f ca="1">calc_bs_ppe_cost_m1+calc_bs_acc_da_neg_m1</f>
        <v>0</v>
      </c>
      <c r="C254" s="49">
        <f ca="1">calc_bs_ppe_cost_m2+calc_bs_acc_da_neg_m2</f>
        <v>0</v>
      </c>
      <c r="D254" s="49">
        <f ca="1">calc_bs_ppe_cost_m3+calc_bs_acc_da_neg_m3</f>
        <v>0</v>
      </c>
      <c r="E254" s="49">
        <f ca="1">calc_bs_ppe_cost_m4+calc_bs_acc_da_neg_m4</f>
        <v>0</v>
      </c>
      <c r="F254" s="49">
        <f ca="1">calc_bs_ppe_cost_m5+calc_bs_acc_da_neg_m5</f>
        <v>0</v>
      </c>
      <c r="G254" s="49">
        <f ca="1">calc_bs_ppe_cost_m6+calc_bs_acc_da_neg_m6</f>
        <v>0</v>
      </c>
      <c r="H254" s="49">
        <f ca="1">calc_bs_ppe_cost_m7+calc_bs_acc_da_neg_m7</f>
        <v>0</v>
      </c>
      <c r="I254" s="49">
        <f ca="1">calc_bs_ppe_cost_m8+calc_bs_acc_da_neg_m8</f>
        <v>0</v>
      </c>
      <c r="J254" s="49">
        <f ca="1">calc_bs_ppe_cost_m9+calc_bs_acc_da_neg_m9</f>
        <v>0</v>
      </c>
      <c r="K254" s="49">
        <f ca="1">calc_bs_ppe_cost_m10+calc_bs_acc_da_neg_m10</f>
        <v>0</v>
      </c>
      <c r="L254" s="49">
        <f ca="1">calc_bs_ppe_cost_m11+calc_bs_acc_da_neg_m11</f>
        <v>0</v>
      </c>
      <c r="M254" s="49">
        <f ca="1">calc_bs_ppe_cost_m12+calc_bs_acc_da_neg_m12</f>
        <v>0</v>
      </c>
      <c r="N254" s="50">
        <f t="shared" ca="1" si="9"/>
        <v>0</v>
      </c>
      <c r="O254" s="1"/>
      <c r="P254" s="1"/>
    </row>
    <row r="255" spans="1:16" x14ac:dyDescent="0.2">
      <c r="A255" s="48" t="s">
        <v>140</v>
      </c>
      <c r="B255" s="49">
        <f ca="1">calc_bs_total_ca_m1+calc_bs_net_fa_m1</f>
        <v>0</v>
      </c>
      <c r="C255" s="49">
        <f ca="1">calc_bs_total_ca_m2+calc_bs_net_fa_m2</f>
        <v>0</v>
      </c>
      <c r="D255" s="49">
        <f ca="1">calc_bs_total_ca_m3+calc_bs_net_fa_m3</f>
        <v>0</v>
      </c>
      <c r="E255" s="49">
        <f ca="1">calc_bs_total_ca_m4+calc_bs_net_fa_m4</f>
        <v>0</v>
      </c>
      <c r="F255" s="49">
        <f ca="1">calc_bs_total_ca_m5+calc_bs_net_fa_m5</f>
        <v>0</v>
      </c>
      <c r="G255" s="49">
        <f ca="1">calc_bs_total_ca_m6+calc_bs_net_fa_m6</f>
        <v>0</v>
      </c>
      <c r="H255" s="49">
        <f ca="1">calc_bs_total_ca_m7+calc_bs_net_fa_m7</f>
        <v>0</v>
      </c>
      <c r="I255" s="49">
        <f ca="1">calc_bs_total_ca_m8+calc_bs_net_fa_m8</f>
        <v>0</v>
      </c>
      <c r="J255" s="49">
        <f ca="1">calc_bs_total_ca_m9+calc_bs_net_fa_m9</f>
        <v>0</v>
      </c>
      <c r="K255" s="49">
        <f ca="1">calc_bs_total_ca_m10+calc_bs_net_fa_m10</f>
        <v>0</v>
      </c>
      <c r="L255" s="49">
        <f ca="1">calc_bs_total_ca_m11+calc_bs_net_fa_m11</f>
        <v>0</v>
      </c>
      <c r="M255" s="49">
        <f ca="1">calc_bs_total_ca_m12+calc_bs_net_fa_m12</f>
        <v>0</v>
      </c>
      <c r="N255" s="50">
        <f t="shared" ca="1" si="9"/>
        <v>0</v>
      </c>
      <c r="O255" s="1"/>
      <c r="P255" s="1"/>
    </row>
    <row r="256" spans="1:16" x14ac:dyDescent="0.2">
      <c r="A256" s="48" t="s">
        <v>141</v>
      </c>
      <c r="B256" s="49">
        <f>0</f>
        <v>0</v>
      </c>
      <c r="C256" s="49">
        <f>0</f>
        <v>0</v>
      </c>
      <c r="D256" s="49">
        <f>0</f>
        <v>0</v>
      </c>
      <c r="E256" s="49">
        <f>0</f>
        <v>0</v>
      </c>
      <c r="F256" s="49">
        <f>0</f>
        <v>0</v>
      </c>
      <c r="G256" s="49">
        <f>0</f>
        <v>0</v>
      </c>
      <c r="H256" s="49">
        <f>0</f>
        <v>0</v>
      </c>
      <c r="I256" s="49">
        <f>0</f>
        <v>0</v>
      </c>
      <c r="J256" s="49">
        <f>0</f>
        <v>0</v>
      </c>
      <c r="K256" s="49">
        <f>0</f>
        <v>0</v>
      </c>
      <c r="L256" s="49">
        <f>0</f>
        <v>0</v>
      </c>
      <c r="M256" s="49">
        <f>0</f>
        <v>0</v>
      </c>
      <c r="N256" s="50">
        <f t="shared" si="9"/>
        <v>0</v>
      </c>
      <c r="O256" s="1"/>
      <c r="P256" s="1"/>
    </row>
    <row r="257" spans="1:16" x14ac:dyDescent="0.2">
      <c r="A257" s="48" t="s">
        <v>142</v>
      </c>
      <c r="B257" s="49">
        <f ca="1">inp_open_debt+SUM(OFFSET(inp_debt_draw_m1m12,0,0,1,1))-SUM(OFFSET(inp_debt_repay_m1m12,0,0,1,1))</f>
        <v>0</v>
      </c>
      <c r="C257" s="49">
        <f ca="1">inp_open_debt+SUM(OFFSET(inp_debt_draw_m1m12,0,0,1,2))-SUM(OFFSET(inp_debt_repay_m1m12,0,0,1,2))</f>
        <v>0</v>
      </c>
      <c r="D257" s="49">
        <f ca="1">inp_open_debt+SUM(OFFSET(inp_debt_draw_m1m12,0,0,1,3))-SUM(OFFSET(inp_debt_repay_m1m12,0,0,1,3))</f>
        <v>0</v>
      </c>
      <c r="E257" s="49">
        <f ca="1">inp_open_debt+SUM(OFFSET(inp_debt_draw_m1m12,0,0,1,4))-SUM(OFFSET(inp_debt_repay_m1m12,0,0,1,4))</f>
        <v>0</v>
      </c>
      <c r="F257" s="49">
        <f ca="1">inp_open_debt+SUM(OFFSET(inp_debt_draw_m1m12,0,0,1,5))-SUM(OFFSET(inp_debt_repay_m1m12,0,0,1,5))</f>
        <v>0</v>
      </c>
      <c r="G257" s="49">
        <f ca="1">inp_open_debt+SUM(OFFSET(inp_debt_draw_m1m12,0,0,1,6))-SUM(OFFSET(inp_debt_repay_m1m12,0,0,1,6))</f>
        <v>0</v>
      </c>
      <c r="H257" s="49">
        <f ca="1">inp_open_debt+SUM(OFFSET(inp_debt_draw_m1m12,0,0,1,7))-SUM(OFFSET(inp_debt_repay_m1m12,0,0,1,7))</f>
        <v>0</v>
      </c>
      <c r="I257" s="49">
        <f ca="1">inp_open_debt+SUM(OFFSET(inp_debt_draw_m1m12,0,0,1,8))-SUM(OFFSET(inp_debt_repay_m1m12,0,0,1,8))</f>
        <v>0</v>
      </c>
      <c r="J257" s="49">
        <f ca="1">inp_open_debt+SUM(OFFSET(inp_debt_draw_m1m12,0,0,1,9))-SUM(OFFSET(inp_debt_repay_m1m12,0,0,1,9))</f>
        <v>0</v>
      </c>
      <c r="K257" s="49">
        <f ca="1">inp_open_debt+SUM(OFFSET(inp_debt_draw_m1m12,0,0,1,10))-SUM(OFFSET(inp_debt_repay_m1m12,0,0,1,10))</f>
        <v>0</v>
      </c>
      <c r="L257" s="49">
        <f ca="1">inp_open_debt+SUM(OFFSET(inp_debt_draw_m1m12,0,0,1,11))-SUM(OFFSET(inp_debt_repay_m1m12,0,0,1,11))</f>
        <v>0</v>
      </c>
      <c r="M257" s="49">
        <f ca="1">inp_open_debt+SUM(OFFSET(inp_debt_draw_m1m12,0,0,1,12))-SUM(OFFSET(inp_debt_repay_m1m12,0,0,1,12))</f>
        <v>0</v>
      </c>
      <c r="N257" s="50">
        <f t="shared" ca="1" si="9"/>
        <v>0</v>
      </c>
      <c r="O257" s="1"/>
      <c r="P257" s="1"/>
    </row>
    <row r="258" spans="1:16" x14ac:dyDescent="0.2">
      <c r="A258" s="48" t="s">
        <v>143</v>
      </c>
      <c r="B258" s="49">
        <f ca="1">calc_bs_ap_m1+calc_bs_debt_m1+calc_bs_tax_pay_m1</f>
        <v>0</v>
      </c>
      <c r="C258" s="49">
        <f ca="1">calc_bs_ap_m2+calc_bs_debt_m2+calc_bs_tax_pay_m2</f>
        <v>0</v>
      </c>
      <c r="D258" s="49">
        <f ca="1">calc_bs_ap_m3+calc_bs_debt_m3+calc_bs_tax_pay_m3</f>
        <v>0</v>
      </c>
      <c r="E258" s="49">
        <f ca="1">calc_bs_ap_m4+calc_bs_debt_m4+calc_bs_tax_pay_m4</f>
        <v>0</v>
      </c>
      <c r="F258" s="49">
        <f ca="1">calc_bs_ap_m5+calc_bs_debt_m5+calc_bs_tax_pay_m5</f>
        <v>0</v>
      </c>
      <c r="G258" s="49">
        <f ca="1">calc_bs_ap_m6+calc_bs_debt_m6+calc_bs_tax_pay_m6</f>
        <v>0</v>
      </c>
      <c r="H258" s="49">
        <f ca="1">calc_bs_ap_m7+calc_bs_debt_m7+calc_bs_tax_pay_m7</f>
        <v>0</v>
      </c>
      <c r="I258" s="49">
        <f ca="1">calc_bs_ap_m8+calc_bs_debt_m8+calc_bs_tax_pay_m8</f>
        <v>0</v>
      </c>
      <c r="J258" s="49">
        <f ca="1">calc_bs_ap_m9+calc_bs_debt_m9+calc_bs_tax_pay_m9</f>
        <v>0</v>
      </c>
      <c r="K258" s="49">
        <f ca="1">calc_bs_ap_m10+calc_bs_debt_m10+calc_bs_tax_pay_m10</f>
        <v>0</v>
      </c>
      <c r="L258" s="49">
        <f ca="1">calc_bs_ap_m11+calc_bs_debt_m11+calc_bs_tax_pay_m11</f>
        <v>0</v>
      </c>
      <c r="M258" s="49">
        <f ca="1">calc_bs_ap_m12+calc_bs_debt_m12+calc_bs_tax_pay_m12</f>
        <v>0</v>
      </c>
      <c r="N258" s="50">
        <f t="shared" ca="1" si="9"/>
        <v>0</v>
      </c>
      <c r="O258" s="1"/>
      <c r="P258" s="1"/>
    </row>
    <row r="259" spans="1:16" x14ac:dyDescent="0.2">
      <c r="A259" s="48" t="s">
        <v>144</v>
      </c>
      <c r="B259" s="49">
        <f ca="1">IF(inp_open_equity&lt;&gt;"",inp_open_equity,calc_bs_total_assets_m1-calc_bs_total_liab_m1-calc_bs_ret_earn_m1)</f>
        <v>0</v>
      </c>
      <c r="C259" s="49">
        <f ca="1">$B$259</f>
        <v>0</v>
      </c>
      <c r="D259" s="49">
        <f t="shared" ref="D259:N259" ca="1" si="11">$B$259</f>
        <v>0</v>
      </c>
      <c r="E259" s="49">
        <f t="shared" ca="1" si="11"/>
        <v>0</v>
      </c>
      <c r="F259" s="49">
        <f t="shared" ca="1" si="11"/>
        <v>0</v>
      </c>
      <c r="G259" s="49">
        <f t="shared" ca="1" si="11"/>
        <v>0</v>
      </c>
      <c r="H259" s="49">
        <f t="shared" ca="1" si="11"/>
        <v>0</v>
      </c>
      <c r="I259" s="49">
        <f t="shared" ca="1" si="11"/>
        <v>0</v>
      </c>
      <c r="J259" s="49">
        <f t="shared" ca="1" si="11"/>
        <v>0</v>
      </c>
      <c r="K259" s="49">
        <f t="shared" ca="1" si="11"/>
        <v>0</v>
      </c>
      <c r="L259" s="49">
        <f t="shared" ca="1" si="11"/>
        <v>0</v>
      </c>
      <c r="M259" s="49">
        <f t="shared" ca="1" si="11"/>
        <v>0</v>
      </c>
      <c r="N259" s="49">
        <f t="shared" ca="1" si="11"/>
        <v>0</v>
      </c>
      <c r="O259" s="1"/>
      <c r="P259" s="1"/>
    </row>
    <row r="260" spans="1:16" x14ac:dyDescent="0.2">
      <c r="A260" s="48" t="s">
        <v>145</v>
      </c>
      <c r="B260" s="49">
        <f ca="1">SUM(OFFSET(calc_net_profit_m1,0,0,1,1))-SUM(OFFSET(inp_dist_m1m12,0,0,1,1))</f>
        <v>0</v>
      </c>
      <c r="C260" s="49">
        <f ca="1">SUM(OFFSET(calc_net_profit_m1,0,0,1,2))-SUM(OFFSET(inp_dist_m1m12,0,0,1,2))</f>
        <v>0</v>
      </c>
      <c r="D260" s="49">
        <f ca="1">SUM(OFFSET(calc_net_profit_m1,0,0,1,3))-SUM(OFFSET(inp_dist_m1m12,0,0,1,3))</f>
        <v>0</v>
      </c>
      <c r="E260" s="49">
        <f ca="1">SUM(OFFSET(calc_net_profit_m1,0,0,1,4))-SUM(OFFSET(inp_dist_m1m12,0,0,1,4))</f>
        <v>0</v>
      </c>
      <c r="F260" s="49">
        <f ca="1">SUM(OFFSET(calc_net_profit_m1,0,0,1,5))-SUM(OFFSET(inp_dist_m1m12,0,0,1,5))</f>
        <v>0</v>
      </c>
      <c r="G260" s="49">
        <f ca="1">SUM(OFFSET(calc_net_profit_m1,0,0,1,6))-SUM(OFFSET(inp_dist_m1m12,0,0,1,6))</f>
        <v>0</v>
      </c>
      <c r="H260" s="49">
        <f ca="1">SUM(OFFSET(calc_net_profit_m1,0,0,1,7))-SUM(OFFSET(inp_dist_m1m12,0,0,1,7))</f>
        <v>0</v>
      </c>
      <c r="I260" s="49">
        <f ca="1">SUM(OFFSET(calc_net_profit_m1,0,0,1,8))-SUM(OFFSET(inp_dist_m1m12,0,0,1,8))</f>
        <v>0</v>
      </c>
      <c r="J260" s="49">
        <f ca="1">SUM(OFFSET(calc_net_profit_m1,0,0,1,9))-SUM(OFFSET(inp_dist_m1m12,0,0,1,9))</f>
        <v>0</v>
      </c>
      <c r="K260" s="49">
        <f ca="1">SUM(OFFSET(calc_net_profit_m1,0,0,1,10))-SUM(OFFSET(inp_dist_m1m12,0,0,1,10))</f>
        <v>0</v>
      </c>
      <c r="L260" s="49">
        <f ca="1">SUM(OFFSET(calc_net_profit_m1,0,0,1,11))-SUM(OFFSET(inp_dist_m1m12,0,0,1,11))</f>
        <v>0</v>
      </c>
      <c r="M260" s="49">
        <f ca="1">SUM(OFFSET(calc_net_profit_m1,0,0,1,12))-SUM(OFFSET(inp_dist_m1m12,0,0,1,12))</f>
        <v>0</v>
      </c>
      <c r="N260" s="50">
        <f t="shared" ca="1" si="9"/>
        <v>0</v>
      </c>
      <c r="O260" s="1"/>
      <c r="P260" s="1"/>
    </row>
    <row r="261" spans="1:16" x14ac:dyDescent="0.2">
      <c r="A261" s="48" t="s">
        <v>146</v>
      </c>
      <c r="B261" s="49">
        <f ca="1">calc_bs_paid_in_m1+calc_bs_ret_earn_m1+calc_bs_total_liab_m1</f>
        <v>0</v>
      </c>
      <c r="C261" s="49">
        <f ca="1">calc_bs_paid_in_m2+calc_bs_ret_earn_m2+calc_bs_total_liab_m2</f>
        <v>0</v>
      </c>
      <c r="D261" s="49">
        <f ca="1">calc_bs_paid_in_m3+calc_bs_ret_earn_m3+calc_bs_total_liab_m3</f>
        <v>0</v>
      </c>
      <c r="E261" s="49">
        <f ca="1">calc_bs_paid_in_m4+calc_bs_ret_earn_m4+calc_bs_total_liab_m4</f>
        <v>0</v>
      </c>
      <c r="F261" s="49">
        <f ca="1">calc_bs_paid_in_m5+calc_bs_ret_earn_m5+calc_bs_total_liab_m5</f>
        <v>0</v>
      </c>
      <c r="G261" s="49">
        <f ca="1">calc_bs_paid_in_m6+calc_bs_ret_earn_m6+calc_bs_total_liab_m6</f>
        <v>0</v>
      </c>
      <c r="H261" s="49">
        <f ca="1">calc_bs_paid_in_m7+calc_bs_ret_earn_m7+calc_bs_total_liab_m7</f>
        <v>0</v>
      </c>
      <c r="I261" s="49">
        <f ca="1">calc_bs_paid_in_m8+calc_bs_ret_earn_m8+calc_bs_total_liab_m8</f>
        <v>0</v>
      </c>
      <c r="J261" s="49">
        <f ca="1">calc_bs_paid_in_m9+calc_bs_ret_earn_m9+calc_bs_total_liab_m9</f>
        <v>0</v>
      </c>
      <c r="K261" s="49">
        <f ca="1">calc_bs_paid_in_m10+calc_bs_ret_earn_m10+calc_bs_total_liab_m10</f>
        <v>0</v>
      </c>
      <c r="L261" s="49">
        <f ca="1">calc_bs_paid_in_m11+calc_bs_ret_earn_m11+calc_bs_total_liab_m11</f>
        <v>0</v>
      </c>
      <c r="M261" s="49">
        <f ca="1">calc_bs_paid_in_m12+calc_bs_ret_earn_m12+calc_bs_total_liab_m12</f>
        <v>0</v>
      </c>
      <c r="N261" s="50">
        <f t="shared" ca="1" si="9"/>
        <v>0</v>
      </c>
      <c r="O261" s="1"/>
      <c r="P261" s="1"/>
    </row>
    <row r="262" spans="1:16" x14ac:dyDescent="0.2">
      <c r="A262" s="48" t="s">
        <v>147</v>
      </c>
      <c r="B262" s="49">
        <f ca="1">calc_bs_total_assets_m1-calc_bs_total_le_m1</f>
        <v>0</v>
      </c>
      <c r="C262" s="49">
        <f ca="1">calc_bs_total_assets_m2-calc_bs_total_le_m2</f>
        <v>0</v>
      </c>
      <c r="D262" s="49">
        <f ca="1">calc_bs_total_assets_m3-calc_bs_total_le_m3</f>
        <v>0</v>
      </c>
      <c r="E262" s="49">
        <f ca="1">calc_bs_total_assets_m4-calc_bs_total_le_m4</f>
        <v>0</v>
      </c>
      <c r="F262" s="49">
        <f ca="1">calc_bs_total_assets_m5-calc_bs_total_le_m5</f>
        <v>0</v>
      </c>
      <c r="G262" s="49">
        <f ca="1">calc_bs_total_assets_m6-calc_bs_total_le_m6</f>
        <v>0</v>
      </c>
      <c r="H262" s="49">
        <f ca="1">calc_bs_total_assets_m7-calc_bs_total_le_m7</f>
        <v>0</v>
      </c>
      <c r="I262" s="49">
        <f ca="1">calc_bs_total_assets_m8-calc_bs_total_le_m8</f>
        <v>0</v>
      </c>
      <c r="J262" s="49">
        <f ca="1">calc_bs_total_assets_m9-calc_bs_total_le_m9</f>
        <v>0</v>
      </c>
      <c r="K262" s="49">
        <f ca="1">calc_bs_total_assets_m10-calc_bs_total_le_m10</f>
        <v>0</v>
      </c>
      <c r="L262" s="49">
        <f ca="1">calc_bs_total_assets_m11-calc_bs_total_le_m11</f>
        <v>0</v>
      </c>
      <c r="M262" s="49">
        <f ca="1">calc_bs_total_assets_m12-calc_bs_total_le_m12</f>
        <v>0</v>
      </c>
      <c r="N262" s="50">
        <f t="shared" ca="1" si="9"/>
        <v>0</v>
      </c>
      <c r="O262" s="1"/>
      <c r="P262" s="1"/>
    </row>
    <row r="263" spans="1:16" x14ac:dyDescent="0.2">
      <c r="A263" s="48" t="s">
        <v>148</v>
      </c>
      <c r="B263" s="49">
        <f>scn_rev_base*(SUM(active_sl1_m1m12)+SUM(active_sl2_m1m12)+SUM(active_sl3_m1m12)+SUM(active_sl4_m1m12)+SUM(active_sl5_m1m12))</f>
        <v>0</v>
      </c>
      <c r="C263" s="1"/>
      <c r="D263" s="1"/>
      <c r="E263" s="1"/>
      <c r="F263" s="1"/>
      <c r="G263" s="1"/>
      <c r="H263" s="1"/>
      <c r="I263" s="1"/>
      <c r="J263" s="1"/>
      <c r="K263" s="1"/>
      <c r="L263" s="1"/>
      <c r="M263" s="1"/>
      <c r="N263" s="1"/>
      <c r="O263" s="1"/>
      <c r="P263" s="1"/>
    </row>
    <row r="264" spans="1:16" x14ac:dyDescent="0.2">
      <c r="A264" s="48" t="s">
        <v>149</v>
      </c>
      <c r="B264" s="49">
        <f>scn_rev_base*(SUM(active_sl1_m1m12)+SUM(active_sl2_m1m12)+SUM(active_sl3_m1m12)+SUM(active_sl4_m1m12)+SUM(active_sl5_m1m12))-scn_cost_base*(SUM(active_delivery_payroll_m1m12)+SUM(inp_dc_contractors_m1m12)+SUM(inp_dc_tools_m1m12)+SUM(inp_dc_passthrough_m1m12)+SUM(inp_dc_other_dc_m1m12))-scn_cost_base*(SUM(active_overhead_payroll_m1m12)+SUM(active_ox_rent_m1m12)+SUM(active_ox_software_m1m12)+SUM(active_ox_sales_mktg_m1m12)+SUM(active_ox_prof_fees_m1m12)+SUM(active_ox_insurance_m1m12)+SUM(active_ox_travel_m1m12)+SUM(active_ox_comms_m1m12)+SUM(active_ox_other_ox_m1m12))-scn_rev_base*(SUM(active_sl1_m1m12)+SUM(active_sl2_m1m12)+SUM(active_sl3_m1m12)+SUM(active_sl4_m1m12)+SUM(active_sl5_m1m12))*inp_ox_commission_pct</f>
        <v>0</v>
      </c>
      <c r="C264" s="1"/>
      <c r="D264" s="1"/>
      <c r="E264" s="1"/>
      <c r="F264" s="1"/>
      <c r="G264" s="1"/>
      <c r="H264" s="1"/>
      <c r="I264" s="1"/>
      <c r="J264" s="1"/>
      <c r="K264" s="1"/>
      <c r="L264" s="1"/>
      <c r="M264" s="1"/>
      <c r="N264" s="1"/>
      <c r="O264" s="1"/>
      <c r="P264" s="1"/>
    </row>
    <row r="265" spans="1:16" x14ac:dyDescent="0.2">
      <c r="A265" s="48" t="s">
        <v>150</v>
      </c>
      <c r="B265" s="49">
        <f>inp_open_cash+calc_scn_ebitda_base-inp_da_existing-MAX(0,(calc_scn_ebitda_base-inp_da_existing-(inp_open_debt*inp_int_rate))*inp_tax_rate)-SUM(inp_capex_m1m12)-SUM(inp_debt_repay_m1m12)+SUM(inp_debt_draw_m1m12)-SUM(inp_dist_m1m12)-(inp_open_debt*inp_int_rate)</f>
        <v>0</v>
      </c>
      <c r="C265" s="1"/>
      <c r="D265" s="1"/>
      <c r="E265" s="1"/>
      <c r="F265" s="1"/>
      <c r="G265" s="1"/>
      <c r="H265" s="1"/>
      <c r="I265" s="1"/>
      <c r="J265" s="1"/>
      <c r="K265" s="1"/>
      <c r="L265" s="1"/>
      <c r="M265" s="1"/>
      <c r="N265" s="1"/>
      <c r="O265" s="1"/>
      <c r="P265" s="1"/>
    </row>
    <row r="266" spans="1:16" x14ac:dyDescent="0.2">
      <c r="A266" s="48" t="s">
        <v>151</v>
      </c>
      <c r="B266" s="49">
        <f>scn_rev_downside*(SUM(active_sl1_m1m12)+SUM(active_sl2_m1m12)+SUM(active_sl3_m1m12)+SUM(active_sl4_m1m12)+SUM(active_sl5_m1m12))</f>
        <v>0</v>
      </c>
      <c r="C266" s="1"/>
      <c r="D266" s="1"/>
      <c r="E266" s="1"/>
      <c r="F266" s="1"/>
      <c r="G266" s="1"/>
      <c r="H266" s="1"/>
      <c r="I266" s="1"/>
      <c r="J266" s="1"/>
      <c r="K266" s="1"/>
      <c r="L266" s="1"/>
      <c r="M266" s="1"/>
      <c r="N266" s="1"/>
      <c r="O266" s="1"/>
      <c r="P266" s="1"/>
    </row>
    <row r="267" spans="1:16" x14ac:dyDescent="0.2">
      <c r="A267" s="48" t="s">
        <v>152</v>
      </c>
      <c r="B267" s="49">
        <f>scn_rev_downside*(SUM(active_sl1_m1m12)+SUM(active_sl2_m1m12)+SUM(active_sl3_m1m12)+SUM(active_sl4_m1m12)+SUM(active_sl5_m1m12))-scn_cost_downside*(SUM(active_delivery_payroll_m1m12)+SUM(inp_dc_contractors_m1m12)+SUM(inp_dc_tools_m1m12)+SUM(inp_dc_passthrough_m1m12)+SUM(inp_dc_other_dc_m1m12))-scn_cost_downside*(SUM(active_overhead_payroll_m1m12)+SUM(active_ox_rent_m1m12)+SUM(active_ox_software_m1m12)+SUM(active_ox_sales_mktg_m1m12)+SUM(active_ox_prof_fees_m1m12)+SUM(active_ox_insurance_m1m12)+SUM(active_ox_travel_m1m12)+SUM(active_ox_comms_m1m12)+SUM(active_ox_other_ox_m1m12))-scn_rev_downside*(SUM(active_sl1_m1m12)+SUM(active_sl2_m1m12)+SUM(active_sl3_m1m12)+SUM(active_sl4_m1m12)+SUM(active_sl5_m1m12))*inp_ox_commission_pct</f>
        <v>0</v>
      </c>
      <c r="C267" s="1"/>
      <c r="D267" s="1"/>
      <c r="E267" s="1"/>
      <c r="F267" s="1"/>
      <c r="G267" s="1"/>
      <c r="H267" s="1"/>
      <c r="I267" s="1"/>
      <c r="J267" s="1"/>
      <c r="K267" s="1"/>
      <c r="L267" s="1"/>
      <c r="M267" s="1"/>
      <c r="N267" s="1"/>
      <c r="O267" s="1"/>
      <c r="P267" s="1"/>
    </row>
    <row r="268" spans="1:16" x14ac:dyDescent="0.2">
      <c r="A268" s="48" t="s">
        <v>153</v>
      </c>
      <c r="B268" s="49">
        <f>inp_open_cash+calc_scn_ebitda_downside-inp_da_existing-MAX(0,(calc_scn_ebitda_downside-inp_da_existing-(inp_open_debt*inp_int_rate))*inp_tax_rate)-SUM(inp_capex_m1m12)-SUM(inp_debt_repay_m1m12)+SUM(inp_debt_draw_m1m12)-SUM(inp_dist_m1m12)-(inp_open_debt*inp_int_rate)</f>
        <v>0</v>
      </c>
      <c r="C268" s="1"/>
      <c r="D268" s="1"/>
      <c r="E268" s="1"/>
      <c r="F268" s="1"/>
      <c r="G268" s="1"/>
      <c r="H268" s="1"/>
      <c r="I268" s="1"/>
      <c r="J268" s="1"/>
      <c r="K268" s="1"/>
      <c r="L268" s="1"/>
      <c r="M268" s="1"/>
      <c r="N268" s="1"/>
      <c r="O268" s="1"/>
      <c r="P268" s="1"/>
    </row>
    <row r="269" spans="1:16" x14ac:dyDescent="0.2">
      <c r="A269" s="48" t="s">
        <v>154</v>
      </c>
      <c r="B269" s="49">
        <f>scn_rev_upside*(SUM(active_sl1_m1m12)+SUM(active_sl2_m1m12)+SUM(active_sl3_m1m12)+SUM(active_sl4_m1m12)+SUM(active_sl5_m1m12))</f>
        <v>0</v>
      </c>
      <c r="C269" s="1"/>
      <c r="D269" s="1"/>
      <c r="E269" s="1"/>
      <c r="F269" s="1"/>
      <c r="G269" s="1"/>
      <c r="H269" s="1"/>
      <c r="I269" s="1"/>
      <c r="J269" s="1"/>
      <c r="K269" s="1"/>
      <c r="L269" s="1"/>
      <c r="M269" s="1"/>
      <c r="N269" s="1"/>
      <c r="O269" s="1"/>
      <c r="P269" s="1"/>
    </row>
    <row r="270" spans="1:16" x14ac:dyDescent="0.2">
      <c r="A270" s="48" t="s">
        <v>155</v>
      </c>
      <c r="B270" s="49">
        <f>scn_rev_upside*(SUM(active_sl1_m1m12)+SUM(active_sl2_m1m12)+SUM(active_sl3_m1m12)+SUM(active_sl4_m1m12)+SUM(active_sl5_m1m12))-scn_cost_upside*(SUM(active_delivery_payroll_m1m12)+SUM(inp_dc_contractors_m1m12)+SUM(inp_dc_tools_m1m12)+SUM(inp_dc_passthrough_m1m12)+SUM(inp_dc_other_dc_m1m12))-scn_cost_upside*(SUM(active_overhead_payroll_m1m12)+SUM(active_ox_rent_m1m12)+SUM(active_ox_software_m1m12)+SUM(active_ox_sales_mktg_m1m12)+SUM(active_ox_prof_fees_m1m12)+SUM(active_ox_insurance_m1m12)+SUM(active_ox_travel_m1m12)+SUM(active_ox_comms_m1m12)+SUM(active_ox_other_ox_m1m12))-scn_rev_upside*(SUM(active_sl1_m1m12)+SUM(active_sl2_m1m12)+SUM(active_sl3_m1m12)+SUM(active_sl4_m1m12)+SUM(active_sl5_m1m12))*inp_ox_commission_pct</f>
        <v>0</v>
      </c>
      <c r="C270" s="1"/>
      <c r="D270" s="1"/>
      <c r="E270" s="1"/>
      <c r="F270" s="1"/>
      <c r="G270" s="1"/>
      <c r="H270" s="1"/>
      <c r="I270" s="1"/>
      <c r="J270" s="1"/>
      <c r="K270" s="1"/>
      <c r="L270" s="1"/>
      <c r="M270" s="1"/>
      <c r="N270" s="1"/>
      <c r="O270" s="1"/>
      <c r="P270" s="1"/>
    </row>
    <row r="271" spans="1:16" x14ac:dyDescent="0.2">
      <c r="A271" s="48" t="s">
        <v>156</v>
      </c>
      <c r="B271" s="49">
        <f>inp_open_cash+calc_scn_ebitda_upside-inp_da_existing-MAX(0,(calc_scn_ebitda_upside-inp_da_existing-(inp_open_debt*inp_int_rate))*inp_tax_rate)-SUM(inp_capex_m1m12)-SUM(inp_debt_repay_m1m12)+SUM(inp_debt_draw_m1m12)-SUM(inp_dist_m1m12)-(inp_open_debt*inp_int_rate)</f>
        <v>0</v>
      </c>
      <c r="C271" s="1"/>
      <c r="D271" s="1"/>
      <c r="E271" s="1"/>
      <c r="F271" s="1"/>
      <c r="G271" s="1"/>
      <c r="H271" s="1"/>
      <c r="I271" s="1"/>
      <c r="J271" s="1"/>
      <c r="K271" s="1"/>
      <c r="L271" s="1"/>
      <c r="M271" s="1"/>
      <c r="N271" s="1"/>
      <c r="O271" s="1"/>
      <c r="P271" s="1"/>
    </row>
    <row r="272" spans="1:16" x14ac:dyDescent="0.2">
      <c r="A272" s="55" t="s">
        <v>157</v>
      </c>
      <c r="B272" s="53">
        <f>MAX(active_fte_m1m12)</f>
        <v>0</v>
      </c>
      <c r="C272" s="1"/>
      <c r="D272" s="1"/>
      <c r="E272" s="1"/>
      <c r="F272" s="1"/>
      <c r="G272" s="1"/>
      <c r="H272" s="1"/>
      <c r="I272" s="1"/>
      <c r="J272" s="1"/>
      <c r="K272" s="1"/>
      <c r="L272" s="1"/>
      <c r="M272" s="1"/>
      <c r="N272" s="1"/>
      <c r="O272" s="1"/>
      <c r="P272" s="1"/>
    </row>
    <row r="273" spans="1:16" x14ac:dyDescent="0.2">
      <c r="A273" s="55" t="s">
        <v>158</v>
      </c>
      <c r="B273" s="56">
        <f ca="1">MATCH(MIN(Plan!$B$247:'Plan'!$M$247),Plan!$B$247:'Plan'!$M$247,0)</f>
        <v>1</v>
      </c>
      <c r="C273" s="1"/>
      <c r="D273" s="1"/>
      <c r="E273" s="1"/>
      <c r="F273" s="1"/>
      <c r="G273" s="1"/>
      <c r="H273" s="1"/>
      <c r="I273" s="1"/>
      <c r="J273" s="1"/>
      <c r="K273" s="1"/>
      <c r="L273" s="1"/>
      <c r="M273" s="1"/>
      <c r="N273" s="1"/>
      <c r="O273" s="1"/>
      <c r="P273" s="1"/>
    </row>
    <row r="274" spans="1:16" x14ac:dyDescent="0.2">
      <c r="A274" s="55" t="s">
        <v>159</v>
      </c>
      <c r="B274" s="49">
        <f ca="1">MIN(Plan!$B$247:'Plan'!$M$247)</f>
        <v>0</v>
      </c>
      <c r="C274" s="1"/>
      <c r="D274" s="1"/>
      <c r="E274" s="1"/>
      <c r="F274" s="1"/>
      <c r="G274" s="1"/>
      <c r="H274" s="1"/>
      <c r="I274" s="1"/>
      <c r="J274" s="1"/>
      <c r="K274" s="1"/>
      <c r="L274" s="1"/>
      <c r="M274" s="1"/>
      <c r="N274" s="1"/>
      <c r="O274" s="1"/>
      <c r="P274" s="1"/>
    </row>
    <row r="275" spans="1:16" x14ac:dyDescent="0.2">
      <c r="A275" s="55" t="s">
        <v>160</v>
      </c>
      <c r="B275" s="49">
        <f>IFERROR(calc_rev_total_ann/calc_peak_fte,0)</f>
        <v>0</v>
      </c>
      <c r="C275" s="1"/>
      <c r="D275" s="1"/>
      <c r="E275" s="1"/>
      <c r="F275" s="1"/>
      <c r="G275" s="1"/>
      <c r="H275" s="1"/>
      <c r="I275" s="1"/>
      <c r="J275" s="1"/>
      <c r="K275" s="1"/>
      <c r="L275" s="1"/>
      <c r="M275" s="1"/>
      <c r="N275" s="1"/>
      <c r="O275" s="1"/>
      <c r="P275" s="1"/>
    </row>
    <row r="276" spans="1:16" x14ac:dyDescent="0.2">
      <c r="A276" s="55" t="s">
        <v>161</v>
      </c>
      <c r="B276" s="51">
        <f>IFERROR(calc_ebitda_ann/calc_rev_total_ann,0)</f>
        <v>0</v>
      </c>
      <c r="C276" s="1"/>
      <c r="D276" s="1"/>
      <c r="E276" s="1"/>
      <c r="F276" s="1"/>
      <c r="G276" s="1"/>
      <c r="H276" s="1"/>
      <c r="I276" s="1"/>
      <c r="J276" s="1"/>
      <c r="K276" s="1"/>
      <c r="L276" s="1"/>
      <c r="M276" s="1"/>
      <c r="N276" s="1"/>
      <c r="O276" s="1"/>
      <c r="P276" s="1"/>
    </row>
    <row r="277" spans="1:16" x14ac:dyDescent="0.2">
      <c r="A277" s="55" t="s">
        <v>162</v>
      </c>
      <c r="B277" s="51">
        <f>IFERROR(calc_gp_ann/calc_rev_total_ann,0)</f>
        <v>0</v>
      </c>
      <c r="C277" s="1"/>
      <c r="D277" s="1"/>
      <c r="E277" s="1"/>
      <c r="F277" s="1"/>
      <c r="G277" s="1"/>
      <c r="H277" s="1"/>
      <c r="I277" s="1"/>
      <c r="J277" s="1"/>
      <c r="K277" s="1"/>
      <c r="L277" s="1"/>
      <c r="M277" s="1"/>
      <c r="N277" s="1"/>
      <c r="O277" s="1"/>
      <c r="P277" s="1"/>
    </row>
    <row r="278" spans="1:16" x14ac:dyDescent="0.2">
      <c r="A278" s="55" t="s">
        <v>163</v>
      </c>
      <c r="B278" s="51">
        <f>IF(inp_build_method="Capacity",capacity_weighted_util,IFERROR(calc_roster_weighted_util,0))</f>
        <v>0</v>
      </c>
      <c r="C278" s="1"/>
      <c r="D278" s="1"/>
      <c r="E278" s="1"/>
      <c r="F278" s="1"/>
      <c r="G278" s="1"/>
      <c r="H278" s="1"/>
      <c r="I278" s="1"/>
      <c r="J278" s="1"/>
      <c r="K278" s="1"/>
      <c r="L278" s="1"/>
      <c r="M278" s="1"/>
      <c r="N278" s="1"/>
      <c r="O278" s="1"/>
      <c r="P278" s="1"/>
    </row>
    <row r="279" spans="1:16" ht="15" customHeight="1" x14ac:dyDescent="0.2">
      <c r="A279" s="55" t="s">
        <v>164</v>
      </c>
      <c r="B279" s="49"/>
      <c r="C279" s="1"/>
      <c r="D279" s="1"/>
      <c r="E279" s="1"/>
      <c r="F279" s="1"/>
      <c r="G279" s="1"/>
      <c r="H279" s="1"/>
      <c r="I279" s="1"/>
      <c r="J279" s="1"/>
      <c r="K279" s="1"/>
      <c r="L279" s="1"/>
      <c r="M279" s="1"/>
      <c r="N279" s="1"/>
      <c r="O279" s="1"/>
      <c r="P279" s="1"/>
    </row>
    <row r="280" spans="1:16" ht="15" customHeight="1" x14ac:dyDescent="0.2">
      <c r="A280" s="55" t="s">
        <v>165</v>
      </c>
      <c r="B280" s="51"/>
      <c r="C280" s="1"/>
      <c r="D280" s="1"/>
      <c r="E280" s="1"/>
      <c r="F280" s="1"/>
      <c r="G280" s="1"/>
      <c r="H280" s="1"/>
      <c r="I280" s="1"/>
      <c r="J280" s="1"/>
      <c r="K280" s="1"/>
      <c r="L280" s="1"/>
      <c r="M280" s="1"/>
      <c r="N280" s="1"/>
      <c r="O280" s="1"/>
      <c r="P280" s="1"/>
    </row>
    <row r="281" spans="1:16" ht="15" customHeight="1" x14ac:dyDescent="0.2">
      <c r="A281" s="55" t="s">
        <v>166</v>
      </c>
      <c r="B281" s="51"/>
      <c r="C281" s="1"/>
      <c r="D281" s="1"/>
      <c r="E281" s="1"/>
      <c r="F281" s="1"/>
      <c r="G281" s="1"/>
      <c r="H281" s="1"/>
      <c r="I281" s="1"/>
      <c r="J281" s="1"/>
      <c r="K281" s="1"/>
      <c r="L281" s="1"/>
      <c r="M281" s="1"/>
      <c r="N281" s="1"/>
      <c r="O281" s="1"/>
      <c r="P281" s="1"/>
    </row>
    <row r="282" spans="1:16" ht="15" customHeight="1" x14ac:dyDescent="0.2">
      <c r="A282" s="55" t="s">
        <v>167</v>
      </c>
      <c r="B282" s="51"/>
      <c r="C282" s="1"/>
      <c r="D282" s="1"/>
      <c r="E282" s="1"/>
      <c r="F282" s="1"/>
      <c r="G282" s="1"/>
      <c r="H282" s="1"/>
      <c r="I282" s="1"/>
      <c r="J282" s="1"/>
      <c r="K282" s="1"/>
      <c r="L282" s="1"/>
      <c r="M282" s="1"/>
      <c r="N282" s="1"/>
      <c r="O282" s="1"/>
      <c r="P282" s="1"/>
    </row>
  </sheetData>
  <mergeCells count="251">
    <mergeCell ref="N110:O110"/>
    <mergeCell ref="B4:I4"/>
    <mergeCell ref="H110:I110"/>
    <mergeCell ref="L84:M84"/>
    <mergeCell ref="C8:D8"/>
    <mergeCell ref="N78:O78"/>
    <mergeCell ref="B96:G96"/>
    <mergeCell ref="E8:F8"/>
    <mergeCell ref="B105:G105"/>
    <mergeCell ref="G8:H8"/>
    <mergeCell ref="H95:I95"/>
    <mergeCell ref="N58:O58"/>
    <mergeCell ref="J77:K77"/>
    <mergeCell ref="B80:G80"/>
    <mergeCell ref="J95:K95"/>
    <mergeCell ref="J104:K104"/>
    <mergeCell ref="B89:G89"/>
    <mergeCell ref="H85:I85"/>
    <mergeCell ref="J76:K76"/>
    <mergeCell ref="J101:K101"/>
    <mergeCell ref="N106:O106"/>
    <mergeCell ref="L101:M101"/>
    <mergeCell ref="H96:I96"/>
    <mergeCell ref="J109:K109"/>
    <mergeCell ref="B3:I3"/>
    <mergeCell ref="K54:M54"/>
    <mergeCell ref="L94:M94"/>
    <mergeCell ref="J81:K81"/>
    <mergeCell ref="N94:O94"/>
    <mergeCell ref="J75:K75"/>
    <mergeCell ref="L75:M75"/>
    <mergeCell ref="J84:K84"/>
    <mergeCell ref="C7:D7"/>
    <mergeCell ref="E7:F7"/>
    <mergeCell ref="B82:G82"/>
    <mergeCell ref="B91:G91"/>
    <mergeCell ref="H87:I87"/>
    <mergeCell ref="N85:O85"/>
    <mergeCell ref="B93:G93"/>
    <mergeCell ref="K60:M60"/>
    <mergeCell ref="N80:O80"/>
    <mergeCell ref="N55:O55"/>
    <mergeCell ref="J88:K88"/>
    <mergeCell ref="K55:M55"/>
    <mergeCell ref="I8:J8"/>
    <mergeCell ref="E54:G54"/>
    <mergeCell ref="E14:H14"/>
    <mergeCell ref="K57:M57"/>
    <mergeCell ref="C2:I2"/>
    <mergeCell ref="E60:G60"/>
    <mergeCell ref="L73:O73"/>
    <mergeCell ref="H89:I89"/>
    <mergeCell ref="J89:K89"/>
    <mergeCell ref="N103:O103"/>
    <mergeCell ref="I15:L15"/>
    <mergeCell ref="E15:H15"/>
    <mergeCell ref="K59:M59"/>
    <mergeCell ref="N83:O83"/>
    <mergeCell ref="L92:M92"/>
    <mergeCell ref="N92:O92"/>
    <mergeCell ref="H100:I100"/>
    <mergeCell ref="H75:I75"/>
    <mergeCell ref="J93:K93"/>
    <mergeCell ref="J87:K87"/>
    <mergeCell ref="L93:M93"/>
    <mergeCell ref="J102:K102"/>
    <mergeCell ref="L87:M87"/>
    <mergeCell ref="H98:I98"/>
    <mergeCell ref="L102:M102"/>
    <mergeCell ref="N87:O87"/>
    <mergeCell ref="L96:M96"/>
    <mergeCell ref="N96:O96"/>
    <mergeCell ref="L109:M109"/>
    <mergeCell ref="N56:O56"/>
    <mergeCell ref="L97:M97"/>
    <mergeCell ref="E58:G58"/>
    <mergeCell ref="H59:J59"/>
    <mergeCell ref="B78:G78"/>
    <mergeCell ref="B87:G87"/>
    <mergeCell ref="H83:I83"/>
    <mergeCell ref="J103:K103"/>
    <mergeCell ref="B102:G102"/>
    <mergeCell ref="N105:O105"/>
    <mergeCell ref="B104:G104"/>
    <mergeCell ref="B73:H73"/>
    <mergeCell ref="N93:O93"/>
    <mergeCell ref="B100:G100"/>
    <mergeCell ref="H58:J58"/>
    <mergeCell ref="N60:O60"/>
    <mergeCell ref="H108:I108"/>
    <mergeCell ref="L98:M98"/>
    <mergeCell ref="J108:K108"/>
    <mergeCell ref="L107:M107"/>
    <mergeCell ref="N77:O77"/>
    <mergeCell ref="J107:K107"/>
    <mergeCell ref="J98:K98"/>
    <mergeCell ref="L100:M100"/>
    <mergeCell ref="B107:G107"/>
    <mergeCell ref="B101:G101"/>
    <mergeCell ref="N89:O89"/>
    <mergeCell ref="J100:K100"/>
    <mergeCell ref="K58:M58"/>
    <mergeCell ref="J82:K82"/>
    <mergeCell ref="J97:K97"/>
    <mergeCell ref="L82:M82"/>
    <mergeCell ref="L76:M76"/>
    <mergeCell ref="L99:M99"/>
    <mergeCell ref="H70:J70"/>
    <mergeCell ref="J92:K92"/>
    <mergeCell ref="J80:K80"/>
    <mergeCell ref="L80:M80"/>
    <mergeCell ref="B77:G77"/>
    <mergeCell ref="N79:O79"/>
    <mergeCell ref="L77:M77"/>
    <mergeCell ref="J78:K78"/>
    <mergeCell ref="B72:I72"/>
    <mergeCell ref="B11:I11"/>
    <mergeCell ref="E13:H13"/>
    <mergeCell ref="B110:G110"/>
    <mergeCell ref="L91:M91"/>
    <mergeCell ref="B103:G103"/>
    <mergeCell ref="H77:I77"/>
    <mergeCell ref="L81:M81"/>
    <mergeCell ref="J69:O69"/>
    <mergeCell ref="N81:O81"/>
    <mergeCell ref="N75:O75"/>
    <mergeCell ref="B88:G88"/>
    <mergeCell ref="H107:I107"/>
    <mergeCell ref="J110:K110"/>
    <mergeCell ref="H92:I92"/>
    <mergeCell ref="H101:I101"/>
    <mergeCell ref="L108:M108"/>
    <mergeCell ref="N108:O108"/>
    <mergeCell ref="B108:G108"/>
    <mergeCell ref="N104:O104"/>
    <mergeCell ref="H106:I106"/>
    <mergeCell ref="B86:G86"/>
    <mergeCell ref="H97:I97"/>
    <mergeCell ref="N107:O107"/>
    <mergeCell ref="N102:O102"/>
    <mergeCell ref="L110:M110"/>
    <mergeCell ref="B76:G76"/>
    <mergeCell ref="L103:M103"/>
    <mergeCell ref="J96:K96"/>
    <mergeCell ref="J106:K106"/>
    <mergeCell ref="H60:J60"/>
    <mergeCell ref="M14:P14"/>
    <mergeCell ref="L106:M106"/>
    <mergeCell ref="H88:I88"/>
    <mergeCell ref="K70:O70"/>
    <mergeCell ref="H56:J56"/>
    <mergeCell ref="L95:M95"/>
    <mergeCell ref="B98:G98"/>
    <mergeCell ref="E56:G56"/>
    <mergeCell ref="L104:M104"/>
    <mergeCell ref="N59:O59"/>
    <mergeCell ref="J85:K85"/>
    <mergeCell ref="H90:I90"/>
    <mergeCell ref="H94:I94"/>
    <mergeCell ref="H55:J55"/>
    <mergeCell ref="I73:K73"/>
    <mergeCell ref="J94:K94"/>
    <mergeCell ref="E59:G59"/>
    <mergeCell ref="H103:I103"/>
    <mergeCell ref="H105:I105"/>
    <mergeCell ref="H76:I76"/>
    <mergeCell ref="J105:K105"/>
    <mergeCell ref="B69:I69"/>
    <mergeCell ref="J83:K83"/>
    <mergeCell ref="B52:I52"/>
    <mergeCell ref="J52:O52"/>
    <mergeCell ref="N57:O57"/>
    <mergeCell ref="H78:I78"/>
    <mergeCell ref="H84:I84"/>
    <mergeCell ref="N54:O54"/>
    <mergeCell ref="B81:G81"/>
    <mergeCell ref="J86:K86"/>
    <mergeCell ref="L86:M86"/>
    <mergeCell ref="N95:O95"/>
    <mergeCell ref="L85:M85"/>
    <mergeCell ref="N100:O100"/>
    <mergeCell ref="N98:O98"/>
    <mergeCell ref="N99:O99"/>
    <mergeCell ref="H82:I82"/>
    <mergeCell ref="L89:M89"/>
    <mergeCell ref="B92:G92"/>
    <mergeCell ref="B90:G90"/>
    <mergeCell ref="N101:O101"/>
    <mergeCell ref="B5:I5"/>
    <mergeCell ref="H104:I104"/>
    <mergeCell ref="K56:M56"/>
    <mergeCell ref="N76:O76"/>
    <mergeCell ref="B83:G83"/>
    <mergeCell ref="M13:P13"/>
    <mergeCell ref="I12:L12"/>
    <mergeCell ref="G7:H7"/>
    <mergeCell ref="I7:J7"/>
    <mergeCell ref="I13:L13"/>
    <mergeCell ref="E12:H12"/>
    <mergeCell ref="E70:G70"/>
    <mergeCell ref="B17:I17"/>
    <mergeCell ref="L90:M90"/>
    <mergeCell ref="E57:G57"/>
    <mergeCell ref="N90:O90"/>
    <mergeCell ref="K8:L8"/>
    <mergeCell ref="K7:L7"/>
    <mergeCell ref="M7:N7"/>
    <mergeCell ref="M8:N8"/>
    <mergeCell ref="J11:O11"/>
    <mergeCell ref="J79:K79"/>
    <mergeCell ref="L79:M79"/>
    <mergeCell ref="L88:M88"/>
    <mergeCell ref="N109:O109"/>
    <mergeCell ref="N88:O88"/>
    <mergeCell ref="B95:G95"/>
    <mergeCell ref="N82:O82"/>
    <mergeCell ref="N97:O97"/>
    <mergeCell ref="N91:O91"/>
    <mergeCell ref="B85:G85"/>
    <mergeCell ref="H109:I109"/>
    <mergeCell ref="B79:G79"/>
    <mergeCell ref="H91:I91"/>
    <mergeCell ref="H86:I86"/>
    <mergeCell ref="B106:G106"/>
    <mergeCell ref="H80:I80"/>
    <mergeCell ref="J91:K91"/>
    <mergeCell ref="H81:I81"/>
    <mergeCell ref="B94:G94"/>
    <mergeCell ref="L105:M105"/>
    <mergeCell ref="L83:M83"/>
    <mergeCell ref="H79:I79"/>
    <mergeCell ref="B109:G109"/>
    <mergeCell ref="B97:G97"/>
    <mergeCell ref="N84:O84"/>
    <mergeCell ref="H93:I93"/>
    <mergeCell ref="H102:I102"/>
    <mergeCell ref="I14:L14"/>
    <mergeCell ref="L78:M78"/>
    <mergeCell ref="M12:P12"/>
    <mergeCell ref="B99:G99"/>
    <mergeCell ref="N86:O86"/>
    <mergeCell ref="H54:J54"/>
    <mergeCell ref="J90:K90"/>
    <mergeCell ref="H99:I99"/>
    <mergeCell ref="E55:G55"/>
    <mergeCell ref="B75:G75"/>
    <mergeCell ref="H57:J57"/>
    <mergeCell ref="J99:K99"/>
    <mergeCell ref="M15:P15"/>
    <mergeCell ref="B84:G84"/>
    <mergeCell ref="J17:O17"/>
  </mergeCells>
  <conditionalFormatting sqref="K54:M54">
    <cfRule type="expression" dxfId="53" priority="2">
      <formula>K54&gt;0</formula>
    </cfRule>
    <cfRule type="expression" dxfId="52" priority="3">
      <formula>K54&lt;0</formula>
    </cfRule>
  </conditionalFormatting>
  <conditionalFormatting sqref="K55:M55">
    <cfRule type="expression" dxfId="51" priority="4">
      <formula>K55&lt;0</formula>
    </cfRule>
    <cfRule type="expression" dxfId="50" priority="5">
      <formula>K55&gt;0</formula>
    </cfRule>
  </conditionalFormatting>
  <conditionalFormatting sqref="K56:M56">
    <cfRule type="expression" dxfId="49" priority="6">
      <formula>K56&gt;0</formula>
    </cfRule>
    <cfRule type="expression" dxfId="48" priority="7">
      <formula>K56&lt;0</formula>
    </cfRule>
  </conditionalFormatting>
  <conditionalFormatting sqref="K57:M57">
    <cfRule type="expression" dxfId="47" priority="8">
      <formula>K57&lt;0</formula>
    </cfRule>
    <cfRule type="expression" dxfId="46" priority="9">
      <formula>K57&gt;0</formula>
    </cfRule>
  </conditionalFormatting>
  <conditionalFormatting sqref="K58:M60">
    <cfRule type="expression" dxfId="45" priority="10">
      <formula>K58&gt;0</formula>
    </cfRule>
    <cfRule type="expression" dxfId="44" priority="11">
      <formula>K58&lt;0</formula>
    </cfRule>
  </conditionalFormatting>
  <conditionalFormatting sqref="K70:O70">
    <cfRule type="expression" dxfId="43" priority="24">
      <formula>ISNUMBER(SEARCH("OVER",K70))</formula>
    </cfRule>
    <cfRule type="expression" dxfId="42" priority="25">
      <formula>ISNUMBER(SEARCH("WITHIN",K70))</formula>
    </cfRule>
  </conditionalFormatting>
  <conditionalFormatting sqref="L2">
    <cfRule type="expression" dxfId="41" priority="102">
      <formula>$L$2="Base"</formula>
    </cfRule>
    <cfRule type="expression" dxfId="40" priority="103">
      <formula>$L$2="Downside"</formula>
    </cfRule>
    <cfRule type="expression" dxfId="39" priority="104">
      <formula>$L$2="Upside"</formula>
    </cfRule>
  </conditionalFormatting>
  <conditionalFormatting sqref="L73 N75:O110">
    <cfRule type="expression" dxfId="38" priority="100">
      <formula>L73="PASS"</formula>
    </cfRule>
    <cfRule type="expression" dxfId="37" priority="101">
      <formula>L73="FAIL"</formula>
    </cfRule>
  </conditionalFormatting>
  <conditionalFormatting sqref="O64:O67">
    <cfRule type="expression" dxfId="36" priority="16">
      <formula>F64&gt;=I64</formula>
    </cfRule>
    <cfRule type="expression" dxfId="35" priority="17">
      <formula>F64&lt;I64</formula>
    </cfRule>
  </conditionalFormatting>
  <dataValidations count="2">
    <dataValidation type="list" allowBlank="1" showInputMessage="1" showErrorMessage="1" sqref="L3" xr:uid="{33FF80DC-7256-C241-8F50-E09E87AF66FB}">
      <formula1>"P&amp;L,Cash Flow,Balance Sheet"</formula1>
    </dataValidation>
    <dataValidation type="list" allowBlank="1" showInputMessage="1" showErrorMessage="1" sqref="L2" xr:uid="{0E4E0331-32B9-6047-92F2-1C102995DFA4}">
      <formula1>"Base,Downside,Upside"</formula1>
    </dataValidation>
  </dataValidations>
  <hyperlinks>
    <hyperlink ref="B72" r:id="rId1" tooltip="Book a fit call · Infraxus" xr:uid="{DBF690DA-0F99-3E40-94B8-6EA4453D5498}"/>
  </hyperlinks>
  <printOptions horizontalCentered="1"/>
  <pageMargins left="0.4" right="0.4" top="0.5" bottom="0.5" header="0.3" footer="0.3"/>
  <pageSetup fitToHeight="0" orientation="landscape"/>
  <rowBreaks count="1" manualBreakCount="1">
    <brk id="5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E50FF"/>
    <pageSetUpPr fitToPage="1"/>
  </sheetPr>
  <dimension ref="A1:BJ1000"/>
  <sheetViews>
    <sheetView showGridLines="0" zoomScale="140" zoomScaleNormal="140" workbookViewId="0">
      <pane ySplit="6" topLeftCell="A7" activePane="bottomLeft" state="frozen"/>
      <selection pane="bottomLeft" activeCell="BG9" sqref="BG9"/>
    </sheetView>
  </sheetViews>
  <sheetFormatPr baseColWidth="10" defaultColWidth="8.83203125" defaultRowHeight="15" outlineLevelRow="1" outlineLevelCol="1" x14ac:dyDescent="0.2"/>
  <cols>
    <col min="1" max="1" width="3" style="42" customWidth="1"/>
    <col min="2" max="2" width="38.33203125" style="42" customWidth="1"/>
    <col min="3" max="3" width="24.5" style="42" bestFit="1" customWidth="1"/>
    <col min="4" max="14" width="11" style="42" customWidth="1"/>
    <col min="15" max="15" width="25.6640625" style="42" bestFit="1" customWidth="1"/>
    <col min="16" max="16" width="3.33203125" style="42" customWidth="1"/>
    <col min="17" max="17" width="2.6640625" style="42" customWidth="1"/>
    <col min="18" max="53" width="8.83203125" style="42" hidden="1" customWidth="1" outlineLevel="1"/>
    <col min="54" max="58" width="0" style="42" hidden="1" customWidth="1" outlineLevel="1"/>
    <col min="59" max="59" width="8.83203125" style="42" collapsed="1"/>
    <col min="60" max="16384" width="8.83203125" style="42"/>
  </cols>
  <sheetData>
    <row r="1" spans="1:62" ht="8" customHeight="1" x14ac:dyDescent="0.2">
      <c r="A1" s="41"/>
      <c r="B1" s="41"/>
      <c r="C1" s="41"/>
      <c r="D1" s="41"/>
      <c r="E1" s="41"/>
      <c r="F1" s="41"/>
      <c r="G1" s="41"/>
      <c r="H1" s="41"/>
      <c r="I1" s="41"/>
      <c r="J1" s="41"/>
      <c r="K1" s="41"/>
      <c r="L1" s="41"/>
      <c r="M1" s="41"/>
      <c r="N1" s="41"/>
      <c r="O1" s="41"/>
      <c r="P1" s="41"/>
      <c r="S1"/>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1:62" ht="30" customHeight="1" x14ac:dyDescent="0.3">
      <c r="A2" s="41"/>
      <c r="B2" s="138"/>
      <c r="C2" s="153" t="s">
        <v>0</v>
      </c>
      <c r="D2" s="138"/>
      <c r="E2" s="138"/>
      <c r="F2" s="138"/>
      <c r="G2" s="138"/>
      <c r="H2" s="138"/>
      <c r="I2" s="138"/>
      <c r="J2" s="138"/>
      <c r="K2" s="138"/>
      <c r="L2" s="138"/>
      <c r="M2" s="138"/>
      <c r="N2" s="138"/>
      <c r="O2" s="41"/>
      <c r="P2" s="41"/>
      <c r="R2" s="98" t="s">
        <v>678</v>
      </c>
      <c r="S2"/>
      <c r="T2"/>
      <c r="U2"/>
      <c r="V2"/>
      <c r="W2"/>
      <c r="X2"/>
      <c r="Y2"/>
      <c r="Z2"/>
      <c r="AA2"/>
      <c r="AB2"/>
      <c r="AC2"/>
      <c r="AD2"/>
      <c r="AE2"/>
      <c r="AF2"/>
      <c r="AG2"/>
      <c r="AH2"/>
      <c r="AI2"/>
      <c r="AJ2"/>
      <c r="AK2"/>
      <c r="AL2"/>
      <c r="AM2"/>
      <c r="AN2"/>
      <c r="AO2"/>
      <c r="AP2"/>
      <c r="AQ2"/>
      <c r="AR2"/>
      <c r="AS2"/>
      <c r="AT2"/>
      <c r="AU2"/>
      <c r="AV2"/>
      <c r="AW2"/>
      <c r="AX2"/>
      <c r="AY2"/>
      <c r="AZ2"/>
      <c r="BA2"/>
      <c r="BB2"/>
      <c r="BC2"/>
      <c r="BD2"/>
      <c r="BE2"/>
      <c r="BF2"/>
      <c r="BJ2" s="120"/>
    </row>
    <row r="3" spans="1:62" ht="22" customHeight="1" x14ac:dyDescent="0.2">
      <c r="A3" s="41"/>
      <c r="B3" s="197" t="s">
        <v>692</v>
      </c>
      <c r="C3" s="198"/>
      <c r="D3" s="198"/>
      <c r="E3" s="198"/>
      <c r="F3" s="198"/>
      <c r="G3" s="198"/>
      <c r="H3" s="198"/>
      <c r="I3" s="198"/>
      <c r="J3" s="198"/>
      <c r="K3" s="198"/>
      <c r="L3" s="198"/>
      <c r="M3" s="198"/>
      <c r="N3" s="198"/>
      <c r="O3" s="41"/>
      <c r="P3" s="41"/>
      <c r="S3"/>
      <c r="T3"/>
      <c r="U3"/>
      <c r="V3"/>
      <c r="W3"/>
      <c r="X3"/>
      <c r="Y3"/>
      <c r="Z3"/>
      <c r="AA3"/>
      <c r="AB3"/>
      <c r="AC3"/>
      <c r="AD3"/>
      <c r="AE3"/>
      <c r="AF3"/>
      <c r="AG3"/>
      <c r="AH3"/>
      <c r="AI3"/>
      <c r="AJ3"/>
      <c r="AK3"/>
      <c r="AL3"/>
      <c r="AM3"/>
      <c r="AN3"/>
      <c r="AO3"/>
      <c r="AP3"/>
      <c r="AQ3"/>
      <c r="AR3"/>
      <c r="AS3"/>
      <c r="AT3"/>
      <c r="AU3"/>
      <c r="AV3"/>
      <c r="AW3"/>
      <c r="AX3"/>
      <c r="AY3"/>
      <c r="AZ3"/>
      <c r="BA3"/>
      <c r="BB3"/>
      <c r="BC3"/>
      <c r="BD3"/>
      <c r="BE3"/>
      <c r="BF3"/>
      <c r="BJ3" s="120"/>
    </row>
    <row r="4" spans="1:62" ht="10" customHeight="1" x14ac:dyDescent="0.2">
      <c r="A4" s="41"/>
      <c r="B4" s="41"/>
      <c r="C4" s="41"/>
      <c r="D4" s="41"/>
      <c r="E4" s="41"/>
      <c r="F4" s="41"/>
      <c r="G4" s="41"/>
      <c r="H4" s="41"/>
      <c r="I4" s="41"/>
      <c r="J4" s="41"/>
      <c r="K4" s="41"/>
      <c r="L4" s="41"/>
      <c r="M4" s="41"/>
      <c r="N4" s="41"/>
      <c r="O4" s="41"/>
      <c r="P4" s="41"/>
      <c r="R4" s="42" t="s">
        <v>617</v>
      </c>
      <c r="S4">
        <f>MATCH(inp_region,{"AU";"NZ";"US"},0)</f>
        <v>1</v>
      </c>
      <c r="T4"/>
      <c r="U4"/>
      <c r="V4"/>
      <c r="W4"/>
      <c r="X4"/>
      <c r="Y4"/>
      <c r="Z4"/>
      <c r="AA4"/>
      <c r="AB4"/>
      <c r="AC4"/>
      <c r="AD4"/>
      <c r="AE4"/>
      <c r="AF4"/>
      <c r="AG4"/>
      <c r="AH4"/>
      <c r="AI4"/>
      <c r="AJ4"/>
      <c r="AK4"/>
      <c r="AL4"/>
      <c r="AM4"/>
      <c r="AN4"/>
      <c r="AO4"/>
      <c r="AP4"/>
      <c r="AQ4"/>
      <c r="AR4"/>
      <c r="AS4"/>
      <c r="AT4"/>
      <c r="AU4"/>
      <c r="AV4"/>
      <c r="AW4"/>
      <c r="AX4"/>
      <c r="AY4"/>
      <c r="AZ4"/>
      <c r="BA4"/>
      <c r="BB4"/>
      <c r="BC4"/>
      <c r="BD4"/>
      <c r="BE4"/>
      <c r="BF4"/>
      <c r="BJ4" s="65"/>
    </row>
    <row r="5" spans="1:62" ht="22" customHeight="1" x14ac:dyDescent="0.2">
      <c r="A5" s="41"/>
      <c r="B5" s="139" t="s">
        <v>5</v>
      </c>
      <c r="C5" s="140">
        <v>123</v>
      </c>
      <c r="D5" s="141" t="s">
        <v>6</v>
      </c>
      <c r="E5" s="142">
        <v>123</v>
      </c>
      <c r="F5" s="141" t="s">
        <v>7</v>
      </c>
      <c r="G5" s="143">
        <v>123</v>
      </c>
      <c r="H5" s="141" t="s">
        <v>544</v>
      </c>
      <c r="I5" s="144">
        <v>123</v>
      </c>
      <c r="J5" s="141" t="s">
        <v>545</v>
      </c>
      <c r="K5" s="145">
        <v>123</v>
      </c>
      <c r="L5" s="141" t="s">
        <v>522</v>
      </c>
      <c r="M5" s="41"/>
      <c r="N5" s="41"/>
      <c r="O5" s="41"/>
      <c r="P5" s="41"/>
      <c r="R5" s="42" t="s">
        <v>618</v>
      </c>
      <c r="S5">
        <f>CHOOSE(S4,ref_au_fy_start,ref_nz_fy_start,ref_us_fy_start)</f>
        <v>7</v>
      </c>
      <c r="T5"/>
      <c r="U5"/>
      <c r="V5"/>
      <c r="W5"/>
      <c r="X5"/>
      <c r="Y5"/>
      <c r="Z5"/>
      <c r="AA5"/>
      <c r="AB5"/>
      <c r="AC5"/>
      <c r="AD5"/>
      <c r="AE5"/>
      <c r="AF5"/>
      <c r="AG5"/>
      <c r="AH5"/>
      <c r="AI5"/>
      <c r="AJ5"/>
      <c r="AK5"/>
      <c r="AL5"/>
      <c r="AM5"/>
      <c r="AN5"/>
      <c r="AO5"/>
      <c r="AP5"/>
      <c r="AQ5"/>
      <c r="AR5"/>
      <c r="AS5"/>
      <c r="AT5"/>
      <c r="AU5"/>
      <c r="AV5"/>
      <c r="AW5"/>
      <c r="AX5"/>
      <c r="AY5"/>
      <c r="AZ5"/>
      <c r="BA5"/>
      <c r="BB5"/>
      <c r="BC5"/>
      <c r="BD5"/>
      <c r="BE5"/>
      <c r="BF5"/>
      <c r="BJ5" s="65"/>
    </row>
    <row r="6" spans="1:62" ht="8" customHeight="1" x14ac:dyDescent="0.2">
      <c r="A6" s="41"/>
      <c r="B6" s="41"/>
      <c r="C6" s="41"/>
      <c r="D6" s="41"/>
      <c r="E6" s="41"/>
      <c r="F6" s="41"/>
      <c r="G6" s="41"/>
      <c r="H6" s="41"/>
      <c r="I6" s="41"/>
      <c r="J6" s="41"/>
      <c r="K6" s="41"/>
      <c r="L6" s="41"/>
      <c r="M6" s="41"/>
      <c r="N6" s="41"/>
      <c r="O6" s="41"/>
      <c r="P6" s="41"/>
      <c r="R6" s="42" t="s">
        <v>619</v>
      </c>
      <c r="S6">
        <f>CHOOSE(S4,ref_au_oncost_total,ref_nz_oncost_total,ref_us_oncost_total)</f>
        <v>0.185</v>
      </c>
      <c r="T6"/>
      <c r="U6"/>
      <c r="V6"/>
      <c r="W6"/>
      <c r="X6"/>
      <c r="Y6"/>
      <c r="Z6"/>
      <c r="AA6"/>
      <c r="AB6"/>
      <c r="AC6"/>
      <c r="AD6"/>
      <c r="AE6"/>
      <c r="AF6"/>
      <c r="AG6"/>
      <c r="AH6"/>
      <c r="AI6"/>
      <c r="AJ6"/>
      <c r="AK6"/>
      <c r="AL6"/>
      <c r="AM6"/>
      <c r="AN6"/>
      <c r="AO6"/>
      <c r="AP6"/>
      <c r="AQ6"/>
      <c r="AR6"/>
      <c r="AS6"/>
      <c r="AT6"/>
      <c r="AU6"/>
      <c r="AV6"/>
      <c r="AW6"/>
      <c r="AX6"/>
      <c r="AY6"/>
      <c r="AZ6"/>
      <c r="BA6"/>
      <c r="BB6"/>
      <c r="BC6"/>
      <c r="BD6"/>
      <c r="BE6"/>
      <c r="BF6"/>
      <c r="BJ6" s="65"/>
    </row>
    <row r="7" spans="1:62" x14ac:dyDescent="0.2">
      <c r="A7" s="41"/>
      <c r="B7" s="199" t="s">
        <v>524</v>
      </c>
      <c r="C7" s="199"/>
      <c r="D7" s="199"/>
      <c r="E7" s="199"/>
      <c r="F7" s="199"/>
      <c r="G7" s="199"/>
      <c r="H7" s="199"/>
      <c r="I7" s="199"/>
      <c r="J7" s="199"/>
      <c r="K7" s="199"/>
      <c r="L7" s="199"/>
      <c r="M7" s="199"/>
      <c r="N7" s="199"/>
      <c r="O7" s="41"/>
      <c r="P7" s="41"/>
      <c r="S7"/>
      <c r="T7"/>
      <c r="U7"/>
      <c r="V7"/>
      <c r="W7"/>
      <c r="X7"/>
      <c r="Y7"/>
      <c r="Z7"/>
      <c r="AA7"/>
      <c r="AB7"/>
      <c r="AC7"/>
      <c r="AD7"/>
      <c r="AE7"/>
      <c r="AF7"/>
      <c r="AG7"/>
      <c r="AH7"/>
      <c r="AI7"/>
      <c r="AJ7"/>
      <c r="AK7"/>
      <c r="AL7"/>
      <c r="AM7"/>
      <c r="AN7"/>
      <c r="AO7"/>
      <c r="AP7"/>
      <c r="AQ7"/>
      <c r="AR7"/>
      <c r="AS7"/>
      <c r="AT7"/>
      <c r="AU7"/>
      <c r="AV7"/>
      <c r="AW7"/>
      <c r="AX7"/>
      <c r="AY7"/>
      <c r="AZ7"/>
      <c r="BA7"/>
      <c r="BB7"/>
      <c r="BC7"/>
      <c r="BD7"/>
      <c r="BE7"/>
      <c r="BF7"/>
      <c r="BJ7" s="65"/>
    </row>
    <row r="8" spans="1:62" x14ac:dyDescent="0.2">
      <c r="A8" s="41"/>
      <c r="B8" s="68" t="s">
        <v>546</v>
      </c>
      <c r="C8" s="99" t="s">
        <v>217</v>
      </c>
      <c r="D8" s="66"/>
      <c r="E8" s="66"/>
      <c r="F8" s="66"/>
      <c r="G8" s="66"/>
      <c r="H8" s="66"/>
      <c r="I8" s="66"/>
      <c r="J8" s="66"/>
      <c r="K8" s="66"/>
      <c r="L8" s="66"/>
      <c r="M8" s="66"/>
      <c r="N8" s="66"/>
      <c r="P8" s="41"/>
      <c r="R8" s="42" t="s">
        <v>690</v>
      </c>
      <c r="S8">
        <f>CHOOSE(MATCH(inp_scenario,{"Base","Downside","Upside"},0),scn_util_base,scn_util_downside,scn_util_upside)</f>
        <v>1</v>
      </c>
      <c r="T8"/>
      <c r="U8"/>
      <c r="V8"/>
      <c r="W8"/>
      <c r="X8"/>
      <c r="Y8"/>
      <c r="Z8"/>
      <c r="AA8"/>
      <c r="AB8"/>
      <c r="AC8"/>
      <c r="AD8"/>
      <c r="AE8"/>
      <c r="AF8"/>
      <c r="AG8"/>
      <c r="AH8"/>
      <c r="AI8"/>
      <c r="AJ8"/>
      <c r="AK8"/>
      <c r="AL8"/>
      <c r="AM8"/>
      <c r="AN8"/>
      <c r="AO8"/>
      <c r="AP8"/>
      <c r="AQ8"/>
      <c r="AR8"/>
      <c r="AS8"/>
      <c r="AT8"/>
      <c r="AU8"/>
      <c r="AV8"/>
      <c r="AW8"/>
      <c r="AX8"/>
      <c r="AY8"/>
      <c r="AZ8"/>
      <c r="BA8"/>
      <c r="BB8"/>
      <c r="BC8"/>
      <c r="BD8"/>
      <c r="BE8"/>
      <c r="BF8"/>
    </row>
    <row r="9" spans="1:62" x14ac:dyDescent="0.2">
      <c r="A9" s="41"/>
      <c r="B9" s="68" t="s">
        <v>218</v>
      </c>
      <c r="C9" s="99"/>
      <c r="D9" s="66"/>
      <c r="E9" s="66"/>
      <c r="F9" s="66"/>
      <c r="G9" s="66"/>
      <c r="H9" s="66"/>
      <c r="I9" s="66"/>
      <c r="J9" s="66"/>
      <c r="K9" s="66"/>
      <c r="L9" s="66"/>
      <c r="M9" s="66"/>
      <c r="N9" s="66"/>
      <c r="P9" s="41"/>
      <c r="S9"/>
      <c r="T9"/>
      <c r="U9"/>
      <c r="V9"/>
      <c r="W9"/>
      <c r="X9"/>
      <c r="Y9"/>
      <c r="Z9"/>
      <c r="AA9"/>
      <c r="AB9"/>
      <c r="AC9"/>
      <c r="AD9"/>
      <c r="AE9"/>
      <c r="AF9"/>
      <c r="AG9"/>
      <c r="AH9"/>
      <c r="AI9"/>
      <c r="AJ9"/>
      <c r="AK9"/>
      <c r="AL9"/>
      <c r="AM9"/>
      <c r="AN9"/>
      <c r="AO9"/>
      <c r="AP9"/>
      <c r="AQ9"/>
      <c r="AR9"/>
      <c r="AS9"/>
      <c r="AT9"/>
      <c r="AU9"/>
      <c r="AV9"/>
      <c r="AW9"/>
      <c r="AX9"/>
      <c r="AY9"/>
      <c r="AZ9"/>
      <c r="BA9"/>
      <c r="BB9"/>
      <c r="BC9"/>
      <c r="BD9"/>
      <c r="BE9"/>
      <c r="BF9"/>
    </row>
    <row r="10" spans="1:62" x14ac:dyDescent="0.2">
      <c r="A10" s="41"/>
      <c r="B10" s="68" t="s">
        <v>219</v>
      </c>
      <c r="C10" s="99" t="s">
        <v>220</v>
      </c>
      <c r="D10" s="66"/>
      <c r="E10" s="66"/>
      <c r="F10" s="66"/>
      <c r="G10" s="66"/>
      <c r="H10" s="66"/>
      <c r="I10" s="66"/>
      <c r="J10" s="66"/>
      <c r="K10" s="66"/>
      <c r="L10" s="66"/>
      <c r="M10" s="66"/>
      <c r="N10" s="66"/>
      <c r="P10" s="41"/>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row>
    <row r="11" spans="1:62" x14ac:dyDescent="0.2">
      <c r="A11" s="41"/>
      <c r="B11" s="68" t="s">
        <v>221</v>
      </c>
      <c r="C11" s="101"/>
      <c r="D11" s="66"/>
      <c r="E11" s="66"/>
      <c r="F11" s="66"/>
      <c r="G11" s="66"/>
      <c r="H11" s="66"/>
      <c r="I11" s="66"/>
      <c r="J11" s="66"/>
      <c r="K11" s="66"/>
      <c r="L11" s="66"/>
      <c r="M11" s="66"/>
      <c r="N11" s="66"/>
      <c r="P11" s="4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row>
    <row r="12" spans="1:62" x14ac:dyDescent="0.2">
      <c r="A12" s="41"/>
      <c r="B12" s="68" t="s">
        <v>222</v>
      </c>
      <c r="C12" s="101"/>
      <c r="D12" s="66"/>
      <c r="E12" s="66"/>
      <c r="F12" s="66"/>
      <c r="G12" s="66"/>
      <c r="H12" s="66"/>
      <c r="I12" s="66"/>
      <c r="J12" s="66"/>
      <c r="K12" s="66"/>
      <c r="L12" s="66"/>
      <c r="M12" s="66"/>
      <c r="N12" s="66"/>
      <c r="P12" s="41"/>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row>
    <row r="13" spans="1:62" x14ac:dyDescent="0.2">
      <c r="A13" s="41"/>
      <c r="B13" s="68" t="s">
        <v>223</v>
      </c>
      <c r="C13" s="101"/>
      <c r="D13" s="66"/>
      <c r="E13" s="66"/>
      <c r="F13" s="66"/>
      <c r="G13" s="66"/>
      <c r="H13" s="66"/>
      <c r="I13" s="66"/>
      <c r="J13" s="66"/>
      <c r="K13" s="66"/>
      <c r="L13" s="66"/>
      <c r="M13" s="66"/>
      <c r="N13" s="66"/>
      <c r="P13" s="41"/>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row>
    <row r="14" spans="1:62" x14ac:dyDescent="0.2">
      <c r="A14" s="41"/>
      <c r="B14" s="68" t="s">
        <v>224</v>
      </c>
      <c r="C14" s="100"/>
      <c r="D14" s="66"/>
      <c r="E14" s="66"/>
      <c r="F14" s="66"/>
      <c r="G14" s="66"/>
      <c r="H14" s="66"/>
      <c r="I14" s="66"/>
      <c r="J14" s="66"/>
      <c r="K14" s="66"/>
      <c r="L14" s="66"/>
      <c r="M14" s="66"/>
      <c r="N14" s="66"/>
      <c r="P14" s="41"/>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row>
    <row r="15" spans="1:62" x14ac:dyDescent="0.2">
      <c r="A15" s="41"/>
      <c r="B15" s="66"/>
      <c r="C15" s="66"/>
      <c r="D15" s="66"/>
      <c r="E15" s="66"/>
      <c r="F15" s="66"/>
      <c r="G15" s="66"/>
      <c r="H15" s="66"/>
      <c r="I15" s="66"/>
      <c r="J15" s="66"/>
      <c r="K15" s="66"/>
      <c r="L15" s="66"/>
      <c r="M15" s="66"/>
      <c r="N15" s="66"/>
      <c r="P15" s="41"/>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row>
    <row r="16" spans="1:62" x14ac:dyDescent="0.2">
      <c r="A16" s="41"/>
      <c r="B16" s="190" t="s">
        <v>547</v>
      </c>
      <c r="C16" s="190"/>
      <c r="D16" s="190"/>
      <c r="E16" s="190"/>
      <c r="F16" s="190"/>
      <c r="G16" s="190"/>
      <c r="H16" s="190"/>
      <c r="I16" s="190"/>
      <c r="J16" s="190"/>
      <c r="K16" s="190"/>
      <c r="L16" s="190"/>
      <c r="M16" s="190"/>
      <c r="N16" s="190"/>
      <c r="P16" s="41"/>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row>
    <row r="17" spans="1:58" x14ac:dyDescent="0.2">
      <c r="A17" s="41"/>
      <c r="B17" s="66"/>
      <c r="C17" s="66"/>
      <c r="D17" s="66"/>
      <c r="E17" s="66"/>
      <c r="F17" s="66"/>
      <c r="G17" s="66"/>
      <c r="H17" s="66"/>
      <c r="I17" s="66"/>
      <c r="J17" s="66"/>
      <c r="K17" s="66"/>
      <c r="L17" s="66"/>
      <c r="M17" s="66"/>
      <c r="N17" s="66"/>
      <c r="P17" s="41"/>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row>
    <row r="18" spans="1:58" ht="17" thickBot="1" x14ac:dyDescent="0.25">
      <c r="A18" s="41"/>
      <c r="B18" s="69" t="s">
        <v>548</v>
      </c>
      <c r="C18" s="70" t="s">
        <v>543</v>
      </c>
      <c r="D18" s="66"/>
      <c r="E18" s="192" t="s">
        <v>679</v>
      </c>
      <c r="F18" s="200"/>
      <c r="G18" s="200"/>
      <c r="H18" s="200"/>
      <c r="I18" s="200"/>
      <c r="J18" s="200"/>
      <c r="K18" s="200"/>
      <c r="L18" s="200"/>
      <c r="M18" s="200"/>
      <c r="N18" s="200"/>
      <c r="P18" s="41"/>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row>
    <row r="19" spans="1:58" x14ac:dyDescent="0.2">
      <c r="A19" s="41"/>
      <c r="B19" s="66"/>
      <c r="C19" s="66"/>
      <c r="D19" s="66"/>
      <c r="E19" s="192" t="s">
        <v>680</v>
      </c>
      <c r="F19" s="193"/>
      <c r="G19" s="193"/>
      <c r="H19" s="193"/>
      <c r="I19" s="193"/>
      <c r="J19" s="193"/>
      <c r="K19" s="193"/>
      <c r="L19" s="193"/>
      <c r="M19" s="193"/>
      <c r="N19" s="193"/>
      <c r="P19" s="41"/>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row>
    <row r="20" spans="1:58" x14ac:dyDescent="0.2">
      <c r="A20" s="41"/>
      <c r="B20" s="191" t="s">
        <v>549</v>
      </c>
      <c r="C20" s="191"/>
      <c r="D20" s="191"/>
      <c r="E20" s="191"/>
      <c r="F20" s="191"/>
      <c r="G20" s="191"/>
      <c r="H20" s="191"/>
      <c r="I20" s="191"/>
      <c r="J20" s="191"/>
      <c r="K20" s="191"/>
      <c r="L20" s="191"/>
      <c r="M20" s="191"/>
      <c r="N20" s="191"/>
      <c r="P20" s="41"/>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row>
    <row r="21" spans="1:58" x14ac:dyDescent="0.2">
      <c r="A21" s="41"/>
      <c r="B21" s="66"/>
      <c r="C21" s="66"/>
      <c r="D21" s="66"/>
      <c r="E21" s="66"/>
      <c r="F21" s="66"/>
      <c r="G21" s="66"/>
      <c r="H21" s="66"/>
      <c r="I21" s="66"/>
      <c r="J21" s="66"/>
      <c r="K21" s="66"/>
      <c r="L21" s="66"/>
      <c r="M21" s="66"/>
      <c r="N21" s="66"/>
      <c r="P21" s="4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row>
    <row r="22" spans="1:58" x14ac:dyDescent="0.2">
      <c r="A22" s="41"/>
      <c r="B22" s="190" t="s">
        <v>550</v>
      </c>
      <c r="C22" s="190"/>
      <c r="D22" s="190"/>
      <c r="E22" s="190"/>
      <c r="F22" s="190"/>
      <c r="G22" s="190"/>
      <c r="H22" s="190"/>
      <c r="I22" s="190"/>
      <c r="J22" s="190"/>
      <c r="K22" s="190"/>
      <c r="L22" s="190"/>
      <c r="M22" s="190"/>
      <c r="N22" s="190"/>
      <c r="P22" s="41"/>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row>
    <row r="23" spans="1:58" x14ac:dyDescent="0.2">
      <c r="A23" s="41"/>
      <c r="B23" s="66"/>
      <c r="C23" s="71" t="s">
        <v>2</v>
      </c>
      <c r="D23" s="71" t="s">
        <v>16</v>
      </c>
      <c r="E23" s="71" t="s">
        <v>17</v>
      </c>
      <c r="F23" s="66"/>
      <c r="G23" s="66"/>
      <c r="H23" s="66"/>
      <c r="I23" s="66"/>
      <c r="J23" s="66"/>
      <c r="K23" s="66"/>
      <c r="L23" s="66"/>
      <c r="M23" s="66"/>
      <c r="N23" s="66"/>
      <c r="P23" s="41"/>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row>
    <row r="24" spans="1:58" x14ac:dyDescent="0.2">
      <c r="A24" s="41"/>
      <c r="B24" s="68" t="s">
        <v>226</v>
      </c>
      <c r="C24" s="105">
        <v>1</v>
      </c>
      <c r="D24" s="105">
        <v>0.85</v>
      </c>
      <c r="E24" s="105">
        <v>1.1000000000000001</v>
      </c>
      <c r="F24" s="191" t="s">
        <v>553</v>
      </c>
      <c r="G24" s="191"/>
      <c r="H24" s="191"/>
      <c r="I24" s="191"/>
      <c r="J24" s="191"/>
      <c r="K24" s="191"/>
      <c r="L24" s="191"/>
      <c r="M24" s="191"/>
      <c r="N24" s="191"/>
      <c r="P24" s="41"/>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row>
    <row r="25" spans="1:58" x14ac:dyDescent="0.2">
      <c r="A25" s="41"/>
      <c r="B25" s="68" t="s">
        <v>551</v>
      </c>
      <c r="C25" s="105">
        <v>1</v>
      </c>
      <c r="D25" s="105">
        <v>0.85</v>
      </c>
      <c r="E25" s="105">
        <v>1.05</v>
      </c>
      <c r="F25" s="66"/>
      <c r="G25" s="66"/>
      <c r="H25" s="66"/>
      <c r="I25" s="66"/>
      <c r="J25" s="66"/>
      <c r="K25" s="66"/>
      <c r="L25" s="66"/>
      <c r="M25" s="66"/>
      <c r="N25" s="66"/>
      <c r="P25" s="41"/>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row>
    <row r="26" spans="1:58" x14ac:dyDescent="0.2">
      <c r="A26" s="41"/>
      <c r="B26" s="68" t="s">
        <v>227</v>
      </c>
      <c r="C26" s="105">
        <v>1</v>
      </c>
      <c r="D26" s="105">
        <v>1.05</v>
      </c>
      <c r="E26" s="105">
        <v>0.98</v>
      </c>
      <c r="F26" s="66"/>
      <c r="G26" s="66"/>
      <c r="H26" s="66"/>
      <c r="I26" s="66"/>
      <c r="J26" s="66"/>
      <c r="K26" s="66"/>
      <c r="L26" s="66"/>
      <c r="M26" s="66"/>
      <c r="N26" s="66"/>
      <c r="P26" s="41"/>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row>
    <row r="27" spans="1:58" x14ac:dyDescent="0.2">
      <c r="A27" s="41"/>
      <c r="B27" s="68" t="s">
        <v>552</v>
      </c>
      <c r="C27" s="106">
        <v>0</v>
      </c>
      <c r="D27" s="106">
        <v>0.5</v>
      </c>
      <c r="E27" s="106">
        <v>-0.25</v>
      </c>
      <c r="F27" s="66"/>
      <c r="G27" s="66"/>
      <c r="H27" s="66"/>
      <c r="I27" s="66"/>
      <c r="J27" s="66"/>
      <c r="K27" s="66"/>
      <c r="L27" s="66"/>
      <c r="M27" s="66"/>
      <c r="N27" s="66"/>
      <c r="P27" s="41"/>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row>
    <row r="28" spans="1:58" x14ac:dyDescent="0.2">
      <c r="A28" s="41"/>
      <c r="B28" s="66"/>
      <c r="C28" s="66"/>
      <c r="D28" s="66"/>
      <c r="E28" s="66"/>
      <c r="F28" s="66"/>
      <c r="G28" s="66"/>
      <c r="H28" s="66"/>
      <c r="I28" s="66"/>
      <c r="J28" s="66"/>
      <c r="K28" s="66"/>
      <c r="L28" s="66"/>
      <c r="M28" s="66"/>
      <c r="N28" s="66"/>
      <c r="P28" s="41"/>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row>
    <row r="29" spans="1:58" x14ac:dyDescent="0.2">
      <c r="A29" s="41"/>
      <c r="B29" s="190" t="s">
        <v>681</v>
      </c>
      <c r="C29" s="190"/>
      <c r="D29" s="190"/>
      <c r="E29" s="190"/>
      <c r="F29" s="190"/>
      <c r="G29" s="190"/>
      <c r="H29" s="190"/>
      <c r="I29" s="190"/>
      <c r="J29" s="190"/>
      <c r="K29" s="190"/>
      <c r="L29" s="190"/>
      <c r="M29" s="190"/>
      <c r="N29" s="190"/>
      <c r="P29" s="41"/>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row>
    <row r="30" spans="1:58" x14ac:dyDescent="0.2">
      <c r="A30" s="41"/>
      <c r="B30" s="72"/>
      <c r="C30" s="73" t="s">
        <v>217</v>
      </c>
      <c r="D30" s="73" t="s">
        <v>230</v>
      </c>
      <c r="E30" s="74" t="s">
        <v>231</v>
      </c>
      <c r="F30" s="66"/>
      <c r="G30" s="66"/>
      <c r="H30" s="66"/>
      <c r="I30" s="66"/>
      <c r="J30" s="66"/>
      <c r="K30" s="66"/>
      <c r="L30" s="66"/>
      <c r="M30" s="66"/>
      <c r="N30" s="66"/>
      <c r="P30" s="41"/>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row>
    <row r="31" spans="1:58" x14ac:dyDescent="0.2">
      <c r="A31" s="41"/>
      <c r="B31" s="75" t="s">
        <v>554</v>
      </c>
      <c r="C31" s="76">
        <v>7</v>
      </c>
      <c r="D31" s="76">
        <v>4</v>
      </c>
      <c r="E31" s="77">
        <v>1</v>
      </c>
      <c r="F31" s="66"/>
      <c r="G31" s="66"/>
      <c r="H31" s="66"/>
      <c r="I31" s="66"/>
      <c r="J31" s="66"/>
      <c r="K31" s="66"/>
      <c r="L31" s="66"/>
      <c r="M31" s="66"/>
      <c r="N31" s="66"/>
      <c r="P31" s="4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row>
    <row r="32" spans="1:58" x14ac:dyDescent="0.2">
      <c r="A32" s="41"/>
      <c r="B32" s="75" t="s">
        <v>555</v>
      </c>
      <c r="C32" s="78">
        <v>0.12</v>
      </c>
      <c r="D32" s="78">
        <v>3.5000000000000003E-2</v>
      </c>
      <c r="E32" s="79">
        <v>7.6499999999999999E-2</v>
      </c>
      <c r="F32" s="66"/>
      <c r="G32" s="66"/>
      <c r="H32" s="66"/>
      <c r="I32" s="66"/>
      <c r="J32" s="66"/>
      <c r="K32" s="66"/>
      <c r="L32" s="66"/>
      <c r="M32" s="66"/>
      <c r="N32" s="66"/>
      <c r="P32" s="41"/>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row>
    <row r="33" spans="1:58" x14ac:dyDescent="0.2">
      <c r="A33" s="41"/>
      <c r="B33" s="75" t="s">
        <v>228</v>
      </c>
      <c r="C33" s="78">
        <v>0.05</v>
      </c>
      <c r="D33" s="78">
        <v>0</v>
      </c>
      <c r="E33" s="79">
        <v>1.8499999999999999E-2</v>
      </c>
      <c r="F33" s="66"/>
      <c r="G33" s="66"/>
      <c r="H33" s="66"/>
      <c r="I33" s="66"/>
      <c r="J33" s="66"/>
      <c r="K33" s="66"/>
      <c r="L33" s="66"/>
      <c r="M33" s="66"/>
      <c r="N33" s="66"/>
      <c r="P33" s="41"/>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row>
    <row r="34" spans="1:58" x14ac:dyDescent="0.2">
      <c r="A34" s="41"/>
      <c r="B34" s="75" t="s">
        <v>229</v>
      </c>
      <c r="C34" s="78">
        <v>1.4999999999999999E-2</v>
      </c>
      <c r="D34" s="78">
        <v>0.01</v>
      </c>
      <c r="E34" s="79">
        <v>0.01</v>
      </c>
      <c r="F34" s="66"/>
      <c r="G34" s="66"/>
      <c r="H34" s="66"/>
      <c r="I34" s="66"/>
      <c r="J34" s="66"/>
      <c r="K34" s="66"/>
      <c r="L34" s="66"/>
      <c r="M34" s="66"/>
      <c r="N34" s="66"/>
      <c r="P34" s="41"/>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row>
    <row r="35" spans="1:58" x14ac:dyDescent="0.2">
      <c r="A35" s="41"/>
      <c r="B35" s="75" t="s">
        <v>556</v>
      </c>
      <c r="C35" s="78">
        <v>0.1</v>
      </c>
      <c r="D35" s="78">
        <v>0.15</v>
      </c>
      <c r="E35" s="79">
        <v>0</v>
      </c>
      <c r="F35" s="66"/>
      <c r="G35" s="66"/>
      <c r="H35" s="66"/>
      <c r="I35" s="66"/>
      <c r="J35" s="66"/>
      <c r="K35" s="66"/>
      <c r="L35" s="66"/>
      <c r="M35" s="66"/>
      <c r="N35" s="66"/>
      <c r="P35" s="41"/>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row>
    <row r="36" spans="1:58" x14ac:dyDescent="0.2">
      <c r="A36" s="41"/>
      <c r="B36" s="80" t="s">
        <v>557</v>
      </c>
      <c r="C36" s="81">
        <v>0.185</v>
      </c>
      <c r="D36" s="81">
        <v>4.4999999999999998E-2</v>
      </c>
      <c r="E36" s="82">
        <v>0.105</v>
      </c>
      <c r="F36" s="66"/>
      <c r="G36" s="66"/>
      <c r="H36" s="66"/>
      <c r="I36" s="66"/>
      <c r="J36" s="66"/>
      <c r="K36" s="66"/>
      <c r="L36" s="66"/>
      <c r="M36" s="66"/>
      <c r="N36" s="66"/>
      <c r="P36" s="41"/>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row>
    <row r="37" spans="1:58" x14ac:dyDescent="0.2">
      <c r="A37" s="41"/>
      <c r="B37" s="66"/>
      <c r="C37" s="66"/>
      <c r="D37" s="66"/>
      <c r="E37" s="66"/>
      <c r="F37" s="66"/>
      <c r="G37" s="66"/>
      <c r="H37" s="66"/>
      <c r="I37" s="66"/>
      <c r="J37" s="66"/>
      <c r="K37" s="66"/>
      <c r="L37" s="66"/>
      <c r="M37" s="66"/>
      <c r="N37" s="66"/>
      <c r="P37" s="41"/>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row>
    <row r="38" spans="1:58" x14ac:dyDescent="0.2">
      <c r="A38" s="41"/>
      <c r="B38" s="188" t="s">
        <v>558</v>
      </c>
      <c r="C38" s="188"/>
      <c r="D38" s="188"/>
      <c r="E38" s="188"/>
      <c r="F38" s="188"/>
      <c r="G38" s="188"/>
      <c r="H38" s="188"/>
      <c r="I38" s="188"/>
      <c r="J38" s="188"/>
      <c r="K38" s="188"/>
      <c r="L38" s="188"/>
      <c r="M38" s="188"/>
      <c r="N38" s="188"/>
      <c r="P38" s="41"/>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row>
    <row r="39" spans="1:58" x14ac:dyDescent="0.2">
      <c r="A39" s="41"/>
      <c r="B39" s="66"/>
      <c r="C39" s="66"/>
      <c r="D39" s="66"/>
      <c r="E39" s="66"/>
      <c r="F39" s="66"/>
      <c r="G39" s="66"/>
      <c r="H39" s="66"/>
      <c r="I39" s="66"/>
      <c r="J39" s="66"/>
      <c r="K39" s="66"/>
      <c r="L39" s="66"/>
      <c r="M39" s="66"/>
      <c r="N39" s="66"/>
      <c r="P39" s="41"/>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row>
    <row r="40" spans="1:58" x14ac:dyDescent="0.2">
      <c r="A40" s="41"/>
      <c r="B40" s="190" t="s">
        <v>542</v>
      </c>
      <c r="C40" s="190"/>
      <c r="D40" s="190"/>
      <c r="E40" s="190"/>
      <c r="F40" s="190"/>
      <c r="G40" s="190"/>
      <c r="H40" s="190"/>
      <c r="I40" s="190"/>
      <c r="J40" s="190"/>
      <c r="K40" s="190"/>
      <c r="L40" s="190"/>
      <c r="M40" s="190"/>
      <c r="N40" s="190"/>
      <c r="P40" s="41"/>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row>
    <row r="41" spans="1:58" x14ac:dyDescent="0.2">
      <c r="A41" s="41"/>
      <c r="B41" s="68" t="s">
        <v>559</v>
      </c>
      <c r="C41" s="102"/>
      <c r="D41" s="66"/>
      <c r="E41" s="66"/>
      <c r="F41" s="66"/>
      <c r="G41" s="66"/>
      <c r="H41" s="66"/>
      <c r="I41" s="66"/>
      <c r="J41" s="66"/>
      <c r="K41" s="66"/>
      <c r="L41" s="66"/>
      <c r="M41" s="66"/>
      <c r="N41" s="66"/>
      <c r="P41" s="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row>
    <row r="42" spans="1:58" x14ac:dyDescent="0.2">
      <c r="A42" s="41"/>
      <c r="B42" s="68" t="s">
        <v>560</v>
      </c>
      <c r="C42" s="102"/>
      <c r="D42" s="66"/>
      <c r="E42" s="66"/>
      <c r="F42" s="66"/>
      <c r="G42" s="66"/>
      <c r="H42" s="66"/>
      <c r="I42" s="66"/>
      <c r="J42" s="66"/>
      <c r="K42" s="66"/>
      <c r="L42" s="66"/>
      <c r="M42" s="66"/>
      <c r="N42" s="66"/>
      <c r="P42" s="41"/>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row>
    <row r="43" spans="1:58" x14ac:dyDescent="0.2">
      <c r="A43" s="41"/>
      <c r="B43" s="68" t="s">
        <v>235</v>
      </c>
      <c r="C43" s="101"/>
      <c r="D43" s="66"/>
      <c r="E43" s="66"/>
      <c r="F43" s="66"/>
      <c r="G43" s="66"/>
      <c r="H43" s="66"/>
      <c r="I43" s="66"/>
      <c r="J43" s="66"/>
      <c r="K43" s="66"/>
      <c r="L43" s="66"/>
      <c r="M43" s="66"/>
      <c r="N43" s="66"/>
      <c r="P43" s="41"/>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row>
    <row r="44" spans="1:58" x14ac:dyDescent="0.2">
      <c r="A44" s="41"/>
      <c r="B44" s="68" t="s">
        <v>236</v>
      </c>
      <c r="C44" s="101"/>
      <c r="D44" s="66"/>
      <c r="E44" s="66"/>
      <c r="F44" s="66"/>
      <c r="G44" s="66"/>
      <c r="H44" s="66"/>
      <c r="I44" s="66"/>
      <c r="J44" s="66"/>
      <c r="K44" s="66"/>
      <c r="L44" s="66"/>
      <c r="M44" s="66"/>
      <c r="N44" s="66"/>
      <c r="P44" s="41"/>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row>
    <row r="45" spans="1:58" x14ac:dyDescent="0.2">
      <c r="A45" s="41"/>
      <c r="B45" s="68" t="s">
        <v>237</v>
      </c>
      <c r="C45" s="101"/>
      <c r="D45" s="66"/>
      <c r="E45" s="66"/>
      <c r="F45" s="66"/>
      <c r="G45" s="66"/>
      <c r="H45" s="66"/>
      <c r="I45" s="66"/>
      <c r="J45" s="66"/>
      <c r="K45" s="66"/>
      <c r="L45" s="66"/>
      <c r="M45" s="66"/>
      <c r="N45" s="66"/>
      <c r="P45" s="41"/>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row>
    <row r="46" spans="1:58" x14ac:dyDescent="0.2">
      <c r="A46" s="41"/>
      <c r="B46" s="68" t="s">
        <v>561</v>
      </c>
      <c r="C46" s="101"/>
      <c r="D46" s="66"/>
      <c r="E46" s="66"/>
      <c r="F46" s="66"/>
      <c r="G46" s="66"/>
      <c r="H46" s="66"/>
      <c r="I46" s="66"/>
      <c r="J46" s="66"/>
      <c r="K46" s="66"/>
      <c r="L46" s="66"/>
      <c r="M46" s="66"/>
      <c r="N46" s="66"/>
      <c r="P46" s="41"/>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row>
    <row r="47" spans="1:58" x14ac:dyDescent="0.2">
      <c r="A47" s="41"/>
      <c r="B47" s="68" t="s">
        <v>562</v>
      </c>
      <c r="C47" s="103"/>
      <c r="D47" s="66"/>
      <c r="E47" s="191" t="s">
        <v>567</v>
      </c>
      <c r="F47" s="191"/>
      <c r="G47" s="191"/>
      <c r="H47" s="191"/>
      <c r="I47" s="191"/>
      <c r="J47" s="191"/>
      <c r="K47" s="191"/>
      <c r="L47" s="191"/>
      <c r="M47" s="191"/>
      <c r="N47" s="191"/>
      <c r="P47" s="41"/>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row>
    <row r="48" spans="1:58" x14ac:dyDescent="0.2">
      <c r="A48" s="41"/>
      <c r="B48" s="68" t="s">
        <v>563</v>
      </c>
      <c r="C48" s="101"/>
      <c r="D48" s="66"/>
      <c r="E48" s="66"/>
      <c r="F48" s="66"/>
      <c r="G48" s="66"/>
      <c r="H48" s="66"/>
      <c r="I48" s="66"/>
      <c r="J48" s="66"/>
      <c r="K48" s="66"/>
      <c r="L48" s="66"/>
      <c r="M48" s="66"/>
      <c r="N48" s="66"/>
      <c r="P48" s="41"/>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row>
    <row r="49" spans="1:58" x14ac:dyDescent="0.2">
      <c r="A49" s="41"/>
      <c r="B49" s="68" t="s">
        <v>564</v>
      </c>
      <c r="C49" s="105"/>
      <c r="D49" s="66"/>
      <c r="E49" s="66"/>
      <c r="F49" s="66"/>
      <c r="G49" s="66"/>
      <c r="H49" s="66"/>
      <c r="I49" s="66"/>
      <c r="J49" s="66"/>
      <c r="K49" s="66"/>
      <c r="L49" s="66"/>
      <c r="M49" s="66"/>
      <c r="N49" s="66"/>
      <c r="P49" s="41"/>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row>
    <row r="50" spans="1:58" x14ac:dyDescent="0.2">
      <c r="A50" s="41"/>
      <c r="B50" s="68" t="s">
        <v>565</v>
      </c>
      <c r="C50" s="101"/>
      <c r="D50" s="66"/>
      <c r="E50" s="66"/>
      <c r="F50" s="66"/>
      <c r="G50" s="66"/>
      <c r="H50" s="66"/>
      <c r="I50" s="66"/>
      <c r="J50" s="66"/>
      <c r="K50" s="66"/>
      <c r="L50" s="66"/>
      <c r="M50" s="66"/>
      <c r="N50" s="66"/>
      <c r="P50" s="41"/>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row>
    <row r="51" spans="1:58" x14ac:dyDescent="0.2">
      <c r="A51" s="41"/>
      <c r="B51" s="68" t="s">
        <v>566</v>
      </c>
      <c r="C51" s="104"/>
      <c r="D51" s="66"/>
      <c r="E51" s="66"/>
      <c r="F51" s="66"/>
      <c r="G51" s="66"/>
      <c r="H51" s="66"/>
      <c r="I51" s="66"/>
      <c r="J51" s="66"/>
      <c r="K51" s="66"/>
      <c r="L51" s="66"/>
      <c r="M51" s="66"/>
      <c r="N51" s="66"/>
      <c r="P51" s="4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row>
    <row r="52" spans="1:58" x14ac:dyDescent="0.2">
      <c r="A52" s="41"/>
      <c r="B52" s="66"/>
      <c r="C52" s="66"/>
      <c r="D52" s="66"/>
      <c r="E52" s="66"/>
      <c r="F52" s="66"/>
      <c r="G52" s="66"/>
      <c r="H52" s="66"/>
      <c r="I52" s="66"/>
      <c r="J52" s="66"/>
      <c r="K52" s="66"/>
      <c r="L52" s="66"/>
      <c r="M52" s="66"/>
      <c r="N52" s="66"/>
      <c r="P52" s="41"/>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row>
    <row r="53" spans="1:58" x14ac:dyDescent="0.2">
      <c r="A53" s="41"/>
      <c r="B53" s="83" t="s">
        <v>568</v>
      </c>
      <c r="C53" s="84" t="str">
        <f>TEXT(DATE(2000,CHOOSE(MATCH($C$8,{"AU";"NZ";"US"},0),7,4,1)+0,1),"mmm")</f>
        <v>Jul</v>
      </c>
      <c r="D53" s="84" t="str">
        <f>TEXT(DATE(2000,CHOOSE(MATCH($C$8,{"AU";"NZ";"US"},0),7,4,1)+1,1),"mmm")</f>
        <v>Aug</v>
      </c>
      <c r="E53" s="84" t="str">
        <f>TEXT(DATE(2000,CHOOSE(MATCH($C$8,{"AU";"NZ";"US"},0),7,4,1)+2,1),"mmm")</f>
        <v>Sep</v>
      </c>
      <c r="F53" s="84" t="str">
        <f>TEXT(DATE(2000,CHOOSE(MATCH($C$8,{"AU";"NZ";"US"},0),7,4,1)+3,1),"mmm")</f>
        <v>Oct</v>
      </c>
      <c r="G53" s="84" t="str">
        <f>TEXT(DATE(2000,CHOOSE(MATCH($C$8,{"AU";"NZ";"US"},0),7,4,1)+4,1),"mmm")</f>
        <v>Nov</v>
      </c>
      <c r="H53" s="84" t="str">
        <f>TEXT(DATE(2000,CHOOSE(MATCH($C$8,{"AU";"NZ";"US"},0),7,4,1)+5,1),"mmm")</f>
        <v>Dec</v>
      </c>
      <c r="I53" s="84" t="str">
        <f>TEXT(DATE(2000,CHOOSE(MATCH($C$8,{"AU";"NZ";"US"},0),7,4,1)+6,1),"mmm")</f>
        <v>Jan</v>
      </c>
      <c r="J53" s="84" t="str">
        <f>TEXT(DATE(2000,CHOOSE(MATCH($C$8,{"AU";"NZ";"US"},0),7,4,1)+7,1),"mmm")</f>
        <v>Feb</v>
      </c>
      <c r="K53" s="84" t="str">
        <f>TEXT(DATE(2000,CHOOSE(MATCH($C$8,{"AU";"NZ";"US"},0),7,4,1)+8,1),"mmm")</f>
        <v>Mar</v>
      </c>
      <c r="L53" s="84" t="str">
        <f>TEXT(DATE(2000,CHOOSE(MATCH($C$8,{"AU";"NZ";"US"},0),7,4,1)+9,1),"mmm")</f>
        <v>Apr</v>
      </c>
      <c r="M53" s="84" t="str">
        <f>TEXT(DATE(2000,CHOOSE(MATCH($C$8,{"AU";"NZ";"US"},0),7,4,1)+10,1),"mmm")</f>
        <v>May</v>
      </c>
      <c r="N53" s="84" t="str">
        <f>TEXT(DATE(2000,CHOOSE(MATCH($C$8,{"AU";"NZ";"US"},0),7,4,1)+11,1),"mmm")</f>
        <v>Jun</v>
      </c>
      <c r="P53" s="41"/>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row>
    <row r="54" spans="1:58" x14ac:dyDescent="0.2">
      <c r="A54" s="41"/>
      <c r="B54" s="190" t="s">
        <v>569</v>
      </c>
      <c r="C54" s="190"/>
      <c r="D54" s="190"/>
      <c r="E54" s="190"/>
      <c r="F54" s="190"/>
      <c r="G54" s="190"/>
      <c r="H54" s="190"/>
      <c r="I54" s="190"/>
      <c r="J54" s="190"/>
      <c r="K54" s="190"/>
      <c r="L54" s="190"/>
      <c r="M54" s="190"/>
      <c r="N54" s="190"/>
      <c r="P54" s="41"/>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row>
    <row r="55" spans="1:58" x14ac:dyDescent="0.2">
      <c r="A55" s="41"/>
      <c r="B55" s="68" t="s">
        <v>570</v>
      </c>
      <c r="C55" s="100"/>
      <c r="D55" s="100"/>
      <c r="E55" s="100"/>
      <c r="F55" s="100"/>
      <c r="G55" s="100"/>
      <c r="H55" s="100"/>
      <c r="I55" s="100"/>
      <c r="J55" s="100"/>
      <c r="K55" s="100"/>
      <c r="L55" s="100"/>
      <c r="M55" s="100"/>
      <c r="N55" s="100"/>
      <c r="P55" s="41"/>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row>
    <row r="56" spans="1:58" x14ac:dyDescent="0.2">
      <c r="A56" s="41"/>
      <c r="B56" s="68" t="s">
        <v>571</v>
      </c>
      <c r="C56" s="100"/>
      <c r="D56" s="100"/>
      <c r="E56" s="100"/>
      <c r="F56" s="100"/>
      <c r="G56" s="100"/>
      <c r="H56" s="100"/>
      <c r="I56" s="100"/>
      <c r="J56" s="100"/>
      <c r="K56" s="100"/>
      <c r="L56" s="100"/>
      <c r="M56" s="100"/>
      <c r="N56" s="100"/>
      <c r="P56" s="41"/>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row>
    <row r="57" spans="1:58" x14ac:dyDescent="0.2">
      <c r="A57" s="41"/>
      <c r="B57" s="68" t="s">
        <v>212</v>
      </c>
      <c r="C57" s="100"/>
      <c r="D57" s="100"/>
      <c r="E57" s="100"/>
      <c r="F57" s="100"/>
      <c r="G57" s="100"/>
      <c r="H57" s="100"/>
      <c r="I57" s="100"/>
      <c r="J57" s="100"/>
      <c r="K57" s="100"/>
      <c r="L57" s="100"/>
      <c r="M57" s="100"/>
      <c r="N57" s="100"/>
      <c r="P57" s="41"/>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row>
    <row r="58" spans="1:58" x14ac:dyDescent="0.2">
      <c r="A58" s="41"/>
      <c r="B58" s="68" t="s">
        <v>213</v>
      </c>
      <c r="C58" s="100"/>
      <c r="D58" s="100"/>
      <c r="E58" s="100"/>
      <c r="F58" s="100"/>
      <c r="G58" s="100"/>
      <c r="H58" s="100"/>
      <c r="I58" s="100"/>
      <c r="J58" s="100"/>
      <c r="K58" s="100"/>
      <c r="L58" s="100"/>
      <c r="M58" s="100"/>
      <c r="N58" s="100"/>
      <c r="P58" s="41"/>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row>
    <row r="59" spans="1:58" x14ac:dyDescent="0.2">
      <c r="A59" s="41"/>
      <c r="B59" s="68" t="s">
        <v>211</v>
      </c>
      <c r="C59" s="100"/>
      <c r="D59" s="100"/>
      <c r="E59" s="100"/>
      <c r="F59" s="100"/>
      <c r="G59" s="100"/>
      <c r="H59" s="100"/>
      <c r="I59" s="100"/>
      <c r="J59" s="100"/>
      <c r="K59" s="100"/>
      <c r="L59" s="100"/>
      <c r="M59" s="100"/>
      <c r="N59" s="100"/>
      <c r="P59" s="41"/>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row>
    <row r="60" spans="1:58" x14ac:dyDescent="0.2">
      <c r="A60" s="41"/>
      <c r="B60" s="68" t="s">
        <v>214</v>
      </c>
      <c r="C60" s="100"/>
      <c r="D60" s="100"/>
      <c r="E60" s="100"/>
      <c r="F60" s="100"/>
      <c r="G60" s="100"/>
      <c r="H60" s="100"/>
      <c r="I60" s="100"/>
      <c r="J60" s="100"/>
      <c r="K60" s="100"/>
      <c r="L60" s="100"/>
      <c r="M60" s="100"/>
      <c r="N60" s="100"/>
      <c r="P60" s="41"/>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row>
    <row r="61" spans="1:58" x14ac:dyDescent="0.2">
      <c r="A61" s="41"/>
      <c r="B61" s="68" t="s">
        <v>572</v>
      </c>
      <c r="C61" s="100"/>
      <c r="D61" s="100"/>
      <c r="E61" s="100"/>
      <c r="F61" s="100"/>
      <c r="G61" s="100"/>
      <c r="H61" s="100"/>
      <c r="I61" s="100"/>
      <c r="J61" s="100"/>
      <c r="K61" s="100"/>
      <c r="L61" s="100"/>
      <c r="M61" s="100"/>
      <c r="N61" s="100"/>
      <c r="P61" s="4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row>
    <row r="62" spans="1:58" x14ac:dyDescent="0.2">
      <c r="A62" s="41"/>
      <c r="B62" s="68" t="s">
        <v>573</v>
      </c>
      <c r="C62" s="100"/>
      <c r="D62" s="100"/>
      <c r="E62" s="100"/>
      <c r="F62" s="100"/>
      <c r="G62" s="100"/>
      <c r="H62" s="100"/>
      <c r="I62" s="100"/>
      <c r="J62" s="100"/>
      <c r="K62" s="100"/>
      <c r="L62" s="100"/>
      <c r="M62" s="100"/>
      <c r="N62" s="100"/>
      <c r="P62" s="41"/>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row>
    <row r="63" spans="1:58" x14ac:dyDescent="0.2">
      <c r="A63" s="41"/>
      <c r="B63" s="68" t="s">
        <v>574</v>
      </c>
      <c r="C63" s="107"/>
      <c r="D63" s="66"/>
      <c r="E63" s="66"/>
      <c r="F63" s="66"/>
      <c r="G63" s="66"/>
      <c r="H63" s="66"/>
      <c r="I63" s="66"/>
      <c r="J63" s="66"/>
      <c r="K63" s="66"/>
      <c r="L63" s="66"/>
      <c r="M63" s="66"/>
      <c r="N63" s="66"/>
      <c r="P63" s="41"/>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row>
    <row r="64" spans="1:58" x14ac:dyDescent="0.2">
      <c r="A64" s="41"/>
      <c r="B64" s="66"/>
      <c r="C64" s="66"/>
      <c r="D64" s="66"/>
      <c r="E64" s="187" t="s">
        <v>575</v>
      </c>
      <c r="F64" s="187"/>
      <c r="G64" s="187"/>
      <c r="H64" s="187"/>
      <c r="I64" s="187"/>
      <c r="J64" s="187"/>
      <c r="K64" s="187"/>
      <c r="L64" s="187"/>
      <c r="M64" s="187"/>
      <c r="N64" s="187"/>
      <c r="P64" s="41"/>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row>
    <row r="65" spans="1:58" x14ac:dyDescent="0.2">
      <c r="A65" s="41"/>
      <c r="B65" s="66"/>
      <c r="C65" s="66"/>
      <c r="D65" s="66"/>
      <c r="E65" s="66"/>
      <c r="F65" s="66"/>
      <c r="G65" s="66"/>
      <c r="H65" s="66"/>
      <c r="I65" s="66"/>
      <c r="J65" s="66"/>
      <c r="K65" s="66"/>
      <c r="L65" s="66"/>
      <c r="M65" s="66"/>
      <c r="N65" s="66"/>
      <c r="P65" s="41"/>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row>
    <row r="66" spans="1:58" x14ac:dyDescent="0.2">
      <c r="A66" s="41"/>
      <c r="B66" s="186" t="s">
        <v>576</v>
      </c>
      <c r="C66" s="186"/>
      <c r="D66" s="186"/>
      <c r="E66" s="186"/>
      <c r="F66" s="186"/>
      <c r="G66" s="186"/>
      <c r="H66" s="186"/>
      <c r="I66" s="186"/>
      <c r="J66" s="186"/>
      <c r="K66" s="186"/>
      <c r="L66" s="186"/>
      <c r="M66" s="186"/>
      <c r="N66" s="186"/>
      <c r="P66" s="41"/>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row>
    <row r="67" spans="1:58" x14ac:dyDescent="0.2">
      <c r="A67" s="41"/>
      <c r="B67" s="68" t="s">
        <v>577</v>
      </c>
      <c r="C67" s="100"/>
      <c r="D67" s="100"/>
      <c r="E67" s="100"/>
      <c r="F67" s="100"/>
      <c r="G67" s="100"/>
      <c r="H67" s="100"/>
      <c r="I67" s="100"/>
      <c r="J67" s="100"/>
      <c r="K67" s="100"/>
      <c r="L67" s="100"/>
      <c r="M67" s="100"/>
      <c r="N67" s="100"/>
      <c r="P67" s="41"/>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row>
    <row r="68" spans="1:58" x14ac:dyDescent="0.2">
      <c r="A68" s="41"/>
      <c r="B68" s="68" t="s">
        <v>578</v>
      </c>
      <c r="C68" s="100"/>
      <c r="D68" s="100"/>
      <c r="E68" s="100"/>
      <c r="F68" s="100"/>
      <c r="G68" s="100"/>
      <c r="H68" s="100"/>
      <c r="I68" s="100"/>
      <c r="J68" s="100"/>
      <c r="K68" s="100"/>
      <c r="L68" s="100"/>
      <c r="M68" s="100"/>
      <c r="N68" s="100"/>
      <c r="P68" s="41"/>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row>
    <row r="69" spans="1:58" x14ac:dyDescent="0.2">
      <c r="A69" s="41"/>
      <c r="B69" s="68" t="s">
        <v>579</v>
      </c>
      <c r="C69" s="100"/>
      <c r="D69" s="100"/>
      <c r="E69" s="100"/>
      <c r="F69" s="100"/>
      <c r="G69" s="100"/>
      <c r="H69" s="100"/>
      <c r="I69" s="100"/>
      <c r="J69" s="100"/>
      <c r="K69" s="100"/>
      <c r="L69" s="100"/>
      <c r="M69" s="100"/>
      <c r="N69" s="100"/>
      <c r="P69" s="41"/>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row>
    <row r="70" spans="1:58" x14ac:dyDescent="0.2">
      <c r="A70" s="41"/>
      <c r="B70" s="68" t="s">
        <v>580</v>
      </c>
      <c r="C70" s="100"/>
      <c r="D70" s="100"/>
      <c r="E70" s="100"/>
      <c r="F70" s="100"/>
      <c r="G70" s="100"/>
      <c r="H70" s="100"/>
      <c r="I70" s="100"/>
      <c r="J70" s="100"/>
      <c r="K70" s="100"/>
      <c r="L70" s="100"/>
      <c r="M70" s="100"/>
      <c r="N70" s="100"/>
      <c r="P70" s="41"/>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row>
    <row r="71" spans="1:58" x14ac:dyDescent="0.2">
      <c r="A71" s="41"/>
      <c r="B71" s="66"/>
      <c r="C71" s="66"/>
      <c r="D71" s="66"/>
      <c r="E71" s="66"/>
      <c r="F71" s="66"/>
      <c r="G71" s="66"/>
      <c r="H71" s="66"/>
      <c r="I71" s="66"/>
      <c r="J71" s="66"/>
      <c r="K71" s="66"/>
      <c r="L71" s="66"/>
      <c r="M71" s="66"/>
      <c r="N71" s="66"/>
      <c r="P71" s="4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row>
    <row r="72" spans="1:58" x14ac:dyDescent="0.2">
      <c r="A72" s="41"/>
      <c r="B72" s="186" t="s">
        <v>581</v>
      </c>
      <c r="C72" s="186"/>
      <c r="D72" s="186"/>
      <c r="E72" s="186"/>
      <c r="F72" s="186"/>
      <c r="G72" s="186"/>
      <c r="H72" s="186"/>
      <c r="I72" s="186"/>
      <c r="J72" s="186"/>
      <c r="K72" s="186"/>
      <c r="L72" s="186"/>
      <c r="M72" s="186"/>
      <c r="N72" s="186"/>
      <c r="P72" s="41"/>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row>
    <row r="73" spans="1:58" x14ac:dyDescent="0.2">
      <c r="A73" s="41"/>
      <c r="B73" s="68" t="s">
        <v>582</v>
      </c>
      <c r="C73" s="100"/>
      <c r="D73" s="100"/>
      <c r="E73" s="100"/>
      <c r="F73" s="100"/>
      <c r="G73" s="100"/>
      <c r="H73" s="100"/>
      <c r="I73" s="100"/>
      <c r="J73" s="100"/>
      <c r="K73" s="100"/>
      <c r="L73" s="100"/>
      <c r="M73" s="100"/>
      <c r="N73" s="100"/>
      <c r="P73" s="41"/>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row>
    <row r="74" spans="1:58" x14ac:dyDescent="0.2">
      <c r="A74" s="41"/>
      <c r="B74" s="68" t="s">
        <v>583</v>
      </c>
      <c r="C74" s="108"/>
      <c r="D74" s="66"/>
      <c r="E74" s="66"/>
      <c r="F74" s="66"/>
      <c r="G74" s="66"/>
      <c r="H74" s="66"/>
      <c r="I74" s="66"/>
      <c r="J74" s="66"/>
      <c r="K74" s="66"/>
      <c r="L74" s="66"/>
      <c r="M74" s="66"/>
      <c r="N74" s="66"/>
      <c r="P74" s="41"/>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row>
    <row r="75" spans="1:58" x14ac:dyDescent="0.2">
      <c r="A75" s="41"/>
      <c r="B75" s="68" t="s">
        <v>584</v>
      </c>
      <c r="C75" s="101"/>
      <c r="D75" s="66"/>
      <c r="E75" s="66"/>
      <c r="F75" s="66"/>
      <c r="G75" s="66"/>
      <c r="H75" s="66"/>
      <c r="I75" s="66"/>
      <c r="J75" s="66"/>
      <c r="K75" s="66"/>
      <c r="L75" s="66"/>
      <c r="M75" s="66"/>
      <c r="N75" s="66"/>
      <c r="P75" s="41"/>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row>
    <row r="76" spans="1:58" x14ac:dyDescent="0.2">
      <c r="A76" s="41"/>
      <c r="B76" s="68" t="s">
        <v>585</v>
      </c>
      <c r="C76" s="100"/>
      <c r="D76" s="100"/>
      <c r="E76" s="100"/>
      <c r="F76" s="100"/>
      <c r="G76" s="100"/>
      <c r="H76" s="100"/>
      <c r="I76" s="100"/>
      <c r="J76" s="100"/>
      <c r="K76" s="100"/>
      <c r="L76" s="100"/>
      <c r="M76" s="100"/>
      <c r="N76" s="100"/>
      <c r="P76" s="41"/>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row>
    <row r="77" spans="1:58" x14ac:dyDescent="0.2">
      <c r="A77" s="41"/>
      <c r="B77" s="66"/>
      <c r="C77" s="66"/>
      <c r="D77" s="66"/>
      <c r="E77" s="66"/>
      <c r="F77" s="66"/>
      <c r="G77" s="66"/>
      <c r="H77" s="66"/>
      <c r="I77" s="66"/>
      <c r="J77" s="66"/>
      <c r="K77" s="66"/>
      <c r="L77" s="66"/>
      <c r="M77" s="66"/>
      <c r="N77" s="66"/>
      <c r="P77" s="41"/>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row>
    <row r="78" spans="1:58" x14ac:dyDescent="0.2">
      <c r="A78" s="41"/>
      <c r="B78" s="188" t="s">
        <v>586</v>
      </c>
      <c r="C78" s="188"/>
      <c r="D78" s="188"/>
      <c r="E78" s="188"/>
      <c r="F78" s="188"/>
      <c r="G78" s="188"/>
      <c r="H78" s="188"/>
      <c r="I78" s="188"/>
      <c r="J78" s="188"/>
      <c r="K78" s="188"/>
      <c r="L78" s="188"/>
      <c r="M78" s="188"/>
      <c r="N78" s="188"/>
      <c r="P78" s="41"/>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row>
    <row r="79" spans="1:58" x14ac:dyDescent="0.2">
      <c r="A79" s="41"/>
      <c r="B79" s="189" t="str">
        <f>IF($C$18="Planned","● ACTIVE — fill this zone","○ SKIP — you chose Capacity build; this zone is inactive")</f>
        <v>● ACTIVE — fill this zone</v>
      </c>
      <c r="C79" s="189"/>
      <c r="D79" s="189"/>
      <c r="E79" s="189"/>
      <c r="F79" s="189"/>
      <c r="G79" s="189"/>
      <c r="H79" s="189"/>
      <c r="I79" s="189"/>
      <c r="J79" s="189"/>
      <c r="K79" s="189"/>
      <c r="L79" s="189"/>
      <c r="M79" s="189"/>
      <c r="N79" s="189"/>
      <c r="P79" s="41"/>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row>
    <row r="80" spans="1:58" outlineLevel="1" x14ac:dyDescent="0.2">
      <c r="A80" s="41"/>
      <c r="B80" s="186" t="s">
        <v>587</v>
      </c>
      <c r="C80" s="186"/>
      <c r="D80" s="186"/>
      <c r="E80" s="186"/>
      <c r="F80" s="186"/>
      <c r="G80" s="186"/>
      <c r="H80" s="186"/>
      <c r="I80" s="186"/>
      <c r="J80" s="186"/>
      <c r="K80" s="186"/>
      <c r="L80" s="186"/>
      <c r="M80" s="186"/>
      <c r="N80" s="186"/>
      <c r="P80" s="41"/>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row>
    <row r="81" spans="1:58" outlineLevel="1" x14ac:dyDescent="0.2">
      <c r="A81" s="41"/>
      <c r="B81" s="83" t="s">
        <v>588</v>
      </c>
      <c r="C81" s="96" t="str">
        <f>TEXT(DATE(2000,CHOOSE(MATCH($C$8,{"AU";"NZ";"US"},0),7,4,1)+0,1),"mmm")</f>
        <v>Jul</v>
      </c>
      <c r="D81" s="96" t="str">
        <f>TEXT(DATE(2000,CHOOSE(MATCH($C$8,{"AU";"NZ";"US"},0),7,4,1)+1,1),"mmm")</f>
        <v>Aug</v>
      </c>
      <c r="E81" s="96" t="str">
        <f>TEXT(DATE(2000,CHOOSE(MATCH($C$8,{"AU";"NZ";"US"},0),7,4,1)+2,1),"mmm")</f>
        <v>Sep</v>
      </c>
      <c r="F81" s="96" t="str">
        <f>TEXT(DATE(2000,CHOOSE(MATCH($C$8,{"AU";"NZ";"US"},0),7,4,1)+3,1),"mmm")</f>
        <v>Oct</v>
      </c>
      <c r="G81" s="96" t="str">
        <f>TEXT(DATE(2000,CHOOSE(MATCH($C$8,{"AU";"NZ";"US"},0),7,4,1)+4,1),"mmm")</f>
        <v>Nov</v>
      </c>
      <c r="H81" s="96" t="str">
        <f>TEXT(DATE(2000,CHOOSE(MATCH($C$8,{"AU";"NZ";"US"},0),7,4,1)+5,1),"mmm")</f>
        <v>Dec</v>
      </c>
      <c r="I81" s="96" t="str">
        <f>TEXT(DATE(2000,CHOOSE(MATCH($C$8,{"AU";"NZ";"US"},0),7,4,1)+6,1),"mmm")</f>
        <v>Jan</v>
      </c>
      <c r="J81" s="96" t="str">
        <f>TEXT(DATE(2000,CHOOSE(MATCH($C$8,{"AU";"NZ";"US"},0),7,4,1)+7,1),"mmm")</f>
        <v>Feb</v>
      </c>
      <c r="K81" s="96" t="str">
        <f>TEXT(DATE(2000,CHOOSE(MATCH($C$8,{"AU";"NZ";"US"},0),7,4,1)+8,1),"mmm")</f>
        <v>Mar</v>
      </c>
      <c r="L81" s="96" t="str">
        <f>TEXT(DATE(2000,CHOOSE(MATCH($C$8,{"AU";"NZ";"US"},0),7,4,1)+9,1),"mmm")</f>
        <v>Apr</v>
      </c>
      <c r="M81" s="96" t="str">
        <f>TEXT(DATE(2000,CHOOSE(MATCH($C$8,{"AU";"NZ";"US"},0),7,4,1)+10,1),"mmm")</f>
        <v>May</v>
      </c>
      <c r="N81" s="96" t="str">
        <f>TEXT(DATE(2000,CHOOSE(MATCH($C$8,{"AU";"NZ";"US"},0),7,4,1)+11,1),"mmm")</f>
        <v>Jun</v>
      </c>
      <c r="P81" s="4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row>
    <row r="82" spans="1:58" outlineLevel="1" x14ac:dyDescent="0.2">
      <c r="A82" s="41"/>
      <c r="B82" s="85" t="s">
        <v>232</v>
      </c>
      <c r="C82" s="100"/>
      <c r="D82" s="100"/>
      <c r="E82" s="100"/>
      <c r="F82" s="100"/>
      <c r="G82" s="100"/>
      <c r="H82" s="100"/>
      <c r="I82" s="100"/>
      <c r="J82" s="100"/>
      <c r="K82" s="100"/>
      <c r="L82" s="100"/>
      <c r="M82" s="100"/>
      <c r="N82" s="100"/>
      <c r="P82" s="41"/>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row>
    <row r="83" spans="1:58" outlineLevel="1" x14ac:dyDescent="0.2">
      <c r="A83" s="41"/>
      <c r="B83" s="86" t="s">
        <v>233</v>
      </c>
      <c r="C83" s="100"/>
      <c r="D83" s="100"/>
      <c r="E83" s="100"/>
      <c r="F83" s="100"/>
      <c r="G83" s="100"/>
      <c r="H83" s="100"/>
      <c r="I83" s="100"/>
      <c r="J83" s="100"/>
      <c r="K83" s="100"/>
      <c r="L83" s="100"/>
      <c r="M83" s="100"/>
      <c r="N83" s="100"/>
      <c r="P83" s="41"/>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row>
    <row r="84" spans="1:58" outlineLevel="1" x14ac:dyDescent="0.2">
      <c r="A84" s="41"/>
      <c r="B84" s="86" t="s">
        <v>234</v>
      </c>
      <c r="C84" s="100"/>
      <c r="D84" s="100"/>
      <c r="E84" s="100"/>
      <c r="F84" s="100"/>
      <c r="G84" s="100"/>
      <c r="H84" s="100"/>
      <c r="I84" s="100"/>
      <c r="J84" s="100"/>
      <c r="K84" s="100"/>
      <c r="L84" s="100"/>
      <c r="M84" s="100"/>
      <c r="N84" s="100"/>
      <c r="P84" s="41"/>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row>
    <row r="85" spans="1:58" outlineLevel="1" x14ac:dyDescent="0.2">
      <c r="A85" s="41"/>
      <c r="B85" s="86" t="s">
        <v>589</v>
      </c>
      <c r="C85" s="100"/>
      <c r="D85" s="100"/>
      <c r="E85" s="100"/>
      <c r="F85" s="100"/>
      <c r="G85" s="100"/>
      <c r="H85" s="100"/>
      <c r="I85" s="100"/>
      <c r="J85" s="100"/>
      <c r="K85" s="100"/>
      <c r="L85" s="100"/>
      <c r="M85" s="100"/>
      <c r="N85" s="100"/>
      <c r="P85" s="41"/>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row>
    <row r="86" spans="1:58" outlineLevel="1" x14ac:dyDescent="0.2">
      <c r="A86" s="41"/>
      <c r="B86" s="87" t="s">
        <v>590</v>
      </c>
      <c r="C86" s="100"/>
      <c r="D86" s="100"/>
      <c r="E86" s="100"/>
      <c r="F86" s="100"/>
      <c r="G86" s="100"/>
      <c r="H86" s="100"/>
      <c r="I86" s="100"/>
      <c r="J86" s="100"/>
      <c r="K86" s="100"/>
      <c r="L86" s="100"/>
      <c r="M86" s="100"/>
      <c r="N86" s="100"/>
      <c r="P86" s="41"/>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row>
    <row r="87" spans="1:58" outlineLevel="1" x14ac:dyDescent="0.2">
      <c r="A87" s="41"/>
      <c r="B87" s="66"/>
      <c r="C87" s="66"/>
      <c r="D87" s="66"/>
      <c r="E87" s="66"/>
      <c r="F87" s="66"/>
      <c r="G87" s="66"/>
      <c r="H87" s="66"/>
      <c r="I87" s="66"/>
      <c r="J87" s="66"/>
      <c r="K87" s="66"/>
      <c r="L87" s="66"/>
      <c r="M87" s="66"/>
      <c r="N87" s="66"/>
      <c r="P87" s="41"/>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row>
    <row r="88" spans="1:58" outlineLevel="1" x14ac:dyDescent="0.2">
      <c r="A88" s="41"/>
      <c r="B88" s="127" t="s">
        <v>591</v>
      </c>
      <c r="C88" s="127"/>
      <c r="D88" s="127"/>
      <c r="E88" s="127"/>
      <c r="F88" s="127"/>
      <c r="G88" s="127"/>
      <c r="H88" s="127"/>
      <c r="I88" s="127"/>
      <c r="J88" s="127"/>
      <c r="K88" s="127"/>
      <c r="L88" s="127"/>
      <c r="M88" s="127"/>
      <c r="N88" s="127"/>
      <c r="O88" s="147"/>
      <c r="P88" s="147"/>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row>
    <row r="89" spans="1:58" outlineLevel="1" x14ac:dyDescent="0.2">
      <c r="A89" s="41"/>
      <c r="B89" s="84" t="s">
        <v>185</v>
      </c>
      <c r="C89" s="84" t="s">
        <v>168</v>
      </c>
      <c r="D89" s="84" t="s">
        <v>592</v>
      </c>
      <c r="E89" s="84" t="s">
        <v>169</v>
      </c>
      <c r="F89" s="84" t="s">
        <v>170</v>
      </c>
      <c r="G89" s="84" t="s">
        <v>593</v>
      </c>
      <c r="H89" s="84" t="s">
        <v>594</v>
      </c>
      <c r="I89" s="84" t="s">
        <v>595</v>
      </c>
      <c r="J89" s="84" t="s">
        <v>244</v>
      </c>
      <c r="K89" s="84" t="s">
        <v>195</v>
      </c>
      <c r="L89" s="84" t="s">
        <v>245</v>
      </c>
      <c r="M89" s="84" t="s">
        <v>196</v>
      </c>
      <c r="N89" s="84" t="s">
        <v>596</v>
      </c>
      <c r="O89" s="146" t="s">
        <v>171</v>
      </c>
      <c r="P89" s="41"/>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row>
    <row r="90" spans="1:58" outlineLevel="1" x14ac:dyDescent="0.2">
      <c r="A90" s="41"/>
      <c r="B90" s="88" t="s">
        <v>597</v>
      </c>
      <c r="C90" s="88" t="s">
        <v>198</v>
      </c>
      <c r="D90" s="89">
        <v>2</v>
      </c>
      <c r="E90" s="90">
        <v>120000</v>
      </c>
      <c r="F90" s="91">
        <v>0.185</v>
      </c>
      <c r="G90" s="90">
        <v>100</v>
      </c>
      <c r="H90" s="89">
        <v>1760</v>
      </c>
      <c r="I90" s="91">
        <v>0.75</v>
      </c>
      <c r="J90" s="90">
        <v>180</v>
      </c>
      <c r="K90" s="92">
        <v>1</v>
      </c>
      <c r="L90" s="92">
        <v>3</v>
      </c>
      <c r="M90" s="92">
        <v>12</v>
      </c>
      <c r="N90" s="92">
        <v>1</v>
      </c>
      <c r="O90" s="148" t="s">
        <v>682</v>
      </c>
      <c r="P90" s="41"/>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row>
    <row r="91" spans="1:58" outlineLevel="1" x14ac:dyDescent="0.2">
      <c r="A91" s="41"/>
      <c r="B91" s="109"/>
      <c r="C91" s="109"/>
      <c r="D91" s="110"/>
      <c r="E91" s="100"/>
      <c r="F91" s="104"/>
      <c r="G91" s="100"/>
      <c r="H91" s="110"/>
      <c r="I91" s="104"/>
      <c r="J91" s="100"/>
      <c r="K91" s="110"/>
      <c r="L91" s="110"/>
      <c r="M91" s="110"/>
      <c r="N91" s="110"/>
      <c r="O91" s="149"/>
      <c r="P91" s="41"/>
      <c r="S91"/>
      <c r="T91"/>
      <c r="U91">
        <f t="shared" ref="U91:U102" si="0">IF($B91="",0,N($D91)*(N($E91)*(1+N($F91))+N($G91))/12*(IF(N($K91)=0,1,1&gt;=$K91)*IF(N($M91)=0,1,1&lt;=$M91)))</f>
        <v>0</v>
      </c>
      <c r="V91">
        <f t="shared" ref="V91:V102" si="1">IF($B91="",0,N($D91)*(N($E91)*(1+N($F91))+N($G91))/12*(IF(N($K91)=0,1,2&gt;=$K91)*IF(N($M91)=0,1,2&lt;=$M91)))</f>
        <v>0</v>
      </c>
      <c r="W91">
        <f t="shared" ref="W91:W102" si="2">IF($B91="",0,N($D91)*(N($E91)*(1+N($F91))+N($G91))/12*(IF(N($K91)=0,1,3&gt;=$K91)*IF(N($M91)=0,1,3&lt;=$M91)))</f>
        <v>0</v>
      </c>
      <c r="X91">
        <f t="shared" ref="X91:X102" si="3">IF($B91="",0,N($D91)*(N($E91)*(1+N($F91))+N($G91))/12*(IF(N($K91)=0,1,4&gt;=$K91)*IF(N($M91)=0,1,4&lt;=$M91)))</f>
        <v>0</v>
      </c>
      <c r="Y91">
        <f t="shared" ref="Y91:Y102" si="4">IF($B91="",0,N($D91)*(N($E91)*(1+N($F91))+N($G91))/12*(IF(N($K91)=0,1,5&gt;=$K91)*IF(N($M91)=0,1,5&lt;=$M91)))</f>
        <v>0</v>
      </c>
      <c r="Z91">
        <f t="shared" ref="Z91:Z102" si="5">IF($B91="",0,N($D91)*(N($E91)*(1+N($F91))+N($G91))/12*(IF(N($K91)=0,1,6&gt;=$K91)*IF(N($M91)=0,1,6&lt;=$M91)))</f>
        <v>0</v>
      </c>
      <c r="AA91">
        <f t="shared" ref="AA91:AA102" si="6">IF($B91="",0,N($D91)*(N($E91)*(1+N($F91))+N($G91))/12*(IF(N($K91)=0,1,7&gt;=$K91)*IF(N($M91)=0,1,7&lt;=$M91)))</f>
        <v>0</v>
      </c>
      <c r="AB91">
        <f t="shared" ref="AB91:AB102" si="7">IF($B91="",0,N($D91)*(N($E91)*(1+N($F91))+N($G91))/12*(IF(N($K91)=0,1,8&gt;=$K91)*IF(N($M91)=0,1,8&lt;=$M91)))</f>
        <v>0</v>
      </c>
      <c r="AC91">
        <f t="shared" ref="AC91:AC102" si="8">IF($B91="",0,N($D91)*(N($E91)*(1+N($F91))+N($G91))/12*(IF(N($K91)=0,1,9&gt;=$K91)*IF(N($M91)=0,1,9&lt;=$M91)))</f>
        <v>0</v>
      </c>
      <c r="AD91">
        <f t="shared" ref="AD91:AD102" si="9">IF($B91="",0,N($D91)*(N($E91)*(1+N($F91))+N($G91))/12*(IF(N($K91)=0,1,10&gt;=$K91)*IF(N($M91)=0,1,10&lt;=$M91)))</f>
        <v>0</v>
      </c>
      <c r="AE91">
        <f t="shared" ref="AE91:AE102" si="10">IF($B91="",0,N($D91)*(N($E91)*(1+N($F91))+N($G91))/12*(IF(N($K91)=0,1,11&gt;=$K91)*IF(N($M91)=0,1,11&lt;=$M91)))</f>
        <v>0</v>
      </c>
      <c r="AF91">
        <f t="shared" ref="AF91:AF102" si="11">IF($B91="",0,N($D91)*(N($E91)*(1+N($F91))+N($G91))/12*(IF(N($K91)=0,1,12&gt;=$K91)*IF(N($M91)=0,1,12&lt;=$M91)))</f>
        <v>0</v>
      </c>
      <c r="AG91"/>
      <c r="AH91">
        <f t="shared" ref="AH91:AH102" si="12">IF($B91="",0,N($D91)*(IF(N($K91)=0,1,1&gt;=$K91)*IF(N($M91)=0,1,1&lt;=$M91)))</f>
        <v>0</v>
      </c>
      <c r="AI91">
        <f t="shared" ref="AI91:AI102" si="13">IF($B91="",0,N($D91)*(IF(N($K91)=0,1,2&gt;=$K91)*IF(N($M91)=0,1,2&lt;=$M91)))</f>
        <v>0</v>
      </c>
      <c r="AJ91">
        <f t="shared" ref="AJ91:AJ102" si="14">IF($B91="",0,N($D91)*(IF(N($K91)=0,1,3&gt;=$K91)*IF(N($M91)=0,1,3&lt;=$M91)))</f>
        <v>0</v>
      </c>
      <c r="AK91">
        <f t="shared" ref="AK91:AK102" si="15">IF($B91="",0,N($D91)*(IF(N($K91)=0,1,4&gt;=$K91)*IF(N($M91)=0,1,4&lt;=$M91)))</f>
        <v>0</v>
      </c>
      <c r="AL91">
        <f t="shared" ref="AL91:AL102" si="16">IF($B91="",0,N($D91)*(IF(N($K91)=0,1,5&gt;=$K91)*IF(N($M91)=0,1,5&lt;=$M91)))</f>
        <v>0</v>
      </c>
      <c r="AM91">
        <f t="shared" ref="AM91:AM102" si="17">IF($B91="",0,N($D91)*(IF(N($K91)=0,1,6&gt;=$K91)*IF(N($M91)=0,1,6&lt;=$M91)))</f>
        <v>0</v>
      </c>
      <c r="AN91">
        <f t="shared" ref="AN91:AN102" si="18">IF($B91="",0,N($D91)*(IF(N($K91)=0,1,7&gt;=$K91)*IF(N($M91)=0,1,7&lt;=$M91)))</f>
        <v>0</v>
      </c>
      <c r="AO91">
        <f t="shared" ref="AO91:AO102" si="19">IF($B91="",0,N($D91)*(IF(N($K91)=0,1,8&gt;=$K91)*IF(N($M91)=0,1,8&lt;=$M91)))</f>
        <v>0</v>
      </c>
      <c r="AP91">
        <f t="shared" ref="AP91:AP102" si="20">IF($B91="",0,N($D91)*(IF(N($K91)=0,1,9&gt;=$K91)*IF(N($M91)=0,1,9&lt;=$M91)))</f>
        <v>0</v>
      </c>
      <c r="AQ91">
        <f t="shared" ref="AQ91:AQ102" si="21">IF($B91="",0,N($D91)*(IF(N($K91)=0,1,10&gt;=$K91)*IF(N($M91)=0,1,10&lt;=$M91)))</f>
        <v>0</v>
      </c>
      <c r="AR91">
        <f t="shared" ref="AR91:AR102" si="22">IF($B91="",0,N($D91)*(IF(N($K91)=0,1,11&gt;=$K91)*IF(N($M91)=0,1,11&lt;=$M91)))</f>
        <v>0</v>
      </c>
      <c r="AS91">
        <f t="shared" ref="AS91:AS102" si="23">IF($B91="",0,N($D91)*(IF(N($K91)=0,1,12&gt;=$K91)*IF(N($M91)=0,1,12&lt;=$M91)))</f>
        <v>0</v>
      </c>
      <c r="AT91"/>
      <c r="AU91"/>
      <c r="AV91"/>
      <c r="AW91"/>
      <c r="AX91"/>
      <c r="AY91"/>
      <c r="AZ91"/>
      <c r="BA91"/>
      <c r="BB91"/>
      <c r="BC91"/>
      <c r="BD91"/>
      <c r="BE91"/>
      <c r="BF91"/>
    </row>
    <row r="92" spans="1:58" outlineLevel="1" x14ac:dyDescent="0.2">
      <c r="A92" s="41"/>
      <c r="B92" s="109"/>
      <c r="C92" s="109"/>
      <c r="D92" s="110"/>
      <c r="E92" s="100"/>
      <c r="F92" s="104"/>
      <c r="G92" s="100"/>
      <c r="H92" s="110"/>
      <c r="I92" s="104"/>
      <c r="J92" s="100"/>
      <c r="K92" s="110"/>
      <c r="L92" s="110"/>
      <c r="M92" s="110"/>
      <c r="N92" s="110"/>
      <c r="O92" s="149"/>
      <c r="P92" s="41"/>
      <c r="S92"/>
      <c r="T92"/>
      <c r="U92">
        <f t="shared" si="0"/>
        <v>0</v>
      </c>
      <c r="V92">
        <f t="shared" si="1"/>
        <v>0</v>
      </c>
      <c r="W92">
        <f t="shared" si="2"/>
        <v>0</v>
      </c>
      <c r="X92">
        <f t="shared" si="3"/>
        <v>0</v>
      </c>
      <c r="Y92">
        <f t="shared" si="4"/>
        <v>0</v>
      </c>
      <c r="Z92">
        <f t="shared" si="5"/>
        <v>0</v>
      </c>
      <c r="AA92">
        <f t="shared" si="6"/>
        <v>0</v>
      </c>
      <c r="AB92">
        <f t="shared" si="7"/>
        <v>0</v>
      </c>
      <c r="AC92">
        <f t="shared" si="8"/>
        <v>0</v>
      </c>
      <c r="AD92">
        <f t="shared" si="9"/>
        <v>0</v>
      </c>
      <c r="AE92">
        <f t="shared" si="10"/>
        <v>0</v>
      </c>
      <c r="AF92">
        <f t="shared" si="11"/>
        <v>0</v>
      </c>
      <c r="AG92"/>
      <c r="AH92">
        <f t="shared" si="12"/>
        <v>0</v>
      </c>
      <c r="AI92">
        <f t="shared" si="13"/>
        <v>0</v>
      </c>
      <c r="AJ92">
        <f t="shared" si="14"/>
        <v>0</v>
      </c>
      <c r="AK92">
        <f t="shared" si="15"/>
        <v>0</v>
      </c>
      <c r="AL92">
        <f t="shared" si="16"/>
        <v>0</v>
      </c>
      <c r="AM92">
        <f t="shared" si="17"/>
        <v>0</v>
      </c>
      <c r="AN92">
        <f t="shared" si="18"/>
        <v>0</v>
      </c>
      <c r="AO92">
        <f t="shared" si="19"/>
        <v>0</v>
      </c>
      <c r="AP92">
        <f t="shared" si="20"/>
        <v>0</v>
      </c>
      <c r="AQ92">
        <f t="shared" si="21"/>
        <v>0</v>
      </c>
      <c r="AR92">
        <f t="shared" si="22"/>
        <v>0</v>
      </c>
      <c r="AS92">
        <f t="shared" si="23"/>
        <v>0</v>
      </c>
      <c r="AT92"/>
      <c r="AU92"/>
      <c r="AV92"/>
      <c r="AW92"/>
      <c r="AX92"/>
      <c r="AY92"/>
      <c r="AZ92"/>
      <c r="BA92"/>
      <c r="BB92"/>
      <c r="BC92"/>
      <c r="BD92"/>
      <c r="BE92"/>
      <c r="BF92"/>
    </row>
    <row r="93" spans="1:58" outlineLevel="1" x14ac:dyDescent="0.2">
      <c r="A93" s="41"/>
      <c r="B93" s="109"/>
      <c r="C93" s="109"/>
      <c r="D93" s="110"/>
      <c r="E93" s="100"/>
      <c r="F93" s="104"/>
      <c r="G93" s="100"/>
      <c r="H93" s="110"/>
      <c r="I93" s="104"/>
      <c r="J93" s="100"/>
      <c r="K93" s="110"/>
      <c r="L93" s="110"/>
      <c r="M93" s="110"/>
      <c r="N93" s="110"/>
      <c r="O93" s="149"/>
      <c r="P93" s="41"/>
      <c r="S93"/>
      <c r="T93"/>
      <c r="U93">
        <f t="shared" si="0"/>
        <v>0</v>
      </c>
      <c r="V93">
        <f t="shared" si="1"/>
        <v>0</v>
      </c>
      <c r="W93">
        <f t="shared" si="2"/>
        <v>0</v>
      </c>
      <c r="X93">
        <f t="shared" si="3"/>
        <v>0</v>
      </c>
      <c r="Y93">
        <f t="shared" si="4"/>
        <v>0</v>
      </c>
      <c r="Z93">
        <f t="shared" si="5"/>
        <v>0</v>
      </c>
      <c r="AA93">
        <f t="shared" si="6"/>
        <v>0</v>
      </c>
      <c r="AB93">
        <f t="shared" si="7"/>
        <v>0</v>
      </c>
      <c r="AC93">
        <f t="shared" si="8"/>
        <v>0</v>
      </c>
      <c r="AD93">
        <f t="shared" si="9"/>
        <v>0</v>
      </c>
      <c r="AE93">
        <f t="shared" si="10"/>
        <v>0</v>
      </c>
      <c r="AF93">
        <f t="shared" si="11"/>
        <v>0</v>
      </c>
      <c r="AG93"/>
      <c r="AH93">
        <f t="shared" si="12"/>
        <v>0</v>
      </c>
      <c r="AI93">
        <f t="shared" si="13"/>
        <v>0</v>
      </c>
      <c r="AJ93">
        <f t="shared" si="14"/>
        <v>0</v>
      </c>
      <c r="AK93">
        <f t="shared" si="15"/>
        <v>0</v>
      </c>
      <c r="AL93">
        <f t="shared" si="16"/>
        <v>0</v>
      </c>
      <c r="AM93">
        <f t="shared" si="17"/>
        <v>0</v>
      </c>
      <c r="AN93">
        <f t="shared" si="18"/>
        <v>0</v>
      </c>
      <c r="AO93">
        <f t="shared" si="19"/>
        <v>0</v>
      </c>
      <c r="AP93">
        <f t="shared" si="20"/>
        <v>0</v>
      </c>
      <c r="AQ93">
        <f t="shared" si="21"/>
        <v>0</v>
      </c>
      <c r="AR93">
        <f t="shared" si="22"/>
        <v>0</v>
      </c>
      <c r="AS93">
        <f t="shared" si="23"/>
        <v>0</v>
      </c>
      <c r="AT93"/>
      <c r="AU93"/>
      <c r="AV93"/>
      <c r="AW93"/>
      <c r="AX93"/>
      <c r="AY93"/>
      <c r="AZ93"/>
      <c r="BA93"/>
      <c r="BB93"/>
      <c r="BC93"/>
      <c r="BD93"/>
      <c r="BE93"/>
      <c r="BF93"/>
    </row>
    <row r="94" spans="1:58" outlineLevel="1" x14ac:dyDescent="0.2">
      <c r="A94" s="41"/>
      <c r="B94" s="109"/>
      <c r="C94" s="109"/>
      <c r="D94" s="110"/>
      <c r="E94" s="100"/>
      <c r="F94" s="104"/>
      <c r="G94" s="100"/>
      <c r="H94" s="110"/>
      <c r="I94" s="104"/>
      <c r="J94" s="100"/>
      <c r="K94" s="110"/>
      <c r="L94" s="110"/>
      <c r="M94" s="110"/>
      <c r="N94" s="110"/>
      <c r="O94" s="149"/>
      <c r="P94" s="41"/>
      <c r="S94"/>
      <c r="T94"/>
      <c r="U94">
        <f t="shared" si="0"/>
        <v>0</v>
      </c>
      <c r="V94">
        <f t="shared" si="1"/>
        <v>0</v>
      </c>
      <c r="W94">
        <f t="shared" si="2"/>
        <v>0</v>
      </c>
      <c r="X94">
        <f t="shared" si="3"/>
        <v>0</v>
      </c>
      <c r="Y94">
        <f t="shared" si="4"/>
        <v>0</v>
      </c>
      <c r="Z94">
        <f t="shared" si="5"/>
        <v>0</v>
      </c>
      <c r="AA94">
        <f t="shared" si="6"/>
        <v>0</v>
      </c>
      <c r="AB94">
        <f t="shared" si="7"/>
        <v>0</v>
      </c>
      <c r="AC94">
        <f t="shared" si="8"/>
        <v>0</v>
      </c>
      <c r="AD94">
        <f t="shared" si="9"/>
        <v>0</v>
      </c>
      <c r="AE94">
        <f t="shared" si="10"/>
        <v>0</v>
      </c>
      <c r="AF94">
        <f t="shared" si="11"/>
        <v>0</v>
      </c>
      <c r="AG94"/>
      <c r="AH94">
        <f t="shared" si="12"/>
        <v>0</v>
      </c>
      <c r="AI94">
        <f t="shared" si="13"/>
        <v>0</v>
      </c>
      <c r="AJ94">
        <f t="shared" si="14"/>
        <v>0</v>
      </c>
      <c r="AK94">
        <f t="shared" si="15"/>
        <v>0</v>
      </c>
      <c r="AL94">
        <f t="shared" si="16"/>
        <v>0</v>
      </c>
      <c r="AM94">
        <f t="shared" si="17"/>
        <v>0</v>
      </c>
      <c r="AN94">
        <f t="shared" si="18"/>
        <v>0</v>
      </c>
      <c r="AO94">
        <f t="shared" si="19"/>
        <v>0</v>
      </c>
      <c r="AP94">
        <f t="shared" si="20"/>
        <v>0</v>
      </c>
      <c r="AQ94">
        <f t="shared" si="21"/>
        <v>0</v>
      </c>
      <c r="AR94">
        <f t="shared" si="22"/>
        <v>0</v>
      </c>
      <c r="AS94">
        <f t="shared" si="23"/>
        <v>0</v>
      </c>
      <c r="AT94"/>
      <c r="AU94"/>
      <c r="AV94"/>
      <c r="AW94"/>
      <c r="AX94"/>
      <c r="AY94"/>
      <c r="AZ94"/>
      <c r="BA94"/>
      <c r="BB94"/>
      <c r="BC94"/>
      <c r="BD94"/>
      <c r="BE94"/>
      <c r="BF94"/>
    </row>
    <row r="95" spans="1:58" outlineLevel="1" x14ac:dyDescent="0.2">
      <c r="A95" s="41"/>
      <c r="B95" s="109"/>
      <c r="C95" s="109"/>
      <c r="D95" s="110"/>
      <c r="E95" s="100"/>
      <c r="F95" s="104"/>
      <c r="G95" s="100"/>
      <c r="H95" s="110"/>
      <c r="I95" s="104"/>
      <c r="J95" s="100"/>
      <c r="K95" s="110"/>
      <c r="L95" s="110"/>
      <c r="M95" s="110"/>
      <c r="N95" s="110"/>
      <c r="O95" s="149"/>
      <c r="P95" s="41"/>
      <c r="S95"/>
      <c r="T95"/>
      <c r="U95">
        <f t="shared" si="0"/>
        <v>0</v>
      </c>
      <c r="V95">
        <f t="shared" si="1"/>
        <v>0</v>
      </c>
      <c r="W95">
        <f t="shared" si="2"/>
        <v>0</v>
      </c>
      <c r="X95">
        <f t="shared" si="3"/>
        <v>0</v>
      </c>
      <c r="Y95">
        <f t="shared" si="4"/>
        <v>0</v>
      </c>
      <c r="Z95">
        <f t="shared" si="5"/>
        <v>0</v>
      </c>
      <c r="AA95">
        <f t="shared" si="6"/>
        <v>0</v>
      </c>
      <c r="AB95">
        <f t="shared" si="7"/>
        <v>0</v>
      </c>
      <c r="AC95">
        <f t="shared" si="8"/>
        <v>0</v>
      </c>
      <c r="AD95">
        <f t="shared" si="9"/>
        <v>0</v>
      </c>
      <c r="AE95">
        <f t="shared" si="10"/>
        <v>0</v>
      </c>
      <c r="AF95">
        <f t="shared" si="11"/>
        <v>0</v>
      </c>
      <c r="AG95"/>
      <c r="AH95">
        <f t="shared" si="12"/>
        <v>0</v>
      </c>
      <c r="AI95">
        <f t="shared" si="13"/>
        <v>0</v>
      </c>
      <c r="AJ95">
        <f t="shared" si="14"/>
        <v>0</v>
      </c>
      <c r="AK95">
        <f t="shared" si="15"/>
        <v>0</v>
      </c>
      <c r="AL95">
        <f t="shared" si="16"/>
        <v>0</v>
      </c>
      <c r="AM95">
        <f t="shared" si="17"/>
        <v>0</v>
      </c>
      <c r="AN95">
        <f t="shared" si="18"/>
        <v>0</v>
      </c>
      <c r="AO95">
        <f t="shared" si="19"/>
        <v>0</v>
      </c>
      <c r="AP95">
        <f t="shared" si="20"/>
        <v>0</v>
      </c>
      <c r="AQ95">
        <f t="shared" si="21"/>
        <v>0</v>
      </c>
      <c r="AR95">
        <f t="shared" si="22"/>
        <v>0</v>
      </c>
      <c r="AS95">
        <f t="shared" si="23"/>
        <v>0</v>
      </c>
      <c r="AT95"/>
      <c r="AU95"/>
      <c r="AV95"/>
      <c r="AW95"/>
      <c r="AX95"/>
      <c r="AY95"/>
      <c r="AZ95"/>
      <c r="BA95"/>
      <c r="BB95"/>
      <c r="BC95"/>
      <c r="BD95"/>
      <c r="BE95"/>
      <c r="BF95"/>
    </row>
    <row r="96" spans="1:58" outlineLevel="1" x14ac:dyDescent="0.2">
      <c r="A96" s="41"/>
      <c r="B96" s="109"/>
      <c r="C96" s="109"/>
      <c r="D96" s="110"/>
      <c r="E96" s="100"/>
      <c r="F96" s="104"/>
      <c r="G96" s="100"/>
      <c r="H96" s="110"/>
      <c r="I96" s="104"/>
      <c r="J96" s="100"/>
      <c r="K96" s="110"/>
      <c r="L96" s="110"/>
      <c r="M96" s="110"/>
      <c r="N96" s="110"/>
      <c r="O96" s="149"/>
      <c r="P96" s="41"/>
      <c r="S96"/>
      <c r="T96"/>
      <c r="U96">
        <f t="shared" si="0"/>
        <v>0</v>
      </c>
      <c r="V96">
        <f t="shared" si="1"/>
        <v>0</v>
      </c>
      <c r="W96">
        <f t="shared" si="2"/>
        <v>0</v>
      </c>
      <c r="X96">
        <f t="shared" si="3"/>
        <v>0</v>
      </c>
      <c r="Y96">
        <f t="shared" si="4"/>
        <v>0</v>
      </c>
      <c r="Z96">
        <f t="shared" si="5"/>
        <v>0</v>
      </c>
      <c r="AA96">
        <f t="shared" si="6"/>
        <v>0</v>
      </c>
      <c r="AB96">
        <f t="shared" si="7"/>
        <v>0</v>
      </c>
      <c r="AC96">
        <f t="shared" si="8"/>
        <v>0</v>
      </c>
      <c r="AD96">
        <f t="shared" si="9"/>
        <v>0</v>
      </c>
      <c r="AE96">
        <f t="shared" si="10"/>
        <v>0</v>
      </c>
      <c r="AF96">
        <f t="shared" si="11"/>
        <v>0</v>
      </c>
      <c r="AG96"/>
      <c r="AH96">
        <f t="shared" si="12"/>
        <v>0</v>
      </c>
      <c r="AI96">
        <f t="shared" si="13"/>
        <v>0</v>
      </c>
      <c r="AJ96">
        <f t="shared" si="14"/>
        <v>0</v>
      </c>
      <c r="AK96">
        <f t="shared" si="15"/>
        <v>0</v>
      </c>
      <c r="AL96">
        <f t="shared" si="16"/>
        <v>0</v>
      </c>
      <c r="AM96">
        <f t="shared" si="17"/>
        <v>0</v>
      </c>
      <c r="AN96">
        <f t="shared" si="18"/>
        <v>0</v>
      </c>
      <c r="AO96">
        <f t="shared" si="19"/>
        <v>0</v>
      </c>
      <c r="AP96">
        <f t="shared" si="20"/>
        <v>0</v>
      </c>
      <c r="AQ96">
        <f t="shared" si="21"/>
        <v>0</v>
      </c>
      <c r="AR96">
        <f t="shared" si="22"/>
        <v>0</v>
      </c>
      <c r="AS96">
        <f t="shared" si="23"/>
        <v>0</v>
      </c>
      <c r="AT96"/>
      <c r="AU96"/>
      <c r="AV96"/>
      <c r="AW96"/>
      <c r="AX96"/>
      <c r="AY96"/>
      <c r="AZ96"/>
      <c r="BA96"/>
      <c r="BB96"/>
      <c r="BC96"/>
      <c r="BD96"/>
      <c r="BE96"/>
      <c r="BF96"/>
    </row>
    <row r="97" spans="1:58" outlineLevel="1" x14ac:dyDescent="0.2">
      <c r="A97" s="41"/>
      <c r="B97" s="109"/>
      <c r="C97" s="109"/>
      <c r="D97" s="110"/>
      <c r="E97" s="100"/>
      <c r="F97" s="104"/>
      <c r="G97" s="100"/>
      <c r="H97" s="110"/>
      <c r="I97" s="104"/>
      <c r="J97" s="100"/>
      <c r="K97" s="110"/>
      <c r="L97" s="110"/>
      <c r="M97" s="110"/>
      <c r="N97" s="110"/>
      <c r="O97" s="149"/>
      <c r="P97" s="41"/>
      <c r="S97"/>
      <c r="T97"/>
      <c r="U97">
        <f t="shared" si="0"/>
        <v>0</v>
      </c>
      <c r="V97">
        <f t="shared" si="1"/>
        <v>0</v>
      </c>
      <c r="W97">
        <f t="shared" si="2"/>
        <v>0</v>
      </c>
      <c r="X97">
        <f t="shared" si="3"/>
        <v>0</v>
      </c>
      <c r="Y97">
        <f t="shared" si="4"/>
        <v>0</v>
      </c>
      <c r="Z97">
        <f t="shared" si="5"/>
        <v>0</v>
      </c>
      <c r="AA97">
        <f t="shared" si="6"/>
        <v>0</v>
      </c>
      <c r="AB97">
        <f t="shared" si="7"/>
        <v>0</v>
      </c>
      <c r="AC97">
        <f t="shared" si="8"/>
        <v>0</v>
      </c>
      <c r="AD97">
        <f t="shared" si="9"/>
        <v>0</v>
      </c>
      <c r="AE97">
        <f t="shared" si="10"/>
        <v>0</v>
      </c>
      <c r="AF97">
        <f t="shared" si="11"/>
        <v>0</v>
      </c>
      <c r="AG97"/>
      <c r="AH97">
        <f t="shared" si="12"/>
        <v>0</v>
      </c>
      <c r="AI97">
        <f t="shared" si="13"/>
        <v>0</v>
      </c>
      <c r="AJ97">
        <f t="shared" si="14"/>
        <v>0</v>
      </c>
      <c r="AK97">
        <f t="shared" si="15"/>
        <v>0</v>
      </c>
      <c r="AL97">
        <f t="shared" si="16"/>
        <v>0</v>
      </c>
      <c r="AM97">
        <f t="shared" si="17"/>
        <v>0</v>
      </c>
      <c r="AN97">
        <f t="shared" si="18"/>
        <v>0</v>
      </c>
      <c r="AO97">
        <f t="shared" si="19"/>
        <v>0</v>
      </c>
      <c r="AP97">
        <f t="shared" si="20"/>
        <v>0</v>
      </c>
      <c r="AQ97">
        <f t="shared" si="21"/>
        <v>0</v>
      </c>
      <c r="AR97">
        <f t="shared" si="22"/>
        <v>0</v>
      </c>
      <c r="AS97">
        <f t="shared" si="23"/>
        <v>0</v>
      </c>
      <c r="AT97"/>
      <c r="AU97"/>
      <c r="AV97"/>
      <c r="AW97"/>
      <c r="AX97"/>
      <c r="AY97"/>
      <c r="AZ97"/>
      <c r="BA97"/>
      <c r="BB97"/>
      <c r="BC97"/>
      <c r="BD97"/>
      <c r="BE97"/>
      <c r="BF97"/>
    </row>
    <row r="98" spans="1:58" outlineLevel="1" x14ac:dyDescent="0.2">
      <c r="A98" s="41"/>
      <c r="B98" s="109"/>
      <c r="C98" s="109"/>
      <c r="D98" s="110"/>
      <c r="E98" s="100"/>
      <c r="F98" s="104"/>
      <c r="G98" s="100"/>
      <c r="H98" s="110"/>
      <c r="I98" s="104"/>
      <c r="J98" s="100"/>
      <c r="K98" s="110"/>
      <c r="L98" s="110"/>
      <c r="M98" s="110"/>
      <c r="N98" s="110"/>
      <c r="O98" s="149"/>
      <c r="P98" s="41"/>
      <c r="S98"/>
      <c r="T98"/>
      <c r="U98">
        <f t="shared" si="0"/>
        <v>0</v>
      </c>
      <c r="V98">
        <f t="shared" si="1"/>
        <v>0</v>
      </c>
      <c r="W98">
        <f t="shared" si="2"/>
        <v>0</v>
      </c>
      <c r="X98">
        <f t="shared" si="3"/>
        <v>0</v>
      </c>
      <c r="Y98">
        <f t="shared" si="4"/>
        <v>0</v>
      </c>
      <c r="Z98">
        <f t="shared" si="5"/>
        <v>0</v>
      </c>
      <c r="AA98">
        <f t="shared" si="6"/>
        <v>0</v>
      </c>
      <c r="AB98">
        <f t="shared" si="7"/>
        <v>0</v>
      </c>
      <c r="AC98">
        <f t="shared" si="8"/>
        <v>0</v>
      </c>
      <c r="AD98">
        <f t="shared" si="9"/>
        <v>0</v>
      </c>
      <c r="AE98">
        <f t="shared" si="10"/>
        <v>0</v>
      </c>
      <c r="AF98">
        <f t="shared" si="11"/>
        <v>0</v>
      </c>
      <c r="AG98"/>
      <c r="AH98">
        <f t="shared" si="12"/>
        <v>0</v>
      </c>
      <c r="AI98">
        <f t="shared" si="13"/>
        <v>0</v>
      </c>
      <c r="AJ98">
        <f t="shared" si="14"/>
        <v>0</v>
      </c>
      <c r="AK98">
        <f t="shared" si="15"/>
        <v>0</v>
      </c>
      <c r="AL98">
        <f t="shared" si="16"/>
        <v>0</v>
      </c>
      <c r="AM98">
        <f t="shared" si="17"/>
        <v>0</v>
      </c>
      <c r="AN98">
        <f t="shared" si="18"/>
        <v>0</v>
      </c>
      <c r="AO98">
        <f t="shared" si="19"/>
        <v>0</v>
      </c>
      <c r="AP98">
        <f t="shared" si="20"/>
        <v>0</v>
      </c>
      <c r="AQ98">
        <f t="shared" si="21"/>
        <v>0</v>
      </c>
      <c r="AR98">
        <f t="shared" si="22"/>
        <v>0</v>
      </c>
      <c r="AS98">
        <f t="shared" si="23"/>
        <v>0</v>
      </c>
      <c r="AT98"/>
      <c r="AU98"/>
      <c r="AV98"/>
      <c r="AW98"/>
      <c r="AX98"/>
      <c r="AY98"/>
      <c r="AZ98"/>
      <c r="BA98"/>
      <c r="BB98"/>
      <c r="BC98"/>
      <c r="BD98"/>
      <c r="BE98"/>
      <c r="BF98"/>
    </row>
    <row r="99" spans="1:58" outlineLevel="1" x14ac:dyDescent="0.2">
      <c r="A99" s="41"/>
      <c r="B99" s="109"/>
      <c r="C99" s="109"/>
      <c r="D99" s="110"/>
      <c r="E99" s="100"/>
      <c r="F99" s="104"/>
      <c r="G99" s="100"/>
      <c r="H99" s="110"/>
      <c r="I99" s="104"/>
      <c r="J99" s="100"/>
      <c r="K99" s="110"/>
      <c r="L99" s="110"/>
      <c r="M99" s="110"/>
      <c r="N99" s="110"/>
      <c r="O99" s="149"/>
      <c r="P99" s="41"/>
      <c r="S99"/>
      <c r="T99"/>
      <c r="U99">
        <f t="shared" si="0"/>
        <v>0</v>
      </c>
      <c r="V99">
        <f t="shared" si="1"/>
        <v>0</v>
      </c>
      <c r="W99">
        <f t="shared" si="2"/>
        <v>0</v>
      </c>
      <c r="X99">
        <f t="shared" si="3"/>
        <v>0</v>
      </c>
      <c r="Y99">
        <f t="shared" si="4"/>
        <v>0</v>
      </c>
      <c r="Z99">
        <f t="shared" si="5"/>
        <v>0</v>
      </c>
      <c r="AA99">
        <f t="shared" si="6"/>
        <v>0</v>
      </c>
      <c r="AB99">
        <f t="shared" si="7"/>
        <v>0</v>
      </c>
      <c r="AC99">
        <f t="shared" si="8"/>
        <v>0</v>
      </c>
      <c r="AD99">
        <f t="shared" si="9"/>
        <v>0</v>
      </c>
      <c r="AE99">
        <f t="shared" si="10"/>
        <v>0</v>
      </c>
      <c r="AF99">
        <f t="shared" si="11"/>
        <v>0</v>
      </c>
      <c r="AG99"/>
      <c r="AH99">
        <f t="shared" si="12"/>
        <v>0</v>
      </c>
      <c r="AI99">
        <f t="shared" si="13"/>
        <v>0</v>
      </c>
      <c r="AJ99">
        <f t="shared" si="14"/>
        <v>0</v>
      </c>
      <c r="AK99">
        <f t="shared" si="15"/>
        <v>0</v>
      </c>
      <c r="AL99">
        <f t="shared" si="16"/>
        <v>0</v>
      </c>
      <c r="AM99">
        <f t="shared" si="17"/>
        <v>0</v>
      </c>
      <c r="AN99">
        <f t="shared" si="18"/>
        <v>0</v>
      </c>
      <c r="AO99">
        <f t="shared" si="19"/>
        <v>0</v>
      </c>
      <c r="AP99">
        <f t="shared" si="20"/>
        <v>0</v>
      </c>
      <c r="AQ99">
        <f t="shared" si="21"/>
        <v>0</v>
      </c>
      <c r="AR99">
        <f t="shared" si="22"/>
        <v>0</v>
      </c>
      <c r="AS99">
        <f t="shared" si="23"/>
        <v>0</v>
      </c>
      <c r="AT99"/>
      <c r="AU99"/>
      <c r="AV99"/>
      <c r="AW99"/>
      <c r="AX99"/>
      <c r="AY99"/>
      <c r="AZ99"/>
      <c r="BA99"/>
      <c r="BB99"/>
      <c r="BC99"/>
      <c r="BD99"/>
      <c r="BE99"/>
      <c r="BF99"/>
    </row>
    <row r="100" spans="1:58" outlineLevel="1" x14ac:dyDescent="0.2">
      <c r="A100" s="41"/>
      <c r="B100" s="109"/>
      <c r="C100" s="109"/>
      <c r="D100" s="110"/>
      <c r="E100" s="100"/>
      <c r="F100" s="104"/>
      <c r="G100" s="100"/>
      <c r="H100" s="110"/>
      <c r="I100" s="104"/>
      <c r="J100" s="100"/>
      <c r="K100" s="110"/>
      <c r="L100" s="110"/>
      <c r="M100" s="110"/>
      <c r="N100" s="110"/>
      <c r="O100" s="149"/>
      <c r="P100" s="41"/>
      <c r="S100"/>
      <c r="T100"/>
      <c r="U100">
        <f t="shared" si="0"/>
        <v>0</v>
      </c>
      <c r="V100">
        <f t="shared" si="1"/>
        <v>0</v>
      </c>
      <c r="W100">
        <f t="shared" si="2"/>
        <v>0</v>
      </c>
      <c r="X100">
        <f t="shared" si="3"/>
        <v>0</v>
      </c>
      <c r="Y100">
        <f t="shared" si="4"/>
        <v>0</v>
      </c>
      <c r="Z100">
        <f t="shared" si="5"/>
        <v>0</v>
      </c>
      <c r="AA100">
        <f t="shared" si="6"/>
        <v>0</v>
      </c>
      <c r="AB100">
        <f t="shared" si="7"/>
        <v>0</v>
      </c>
      <c r="AC100">
        <f t="shared" si="8"/>
        <v>0</v>
      </c>
      <c r="AD100">
        <f t="shared" si="9"/>
        <v>0</v>
      </c>
      <c r="AE100">
        <f t="shared" si="10"/>
        <v>0</v>
      </c>
      <c r="AF100">
        <f t="shared" si="11"/>
        <v>0</v>
      </c>
      <c r="AG100"/>
      <c r="AH100">
        <f t="shared" si="12"/>
        <v>0</v>
      </c>
      <c r="AI100">
        <f t="shared" si="13"/>
        <v>0</v>
      </c>
      <c r="AJ100">
        <f t="shared" si="14"/>
        <v>0</v>
      </c>
      <c r="AK100">
        <f t="shared" si="15"/>
        <v>0</v>
      </c>
      <c r="AL100">
        <f t="shared" si="16"/>
        <v>0</v>
      </c>
      <c r="AM100">
        <f t="shared" si="17"/>
        <v>0</v>
      </c>
      <c r="AN100">
        <f t="shared" si="18"/>
        <v>0</v>
      </c>
      <c r="AO100">
        <f t="shared" si="19"/>
        <v>0</v>
      </c>
      <c r="AP100">
        <f t="shared" si="20"/>
        <v>0</v>
      </c>
      <c r="AQ100">
        <f t="shared" si="21"/>
        <v>0</v>
      </c>
      <c r="AR100">
        <f t="shared" si="22"/>
        <v>0</v>
      </c>
      <c r="AS100">
        <f t="shared" si="23"/>
        <v>0</v>
      </c>
      <c r="AT100"/>
      <c r="AU100"/>
      <c r="AV100"/>
      <c r="AW100"/>
      <c r="AX100"/>
      <c r="AY100"/>
      <c r="AZ100"/>
      <c r="BA100"/>
      <c r="BB100"/>
      <c r="BC100"/>
      <c r="BD100"/>
      <c r="BE100"/>
      <c r="BF100"/>
    </row>
    <row r="101" spans="1:58" outlineLevel="1" x14ac:dyDescent="0.2">
      <c r="A101" s="41"/>
      <c r="B101" s="109"/>
      <c r="C101" s="109"/>
      <c r="D101" s="110"/>
      <c r="E101" s="100"/>
      <c r="F101" s="104"/>
      <c r="G101" s="100"/>
      <c r="H101" s="110"/>
      <c r="I101" s="104"/>
      <c r="J101" s="100"/>
      <c r="K101" s="110"/>
      <c r="L101" s="110"/>
      <c r="M101" s="110"/>
      <c r="N101" s="110"/>
      <c r="O101" s="149"/>
      <c r="P101" s="41"/>
      <c r="S101"/>
      <c r="T101"/>
      <c r="U101">
        <f t="shared" si="0"/>
        <v>0</v>
      </c>
      <c r="V101">
        <f t="shared" si="1"/>
        <v>0</v>
      </c>
      <c r="W101">
        <f t="shared" si="2"/>
        <v>0</v>
      </c>
      <c r="X101">
        <f t="shared" si="3"/>
        <v>0</v>
      </c>
      <c r="Y101">
        <f t="shared" si="4"/>
        <v>0</v>
      </c>
      <c r="Z101">
        <f t="shared" si="5"/>
        <v>0</v>
      </c>
      <c r="AA101">
        <f t="shared" si="6"/>
        <v>0</v>
      </c>
      <c r="AB101">
        <f t="shared" si="7"/>
        <v>0</v>
      </c>
      <c r="AC101">
        <f t="shared" si="8"/>
        <v>0</v>
      </c>
      <c r="AD101">
        <f t="shared" si="9"/>
        <v>0</v>
      </c>
      <c r="AE101">
        <f t="shared" si="10"/>
        <v>0</v>
      </c>
      <c r="AF101">
        <f t="shared" si="11"/>
        <v>0</v>
      </c>
      <c r="AG101"/>
      <c r="AH101">
        <f t="shared" si="12"/>
        <v>0</v>
      </c>
      <c r="AI101">
        <f t="shared" si="13"/>
        <v>0</v>
      </c>
      <c r="AJ101">
        <f t="shared" si="14"/>
        <v>0</v>
      </c>
      <c r="AK101">
        <f t="shared" si="15"/>
        <v>0</v>
      </c>
      <c r="AL101">
        <f t="shared" si="16"/>
        <v>0</v>
      </c>
      <c r="AM101">
        <f t="shared" si="17"/>
        <v>0</v>
      </c>
      <c r="AN101">
        <f t="shared" si="18"/>
        <v>0</v>
      </c>
      <c r="AO101">
        <f t="shared" si="19"/>
        <v>0</v>
      </c>
      <c r="AP101">
        <f t="shared" si="20"/>
        <v>0</v>
      </c>
      <c r="AQ101">
        <f t="shared" si="21"/>
        <v>0</v>
      </c>
      <c r="AR101">
        <f t="shared" si="22"/>
        <v>0</v>
      </c>
      <c r="AS101">
        <f t="shared" si="23"/>
        <v>0</v>
      </c>
      <c r="AT101"/>
      <c r="AU101"/>
      <c r="AV101"/>
      <c r="AW101"/>
      <c r="AX101"/>
      <c r="AY101"/>
      <c r="AZ101"/>
      <c r="BA101"/>
      <c r="BB101"/>
      <c r="BC101"/>
      <c r="BD101"/>
      <c r="BE101"/>
      <c r="BF101"/>
    </row>
    <row r="102" spans="1:58" outlineLevel="1" x14ac:dyDescent="0.2">
      <c r="A102" s="41"/>
      <c r="B102" s="109"/>
      <c r="C102" s="109"/>
      <c r="D102" s="110"/>
      <c r="E102" s="100"/>
      <c r="F102" s="104"/>
      <c r="G102" s="100"/>
      <c r="H102" s="110"/>
      <c r="I102" s="104"/>
      <c r="J102" s="100"/>
      <c r="K102" s="110"/>
      <c r="L102" s="110"/>
      <c r="M102" s="110"/>
      <c r="N102" s="110"/>
      <c r="O102" s="149"/>
      <c r="P102" s="41"/>
      <c r="S102"/>
      <c r="T102"/>
      <c r="U102">
        <f t="shared" si="0"/>
        <v>0</v>
      </c>
      <c r="V102">
        <f t="shared" si="1"/>
        <v>0</v>
      </c>
      <c r="W102">
        <f t="shared" si="2"/>
        <v>0</v>
      </c>
      <c r="X102">
        <f t="shared" si="3"/>
        <v>0</v>
      </c>
      <c r="Y102">
        <f t="shared" si="4"/>
        <v>0</v>
      </c>
      <c r="Z102">
        <f t="shared" si="5"/>
        <v>0</v>
      </c>
      <c r="AA102">
        <f t="shared" si="6"/>
        <v>0</v>
      </c>
      <c r="AB102">
        <f t="shared" si="7"/>
        <v>0</v>
      </c>
      <c r="AC102">
        <f t="shared" si="8"/>
        <v>0</v>
      </c>
      <c r="AD102">
        <f t="shared" si="9"/>
        <v>0</v>
      </c>
      <c r="AE102">
        <f t="shared" si="10"/>
        <v>0</v>
      </c>
      <c r="AF102">
        <f t="shared" si="11"/>
        <v>0</v>
      </c>
      <c r="AG102"/>
      <c r="AH102">
        <f t="shared" si="12"/>
        <v>0</v>
      </c>
      <c r="AI102">
        <f t="shared" si="13"/>
        <v>0</v>
      </c>
      <c r="AJ102">
        <f t="shared" si="14"/>
        <v>0</v>
      </c>
      <c r="AK102">
        <f t="shared" si="15"/>
        <v>0</v>
      </c>
      <c r="AL102">
        <f t="shared" si="16"/>
        <v>0</v>
      </c>
      <c r="AM102">
        <f t="shared" si="17"/>
        <v>0</v>
      </c>
      <c r="AN102">
        <f t="shared" si="18"/>
        <v>0</v>
      </c>
      <c r="AO102">
        <f t="shared" si="19"/>
        <v>0</v>
      </c>
      <c r="AP102">
        <f t="shared" si="20"/>
        <v>0</v>
      </c>
      <c r="AQ102">
        <f t="shared" si="21"/>
        <v>0</v>
      </c>
      <c r="AR102">
        <f t="shared" si="22"/>
        <v>0</v>
      </c>
      <c r="AS102">
        <f t="shared" si="23"/>
        <v>0</v>
      </c>
      <c r="AT102"/>
      <c r="AU102"/>
      <c r="AV102"/>
      <c r="AW102"/>
      <c r="AX102"/>
      <c r="AY102"/>
      <c r="AZ102"/>
      <c r="BA102"/>
      <c r="BB102"/>
      <c r="BC102"/>
      <c r="BD102"/>
      <c r="BE102"/>
      <c r="BF102"/>
    </row>
    <row r="103" spans="1:58" outlineLevel="1" x14ac:dyDescent="0.2">
      <c r="A103" s="41"/>
      <c r="B103" s="66"/>
      <c r="C103" s="66"/>
      <c r="D103" s="66"/>
      <c r="E103" s="66"/>
      <c r="F103" s="66"/>
      <c r="G103" s="66"/>
      <c r="H103" s="66"/>
      <c r="I103" s="66"/>
      <c r="J103" s="66"/>
      <c r="K103" s="66"/>
      <c r="L103" s="66"/>
      <c r="M103" s="66"/>
      <c r="N103" s="66"/>
      <c r="P103" s="41"/>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row>
    <row r="104" spans="1:58" outlineLevel="1" x14ac:dyDescent="0.2">
      <c r="A104" s="41"/>
      <c r="B104" s="186" t="s">
        <v>598</v>
      </c>
      <c r="C104" s="186"/>
      <c r="D104" s="186"/>
      <c r="E104" s="186"/>
      <c r="F104" s="186"/>
      <c r="G104" s="186"/>
      <c r="H104" s="186"/>
      <c r="I104" s="186"/>
      <c r="J104" s="186"/>
      <c r="K104" s="186"/>
      <c r="L104" s="186"/>
      <c r="M104" s="186"/>
      <c r="N104" s="186"/>
      <c r="O104" s="194"/>
      <c r="P104" s="41"/>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row>
    <row r="105" spans="1:58" outlineLevel="1" x14ac:dyDescent="0.2">
      <c r="A105" s="41"/>
      <c r="B105" s="187" t="s">
        <v>599</v>
      </c>
      <c r="C105" s="187"/>
      <c r="D105" s="187"/>
      <c r="E105" s="187"/>
      <c r="F105" s="187"/>
      <c r="G105" s="187"/>
      <c r="H105" s="187"/>
      <c r="I105" s="187"/>
      <c r="J105" s="187"/>
      <c r="K105" s="187"/>
      <c r="L105" s="187"/>
      <c r="M105" s="187"/>
      <c r="N105" s="187"/>
      <c r="O105" s="195"/>
      <c r="P105" s="41"/>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row>
    <row r="106" spans="1:58" outlineLevel="1" x14ac:dyDescent="0.2">
      <c r="A106" s="41"/>
      <c r="B106" s="96" t="s">
        <v>600</v>
      </c>
      <c r="C106" s="96" t="s">
        <v>596</v>
      </c>
      <c r="D106" s="96" t="s">
        <v>601</v>
      </c>
      <c r="E106" s="96" t="s">
        <v>602</v>
      </c>
      <c r="F106" s="96" t="s">
        <v>603</v>
      </c>
      <c r="G106" s="96" t="s">
        <v>195</v>
      </c>
      <c r="H106" s="96" t="s">
        <v>196</v>
      </c>
      <c r="I106" s="96" t="s">
        <v>171</v>
      </c>
      <c r="J106" s="66"/>
      <c r="K106" s="66"/>
      <c r="L106" s="66"/>
      <c r="M106" s="66"/>
      <c r="N106" s="66"/>
      <c r="P106" s="41"/>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row>
    <row r="107" spans="1:58" outlineLevel="1" x14ac:dyDescent="0.2">
      <c r="A107" s="41"/>
      <c r="B107" s="109"/>
      <c r="C107" s="110"/>
      <c r="D107" s="100"/>
      <c r="E107" s="100"/>
      <c r="F107" s="114"/>
      <c r="G107" s="110"/>
      <c r="H107" s="110"/>
      <c r="I107" s="109"/>
      <c r="J107" s="66"/>
      <c r="K107" s="66"/>
      <c r="L107" s="66"/>
      <c r="M107" s="66"/>
      <c r="N107" s="66"/>
      <c r="P107" s="41"/>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row>
    <row r="108" spans="1:58" outlineLevel="1" x14ac:dyDescent="0.2">
      <c r="A108" s="41"/>
      <c r="B108" s="109"/>
      <c r="C108" s="110"/>
      <c r="D108" s="100"/>
      <c r="E108" s="100"/>
      <c r="F108" s="114"/>
      <c r="G108" s="110"/>
      <c r="H108" s="110"/>
      <c r="I108" s="109"/>
      <c r="J108" s="66"/>
      <c r="K108" s="66"/>
      <c r="L108" s="66"/>
      <c r="M108" s="66"/>
      <c r="N108" s="66"/>
      <c r="P108" s="41"/>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row>
    <row r="109" spans="1:58" outlineLevel="1" x14ac:dyDescent="0.2">
      <c r="A109" s="41"/>
      <c r="B109" s="109"/>
      <c r="C109" s="110"/>
      <c r="D109" s="100"/>
      <c r="E109" s="100"/>
      <c r="F109" s="114"/>
      <c r="G109" s="110"/>
      <c r="H109" s="110"/>
      <c r="I109" s="109"/>
      <c r="J109" s="66"/>
      <c r="K109" s="66"/>
      <c r="L109" s="66"/>
      <c r="M109" s="66"/>
      <c r="N109" s="66"/>
      <c r="P109" s="41"/>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row>
    <row r="110" spans="1:58" outlineLevel="1" x14ac:dyDescent="0.2">
      <c r="A110" s="41"/>
      <c r="B110" s="109"/>
      <c r="C110" s="110"/>
      <c r="D110" s="100"/>
      <c r="E110" s="100"/>
      <c r="F110" s="114"/>
      <c r="G110" s="110"/>
      <c r="H110" s="110"/>
      <c r="I110" s="109"/>
      <c r="J110" s="66"/>
      <c r="K110" s="66"/>
      <c r="L110" s="66"/>
      <c r="M110" s="66"/>
      <c r="N110" s="66"/>
      <c r="P110" s="41"/>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row>
    <row r="111" spans="1:58" outlineLevel="1" x14ac:dyDescent="0.2">
      <c r="A111" s="41"/>
      <c r="B111" s="109"/>
      <c r="C111" s="110"/>
      <c r="D111" s="100"/>
      <c r="E111" s="100"/>
      <c r="F111" s="114"/>
      <c r="G111" s="110"/>
      <c r="H111" s="110"/>
      <c r="I111" s="109"/>
      <c r="J111" s="66"/>
      <c r="K111" s="66"/>
      <c r="L111" s="66"/>
      <c r="M111" s="66"/>
      <c r="N111" s="66"/>
      <c r="P111" s="4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row>
    <row r="112" spans="1:58" outlineLevel="1" x14ac:dyDescent="0.2">
      <c r="A112" s="41"/>
      <c r="B112" s="109"/>
      <c r="C112" s="110"/>
      <c r="D112" s="100"/>
      <c r="E112" s="100"/>
      <c r="F112" s="114"/>
      <c r="G112" s="110"/>
      <c r="H112" s="110"/>
      <c r="I112" s="109"/>
      <c r="J112" s="66"/>
      <c r="K112" s="66"/>
      <c r="L112" s="66"/>
      <c r="M112" s="66"/>
      <c r="N112" s="66"/>
      <c r="P112" s="41"/>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row>
    <row r="113" spans="1:58" x14ac:dyDescent="0.2">
      <c r="A113" s="41"/>
      <c r="B113" s="66"/>
      <c r="C113" s="66"/>
      <c r="D113" s="66"/>
      <c r="E113" s="66"/>
      <c r="F113" s="66"/>
      <c r="G113" s="66"/>
      <c r="H113" s="66"/>
      <c r="I113" s="66"/>
      <c r="J113" s="66"/>
      <c r="K113" s="66"/>
      <c r="L113" s="66"/>
      <c r="M113" s="66"/>
      <c r="N113" s="66"/>
      <c r="P113" s="41"/>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row>
    <row r="114" spans="1:58" x14ac:dyDescent="0.2">
      <c r="A114" s="41"/>
      <c r="B114" s="188" t="s">
        <v>604</v>
      </c>
      <c r="C114" s="188"/>
      <c r="D114" s="188"/>
      <c r="E114" s="188"/>
      <c r="F114" s="188"/>
      <c r="G114" s="188"/>
      <c r="H114" s="188"/>
      <c r="I114" s="188"/>
      <c r="J114" s="188"/>
      <c r="K114" s="188"/>
      <c r="L114" s="188"/>
      <c r="M114" s="188"/>
      <c r="N114" s="188"/>
      <c r="P114" s="41"/>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row>
    <row r="115" spans="1:58" x14ac:dyDescent="0.2">
      <c r="A115" s="41"/>
      <c r="B115" s="189" t="str">
        <f>IF($C$18="Capacity","● ACTIVE — fill this zone","○ SKIP — you chose Planned build; this zone is inactive")</f>
        <v>○ SKIP — you chose Planned build; this zone is inactive</v>
      </c>
      <c r="C115" s="189"/>
      <c r="D115" s="189"/>
      <c r="E115" s="189"/>
      <c r="F115" s="189"/>
      <c r="G115" s="189"/>
      <c r="H115" s="189"/>
      <c r="I115" s="189"/>
      <c r="J115" s="189"/>
      <c r="K115" s="189"/>
      <c r="L115" s="189"/>
      <c r="M115" s="189"/>
      <c r="N115" s="189"/>
      <c r="P115" s="41"/>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row>
    <row r="116" spans="1:58" outlineLevel="1" x14ac:dyDescent="0.2">
      <c r="A116" s="41"/>
      <c r="B116" s="83" t="s">
        <v>605</v>
      </c>
      <c r="C116" s="66"/>
      <c r="D116" s="66"/>
      <c r="E116" s="196" t="str">
        <f>"1="&amp;B82&amp;"  2="&amp;B83&amp;"  3="&amp;B84&amp;"  4="&amp;B85&amp;"  5="&amp;B86</f>
        <v>1=Retainer revenue  2=Project revenue  3=Strategy / advisory  4=Pass-through / re-billable  5=Other revenue</v>
      </c>
      <c r="F116" s="196"/>
      <c r="G116" s="196"/>
      <c r="H116" s="196"/>
      <c r="I116" s="196"/>
      <c r="J116" s="196"/>
      <c r="K116" s="196"/>
      <c r="L116" s="196"/>
      <c r="M116" s="196"/>
      <c r="N116" s="196"/>
      <c r="P116" s="41"/>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row>
    <row r="117" spans="1:58" outlineLevel="1" x14ac:dyDescent="0.2">
      <c r="A117" s="41"/>
      <c r="B117" s="66"/>
      <c r="C117" s="66"/>
      <c r="D117" s="66"/>
      <c r="E117" s="66"/>
      <c r="F117" s="66"/>
      <c r="G117" s="66"/>
      <c r="H117" s="66"/>
      <c r="I117" s="66"/>
      <c r="J117" s="66"/>
      <c r="K117" s="66"/>
      <c r="L117" s="66"/>
      <c r="M117" s="66"/>
      <c r="N117" s="66"/>
      <c r="P117" s="41"/>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row>
    <row r="118" spans="1:58" outlineLevel="1" x14ac:dyDescent="0.2">
      <c r="A118" s="41"/>
      <c r="B118" s="186" t="s">
        <v>683</v>
      </c>
      <c r="C118" s="186"/>
      <c r="D118" s="186"/>
      <c r="E118" s="186"/>
      <c r="F118" s="186"/>
      <c r="G118" s="186"/>
      <c r="H118" s="186"/>
      <c r="I118" s="186"/>
      <c r="J118" s="186"/>
      <c r="K118" s="186"/>
      <c r="L118" s="186"/>
      <c r="M118" s="186"/>
      <c r="N118" s="186"/>
      <c r="P118" s="41"/>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row>
    <row r="119" spans="1:58" outlineLevel="1" x14ac:dyDescent="0.2">
      <c r="A119" s="41"/>
      <c r="B119" s="84" t="s">
        <v>187</v>
      </c>
      <c r="C119" s="84" t="s">
        <v>188</v>
      </c>
      <c r="D119" s="84" t="s">
        <v>596</v>
      </c>
      <c r="E119" s="84" t="s">
        <v>606</v>
      </c>
      <c r="F119" s="84" t="s">
        <v>190</v>
      </c>
      <c r="G119" s="84" t="s">
        <v>191</v>
      </c>
      <c r="H119" s="84" t="s">
        <v>192</v>
      </c>
      <c r="I119" s="84" t="s">
        <v>193</v>
      </c>
      <c r="J119" s="84" t="s">
        <v>194</v>
      </c>
      <c r="K119" s="84" t="s">
        <v>195</v>
      </c>
      <c r="L119" s="84" t="s">
        <v>196</v>
      </c>
      <c r="M119" s="84" t="s">
        <v>607</v>
      </c>
      <c r="N119" s="84" t="s">
        <v>170</v>
      </c>
      <c r="P119" s="41" t="s">
        <v>42</v>
      </c>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row>
    <row r="120" spans="1:58" outlineLevel="1" x14ac:dyDescent="0.2">
      <c r="A120" s="41"/>
      <c r="B120" s="88" t="s">
        <v>608</v>
      </c>
      <c r="C120" s="88" t="s">
        <v>198</v>
      </c>
      <c r="D120" s="88">
        <v>1</v>
      </c>
      <c r="E120" s="88" t="s">
        <v>197</v>
      </c>
      <c r="F120" s="94">
        <v>1</v>
      </c>
      <c r="G120" s="88" t="s">
        <v>609</v>
      </c>
      <c r="H120" s="94">
        <v>7.5</v>
      </c>
      <c r="I120" s="91">
        <v>0.75</v>
      </c>
      <c r="J120" s="90">
        <v>180</v>
      </c>
      <c r="K120" s="92">
        <v>1</v>
      </c>
      <c r="L120" s="92">
        <v>12</v>
      </c>
      <c r="M120" s="90">
        <v>140000</v>
      </c>
      <c r="N120" s="91">
        <v>0.185</v>
      </c>
      <c r="P120" s="41"/>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row>
    <row r="121" spans="1:58" outlineLevel="1" x14ac:dyDescent="0.2">
      <c r="A121" s="41"/>
      <c r="B121" s="109"/>
      <c r="C121" s="109"/>
      <c r="D121" s="111"/>
      <c r="E121" s="112"/>
      <c r="F121" s="113"/>
      <c r="G121" s="109"/>
      <c r="H121" s="113"/>
      <c r="I121" s="104"/>
      <c r="J121" s="100"/>
      <c r="K121" s="110"/>
      <c r="L121" s="110"/>
      <c r="M121" s="100"/>
      <c r="N121" s="104"/>
      <c r="P121" s="41" t="str">
        <f t="shared" ref="P121:P140" si="24">IF($B121="","",IF(AND($E121&lt;&gt;"",ISNA(MATCH($E121,cal_jurisdictions,0)),ISNA(MATCH($E121&amp;"-*",cal_jurisdictions,0))),"⚠ jurisdiction?",IF(NOT(ISNUMBER($F121)),"⚠ FTE not a number",IF(N($I121)&gt;1,"⚠ utilisation &gt; 100%",IF(N($J121)&lt;0,"⚠ negative rate",IF(AND(N($L121)&gt;0,N($K121)&gt;N($L121)),"⚠ start after end",IF(AND($C121="Delivery",OR(N($H121)=0,N($I121)=0,N($J121)=0)),"⚠ missing billing input","ok")))))))</f>
        <v/>
      </c>
      <c r="S121"/>
      <c r="T121"/>
      <c r="U121" cm="1">
        <f t="array" ref="U121">IF($B121="",0,IF(OR(1&lt;N($K121),AND(N($L121)&gt;0,1&gt;$L121)),0,N($F121)*N($H121)*IFERROR(INDEX(cal_wd_active,IFERROR(MATCH($E121,cal_jurisdictions,0),MATCH($E121&amp;"-*",cal_jurisdictions,0)),1),0)*N($I121)*N($J121)))</f>
        <v>0</v>
      </c>
      <c r="V121" cm="1">
        <f t="array" ref="V121">IF($B121="",0,IF(OR(2&lt;N($K121),AND(N($L121)&gt;0,2&gt;$L121)),0,N($F121)*N($H121)*IFERROR(INDEX(cal_wd_active,IFERROR(MATCH($E121,cal_jurisdictions,0),MATCH($E121&amp;"-*",cal_jurisdictions,0)),2),0)*N($I121)*N($J121)))</f>
        <v>0</v>
      </c>
      <c r="W121" cm="1">
        <f t="array" ref="W121">IF($B121="",0,IF(OR(3&lt;N($K121),AND(N($L121)&gt;0,3&gt;$L121)),0,N($F121)*N($H121)*IFERROR(INDEX(cal_wd_active,IFERROR(MATCH($E121,cal_jurisdictions,0),MATCH($E121&amp;"-*",cal_jurisdictions,0)),3),0)*N($I121)*N($J121)))</f>
        <v>0</v>
      </c>
      <c r="X121" cm="1">
        <f t="array" ref="X121">IF($B121="",0,IF(OR(4&lt;N($K121),AND(N($L121)&gt;0,4&gt;$L121)),0,N($F121)*N($H121)*IFERROR(INDEX(cal_wd_active,IFERROR(MATCH($E121,cal_jurisdictions,0),MATCH($E121&amp;"-*",cal_jurisdictions,0)),4),0)*N($I121)*N($J121)))</f>
        <v>0</v>
      </c>
      <c r="Y121" cm="1">
        <f t="array" ref="Y121">IF($B121="",0,IF(OR(5&lt;N($K121),AND(N($L121)&gt;0,5&gt;$L121)),0,N($F121)*N($H121)*IFERROR(INDEX(cal_wd_active,IFERROR(MATCH($E121,cal_jurisdictions,0),MATCH($E121&amp;"-*",cal_jurisdictions,0)),5),0)*N($I121)*N($J121)))</f>
        <v>0</v>
      </c>
      <c r="Z121" cm="1">
        <f t="array" ref="Z121">IF($B121="",0,IF(OR(6&lt;N($K121),AND(N($L121)&gt;0,6&gt;$L121)),0,N($F121)*N($H121)*IFERROR(INDEX(cal_wd_active,IFERROR(MATCH($E121,cal_jurisdictions,0),MATCH($E121&amp;"-*",cal_jurisdictions,0)),6),0)*N($I121)*N($J121)))</f>
        <v>0</v>
      </c>
      <c r="AA121" cm="1">
        <f t="array" ref="AA121">IF($B121="",0,IF(OR(7&lt;N($K121),AND(N($L121)&gt;0,7&gt;$L121)),0,N($F121)*N($H121)*IFERROR(INDEX(cal_wd_active,IFERROR(MATCH($E121,cal_jurisdictions,0),MATCH($E121&amp;"-*",cal_jurisdictions,0)),7),0)*N($I121)*N($J121)))</f>
        <v>0</v>
      </c>
      <c r="AB121" cm="1">
        <f t="array" ref="AB121">IF($B121="",0,IF(OR(8&lt;N($K121),AND(N($L121)&gt;0,8&gt;$L121)),0,N($F121)*N($H121)*IFERROR(INDEX(cal_wd_active,IFERROR(MATCH($E121,cal_jurisdictions,0),MATCH($E121&amp;"-*",cal_jurisdictions,0)),8),0)*N($I121)*N($J121)))</f>
        <v>0</v>
      </c>
      <c r="AC121" cm="1">
        <f t="array" ref="AC121">IF($B121="",0,IF(OR(9&lt;N($K121),AND(N($L121)&gt;0,9&gt;$L121)),0,N($F121)*N($H121)*IFERROR(INDEX(cal_wd_active,IFERROR(MATCH($E121,cal_jurisdictions,0),MATCH($E121&amp;"-*",cal_jurisdictions,0)),9),0)*N($I121)*N($J121)))</f>
        <v>0</v>
      </c>
      <c r="AD121" cm="1">
        <f t="array" ref="AD121">IF($B121="",0,IF(OR(10&lt;N($K121),AND(N($L121)&gt;0,10&gt;$L121)),0,N($F121)*N($H121)*IFERROR(INDEX(cal_wd_active,IFERROR(MATCH($E121,cal_jurisdictions,0),MATCH($E121&amp;"-*",cal_jurisdictions,0)),10),0)*N($I121)*N($J121)))</f>
        <v>0</v>
      </c>
      <c r="AE121" cm="1">
        <f t="array" ref="AE121">IF($B121="",0,IF(OR(11&lt;N($K121),AND(N($L121)&gt;0,11&gt;$L121)),0,N($F121)*N($H121)*IFERROR(INDEX(cal_wd_active,IFERROR(MATCH($E121,cal_jurisdictions,0),MATCH($E121&amp;"-*",cal_jurisdictions,0)),11),0)*N($I121)*N($J121)))</f>
        <v>0</v>
      </c>
      <c r="AF121" cm="1">
        <f t="array" ref="AF121">IF($B121="",0,IF(OR(12&lt;N($K121),AND(N($L121)&gt;0,12&gt;$L121)),0,N($F121)*N($H121)*IFERROR(INDEX(cal_wd_active,IFERROR(MATCH($E121,cal_jurisdictions,0),MATCH($E121&amp;"-*",cal_jurisdictions,0)),12),0)*N($I121)*N($J121)))</f>
        <v>0</v>
      </c>
      <c r="AG121"/>
      <c r="AH121">
        <f>IF($B121="",0,N($M121)*(1+IF(N($N121)&gt;0,$N121,IFERROR(CHOOSE(MATCH(LEFT($E121,2),{"AU";"NZ";"US"},0),ref_au_oncost_total,ref_nz_oncost_total,ref_us_oncost_total),0)))/12*IF(OR(1&lt;N($K121),AND(N($L121)&gt;0,1&gt;$L121)),0,1))</f>
        <v>0</v>
      </c>
      <c r="AI121">
        <f>IF($B121="",0,N($M121)*(1+IF(N($N121)&gt;0,$N121,IFERROR(CHOOSE(MATCH(LEFT($E121,2),{"AU";"NZ";"US"},0),ref_au_oncost_total,ref_nz_oncost_total,ref_us_oncost_total),0)))/12*IF(OR(2&lt;N($K121),AND(N($L121)&gt;0,2&gt;$L121)),0,1))</f>
        <v>0</v>
      </c>
      <c r="AJ121">
        <f>IF($B121="",0,N($M121)*(1+IF(N($N121)&gt;0,$N121,IFERROR(CHOOSE(MATCH(LEFT($E121,2),{"AU";"NZ";"US"},0),ref_au_oncost_total,ref_nz_oncost_total,ref_us_oncost_total),0)))/12*IF(OR(3&lt;N($K121),AND(N($L121)&gt;0,3&gt;$L121)),0,1))</f>
        <v>0</v>
      </c>
      <c r="AK121">
        <f>IF($B121="",0,N($M121)*(1+IF(N($N121)&gt;0,$N121,IFERROR(CHOOSE(MATCH(LEFT($E121,2),{"AU";"NZ";"US"},0),ref_au_oncost_total,ref_nz_oncost_total,ref_us_oncost_total),0)))/12*IF(OR(4&lt;N($K121),AND(N($L121)&gt;0,4&gt;$L121)),0,1))</f>
        <v>0</v>
      </c>
      <c r="AL121">
        <f>IF($B121="",0,N($M121)*(1+IF(N($N121)&gt;0,$N121,IFERROR(CHOOSE(MATCH(LEFT($E121,2),{"AU";"NZ";"US"},0),ref_au_oncost_total,ref_nz_oncost_total,ref_us_oncost_total),0)))/12*IF(OR(5&lt;N($K121),AND(N($L121)&gt;0,5&gt;$L121)),0,1))</f>
        <v>0</v>
      </c>
      <c r="AM121">
        <f>IF($B121="",0,N($M121)*(1+IF(N($N121)&gt;0,$N121,IFERROR(CHOOSE(MATCH(LEFT($E121,2),{"AU";"NZ";"US"},0),ref_au_oncost_total,ref_nz_oncost_total,ref_us_oncost_total),0)))/12*IF(OR(6&lt;N($K121),AND(N($L121)&gt;0,6&gt;$L121)),0,1))</f>
        <v>0</v>
      </c>
      <c r="AN121">
        <f>IF($B121="",0,N($M121)*(1+IF(N($N121)&gt;0,$N121,IFERROR(CHOOSE(MATCH(LEFT($E121,2),{"AU";"NZ";"US"},0),ref_au_oncost_total,ref_nz_oncost_total,ref_us_oncost_total),0)))/12*IF(OR(7&lt;N($K121),AND(N($L121)&gt;0,7&gt;$L121)),0,1))</f>
        <v>0</v>
      </c>
      <c r="AO121">
        <f>IF($B121="",0,N($M121)*(1+IF(N($N121)&gt;0,$N121,IFERROR(CHOOSE(MATCH(LEFT($E121,2),{"AU";"NZ";"US"},0),ref_au_oncost_total,ref_nz_oncost_total,ref_us_oncost_total),0)))/12*IF(OR(8&lt;N($K121),AND(N($L121)&gt;0,8&gt;$L121)),0,1))</f>
        <v>0</v>
      </c>
      <c r="AP121">
        <f>IF($B121="",0,N($M121)*(1+IF(N($N121)&gt;0,$N121,IFERROR(CHOOSE(MATCH(LEFT($E121,2),{"AU";"NZ";"US"},0),ref_au_oncost_total,ref_nz_oncost_total,ref_us_oncost_total),0)))/12*IF(OR(9&lt;N($K121),AND(N($L121)&gt;0,9&gt;$L121)),0,1))</f>
        <v>0</v>
      </c>
      <c r="AQ121">
        <f>IF($B121="",0,N($M121)*(1+IF(N($N121)&gt;0,$N121,IFERROR(CHOOSE(MATCH(LEFT($E121,2),{"AU";"NZ";"US"},0),ref_au_oncost_total,ref_nz_oncost_total,ref_us_oncost_total),0)))/12*IF(OR(10&lt;N($K121),AND(N($L121)&gt;0,10&gt;$L121)),0,1))</f>
        <v>0</v>
      </c>
      <c r="AR121">
        <f>IF($B121="",0,N($M121)*(1+IF(N($N121)&gt;0,$N121,IFERROR(CHOOSE(MATCH(LEFT($E121,2),{"AU";"NZ";"US"},0),ref_au_oncost_total,ref_nz_oncost_total,ref_us_oncost_total),0)))/12*IF(OR(11&lt;N($K121),AND(N($L121)&gt;0,11&gt;$L121)),0,1))</f>
        <v>0</v>
      </c>
      <c r="AS121">
        <f>IF($B121="",0,N($M121)*(1+IF(N($N121)&gt;0,$N121,IFERROR(CHOOSE(MATCH(LEFT($E121,2),{"AU";"NZ";"US"},0),ref_au_oncost_total,ref_nz_oncost_total,ref_us_oncost_total),0)))/12*IF(OR(12&lt;N($K121),AND(N($L121)&gt;0,12&gt;$L121)),0,1))</f>
        <v>0</v>
      </c>
      <c r="AT121"/>
      <c r="AU121">
        <f t="shared" ref="AU121:AU140" si="25">IF($B121="",0,IF(OR(1&lt;N($K121),AND(N($L121)&gt;0,1&gt;$L121)),0,N($F121)))</f>
        <v>0</v>
      </c>
      <c r="AV121">
        <f t="shared" ref="AV121:AV140" si="26">IF($B121="",0,IF(OR(2&lt;N($K121),AND(N($L121)&gt;0,2&gt;$L121)),0,N($F121)))</f>
        <v>0</v>
      </c>
      <c r="AW121">
        <f t="shared" ref="AW121:AW140" si="27">IF($B121="",0,IF(OR(3&lt;N($K121),AND(N($L121)&gt;0,3&gt;$L121)),0,N($F121)))</f>
        <v>0</v>
      </c>
      <c r="AX121">
        <f t="shared" ref="AX121:AX140" si="28">IF($B121="",0,IF(OR(4&lt;N($K121),AND(N($L121)&gt;0,4&gt;$L121)),0,N($F121)))</f>
        <v>0</v>
      </c>
      <c r="AY121">
        <f t="shared" ref="AY121:AY140" si="29">IF($B121="",0,IF(OR(5&lt;N($K121),AND(N($L121)&gt;0,5&gt;$L121)),0,N($F121)))</f>
        <v>0</v>
      </c>
      <c r="AZ121">
        <f t="shared" ref="AZ121:AZ140" si="30">IF($B121="",0,IF(OR(6&lt;N($K121),AND(N($L121)&gt;0,6&gt;$L121)),0,N($F121)))</f>
        <v>0</v>
      </c>
      <c r="BA121">
        <f t="shared" ref="BA121:BA140" si="31">IF($B121="",0,IF(OR(7&lt;N($K121),AND(N($L121)&gt;0,7&gt;$L121)),0,N($F121)))</f>
        <v>0</v>
      </c>
      <c r="BB121">
        <f t="shared" ref="BB121:BB140" si="32">IF($B121="",0,IF(OR(8&lt;N($K121),AND(N($L121)&gt;0,8&gt;$L121)),0,N($F121)))</f>
        <v>0</v>
      </c>
      <c r="BC121">
        <f t="shared" ref="BC121:BC140" si="33">IF($B121="",0,IF(OR(9&lt;N($K121),AND(N($L121)&gt;0,9&gt;$L121)),0,N($F121)))</f>
        <v>0</v>
      </c>
      <c r="BD121">
        <f t="shared" ref="BD121:BD140" si="34">IF($B121="",0,IF(OR(10&lt;N($K121),AND(N($L121)&gt;0,10&gt;$L121)),0,N($F121)))</f>
        <v>0</v>
      </c>
      <c r="BE121">
        <f t="shared" ref="BE121:BE140" si="35">IF($B121="",0,IF(OR(11&lt;N($K121),AND(N($L121)&gt;0,11&gt;$L121)),0,N($F121)))</f>
        <v>0</v>
      </c>
      <c r="BF121">
        <f t="shared" ref="BF121:BF140" si="36">IF($B121="",0,IF(OR(12&lt;N($K121),AND(N($L121)&gt;0,12&gt;$L121)),0,N($F121)))</f>
        <v>0</v>
      </c>
    </row>
    <row r="122" spans="1:58" outlineLevel="1" x14ac:dyDescent="0.2">
      <c r="A122" s="41"/>
      <c r="B122" s="109"/>
      <c r="C122" s="109"/>
      <c r="D122" s="111"/>
      <c r="E122" s="112"/>
      <c r="F122" s="113"/>
      <c r="G122" s="109"/>
      <c r="H122" s="113"/>
      <c r="I122" s="104"/>
      <c r="J122" s="100"/>
      <c r="K122" s="110"/>
      <c r="L122" s="110"/>
      <c r="M122" s="100"/>
      <c r="N122" s="104"/>
      <c r="P122" s="41" t="str">
        <f t="shared" si="24"/>
        <v/>
      </c>
      <c r="S122"/>
      <c r="T122"/>
      <c r="U122" cm="1">
        <f t="array" ref="U122">IF($B122="",0,IF(OR(1&lt;N($K122),AND(N($L122)&gt;0,1&gt;$L122)),0,N($F122)*N($H122)*IFERROR(INDEX(cal_wd_active,IFERROR(MATCH($E122,cal_jurisdictions,0),MATCH($E122&amp;"-*",cal_jurisdictions,0)),1),0)*N($I122)*N($J122)))</f>
        <v>0</v>
      </c>
      <c r="V122" cm="1">
        <f t="array" ref="V122">IF($B122="",0,IF(OR(2&lt;N($K122),AND(N($L122)&gt;0,2&gt;$L122)),0,N($F122)*N($H122)*IFERROR(INDEX(cal_wd_active,IFERROR(MATCH($E122,cal_jurisdictions,0),MATCH($E122&amp;"-*",cal_jurisdictions,0)),2),0)*N($I122)*N($J122)))</f>
        <v>0</v>
      </c>
      <c r="W122" cm="1">
        <f t="array" ref="W122">IF($B122="",0,IF(OR(3&lt;N($K122),AND(N($L122)&gt;0,3&gt;$L122)),0,N($F122)*N($H122)*IFERROR(INDEX(cal_wd_active,IFERROR(MATCH($E122,cal_jurisdictions,0),MATCH($E122&amp;"-*",cal_jurisdictions,0)),3),0)*N($I122)*N($J122)))</f>
        <v>0</v>
      </c>
      <c r="X122" cm="1">
        <f t="array" ref="X122">IF($B122="",0,IF(OR(4&lt;N($K122),AND(N($L122)&gt;0,4&gt;$L122)),0,N($F122)*N($H122)*IFERROR(INDEX(cal_wd_active,IFERROR(MATCH($E122,cal_jurisdictions,0),MATCH($E122&amp;"-*",cal_jurisdictions,0)),4),0)*N($I122)*N($J122)))</f>
        <v>0</v>
      </c>
      <c r="Y122" cm="1">
        <f t="array" ref="Y122">IF($B122="",0,IF(OR(5&lt;N($K122),AND(N($L122)&gt;0,5&gt;$L122)),0,N($F122)*N($H122)*IFERROR(INDEX(cal_wd_active,IFERROR(MATCH($E122,cal_jurisdictions,0),MATCH($E122&amp;"-*",cal_jurisdictions,0)),5),0)*N($I122)*N($J122)))</f>
        <v>0</v>
      </c>
      <c r="Z122" cm="1">
        <f t="array" ref="Z122">IF($B122="",0,IF(OR(6&lt;N($K122),AND(N($L122)&gt;0,6&gt;$L122)),0,N($F122)*N($H122)*IFERROR(INDEX(cal_wd_active,IFERROR(MATCH($E122,cal_jurisdictions,0),MATCH($E122&amp;"-*",cal_jurisdictions,0)),6),0)*N($I122)*N($J122)))</f>
        <v>0</v>
      </c>
      <c r="AA122" cm="1">
        <f t="array" ref="AA122">IF($B122="",0,IF(OR(7&lt;N($K122),AND(N($L122)&gt;0,7&gt;$L122)),0,N($F122)*N($H122)*IFERROR(INDEX(cal_wd_active,IFERROR(MATCH($E122,cal_jurisdictions,0),MATCH($E122&amp;"-*",cal_jurisdictions,0)),7),0)*N($I122)*N($J122)))</f>
        <v>0</v>
      </c>
      <c r="AB122" cm="1">
        <f t="array" ref="AB122">IF($B122="",0,IF(OR(8&lt;N($K122),AND(N($L122)&gt;0,8&gt;$L122)),0,N($F122)*N($H122)*IFERROR(INDEX(cal_wd_active,IFERROR(MATCH($E122,cal_jurisdictions,0),MATCH($E122&amp;"-*",cal_jurisdictions,0)),8),0)*N($I122)*N($J122)))</f>
        <v>0</v>
      </c>
      <c r="AC122" cm="1">
        <f t="array" ref="AC122">IF($B122="",0,IF(OR(9&lt;N($K122),AND(N($L122)&gt;0,9&gt;$L122)),0,N($F122)*N($H122)*IFERROR(INDEX(cal_wd_active,IFERROR(MATCH($E122,cal_jurisdictions,0),MATCH($E122&amp;"-*",cal_jurisdictions,0)),9),0)*N($I122)*N($J122)))</f>
        <v>0</v>
      </c>
      <c r="AD122" cm="1">
        <f t="array" ref="AD122">IF($B122="",0,IF(OR(10&lt;N($K122),AND(N($L122)&gt;0,10&gt;$L122)),0,N($F122)*N($H122)*IFERROR(INDEX(cal_wd_active,IFERROR(MATCH($E122,cal_jurisdictions,0),MATCH($E122&amp;"-*",cal_jurisdictions,0)),10),0)*N($I122)*N($J122)))</f>
        <v>0</v>
      </c>
      <c r="AE122" cm="1">
        <f t="array" ref="AE122">IF($B122="",0,IF(OR(11&lt;N($K122),AND(N($L122)&gt;0,11&gt;$L122)),0,N($F122)*N($H122)*IFERROR(INDEX(cal_wd_active,IFERROR(MATCH($E122,cal_jurisdictions,0),MATCH($E122&amp;"-*",cal_jurisdictions,0)),11),0)*N($I122)*N($J122)))</f>
        <v>0</v>
      </c>
      <c r="AF122" cm="1">
        <f t="array" ref="AF122">IF($B122="",0,IF(OR(12&lt;N($K122),AND(N($L122)&gt;0,12&gt;$L122)),0,N($F122)*N($H122)*IFERROR(INDEX(cal_wd_active,IFERROR(MATCH($E122,cal_jurisdictions,0),MATCH($E122&amp;"-*",cal_jurisdictions,0)),12),0)*N($I122)*N($J122)))</f>
        <v>0</v>
      </c>
      <c r="AG122"/>
      <c r="AH122">
        <f>IF($B122="",0,N($M122)*(1+IF(N($N122)&gt;0,$N122,IFERROR(CHOOSE(MATCH(LEFT($E122,2),{"AU";"NZ";"US"},0),ref_au_oncost_total,ref_nz_oncost_total,ref_us_oncost_total),0)))/12*IF(OR(1&lt;N($K122),AND(N($L122)&gt;0,1&gt;$L122)),0,1))</f>
        <v>0</v>
      </c>
      <c r="AI122">
        <f>IF($B122="",0,N($M122)*(1+IF(N($N122)&gt;0,$N122,IFERROR(CHOOSE(MATCH(LEFT($E122,2),{"AU";"NZ";"US"},0),ref_au_oncost_total,ref_nz_oncost_total,ref_us_oncost_total),0)))/12*IF(OR(2&lt;N($K122),AND(N($L122)&gt;0,2&gt;$L122)),0,1))</f>
        <v>0</v>
      </c>
      <c r="AJ122">
        <f>IF($B122="",0,N($M122)*(1+IF(N($N122)&gt;0,$N122,IFERROR(CHOOSE(MATCH(LEFT($E122,2),{"AU";"NZ";"US"},0),ref_au_oncost_total,ref_nz_oncost_total,ref_us_oncost_total),0)))/12*IF(OR(3&lt;N($K122),AND(N($L122)&gt;0,3&gt;$L122)),0,1))</f>
        <v>0</v>
      </c>
      <c r="AK122">
        <f>IF($B122="",0,N($M122)*(1+IF(N($N122)&gt;0,$N122,IFERROR(CHOOSE(MATCH(LEFT($E122,2),{"AU";"NZ";"US"},0),ref_au_oncost_total,ref_nz_oncost_total,ref_us_oncost_total),0)))/12*IF(OR(4&lt;N($K122),AND(N($L122)&gt;0,4&gt;$L122)),0,1))</f>
        <v>0</v>
      </c>
      <c r="AL122">
        <f>IF($B122="",0,N($M122)*(1+IF(N($N122)&gt;0,$N122,IFERROR(CHOOSE(MATCH(LEFT($E122,2),{"AU";"NZ";"US"},0),ref_au_oncost_total,ref_nz_oncost_total,ref_us_oncost_total),0)))/12*IF(OR(5&lt;N($K122),AND(N($L122)&gt;0,5&gt;$L122)),0,1))</f>
        <v>0</v>
      </c>
      <c r="AM122">
        <f>IF($B122="",0,N($M122)*(1+IF(N($N122)&gt;0,$N122,IFERROR(CHOOSE(MATCH(LEFT($E122,2),{"AU";"NZ";"US"},0),ref_au_oncost_total,ref_nz_oncost_total,ref_us_oncost_total),0)))/12*IF(OR(6&lt;N($K122),AND(N($L122)&gt;0,6&gt;$L122)),0,1))</f>
        <v>0</v>
      </c>
      <c r="AN122">
        <f>IF($B122="",0,N($M122)*(1+IF(N($N122)&gt;0,$N122,IFERROR(CHOOSE(MATCH(LEFT($E122,2),{"AU";"NZ";"US"},0),ref_au_oncost_total,ref_nz_oncost_total,ref_us_oncost_total),0)))/12*IF(OR(7&lt;N($K122),AND(N($L122)&gt;0,7&gt;$L122)),0,1))</f>
        <v>0</v>
      </c>
      <c r="AO122">
        <f>IF($B122="",0,N($M122)*(1+IF(N($N122)&gt;0,$N122,IFERROR(CHOOSE(MATCH(LEFT($E122,2),{"AU";"NZ";"US"},0),ref_au_oncost_total,ref_nz_oncost_total,ref_us_oncost_total),0)))/12*IF(OR(8&lt;N($K122),AND(N($L122)&gt;0,8&gt;$L122)),0,1))</f>
        <v>0</v>
      </c>
      <c r="AP122">
        <f>IF($B122="",0,N($M122)*(1+IF(N($N122)&gt;0,$N122,IFERROR(CHOOSE(MATCH(LEFT($E122,2),{"AU";"NZ";"US"},0),ref_au_oncost_total,ref_nz_oncost_total,ref_us_oncost_total),0)))/12*IF(OR(9&lt;N($K122),AND(N($L122)&gt;0,9&gt;$L122)),0,1))</f>
        <v>0</v>
      </c>
      <c r="AQ122">
        <f>IF($B122="",0,N($M122)*(1+IF(N($N122)&gt;0,$N122,IFERROR(CHOOSE(MATCH(LEFT($E122,2),{"AU";"NZ";"US"},0),ref_au_oncost_total,ref_nz_oncost_total,ref_us_oncost_total),0)))/12*IF(OR(10&lt;N($K122),AND(N($L122)&gt;0,10&gt;$L122)),0,1))</f>
        <v>0</v>
      </c>
      <c r="AR122">
        <f>IF($B122="",0,N($M122)*(1+IF(N($N122)&gt;0,$N122,IFERROR(CHOOSE(MATCH(LEFT($E122,2),{"AU";"NZ";"US"},0),ref_au_oncost_total,ref_nz_oncost_total,ref_us_oncost_total),0)))/12*IF(OR(11&lt;N($K122),AND(N($L122)&gt;0,11&gt;$L122)),0,1))</f>
        <v>0</v>
      </c>
      <c r="AS122">
        <f>IF($B122="",0,N($M122)*(1+IF(N($N122)&gt;0,$N122,IFERROR(CHOOSE(MATCH(LEFT($E122,2),{"AU";"NZ";"US"},0),ref_au_oncost_total,ref_nz_oncost_total,ref_us_oncost_total),0)))/12*IF(OR(12&lt;N($K122),AND(N($L122)&gt;0,12&gt;$L122)),0,1))</f>
        <v>0</v>
      </c>
      <c r="AT122"/>
      <c r="AU122">
        <f t="shared" si="25"/>
        <v>0</v>
      </c>
      <c r="AV122">
        <f t="shared" si="26"/>
        <v>0</v>
      </c>
      <c r="AW122">
        <f t="shared" si="27"/>
        <v>0</v>
      </c>
      <c r="AX122">
        <f t="shared" si="28"/>
        <v>0</v>
      </c>
      <c r="AY122">
        <f t="shared" si="29"/>
        <v>0</v>
      </c>
      <c r="AZ122">
        <f t="shared" si="30"/>
        <v>0</v>
      </c>
      <c r="BA122">
        <f t="shared" si="31"/>
        <v>0</v>
      </c>
      <c r="BB122">
        <f t="shared" si="32"/>
        <v>0</v>
      </c>
      <c r="BC122">
        <f t="shared" si="33"/>
        <v>0</v>
      </c>
      <c r="BD122">
        <f t="shared" si="34"/>
        <v>0</v>
      </c>
      <c r="BE122">
        <f t="shared" si="35"/>
        <v>0</v>
      </c>
      <c r="BF122">
        <f t="shared" si="36"/>
        <v>0</v>
      </c>
    </row>
    <row r="123" spans="1:58" outlineLevel="1" x14ac:dyDescent="0.2">
      <c r="A123" s="41"/>
      <c r="B123" s="109"/>
      <c r="C123" s="109"/>
      <c r="D123" s="111"/>
      <c r="E123" s="112"/>
      <c r="F123" s="113"/>
      <c r="G123" s="109"/>
      <c r="H123" s="113"/>
      <c r="I123" s="104"/>
      <c r="J123" s="100"/>
      <c r="K123" s="110"/>
      <c r="L123" s="110"/>
      <c r="M123" s="100"/>
      <c r="N123" s="104"/>
      <c r="P123" s="41" t="str">
        <f t="shared" si="24"/>
        <v/>
      </c>
      <c r="S123"/>
      <c r="T123"/>
      <c r="U123" cm="1">
        <f t="array" ref="U123">IF($B123="",0,IF(OR(1&lt;N($K123),AND(N($L123)&gt;0,1&gt;$L123)),0,N($F123)*N($H123)*IFERROR(INDEX(cal_wd_active,IFERROR(MATCH($E123,cal_jurisdictions,0),MATCH($E123&amp;"-*",cal_jurisdictions,0)),1),0)*N($I123)*N($J123)))</f>
        <v>0</v>
      </c>
      <c r="V123" cm="1">
        <f t="array" ref="V123">IF($B123="",0,IF(OR(2&lt;N($K123),AND(N($L123)&gt;0,2&gt;$L123)),0,N($F123)*N($H123)*IFERROR(INDEX(cal_wd_active,IFERROR(MATCH($E123,cal_jurisdictions,0),MATCH($E123&amp;"-*",cal_jurisdictions,0)),2),0)*N($I123)*N($J123)))</f>
        <v>0</v>
      </c>
      <c r="W123" cm="1">
        <f t="array" ref="W123">IF($B123="",0,IF(OR(3&lt;N($K123),AND(N($L123)&gt;0,3&gt;$L123)),0,N($F123)*N($H123)*IFERROR(INDEX(cal_wd_active,IFERROR(MATCH($E123,cal_jurisdictions,0),MATCH($E123&amp;"-*",cal_jurisdictions,0)),3),0)*N($I123)*N($J123)))</f>
        <v>0</v>
      </c>
      <c r="X123" cm="1">
        <f t="array" ref="X123">IF($B123="",0,IF(OR(4&lt;N($K123),AND(N($L123)&gt;0,4&gt;$L123)),0,N($F123)*N($H123)*IFERROR(INDEX(cal_wd_active,IFERROR(MATCH($E123,cal_jurisdictions,0),MATCH($E123&amp;"-*",cal_jurisdictions,0)),4),0)*N($I123)*N($J123)))</f>
        <v>0</v>
      </c>
      <c r="Y123" cm="1">
        <f t="array" ref="Y123">IF($B123="",0,IF(OR(5&lt;N($K123),AND(N($L123)&gt;0,5&gt;$L123)),0,N($F123)*N($H123)*IFERROR(INDEX(cal_wd_active,IFERROR(MATCH($E123,cal_jurisdictions,0),MATCH($E123&amp;"-*",cal_jurisdictions,0)),5),0)*N($I123)*N($J123)))</f>
        <v>0</v>
      </c>
      <c r="Z123" cm="1">
        <f t="array" ref="Z123">IF($B123="",0,IF(OR(6&lt;N($K123),AND(N($L123)&gt;0,6&gt;$L123)),0,N($F123)*N($H123)*IFERROR(INDEX(cal_wd_active,IFERROR(MATCH($E123,cal_jurisdictions,0),MATCH($E123&amp;"-*",cal_jurisdictions,0)),6),0)*N($I123)*N($J123)))</f>
        <v>0</v>
      </c>
      <c r="AA123" cm="1">
        <f t="array" ref="AA123">IF($B123="",0,IF(OR(7&lt;N($K123),AND(N($L123)&gt;0,7&gt;$L123)),0,N($F123)*N($H123)*IFERROR(INDEX(cal_wd_active,IFERROR(MATCH($E123,cal_jurisdictions,0),MATCH($E123&amp;"-*",cal_jurisdictions,0)),7),0)*N($I123)*N($J123)))</f>
        <v>0</v>
      </c>
      <c r="AB123" cm="1">
        <f t="array" ref="AB123">IF($B123="",0,IF(OR(8&lt;N($K123),AND(N($L123)&gt;0,8&gt;$L123)),0,N($F123)*N($H123)*IFERROR(INDEX(cal_wd_active,IFERROR(MATCH($E123,cal_jurisdictions,0),MATCH($E123&amp;"-*",cal_jurisdictions,0)),8),0)*N($I123)*N($J123)))</f>
        <v>0</v>
      </c>
      <c r="AC123" cm="1">
        <f t="array" ref="AC123">IF($B123="",0,IF(OR(9&lt;N($K123),AND(N($L123)&gt;0,9&gt;$L123)),0,N($F123)*N($H123)*IFERROR(INDEX(cal_wd_active,IFERROR(MATCH($E123,cal_jurisdictions,0),MATCH($E123&amp;"-*",cal_jurisdictions,0)),9),0)*N($I123)*N($J123)))</f>
        <v>0</v>
      </c>
      <c r="AD123" cm="1">
        <f t="array" ref="AD123">IF($B123="",0,IF(OR(10&lt;N($K123),AND(N($L123)&gt;0,10&gt;$L123)),0,N($F123)*N($H123)*IFERROR(INDEX(cal_wd_active,IFERROR(MATCH($E123,cal_jurisdictions,0),MATCH($E123&amp;"-*",cal_jurisdictions,0)),10),0)*N($I123)*N($J123)))</f>
        <v>0</v>
      </c>
      <c r="AE123" cm="1">
        <f t="array" ref="AE123">IF($B123="",0,IF(OR(11&lt;N($K123),AND(N($L123)&gt;0,11&gt;$L123)),0,N($F123)*N($H123)*IFERROR(INDEX(cal_wd_active,IFERROR(MATCH($E123,cal_jurisdictions,0),MATCH($E123&amp;"-*",cal_jurisdictions,0)),11),0)*N($I123)*N($J123)))</f>
        <v>0</v>
      </c>
      <c r="AF123" cm="1">
        <f t="array" ref="AF123">IF($B123="",0,IF(OR(12&lt;N($K123),AND(N($L123)&gt;0,12&gt;$L123)),0,N($F123)*N($H123)*IFERROR(INDEX(cal_wd_active,IFERROR(MATCH($E123,cal_jurisdictions,0),MATCH($E123&amp;"-*",cal_jurisdictions,0)),12),0)*N($I123)*N($J123)))</f>
        <v>0</v>
      </c>
      <c r="AG123"/>
      <c r="AH123">
        <f>IF($B123="",0,N($M123)*(1+IF(N($N123)&gt;0,$N123,IFERROR(CHOOSE(MATCH(LEFT($E123,2),{"AU";"NZ";"US"},0),ref_au_oncost_total,ref_nz_oncost_total,ref_us_oncost_total),0)))/12*IF(OR(1&lt;N($K123),AND(N($L123)&gt;0,1&gt;$L123)),0,1))</f>
        <v>0</v>
      </c>
      <c r="AI123">
        <f>IF($B123="",0,N($M123)*(1+IF(N($N123)&gt;0,$N123,IFERROR(CHOOSE(MATCH(LEFT($E123,2),{"AU";"NZ";"US"},0),ref_au_oncost_total,ref_nz_oncost_total,ref_us_oncost_total),0)))/12*IF(OR(2&lt;N($K123),AND(N($L123)&gt;0,2&gt;$L123)),0,1))</f>
        <v>0</v>
      </c>
      <c r="AJ123">
        <f>IF($B123="",0,N($M123)*(1+IF(N($N123)&gt;0,$N123,IFERROR(CHOOSE(MATCH(LEFT($E123,2),{"AU";"NZ";"US"},0),ref_au_oncost_total,ref_nz_oncost_total,ref_us_oncost_total),0)))/12*IF(OR(3&lt;N($K123),AND(N($L123)&gt;0,3&gt;$L123)),0,1))</f>
        <v>0</v>
      </c>
      <c r="AK123">
        <f>IF($B123="",0,N($M123)*(1+IF(N($N123)&gt;0,$N123,IFERROR(CHOOSE(MATCH(LEFT($E123,2),{"AU";"NZ";"US"},0),ref_au_oncost_total,ref_nz_oncost_total,ref_us_oncost_total),0)))/12*IF(OR(4&lt;N($K123),AND(N($L123)&gt;0,4&gt;$L123)),0,1))</f>
        <v>0</v>
      </c>
      <c r="AL123">
        <f>IF($B123="",0,N($M123)*(1+IF(N($N123)&gt;0,$N123,IFERROR(CHOOSE(MATCH(LEFT($E123,2),{"AU";"NZ";"US"},0),ref_au_oncost_total,ref_nz_oncost_total,ref_us_oncost_total),0)))/12*IF(OR(5&lt;N($K123),AND(N($L123)&gt;0,5&gt;$L123)),0,1))</f>
        <v>0</v>
      </c>
      <c r="AM123">
        <f>IF($B123="",0,N($M123)*(1+IF(N($N123)&gt;0,$N123,IFERROR(CHOOSE(MATCH(LEFT($E123,2),{"AU";"NZ";"US"},0),ref_au_oncost_total,ref_nz_oncost_total,ref_us_oncost_total),0)))/12*IF(OR(6&lt;N($K123),AND(N($L123)&gt;0,6&gt;$L123)),0,1))</f>
        <v>0</v>
      </c>
      <c r="AN123">
        <f>IF($B123="",0,N($M123)*(1+IF(N($N123)&gt;0,$N123,IFERROR(CHOOSE(MATCH(LEFT($E123,2),{"AU";"NZ";"US"},0),ref_au_oncost_total,ref_nz_oncost_total,ref_us_oncost_total),0)))/12*IF(OR(7&lt;N($K123),AND(N($L123)&gt;0,7&gt;$L123)),0,1))</f>
        <v>0</v>
      </c>
      <c r="AO123">
        <f>IF($B123="",0,N($M123)*(1+IF(N($N123)&gt;0,$N123,IFERROR(CHOOSE(MATCH(LEFT($E123,2),{"AU";"NZ";"US"},0),ref_au_oncost_total,ref_nz_oncost_total,ref_us_oncost_total),0)))/12*IF(OR(8&lt;N($K123),AND(N($L123)&gt;0,8&gt;$L123)),0,1))</f>
        <v>0</v>
      </c>
      <c r="AP123">
        <f>IF($B123="",0,N($M123)*(1+IF(N($N123)&gt;0,$N123,IFERROR(CHOOSE(MATCH(LEFT($E123,2),{"AU";"NZ";"US"},0),ref_au_oncost_total,ref_nz_oncost_total,ref_us_oncost_total),0)))/12*IF(OR(9&lt;N($K123),AND(N($L123)&gt;0,9&gt;$L123)),0,1))</f>
        <v>0</v>
      </c>
      <c r="AQ123">
        <f>IF($B123="",0,N($M123)*(1+IF(N($N123)&gt;0,$N123,IFERROR(CHOOSE(MATCH(LEFT($E123,2),{"AU";"NZ";"US"},0),ref_au_oncost_total,ref_nz_oncost_total,ref_us_oncost_total),0)))/12*IF(OR(10&lt;N($K123),AND(N($L123)&gt;0,10&gt;$L123)),0,1))</f>
        <v>0</v>
      </c>
      <c r="AR123">
        <f>IF($B123="",0,N($M123)*(1+IF(N($N123)&gt;0,$N123,IFERROR(CHOOSE(MATCH(LEFT($E123,2),{"AU";"NZ";"US"},0),ref_au_oncost_total,ref_nz_oncost_total,ref_us_oncost_total),0)))/12*IF(OR(11&lt;N($K123),AND(N($L123)&gt;0,11&gt;$L123)),0,1))</f>
        <v>0</v>
      </c>
      <c r="AS123">
        <f>IF($B123="",0,N($M123)*(1+IF(N($N123)&gt;0,$N123,IFERROR(CHOOSE(MATCH(LEFT($E123,2),{"AU";"NZ";"US"},0),ref_au_oncost_total,ref_nz_oncost_total,ref_us_oncost_total),0)))/12*IF(OR(12&lt;N($K123),AND(N($L123)&gt;0,12&gt;$L123)),0,1))</f>
        <v>0</v>
      </c>
      <c r="AT123"/>
      <c r="AU123">
        <f t="shared" si="25"/>
        <v>0</v>
      </c>
      <c r="AV123">
        <f t="shared" si="26"/>
        <v>0</v>
      </c>
      <c r="AW123">
        <f t="shared" si="27"/>
        <v>0</v>
      </c>
      <c r="AX123">
        <f t="shared" si="28"/>
        <v>0</v>
      </c>
      <c r="AY123">
        <f t="shared" si="29"/>
        <v>0</v>
      </c>
      <c r="AZ123">
        <f t="shared" si="30"/>
        <v>0</v>
      </c>
      <c r="BA123">
        <f t="shared" si="31"/>
        <v>0</v>
      </c>
      <c r="BB123">
        <f t="shared" si="32"/>
        <v>0</v>
      </c>
      <c r="BC123">
        <f t="shared" si="33"/>
        <v>0</v>
      </c>
      <c r="BD123">
        <f t="shared" si="34"/>
        <v>0</v>
      </c>
      <c r="BE123">
        <f t="shared" si="35"/>
        <v>0</v>
      </c>
      <c r="BF123">
        <f t="shared" si="36"/>
        <v>0</v>
      </c>
    </row>
    <row r="124" spans="1:58" outlineLevel="1" x14ac:dyDescent="0.2">
      <c r="A124" s="41"/>
      <c r="B124" s="109"/>
      <c r="C124" s="109"/>
      <c r="D124" s="111"/>
      <c r="E124" s="112"/>
      <c r="F124" s="113"/>
      <c r="G124" s="109"/>
      <c r="H124" s="113"/>
      <c r="I124" s="104"/>
      <c r="J124" s="100"/>
      <c r="K124" s="110"/>
      <c r="L124" s="110"/>
      <c r="M124" s="100"/>
      <c r="N124" s="104"/>
      <c r="P124" s="41" t="str">
        <f t="shared" si="24"/>
        <v/>
      </c>
      <c r="S124"/>
      <c r="T124"/>
      <c r="U124" cm="1">
        <f t="array" ref="U124">IF($B124="",0,IF(OR(1&lt;N($K124),AND(N($L124)&gt;0,1&gt;$L124)),0,N($F124)*N($H124)*IFERROR(INDEX(cal_wd_active,IFERROR(MATCH($E124,cal_jurisdictions,0),MATCH($E124&amp;"-*",cal_jurisdictions,0)),1),0)*N($I124)*N($J124)))</f>
        <v>0</v>
      </c>
      <c r="V124" cm="1">
        <f t="array" ref="V124">IF($B124="",0,IF(OR(2&lt;N($K124),AND(N($L124)&gt;0,2&gt;$L124)),0,N($F124)*N($H124)*IFERROR(INDEX(cal_wd_active,IFERROR(MATCH($E124,cal_jurisdictions,0),MATCH($E124&amp;"-*",cal_jurisdictions,0)),2),0)*N($I124)*N($J124)))</f>
        <v>0</v>
      </c>
      <c r="W124" cm="1">
        <f t="array" ref="W124">IF($B124="",0,IF(OR(3&lt;N($K124),AND(N($L124)&gt;0,3&gt;$L124)),0,N($F124)*N($H124)*IFERROR(INDEX(cal_wd_active,IFERROR(MATCH($E124,cal_jurisdictions,0),MATCH($E124&amp;"-*",cal_jurisdictions,0)),3),0)*N($I124)*N($J124)))</f>
        <v>0</v>
      </c>
      <c r="X124" cm="1">
        <f t="array" ref="X124">IF($B124="",0,IF(OR(4&lt;N($K124),AND(N($L124)&gt;0,4&gt;$L124)),0,N($F124)*N($H124)*IFERROR(INDEX(cal_wd_active,IFERROR(MATCH($E124,cal_jurisdictions,0),MATCH($E124&amp;"-*",cal_jurisdictions,0)),4),0)*N($I124)*N($J124)))</f>
        <v>0</v>
      </c>
      <c r="Y124" cm="1">
        <f t="array" ref="Y124">IF($B124="",0,IF(OR(5&lt;N($K124),AND(N($L124)&gt;0,5&gt;$L124)),0,N($F124)*N($H124)*IFERROR(INDEX(cal_wd_active,IFERROR(MATCH($E124,cal_jurisdictions,0),MATCH($E124&amp;"-*",cal_jurisdictions,0)),5),0)*N($I124)*N($J124)))</f>
        <v>0</v>
      </c>
      <c r="Z124" cm="1">
        <f t="array" ref="Z124">IF($B124="",0,IF(OR(6&lt;N($K124),AND(N($L124)&gt;0,6&gt;$L124)),0,N($F124)*N($H124)*IFERROR(INDEX(cal_wd_active,IFERROR(MATCH($E124,cal_jurisdictions,0),MATCH($E124&amp;"-*",cal_jurisdictions,0)),6),0)*N($I124)*N($J124)))</f>
        <v>0</v>
      </c>
      <c r="AA124" cm="1">
        <f t="array" ref="AA124">IF($B124="",0,IF(OR(7&lt;N($K124),AND(N($L124)&gt;0,7&gt;$L124)),0,N($F124)*N($H124)*IFERROR(INDEX(cal_wd_active,IFERROR(MATCH($E124,cal_jurisdictions,0),MATCH($E124&amp;"-*",cal_jurisdictions,0)),7),0)*N($I124)*N($J124)))</f>
        <v>0</v>
      </c>
      <c r="AB124" cm="1">
        <f t="array" ref="AB124">IF($B124="",0,IF(OR(8&lt;N($K124),AND(N($L124)&gt;0,8&gt;$L124)),0,N($F124)*N($H124)*IFERROR(INDEX(cal_wd_active,IFERROR(MATCH($E124,cal_jurisdictions,0),MATCH($E124&amp;"-*",cal_jurisdictions,0)),8),0)*N($I124)*N($J124)))</f>
        <v>0</v>
      </c>
      <c r="AC124" cm="1">
        <f t="array" ref="AC124">IF($B124="",0,IF(OR(9&lt;N($K124),AND(N($L124)&gt;0,9&gt;$L124)),0,N($F124)*N($H124)*IFERROR(INDEX(cal_wd_active,IFERROR(MATCH($E124,cal_jurisdictions,0),MATCH($E124&amp;"-*",cal_jurisdictions,0)),9),0)*N($I124)*N($J124)))</f>
        <v>0</v>
      </c>
      <c r="AD124" cm="1">
        <f t="array" ref="AD124">IF($B124="",0,IF(OR(10&lt;N($K124),AND(N($L124)&gt;0,10&gt;$L124)),0,N($F124)*N($H124)*IFERROR(INDEX(cal_wd_active,IFERROR(MATCH($E124,cal_jurisdictions,0),MATCH($E124&amp;"-*",cal_jurisdictions,0)),10),0)*N($I124)*N($J124)))</f>
        <v>0</v>
      </c>
      <c r="AE124" cm="1">
        <f t="array" ref="AE124">IF($B124="",0,IF(OR(11&lt;N($K124),AND(N($L124)&gt;0,11&gt;$L124)),0,N($F124)*N($H124)*IFERROR(INDEX(cal_wd_active,IFERROR(MATCH($E124,cal_jurisdictions,0),MATCH($E124&amp;"-*",cal_jurisdictions,0)),11),0)*N($I124)*N($J124)))</f>
        <v>0</v>
      </c>
      <c r="AF124" cm="1">
        <f t="array" ref="AF124">IF($B124="",0,IF(OR(12&lt;N($K124),AND(N($L124)&gt;0,12&gt;$L124)),0,N($F124)*N($H124)*IFERROR(INDEX(cal_wd_active,IFERROR(MATCH($E124,cal_jurisdictions,0),MATCH($E124&amp;"-*",cal_jurisdictions,0)),12),0)*N($I124)*N($J124)))</f>
        <v>0</v>
      </c>
      <c r="AG124"/>
      <c r="AH124">
        <f>IF($B124="",0,N($M124)*(1+IF(N($N124)&gt;0,$N124,IFERROR(CHOOSE(MATCH(LEFT($E124,2),{"AU";"NZ";"US"},0),ref_au_oncost_total,ref_nz_oncost_total,ref_us_oncost_total),0)))/12*IF(OR(1&lt;N($K124),AND(N($L124)&gt;0,1&gt;$L124)),0,1))</f>
        <v>0</v>
      </c>
      <c r="AI124">
        <f>IF($B124="",0,N($M124)*(1+IF(N($N124)&gt;0,$N124,IFERROR(CHOOSE(MATCH(LEFT($E124,2),{"AU";"NZ";"US"},0),ref_au_oncost_total,ref_nz_oncost_total,ref_us_oncost_total),0)))/12*IF(OR(2&lt;N($K124),AND(N($L124)&gt;0,2&gt;$L124)),0,1))</f>
        <v>0</v>
      </c>
      <c r="AJ124">
        <f>IF($B124="",0,N($M124)*(1+IF(N($N124)&gt;0,$N124,IFERROR(CHOOSE(MATCH(LEFT($E124,2),{"AU";"NZ";"US"},0),ref_au_oncost_total,ref_nz_oncost_total,ref_us_oncost_total),0)))/12*IF(OR(3&lt;N($K124),AND(N($L124)&gt;0,3&gt;$L124)),0,1))</f>
        <v>0</v>
      </c>
      <c r="AK124">
        <f>IF($B124="",0,N($M124)*(1+IF(N($N124)&gt;0,$N124,IFERROR(CHOOSE(MATCH(LEFT($E124,2),{"AU";"NZ";"US"},0),ref_au_oncost_total,ref_nz_oncost_total,ref_us_oncost_total),0)))/12*IF(OR(4&lt;N($K124),AND(N($L124)&gt;0,4&gt;$L124)),0,1))</f>
        <v>0</v>
      </c>
      <c r="AL124">
        <f>IF($B124="",0,N($M124)*(1+IF(N($N124)&gt;0,$N124,IFERROR(CHOOSE(MATCH(LEFT($E124,2),{"AU";"NZ";"US"},0),ref_au_oncost_total,ref_nz_oncost_total,ref_us_oncost_total),0)))/12*IF(OR(5&lt;N($K124),AND(N($L124)&gt;0,5&gt;$L124)),0,1))</f>
        <v>0</v>
      </c>
      <c r="AM124">
        <f>IF($B124="",0,N($M124)*(1+IF(N($N124)&gt;0,$N124,IFERROR(CHOOSE(MATCH(LEFT($E124,2),{"AU";"NZ";"US"},0),ref_au_oncost_total,ref_nz_oncost_total,ref_us_oncost_total),0)))/12*IF(OR(6&lt;N($K124),AND(N($L124)&gt;0,6&gt;$L124)),0,1))</f>
        <v>0</v>
      </c>
      <c r="AN124">
        <f>IF($B124="",0,N($M124)*(1+IF(N($N124)&gt;0,$N124,IFERROR(CHOOSE(MATCH(LEFT($E124,2),{"AU";"NZ";"US"},0),ref_au_oncost_total,ref_nz_oncost_total,ref_us_oncost_total),0)))/12*IF(OR(7&lt;N($K124),AND(N($L124)&gt;0,7&gt;$L124)),0,1))</f>
        <v>0</v>
      </c>
      <c r="AO124">
        <f>IF($B124="",0,N($M124)*(1+IF(N($N124)&gt;0,$N124,IFERROR(CHOOSE(MATCH(LEFT($E124,2),{"AU";"NZ";"US"},0),ref_au_oncost_total,ref_nz_oncost_total,ref_us_oncost_total),0)))/12*IF(OR(8&lt;N($K124),AND(N($L124)&gt;0,8&gt;$L124)),0,1))</f>
        <v>0</v>
      </c>
      <c r="AP124">
        <f>IF($B124="",0,N($M124)*(1+IF(N($N124)&gt;0,$N124,IFERROR(CHOOSE(MATCH(LEFT($E124,2),{"AU";"NZ";"US"},0),ref_au_oncost_total,ref_nz_oncost_total,ref_us_oncost_total),0)))/12*IF(OR(9&lt;N($K124),AND(N($L124)&gt;0,9&gt;$L124)),0,1))</f>
        <v>0</v>
      </c>
      <c r="AQ124">
        <f>IF($B124="",0,N($M124)*(1+IF(N($N124)&gt;0,$N124,IFERROR(CHOOSE(MATCH(LEFT($E124,2),{"AU";"NZ";"US"},0),ref_au_oncost_total,ref_nz_oncost_total,ref_us_oncost_total),0)))/12*IF(OR(10&lt;N($K124),AND(N($L124)&gt;0,10&gt;$L124)),0,1))</f>
        <v>0</v>
      </c>
      <c r="AR124">
        <f>IF($B124="",0,N($M124)*(1+IF(N($N124)&gt;0,$N124,IFERROR(CHOOSE(MATCH(LEFT($E124,2),{"AU";"NZ";"US"},0),ref_au_oncost_total,ref_nz_oncost_total,ref_us_oncost_total),0)))/12*IF(OR(11&lt;N($K124),AND(N($L124)&gt;0,11&gt;$L124)),0,1))</f>
        <v>0</v>
      </c>
      <c r="AS124">
        <f>IF($B124="",0,N($M124)*(1+IF(N($N124)&gt;0,$N124,IFERROR(CHOOSE(MATCH(LEFT($E124,2),{"AU";"NZ";"US"},0),ref_au_oncost_total,ref_nz_oncost_total,ref_us_oncost_total),0)))/12*IF(OR(12&lt;N($K124),AND(N($L124)&gt;0,12&gt;$L124)),0,1))</f>
        <v>0</v>
      </c>
      <c r="AT124"/>
      <c r="AU124">
        <f t="shared" si="25"/>
        <v>0</v>
      </c>
      <c r="AV124">
        <f t="shared" si="26"/>
        <v>0</v>
      </c>
      <c r="AW124">
        <f t="shared" si="27"/>
        <v>0</v>
      </c>
      <c r="AX124">
        <f t="shared" si="28"/>
        <v>0</v>
      </c>
      <c r="AY124">
        <f t="shared" si="29"/>
        <v>0</v>
      </c>
      <c r="AZ124">
        <f t="shared" si="30"/>
        <v>0</v>
      </c>
      <c r="BA124">
        <f t="shared" si="31"/>
        <v>0</v>
      </c>
      <c r="BB124">
        <f t="shared" si="32"/>
        <v>0</v>
      </c>
      <c r="BC124">
        <f t="shared" si="33"/>
        <v>0</v>
      </c>
      <c r="BD124">
        <f t="shared" si="34"/>
        <v>0</v>
      </c>
      <c r="BE124">
        <f t="shared" si="35"/>
        <v>0</v>
      </c>
      <c r="BF124">
        <f t="shared" si="36"/>
        <v>0</v>
      </c>
    </row>
    <row r="125" spans="1:58" outlineLevel="1" x14ac:dyDescent="0.2">
      <c r="A125" s="41"/>
      <c r="B125" s="109"/>
      <c r="C125" s="109"/>
      <c r="D125" s="111"/>
      <c r="E125" s="112"/>
      <c r="F125" s="113"/>
      <c r="G125" s="109"/>
      <c r="H125" s="113"/>
      <c r="I125" s="104"/>
      <c r="J125" s="100"/>
      <c r="K125" s="110"/>
      <c r="L125" s="110"/>
      <c r="M125" s="100"/>
      <c r="N125" s="104"/>
      <c r="P125" s="41" t="str">
        <f t="shared" si="24"/>
        <v/>
      </c>
      <c r="S125"/>
      <c r="T125"/>
      <c r="U125" cm="1">
        <f t="array" ref="U125">IF($B125="",0,IF(OR(1&lt;N($K125),AND(N($L125)&gt;0,1&gt;$L125)),0,N($F125)*N($H125)*IFERROR(INDEX(cal_wd_active,IFERROR(MATCH($E125,cal_jurisdictions,0),MATCH($E125&amp;"-*",cal_jurisdictions,0)),1),0)*N($I125)*N($J125)))</f>
        <v>0</v>
      </c>
      <c r="V125" cm="1">
        <f t="array" ref="V125">IF($B125="",0,IF(OR(2&lt;N($K125),AND(N($L125)&gt;0,2&gt;$L125)),0,N($F125)*N($H125)*IFERROR(INDEX(cal_wd_active,IFERROR(MATCH($E125,cal_jurisdictions,0),MATCH($E125&amp;"-*",cal_jurisdictions,0)),2),0)*N($I125)*N($J125)))</f>
        <v>0</v>
      </c>
      <c r="W125" cm="1">
        <f t="array" ref="W125">IF($B125="",0,IF(OR(3&lt;N($K125),AND(N($L125)&gt;0,3&gt;$L125)),0,N($F125)*N($H125)*IFERROR(INDEX(cal_wd_active,IFERROR(MATCH($E125,cal_jurisdictions,0),MATCH($E125&amp;"-*",cal_jurisdictions,0)),3),0)*N($I125)*N($J125)))</f>
        <v>0</v>
      </c>
      <c r="X125" cm="1">
        <f t="array" ref="X125">IF($B125="",0,IF(OR(4&lt;N($K125),AND(N($L125)&gt;0,4&gt;$L125)),0,N($F125)*N($H125)*IFERROR(INDEX(cal_wd_active,IFERROR(MATCH($E125,cal_jurisdictions,0),MATCH($E125&amp;"-*",cal_jurisdictions,0)),4),0)*N($I125)*N($J125)))</f>
        <v>0</v>
      </c>
      <c r="Y125" cm="1">
        <f t="array" ref="Y125">IF($B125="",0,IF(OR(5&lt;N($K125),AND(N($L125)&gt;0,5&gt;$L125)),0,N($F125)*N($H125)*IFERROR(INDEX(cal_wd_active,IFERROR(MATCH($E125,cal_jurisdictions,0),MATCH($E125&amp;"-*",cal_jurisdictions,0)),5),0)*N($I125)*N($J125)))</f>
        <v>0</v>
      </c>
      <c r="Z125" cm="1">
        <f t="array" ref="Z125">IF($B125="",0,IF(OR(6&lt;N($K125),AND(N($L125)&gt;0,6&gt;$L125)),0,N($F125)*N($H125)*IFERROR(INDEX(cal_wd_active,IFERROR(MATCH($E125,cal_jurisdictions,0),MATCH($E125&amp;"-*",cal_jurisdictions,0)),6),0)*N($I125)*N($J125)))</f>
        <v>0</v>
      </c>
      <c r="AA125" cm="1">
        <f t="array" ref="AA125">IF($B125="",0,IF(OR(7&lt;N($K125),AND(N($L125)&gt;0,7&gt;$L125)),0,N($F125)*N($H125)*IFERROR(INDEX(cal_wd_active,IFERROR(MATCH($E125,cal_jurisdictions,0),MATCH($E125&amp;"-*",cal_jurisdictions,0)),7),0)*N($I125)*N($J125)))</f>
        <v>0</v>
      </c>
      <c r="AB125" cm="1">
        <f t="array" ref="AB125">IF($B125="",0,IF(OR(8&lt;N($K125),AND(N($L125)&gt;0,8&gt;$L125)),0,N($F125)*N($H125)*IFERROR(INDEX(cal_wd_active,IFERROR(MATCH($E125,cal_jurisdictions,0),MATCH($E125&amp;"-*",cal_jurisdictions,0)),8),0)*N($I125)*N($J125)))</f>
        <v>0</v>
      </c>
      <c r="AC125" cm="1">
        <f t="array" ref="AC125">IF($B125="",0,IF(OR(9&lt;N($K125),AND(N($L125)&gt;0,9&gt;$L125)),0,N($F125)*N($H125)*IFERROR(INDEX(cal_wd_active,IFERROR(MATCH($E125,cal_jurisdictions,0),MATCH($E125&amp;"-*",cal_jurisdictions,0)),9),0)*N($I125)*N($J125)))</f>
        <v>0</v>
      </c>
      <c r="AD125" cm="1">
        <f t="array" ref="AD125">IF($B125="",0,IF(OR(10&lt;N($K125),AND(N($L125)&gt;0,10&gt;$L125)),0,N($F125)*N($H125)*IFERROR(INDEX(cal_wd_active,IFERROR(MATCH($E125,cal_jurisdictions,0),MATCH($E125&amp;"-*",cal_jurisdictions,0)),10),0)*N($I125)*N($J125)))</f>
        <v>0</v>
      </c>
      <c r="AE125" cm="1">
        <f t="array" ref="AE125">IF($B125="",0,IF(OR(11&lt;N($K125),AND(N($L125)&gt;0,11&gt;$L125)),0,N($F125)*N($H125)*IFERROR(INDEX(cal_wd_active,IFERROR(MATCH($E125,cal_jurisdictions,0),MATCH($E125&amp;"-*",cal_jurisdictions,0)),11),0)*N($I125)*N($J125)))</f>
        <v>0</v>
      </c>
      <c r="AF125" cm="1">
        <f t="array" ref="AF125">IF($B125="",0,IF(OR(12&lt;N($K125),AND(N($L125)&gt;0,12&gt;$L125)),0,N($F125)*N($H125)*IFERROR(INDEX(cal_wd_active,IFERROR(MATCH($E125,cal_jurisdictions,0),MATCH($E125&amp;"-*",cal_jurisdictions,0)),12),0)*N($I125)*N($J125)))</f>
        <v>0</v>
      </c>
      <c r="AG125"/>
      <c r="AH125">
        <f>IF($B125="",0,N($M125)*(1+IF(N($N125)&gt;0,$N125,IFERROR(CHOOSE(MATCH(LEFT($E125,2),{"AU";"NZ";"US"},0),ref_au_oncost_total,ref_nz_oncost_total,ref_us_oncost_total),0)))/12*IF(OR(1&lt;N($K125),AND(N($L125)&gt;0,1&gt;$L125)),0,1))</f>
        <v>0</v>
      </c>
      <c r="AI125">
        <f>IF($B125="",0,N($M125)*(1+IF(N($N125)&gt;0,$N125,IFERROR(CHOOSE(MATCH(LEFT($E125,2),{"AU";"NZ";"US"},0),ref_au_oncost_total,ref_nz_oncost_total,ref_us_oncost_total),0)))/12*IF(OR(2&lt;N($K125),AND(N($L125)&gt;0,2&gt;$L125)),0,1))</f>
        <v>0</v>
      </c>
      <c r="AJ125">
        <f>IF($B125="",0,N($M125)*(1+IF(N($N125)&gt;0,$N125,IFERROR(CHOOSE(MATCH(LEFT($E125,2),{"AU";"NZ";"US"},0),ref_au_oncost_total,ref_nz_oncost_total,ref_us_oncost_total),0)))/12*IF(OR(3&lt;N($K125),AND(N($L125)&gt;0,3&gt;$L125)),0,1))</f>
        <v>0</v>
      </c>
      <c r="AK125">
        <f>IF($B125="",0,N($M125)*(1+IF(N($N125)&gt;0,$N125,IFERROR(CHOOSE(MATCH(LEFT($E125,2),{"AU";"NZ";"US"},0),ref_au_oncost_total,ref_nz_oncost_total,ref_us_oncost_total),0)))/12*IF(OR(4&lt;N($K125),AND(N($L125)&gt;0,4&gt;$L125)),0,1))</f>
        <v>0</v>
      </c>
      <c r="AL125">
        <f>IF($B125="",0,N($M125)*(1+IF(N($N125)&gt;0,$N125,IFERROR(CHOOSE(MATCH(LEFT($E125,2),{"AU";"NZ";"US"},0),ref_au_oncost_total,ref_nz_oncost_total,ref_us_oncost_total),0)))/12*IF(OR(5&lt;N($K125),AND(N($L125)&gt;0,5&gt;$L125)),0,1))</f>
        <v>0</v>
      </c>
      <c r="AM125">
        <f>IF($B125="",0,N($M125)*(1+IF(N($N125)&gt;0,$N125,IFERROR(CHOOSE(MATCH(LEFT($E125,2),{"AU";"NZ";"US"},0),ref_au_oncost_total,ref_nz_oncost_total,ref_us_oncost_total),0)))/12*IF(OR(6&lt;N($K125),AND(N($L125)&gt;0,6&gt;$L125)),0,1))</f>
        <v>0</v>
      </c>
      <c r="AN125">
        <f>IF($B125="",0,N($M125)*(1+IF(N($N125)&gt;0,$N125,IFERROR(CHOOSE(MATCH(LEFT($E125,2),{"AU";"NZ";"US"},0),ref_au_oncost_total,ref_nz_oncost_total,ref_us_oncost_total),0)))/12*IF(OR(7&lt;N($K125),AND(N($L125)&gt;0,7&gt;$L125)),0,1))</f>
        <v>0</v>
      </c>
      <c r="AO125">
        <f>IF($B125="",0,N($M125)*(1+IF(N($N125)&gt;0,$N125,IFERROR(CHOOSE(MATCH(LEFT($E125,2),{"AU";"NZ";"US"},0),ref_au_oncost_total,ref_nz_oncost_total,ref_us_oncost_total),0)))/12*IF(OR(8&lt;N($K125),AND(N($L125)&gt;0,8&gt;$L125)),0,1))</f>
        <v>0</v>
      </c>
      <c r="AP125">
        <f>IF($B125="",0,N($M125)*(1+IF(N($N125)&gt;0,$N125,IFERROR(CHOOSE(MATCH(LEFT($E125,2),{"AU";"NZ";"US"},0),ref_au_oncost_total,ref_nz_oncost_total,ref_us_oncost_total),0)))/12*IF(OR(9&lt;N($K125),AND(N($L125)&gt;0,9&gt;$L125)),0,1))</f>
        <v>0</v>
      </c>
      <c r="AQ125">
        <f>IF($B125="",0,N($M125)*(1+IF(N($N125)&gt;0,$N125,IFERROR(CHOOSE(MATCH(LEFT($E125,2),{"AU";"NZ";"US"},0),ref_au_oncost_total,ref_nz_oncost_total,ref_us_oncost_total),0)))/12*IF(OR(10&lt;N($K125),AND(N($L125)&gt;0,10&gt;$L125)),0,1))</f>
        <v>0</v>
      </c>
      <c r="AR125">
        <f>IF($B125="",0,N($M125)*(1+IF(N($N125)&gt;0,$N125,IFERROR(CHOOSE(MATCH(LEFT($E125,2),{"AU";"NZ";"US"},0),ref_au_oncost_total,ref_nz_oncost_total,ref_us_oncost_total),0)))/12*IF(OR(11&lt;N($K125),AND(N($L125)&gt;0,11&gt;$L125)),0,1))</f>
        <v>0</v>
      </c>
      <c r="AS125">
        <f>IF($B125="",0,N($M125)*(1+IF(N($N125)&gt;0,$N125,IFERROR(CHOOSE(MATCH(LEFT($E125,2),{"AU";"NZ";"US"},0),ref_au_oncost_total,ref_nz_oncost_total,ref_us_oncost_total),0)))/12*IF(OR(12&lt;N($K125),AND(N($L125)&gt;0,12&gt;$L125)),0,1))</f>
        <v>0</v>
      </c>
      <c r="AT125"/>
      <c r="AU125">
        <f t="shared" si="25"/>
        <v>0</v>
      </c>
      <c r="AV125">
        <f t="shared" si="26"/>
        <v>0</v>
      </c>
      <c r="AW125">
        <f t="shared" si="27"/>
        <v>0</v>
      </c>
      <c r="AX125">
        <f t="shared" si="28"/>
        <v>0</v>
      </c>
      <c r="AY125">
        <f t="shared" si="29"/>
        <v>0</v>
      </c>
      <c r="AZ125">
        <f t="shared" si="30"/>
        <v>0</v>
      </c>
      <c r="BA125">
        <f t="shared" si="31"/>
        <v>0</v>
      </c>
      <c r="BB125">
        <f t="shared" si="32"/>
        <v>0</v>
      </c>
      <c r="BC125">
        <f t="shared" si="33"/>
        <v>0</v>
      </c>
      <c r="BD125">
        <f t="shared" si="34"/>
        <v>0</v>
      </c>
      <c r="BE125">
        <f t="shared" si="35"/>
        <v>0</v>
      </c>
      <c r="BF125">
        <f t="shared" si="36"/>
        <v>0</v>
      </c>
    </row>
    <row r="126" spans="1:58" outlineLevel="1" x14ac:dyDescent="0.2">
      <c r="A126" s="41"/>
      <c r="B126" s="109"/>
      <c r="C126" s="109"/>
      <c r="D126" s="111"/>
      <c r="E126" s="112"/>
      <c r="F126" s="113"/>
      <c r="G126" s="109"/>
      <c r="H126" s="113"/>
      <c r="I126" s="104"/>
      <c r="J126" s="100"/>
      <c r="K126" s="110"/>
      <c r="L126" s="110"/>
      <c r="M126" s="100"/>
      <c r="N126" s="104"/>
      <c r="P126" s="41" t="str">
        <f t="shared" si="24"/>
        <v/>
      </c>
      <c r="S126"/>
      <c r="T126"/>
      <c r="U126" cm="1">
        <f t="array" ref="U126">IF($B126="",0,IF(OR(1&lt;N($K126),AND(N($L126)&gt;0,1&gt;$L126)),0,N($F126)*N($H126)*IFERROR(INDEX(cal_wd_active,IFERROR(MATCH($E126,cal_jurisdictions,0),MATCH($E126&amp;"-*",cal_jurisdictions,0)),1),0)*N($I126)*N($J126)))</f>
        <v>0</v>
      </c>
      <c r="V126" cm="1">
        <f t="array" ref="V126">IF($B126="",0,IF(OR(2&lt;N($K126),AND(N($L126)&gt;0,2&gt;$L126)),0,N($F126)*N($H126)*IFERROR(INDEX(cal_wd_active,IFERROR(MATCH($E126,cal_jurisdictions,0),MATCH($E126&amp;"-*",cal_jurisdictions,0)),2),0)*N($I126)*N($J126)))</f>
        <v>0</v>
      </c>
      <c r="W126" cm="1">
        <f t="array" ref="W126">IF($B126="",0,IF(OR(3&lt;N($K126),AND(N($L126)&gt;0,3&gt;$L126)),0,N($F126)*N($H126)*IFERROR(INDEX(cal_wd_active,IFERROR(MATCH($E126,cal_jurisdictions,0),MATCH($E126&amp;"-*",cal_jurisdictions,0)),3),0)*N($I126)*N($J126)))</f>
        <v>0</v>
      </c>
      <c r="X126" cm="1">
        <f t="array" ref="X126">IF($B126="",0,IF(OR(4&lt;N($K126),AND(N($L126)&gt;0,4&gt;$L126)),0,N($F126)*N($H126)*IFERROR(INDEX(cal_wd_active,IFERROR(MATCH($E126,cal_jurisdictions,0),MATCH($E126&amp;"-*",cal_jurisdictions,0)),4),0)*N($I126)*N($J126)))</f>
        <v>0</v>
      </c>
      <c r="Y126" cm="1">
        <f t="array" ref="Y126">IF($B126="",0,IF(OR(5&lt;N($K126),AND(N($L126)&gt;0,5&gt;$L126)),0,N($F126)*N($H126)*IFERROR(INDEX(cal_wd_active,IFERROR(MATCH($E126,cal_jurisdictions,0),MATCH($E126&amp;"-*",cal_jurisdictions,0)),5),0)*N($I126)*N($J126)))</f>
        <v>0</v>
      </c>
      <c r="Z126" cm="1">
        <f t="array" ref="Z126">IF($B126="",0,IF(OR(6&lt;N($K126),AND(N($L126)&gt;0,6&gt;$L126)),0,N($F126)*N($H126)*IFERROR(INDEX(cal_wd_active,IFERROR(MATCH($E126,cal_jurisdictions,0),MATCH($E126&amp;"-*",cal_jurisdictions,0)),6),0)*N($I126)*N($J126)))</f>
        <v>0</v>
      </c>
      <c r="AA126" cm="1">
        <f t="array" ref="AA126">IF($B126="",0,IF(OR(7&lt;N($K126),AND(N($L126)&gt;0,7&gt;$L126)),0,N($F126)*N($H126)*IFERROR(INDEX(cal_wd_active,IFERROR(MATCH($E126,cal_jurisdictions,0),MATCH($E126&amp;"-*",cal_jurisdictions,0)),7),0)*N($I126)*N($J126)))</f>
        <v>0</v>
      </c>
      <c r="AB126" cm="1">
        <f t="array" ref="AB126">IF($B126="",0,IF(OR(8&lt;N($K126),AND(N($L126)&gt;0,8&gt;$L126)),0,N($F126)*N($H126)*IFERROR(INDEX(cal_wd_active,IFERROR(MATCH($E126,cal_jurisdictions,0),MATCH($E126&amp;"-*",cal_jurisdictions,0)),8),0)*N($I126)*N($J126)))</f>
        <v>0</v>
      </c>
      <c r="AC126" cm="1">
        <f t="array" ref="AC126">IF($B126="",0,IF(OR(9&lt;N($K126),AND(N($L126)&gt;0,9&gt;$L126)),0,N($F126)*N($H126)*IFERROR(INDEX(cal_wd_active,IFERROR(MATCH($E126,cal_jurisdictions,0),MATCH($E126&amp;"-*",cal_jurisdictions,0)),9),0)*N($I126)*N($J126)))</f>
        <v>0</v>
      </c>
      <c r="AD126" cm="1">
        <f t="array" ref="AD126">IF($B126="",0,IF(OR(10&lt;N($K126),AND(N($L126)&gt;0,10&gt;$L126)),0,N($F126)*N($H126)*IFERROR(INDEX(cal_wd_active,IFERROR(MATCH($E126,cal_jurisdictions,0),MATCH($E126&amp;"-*",cal_jurisdictions,0)),10),0)*N($I126)*N($J126)))</f>
        <v>0</v>
      </c>
      <c r="AE126" cm="1">
        <f t="array" ref="AE126">IF($B126="",0,IF(OR(11&lt;N($K126),AND(N($L126)&gt;0,11&gt;$L126)),0,N($F126)*N($H126)*IFERROR(INDEX(cal_wd_active,IFERROR(MATCH($E126,cal_jurisdictions,0),MATCH($E126&amp;"-*",cal_jurisdictions,0)),11),0)*N($I126)*N($J126)))</f>
        <v>0</v>
      </c>
      <c r="AF126" cm="1">
        <f t="array" ref="AF126">IF($B126="",0,IF(OR(12&lt;N($K126),AND(N($L126)&gt;0,12&gt;$L126)),0,N($F126)*N($H126)*IFERROR(INDEX(cal_wd_active,IFERROR(MATCH($E126,cal_jurisdictions,0),MATCH($E126&amp;"-*",cal_jurisdictions,0)),12),0)*N($I126)*N($J126)))</f>
        <v>0</v>
      </c>
      <c r="AG126"/>
      <c r="AH126">
        <f>IF($B126="",0,N($M126)*(1+IF(N($N126)&gt;0,$N126,IFERROR(CHOOSE(MATCH(LEFT($E126,2),{"AU";"NZ";"US"},0),ref_au_oncost_total,ref_nz_oncost_total,ref_us_oncost_total),0)))/12*IF(OR(1&lt;N($K126),AND(N($L126)&gt;0,1&gt;$L126)),0,1))</f>
        <v>0</v>
      </c>
      <c r="AI126">
        <f>IF($B126="",0,N($M126)*(1+IF(N($N126)&gt;0,$N126,IFERROR(CHOOSE(MATCH(LEFT($E126,2),{"AU";"NZ";"US"},0),ref_au_oncost_total,ref_nz_oncost_total,ref_us_oncost_total),0)))/12*IF(OR(2&lt;N($K126),AND(N($L126)&gt;0,2&gt;$L126)),0,1))</f>
        <v>0</v>
      </c>
      <c r="AJ126">
        <f>IF($B126="",0,N($M126)*(1+IF(N($N126)&gt;0,$N126,IFERROR(CHOOSE(MATCH(LEFT($E126,2),{"AU";"NZ";"US"},0),ref_au_oncost_total,ref_nz_oncost_total,ref_us_oncost_total),0)))/12*IF(OR(3&lt;N($K126),AND(N($L126)&gt;0,3&gt;$L126)),0,1))</f>
        <v>0</v>
      </c>
      <c r="AK126">
        <f>IF($B126="",0,N($M126)*(1+IF(N($N126)&gt;0,$N126,IFERROR(CHOOSE(MATCH(LEFT($E126,2),{"AU";"NZ";"US"},0),ref_au_oncost_total,ref_nz_oncost_total,ref_us_oncost_total),0)))/12*IF(OR(4&lt;N($K126),AND(N($L126)&gt;0,4&gt;$L126)),0,1))</f>
        <v>0</v>
      </c>
      <c r="AL126">
        <f>IF($B126="",0,N($M126)*(1+IF(N($N126)&gt;0,$N126,IFERROR(CHOOSE(MATCH(LEFT($E126,2),{"AU";"NZ";"US"},0),ref_au_oncost_total,ref_nz_oncost_total,ref_us_oncost_total),0)))/12*IF(OR(5&lt;N($K126),AND(N($L126)&gt;0,5&gt;$L126)),0,1))</f>
        <v>0</v>
      </c>
      <c r="AM126">
        <f>IF($B126="",0,N($M126)*(1+IF(N($N126)&gt;0,$N126,IFERROR(CHOOSE(MATCH(LEFT($E126,2),{"AU";"NZ";"US"},0),ref_au_oncost_total,ref_nz_oncost_total,ref_us_oncost_total),0)))/12*IF(OR(6&lt;N($K126),AND(N($L126)&gt;0,6&gt;$L126)),0,1))</f>
        <v>0</v>
      </c>
      <c r="AN126">
        <f>IF($B126="",0,N($M126)*(1+IF(N($N126)&gt;0,$N126,IFERROR(CHOOSE(MATCH(LEFT($E126,2),{"AU";"NZ";"US"},0),ref_au_oncost_total,ref_nz_oncost_total,ref_us_oncost_total),0)))/12*IF(OR(7&lt;N($K126),AND(N($L126)&gt;0,7&gt;$L126)),0,1))</f>
        <v>0</v>
      </c>
      <c r="AO126">
        <f>IF($B126="",0,N($M126)*(1+IF(N($N126)&gt;0,$N126,IFERROR(CHOOSE(MATCH(LEFT($E126,2),{"AU";"NZ";"US"},0),ref_au_oncost_total,ref_nz_oncost_total,ref_us_oncost_total),0)))/12*IF(OR(8&lt;N($K126),AND(N($L126)&gt;0,8&gt;$L126)),0,1))</f>
        <v>0</v>
      </c>
      <c r="AP126">
        <f>IF($B126="",0,N($M126)*(1+IF(N($N126)&gt;0,$N126,IFERROR(CHOOSE(MATCH(LEFT($E126,2),{"AU";"NZ";"US"},0),ref_au_oncost_total,ref_nz_oncost_total,ref_us_oncost_total),0)))/12*IF(OR(9&lt;N($K126),AND(N($L126)&gt;0,9&gt;$L126)),0,1))</f>
        <v>0</v>
      </c>
      <c r="AQ126">
        <f>IF($B126="",0,N($M126)*(1+IF(N($N126)&gt;0,$N126,IFERROR(CHOOSE(MATCH(LEFT($E126,2),{"AU";"NZ";"US"},0),ref_au_oncost_total,ref_nz_oncost_total,ref_us_oncost_total),0)))/12*IF(OR(10&lt;N($K126),AND(N($L126)&gt;0,10&gt;$L126)),0,1))</f>
        <v>0</v>
      </c>
      <c r="AR126">
        <f>IF($B126="",0,N($M126)*(1+IF(N($N126)&gt;0,$N126,IFERROR(CHOOSE(MATCH(LEFT($E126,2),{"AU";"NZ";"US"},0),ref_au_oncost_total,ref_nz_oncost_total,ref_us_oncost_total),0)))/12*IF(OR(11&lt;N($K126),AND(N($L126)&gt;0,11&gt;$L126)),0,1))</f>
        <v>0</v>
      </c>
      <c r="AS126">
        <f>IF($B126="",0,N($M126)*(1+IF(N($N126)&gt;0,$N126,IFERROR(CHOOSE(MATCH(LEFT($E126,2),{"AU";"NZ";"US"},0),ref_au_oncost_total,ref_nz_oncost_total,ref_us_oncost_total),0)))/12*IF(OR(12&lt;N($K126),AND(N($L126)&gt;0,12&gt;$L126)),0,1))</f>
        <v>0</v>
      </c>
      <c r="AT126"/>
      <c r="AU126">
        <f t="shared" si="25"/>
        <v>0</v>
      </c>
      <c r="AV126">
        <f t="shared" si="26"/>
        <v>0</v>
      </c>
      <c r="AW126">
        <f t="shared" si="27"/>
        <v>0</v>
      </c>
      <c r="AX126">
        <f t="shared" si="28"/>
        <v>0</v>
      </c>
      <c r="AY126">
        <f t="shared" si="29"/>
        <v>0</v>
      </c>
      <c r="AZ126">
        <f t="shared" si="30"/>
        <v>0</v>
      </c>
      <c r="BA126">
        <f t="shared" si="31"/>
        <v>0</v>
      </c>
      <c r="BB126">
        <f t="shared" si="32"/>
        <v>0</v>
      </c>
      <c r="BC126">
        <f t="shared" si="33"/>
        <v>0</v>
      </c>
      <c r="BD126">
        <f t="shared" si="34"/>
        <v>0</v>
      </c>
      <c r="BE126">
        <f t="shared" si="35"/>
        <v>0</v>
      </c>
      <c r="BF126">
        <f t="shared" si="36"/>
        <v>0</v>
      </c>
    </row>
    <row r="127" spans="1:58" outlineLevel="1" x14ac:dyDescent="0.2">
      <c r="A127" s="41"/>
      <c r="B127" s="109"/>
      <c r="C127" s="109"/>
      <c r="D127" s="111"/>
      <c r="E127" s="112"/>
      <c r="F127" s="113"/>
      <c r="G127" s="109"/>
      <c r="H127" s="113"/>
      <c r="I127" s="104"/>
      <c r="J127" s="100"/>
      <c r="K127" s="110"/>
      <c r="L127" s="110"/>
      <c r="M127" s="100"/>
      <c r="N127" s="104"/>
      <c r="P127" s="41" t="str">
        <f t="shared" si="24"/>
        <v/>
      </c>
      <c r="S127"/>
      <c r="T127"/>
      <c r="U127" cm="1">
        <f t="array" ref="U127">IF($B127="",0,IF(OR(1&lt;N($K127),AND(N($L127)&gt;0,1&gt;$L127)),0,N($F127)*N($H127)*IFERROR(INDEX(cal_wd_active,IFERROR(MATCH($E127,cal_jurisdictions,0),MATCH($E127&amp;"-*",cal_jurisdictions,0)),1),0)*N($I127)*N($J127)))</f>
        <v>0</v>
      </c>
      <c r="V127" cm="1">
        <f t="array" ref="V127">IF($B127="",0,IF(OR(2&lt;N($K127),AND(N($L127)&gt;0,2&gt;$L127)),0,N($F127)*N($H127)*IFERROR(INDEX(cal_wd_active,IFERROR(MATCH($E127,cal_jurisdictions,0),MATCH($E127&amp;"-*",cal_jurisdictions,0)),2),0)*N($I127)*N($J127)))</f>
        <v>0</v>
      </c>
      <c r="W127" cm="1">
        <f t="array" ref="W127">IF($B127="",0,IF(OR(3&lt;N($K127),AND(N($L127)&gt;0,3&gt;$L127)),0,N($F127)*N($H127)*IFERROR(INDEX(cal_wd_active,IFERROR(MATCH($E127,cal_jurisdictions,0),MATCH($E127&amp;"-*",cal_jurisdictions,0)),3),0)*N($I127)*N($J127)))</f>
        <v>0</v>
      </c>
      <c r="X127" cm="1">
        <f t="array" ref="X127">IF($B127="",0,IF(OR(4&lt;N($K127),AND(N($L127)&gt;0,4&gt;$L127)),0,N($F127)*N($H127)*IFERROR(INDEX(cal_wd_active,IFERROR(MATCH($E127,cal_jurisdictions,0),MATCH($E127&amp;"-*",cal_jurisdictions,0)),4),0)*N($I127)*N($J127)))</f>
        <v>0</v>
      </c>
      <c r="Y127" cm="1">
        <f t="array" ref="Y127">IF($B127="",0,IF(OR(5&lt;N($K127),AND(N($L127)&gt;0,5&gt;$L127)),0,N($F127)*N($H127)*IFERROR(INDEX(cal_wd_active,IFERROR(MATCH($E127,cal_jurisdictions,0),MATCH($E127&amp;"-*",cal_jurisdictions,0)),5),0)*N($I127)*N($J127)))</f>
        <v>0</v>
      </c>
      <c r="Z127" cm="1">
        <f t="array" ref="Z127">IF($B127="",0,IF(OR(6&lt;N($K127),AND(N($L127)&gt;0,6&gt;$L127)),0,N($F127)*N($H127)*IFERROR(INDEX(cal_wd_active,IFERROR(MATCH($E127,cal_jurisdictions,0),MATCH($E127&amp;"-*",cal_jurisdictions,0)),6),0)*N($I127)*N($J127)))</f>
        <v>0</v>
      </c>
      <c r="AA127" cm="1">
        <f t="array" ref="AA127">IF($B127="",0,IF(OR(7&lt;N($K127),AND(N($L127)&gt;0,7&gt;$L127)),0,N($F127)*N($H127)*IFERROR(INDEX(cal_wd_active,IFERROR(MATCH($E127,cal_jurisdictions,0),MATCH($E127&amp;"-*",cal_jurisdictions,0)),7),0)*N($I127)*N($J127)))</f>
        <v>0</v>
      </c>
      <c r="AB127" cm="1">
        <f t="array" ref="AB127">IF($B127="",0,IF(OR(8&lt;N($K127),AND(N($L127)&gt;0,8&gt;$L127)),0,N($F127)*N($H127)*IFERROR(INDEX(cal_wd_active,IFERROR(MATCH($E127,cal_jurisdictions,0),MATCH($E127&amp;"-*",cal_jurisdictions,0)),8),0)*N($I127)*N($J127)))</f>
        <v>0</v>
      </c>
      <c r="AC127" cm="1">
        <f t="array" ref="AC127">IF($B127="",0,IF(OR(9&lt;N($K127),AND(N($L127)&gt;0,9&gt;$L127)),0,N($F127)*N($H127)*IFERROR(INDEX(cal_wd_active,IFERROR(MATCH($E127,cal_jurisdictions,0),MATCH($E127&amp;"-*",cal_jurisdictions,0)),9),0)*N($I127)*N($J127)))</f>
        <v>0</v>
      </c>
      <c r="AD127" cm="1">
        <f t="array" ref="AD127">IF($B127="",0,IF(OR(10&lt;N($K127),AND(N($L127)&gt;0,10&gt;$L127)),0,N($F127)*N($H127)*IFERROR(INDEX(cal_wd_active,IFERROR(MATCH($E127,cal_jurisdictions,0),MATCH($E127&amp;"-*",cal_jurisdictions,0)),10),0)*N($I127)*N($J127)))</f>
        <v>0</v>
      </c>
      <c r="AE127" cm="1">
        <f t="array" ref="AE127">IF($B127="",0,IF(OR(11&lt;N($K127),AND(N($L127)&gt;0,11&gt;$L127)),0,N($F127)*N($H127)*IFERROR(INDEX(cal_wd_active,IFERROR(MATCH($E127,cal_jurisdictions,0),MATCH($E127&amp;"-*",cal_jurisdictions,0)),11),0)*N($I127)*N($J127)))</f>
        <v>0</v>
      </c>
      <c r="AF127" cm="1">
        <f t="array" ref="AF127">IF($B127="",0,IF(OR(12&lt;N($K127),AND(N($L127)&gt;0,12&gt;$L127)),0,N($F127)*N($H127)*IFERROR(INDEX(cal_wd_active,IFERROR(MATCH($E127,cal_jurisdictions,0),MATCH($E127&amp;"-*",cal_jurisdictions,0)),12),0)*N($I127)*N($J127)))</f>
        <v>0</v>
      </c>
      <c r="AG127"/>
      <c r="AH127">
        <f>IF($B127="",0,N($M127)*(1+IF(N($N127)&gt;0,$N127,IFERROR(CHOOSE(MATCH(LEFT($E127,2),{"AU";"NZ";"US"},0),ref_au_oncost_total,ref_nz_oncost_total,ref_us_oncost_total),0)))/12*IF(OR(1&lt;N($K127),AND(N($L127)&gt;0,1&gt;$L127)),0,1))</f>
        <v>0</v>
      </c>
      <c r="AI127">
        <f>IF($B127="",0,N($M127)*(1+IF(N($N127)&gt;0,$N127,IFERROR(CHOOSE(MATCH(LEFT($E127,2),{"AU";"NZ";"US"},0),ref_au_oncost_total,ref_nz_oncost_total,ref_us_oncost_total),0)))/12*IF(OR(2&lt;N($K127),AND(N($L127)&gt;0,2&gt;$L127)),0,1))</f>
        <v>0</v>
      </c>
      <c r="AJ127">
        <f>IF($B127="",0,N($M127)*(1+IF(N($N127)&gt;0,$N127,IFERROR(CHOOSE(MATCH(LEFT($E127,2),{"AU";"NZ";"US"},0),ref_au_oncost_total,ref_nz_oncost_total,ref_us_oncost_total),0)))/12*IF(OR(3&lt;N($K127),AND(N($L127)&gt;0,3&gt;$L127)),0,1))</f>
        <v>0</v>
      </c>
      <c r="AK127">
        <f>IF($B127="",0,N($M127)*(1+IF(N($N127)&gt;0,$N127,IFERROR(CHOOSE(MATCH(LEFT($E127,2),{"AU";"NZ";"US"},0),ref_au_oncost_total,ref_nz_oncost_total,ref_us_oncost_total),0)))/12*IF(OR(4&lt;N($K127),AND(N($L127)&gt;0,4&gt;$L127)),0,1))</f>
        <v>0</v>
      </c>
      <c r="AL127">
        <f>IF($B127="",0,N($M127)*(1+IF(N($N127)&gt;0,$N127,IFERROR(CHOOSE(MATCH(LEFT($E127,2),{"AU";"NZ";"US"},0),ref_au_oncost_total,ref_nz_oncost_total,ref_us_oncost_total),0)))/12*IF(OR(5&lt;N($K127),AND(N($L127)&gt;0,5&gt;$L127)),0,1))</f>
        <v>0</v>
      </c>
      <c r="AM127">
        <f>IF($B127="",0,N($M127)*(1+IF(N($N127)&gt;0,$N127,IFERROR(CHOOSE(MATCH(LEFT($E127,2),{"AU";"NZ";"US"},0),ref_au_oncost_total,ref_nz_oncost_total,ref_us_oncost_total),0)))/12*IF(OR(6&lt;N($K127),AND(N($L127)&gt;0,6&gt;$L127)),0,1))</f>
        <v>0</v>
      </c>
      <c r="AN127">
        <f>IF($B127="",0,N($M127)*(1+IF(N($N127)&gt;0,$N127,IFERROR(CHOOSE(MATCH(LEFT($E127,2),{"AU";"NZ";"US"},0),ref_au_oncost_total,ref_nz_oncost_total,ref_us_oncost_total),0)))/12*IF(OR(7&lt;N($K127),AND(N($L127)&gt;0,7&gt;$L127)),0,1))</f>
        <v>0</v>
      </c>
      <c r="AO127">
        <f>IF($B127="",0,N($M127)*(1+IF(N($N127)&gt;0,$N127,IFERROR(CHOOSE(MATCH(LEFT($E127,2),{"AU";"NZ";"US"},0),ref_au_oncost_total,ref_nz_oncost_total,ref_us_oncost_total),0)))/12*IF(OR(8&lt;N($K127),AND(N($L127)&gt;0,8&gt;$L127)),0,1))</f>
        <v>0</v>
      </c>
      <c r="AP127">
        <f>IF($B127="",0,N($M127)*(1+IF(N($N127)&gt;0,$N127,IFERROR(CHOOSE(MATCH(LEFT($E127,2),{"AU";"NZ";"US"},0),ref_au_oncost_total,ref_nz_oncost_total,ref_us_oncost_total),0)))/12*IF(OR(9&lt;N($K127),AND(N($L127)&gt;0,9&gt;$L127)),0,1))</f>
        <v>0</v>
      </c>
      <c r="AQ127">
        <f>IF($B127="",0,N($M127)*(1+IF(N($N127)&gt;0,$N127,IFERROR(CHOOSE(MATCH(LEFT($E127,2),{"AU";"NZ";"US"},0),ref_au_oncost_total,ref_nz_oncost_total,ref_us_oncost_total),0)))/12*IF(OR(10&lt;N($K127),AND(N($L127)&gt;0,10&gt;$L127)),0,1))</f>
        <v>0</v>
      </c>
      <c r="AR127">
        <f>IF($B127="",0,N($M127)*(1+IF(N($N127)&gt;0,$N127,IFERROR(CHOOSE(MATCH(LEFT($E127,2),{"AU";"NZ";"US"},0),ref_au_oncost_total,ref_nz_oncost_total,ref_us_oncost_total),0)))/12*IF(OR(11&lt;N($K127),AND(N($L127)&gt;0,11&gt;$L127)),0,1))</f>
        <v>0</v>
      </c>
      <c r="AS127">
        <f>IF($B127="",0,N($M127)*(1+IF(N($N127)&gt;0,$N127,IFERROR(CHOOSE(MATCH(LEFT($E127,2),{"AU";"NZ";"US"},0),ref_au_oncost_total,ref_nz_oncost_total,ref_us_oncost_total),0)))/12*IF(OR(12&lt;N($K127),AND(N($L127)&gt;0,12&gt;$L127)),0,1))</f>
        <v>0</v>
      </c>
      <c r="AT127"/>
      <c r="AU127">
        <f t="shared" si="25"/>
        <v>0</v>
      </c>
      <c r="AV127">
        <f t="shared" si="26"/>
        <v>0</v>
      </c>
      <c r="AW127">
        <f t="shared" si="27"/>
        <v>0</v>
      </c>
      <c r="AX127">
        <f t="shared" si="28"/>
        <v>0</v>
      </c>
      <c r="AY127">
        <f t="shared" si="29"/>
        <v>0</v>
      </c>
      <c r="AZ127">
        <f t="shared" si="30"/>
        <v>0</v>
      </c>
      <c r="BA127">
        <f t="shared" si="31"/>
        <v>0</v>
      </c>
      <c r="BB127">
        <f t="shared" si="32"/>
        <v>0</v>
      </c>
      <c r="BC127">
        <f t="shared" si="33"/>
        <v>0</v>
      </c>
      <c r="BD127">
        <f t="shared" si="34"/>
        <v>0</v>
      </c>
      <c r="BE127">
        <f t="shared" si="35"/>
        <v>0</v>
      </c>
      <c r="BF127">
        <f t="shared" si="36"/>
        <v>0</v>
      </c>
    </row>
    <row r="128" spans="1:58" outlineLevel="1" x14ac:dyDescent="0.2">
      <c r="A128" s="41"/>
      <c r="B128" s="109"/>
      <c r="C128" s="109"/>
      <c r="D128" s="111"/>
      <c r="E128" s="112"/>
      <c r="F128" s="113"/>
      <c r="G128" s="109"/>
      <c r="H128" s="113"/>
      <c r="I128" s="104"/>
      <c r="J128" s="100"/>
      <c r="K128" s="110"/>
      <c r="L128" s="110"/>
      <c r="M128" s="100"/>
      <c r="N128" s="104"/>
      <c r="P128" s="41" t="str">
        <f t="shared" si="24"/>
        <v/>
      </c>
      <c r="S128"/>
      <c r="T128"/>
      <c r="U128" cm="1">
        <f t="array" ref="U128">IF($B128="",0,IF(OR(1&lt;N($K128),AND(N($L128)&gt;0,1&gt;$L128)),0,N($F128)*N($H128)*IFERROR(INDEX(cal_wd_active,IFERROR(MATCH($E128,cal_jurisdictions,0),MATCH($E128&amp;"-*",cal_jurisdictions,0)),1),0)*N($I128)*N($J128)))</f>
        <v>0</v>
      </c>
      <c r="V128" cm="1">
        <f t="array" ref="V128">IF($B128="",0,IF(OR(2&lt;N($K128),AND(N($L128)&gt;0,2&gt;$L128)),0,N($F128)*N($H128)*IFERROR(INDEX(cal_wd_active,IFERROR(MATCH($E128,cal_jurisdictions,0),MATCH($E128&amp;"-*",cal_jurisdictions,0)),2),0)*N($I128)*N($J128)))</f>
        <v>0</v>
      </c>
      <c r="W128" cm="1">
        <f t="array" ref="W128">IF($B128="",0,IF(OR(3&lt;N($K128),AND(N($L128)&gt;0,3&gt;$L128)),0,N($F128)*N($H128)*IFERROR(INDEX(cal_wd_active,IFERROR(MATCH($E128,cal_jurisdictions,0),MATCH($E128&amp;"-*",cal_jurisdictions,0)),3),0)*N($I128)*N($J128)))</f>
        <v>0</v>
      </c>
      <c r="X128" cm="1">
        <f t="array" ref="X128">IF($B128="",0,IF(OR(4&lt;N($K128),AND(N($L128)&gt;0,4&gt;$L128)),0,N($F128)*N($H128)*IFERROR(INDEX(cal_wd_active,IFERROR(MATCH($E128,cal_jurisdictions,0),MATCH($E128&amp;"-*",cal_jurisdictions,0)),4),0)*N($I128)*N($J128)))</f>
        <v>0</v>
      </c>
      <c r="Y128" cm="1">
        <f t="array" ref="Y128">IF($B128="",0,IF(OR(5&lt;N($K128),AND(N($L128)&gt;0,5&gt;$L128)),0,N($F128)*N($H128)*IFERROR(INDEX(cal_wd_active,IFERROR(MATCH($E128,cal_jurisdictions,0),MATCH($E128&amp;"-*",cal_jurisdictions,0)),5),0)*N($I128)*N($J128)))</f>
        <v>0</v>
      </c>
      <c r="Z128" cm="1">
        <f t="array" ref="Z128">IF($B128="",0,IF(OR(6&lt;N($K128),AND(N($L128)&gt;0,6&gt;$L128)),0,N($F128)*N($H128)*IFERROR(INDEX(cal_wd_active,IFERROR(MATCH($E128,cal_jurisdictions,0),MATCH($E128&amp;"-*",cal_jurisdictions,0)),6),0)*N($I128)*N($J128)))</f>
        <v>0</v>
      </c>
      <c r="AA128" cm="1">
        <f t="array" ref="AA128">IF($B128="",0,IF(OR(7&lt;N($K128),AND(N($L128)&gt;0,7&gt;$L128)),0,N($F128)*N($H128)*IFERROR(INDEX(cal_wd_active,IFERROR(MATCH($E128,cal_jurisdictions,0),MATCH($E128&amp;"-*",cal_jurisdictions,0)),7),0)*N($I128)*N($J128)))</f>
        <v>0</v>
      </c>
      <c r="AB128" cm="1">
        <f t="array" ref="AB128">IF($B128="",0,IF(OR(8&lt;N($K128),AND(N($L128)&gt;0,8&gt;$L128)),0,N($F128)*N($H128)*IFERROR(INDEX(cal_wd_active,IFERROR(MATCH($E128,cal_jurisdictions,0),MATCH($E128&amp;"-*",cal_jurisdictions,0)),8),0)*N($I128)*N($J128)))</f>
        <v>0</v>
      </c>
      <c r="AC128" cm="1">
        <f t="array" ref="AC128">IF($B128="",0,IF(OR(9&lt;N($K128),AND(N($L128)&gt;0,9&gt;$L128)),0,N($F128)*N($H128)*IFERROR(INDEX(cal_wd_active,IFERROR(MATCH($E128,cal_jurisdictions,0),MATCH($E128&amp;"-*",cal_jurisdictions,0)),9),0)*N($I128)*N($J128)))</f>
        <v>0</v>
      </c>
      <c r="AD128" cm="1">
        <f t="array" ref="AD128">IF($B128="",0,IF(OR(10&lt;N($K128),AND(N($L128)&gt;0,10&gt;$L128)),0,N($F128)*N($H128)*IFERROR(INDEX(cal_wd_active,IFERROR(MATCH($E128,cal_jurisdictions,0),MATCH($E128&amp;"-*",cal_jurisdictions,0)),10),0)*N($I128)*N($J128)))</f>
        <v>0</v>
      </c>
      <c r="AE128" cm="1">
        <f t="array" ref="AE128">IF($B128="",0,IF(OR(11&lt;N($K128),AND(N($L128)&gt;0,11&gt;$L128)),0,N($F128)*N($H128)*IFERROR(INDEX(cal_wd_active,IFERROR(MATCH($E128,cal_jurisdictions,0),MATCH($E128&amp;"-*",cal_jurisdictions,0)),11),0)*N($I128)*N($J128)))</f>
        <v>0</v>
      </c>
      <c r="AF128" cm="1">
        <f t="array" ref="AF128">IF($B128="",0,IF(OR(12&lt;N($K128),AND(N($L128)&gt;0,12&gt;$L128)),0,N($F128)*N($H128)*IFERROR(INDEX(cal_wd_active,IFERROR(MATCH($E128,cal_jurisdictions,0),MATCH($E128&amp;"-*",cal_jurisdictions,0)),12),0)*N($I128)*N($J128)))</f>
        <v>0</v>
      </c>
      <c r="AG128"/>
      <c r="AH128">
        <f>IF($B128="",0,N($M128)*(1+IF(N($N128)&gt;0,$N128,IFERROR(CHOOSE(MATCH(LEFT($E128,2),{"AU";"NZ";"US"},0),ref_au_oncost_total,ref_nz_oncost_total,ref_us_oncost_total),0)))/12*IF(OR(1&lt;N($K128),AND(N($L128)&gt;0,1&gt;$L128)),0,1))</f>
        <v>0</v>
      </c>
      <c r="AI128">
        <f>IF($B128="",0,N($M128)*(1+IF(N($N128)&gt;0,$N128,IFERROR(CHOOSE(MATCH(LEFT($E128,2),{"AU";"NZ";"US"},0),ref_au_oncost_total,ref_nz_oncost_total,ref_us_oncost_total),0)))/12*IF(OR(2&lt;N($K128),AND(N($L128)&gt;0,2&gt;$L128)),0,1))</f>
        <v>0</v>
      </c>
      <c r="AJ128">
        <f>IF($B128="",0,N($M128)*(1+IF(N($N128)&gt;0,$N128,IFERROR(CHOOSE(MATCH(LEFT($E128,2),{"AU";"NZ";"US"},0),ref_au_oncost_total,ref_nz_oncost_total,ref_us_oncost_total),0)))/12*IF(OR(3&lt;N($K128),AND(N($L128)&gt;0,3&gt;$L128)),0,1))</f>
        <v>0</v>
      </c>
      <c r="AK128">
        <f>IF($B128="",0,N($M128)*(1+IF(N($N128)&gt;0,$N128,IFERROR(CHOOSE(MATCH(LEFT($E128,2),{"AU";"NZ";"US"},0),ref_au_oncost_total,ref_nz_oncost_total,ref_us_oncost_total),0)))/12*IF(OR(4&lt;N($K128),AND(N($L128)&gt;0,4&gt;$L128)),0,1))</f>
        <v>0</v>
      </c>
      <c r="AL128">
        <f>IF($B128="",0,N($M128)*(1+IF(N($N128)&gt;0,$N128,IFERROR(CHOOSE(MATCH(LEFT($E128,2),{"AU";"NZ";"US"},0),ref_au_oncost_total,ref_nz_oncost_total,ref_us_oncost_total),0)))/12*IF(OR(5&lt;N($K128),AND(N($L128)&gt;0,5&gt;$L128)),0,1))</f>
        <v>0</v>
      </c>
      <c r="AM128">
        <f>IF($B128="",0,N($M128)*(1+IF(N($N128)&gt;0,$N128,IFERROR(CHOOSE(MATCH(LEFT($E128,2),{"AU";"NZ";"US"},0),ref_au_oncost_total,ref_nz_oncost_total,ref_us_oncost_total),0)))/12*IF(OR(6&lt;N($K128),AND(N($L128)&gt;0,6&gt;$L128)),0,1))</f>
        <v>0</v>
      </c>
      <c r="AN128">
        <f>IF($B128="",0,N($M128)*(1+IF(N($N128)&gt;0,$N128,IFERROR(CHOOSE(MATCH(LEFT($E128,2),{"AU";"NZ";"US"},0),ref_au_oncost_total,ref_nz_oncost_total,ref_us_oncost_total),0)))/12*IF(OR(7&lt;N($K128),AND(N($L128)&gt;0,7&gt;$L128)),0,1))</f>
        <v>0</v>
      </c>
      <c r="AO128">
        <f>IF($B128="",0,N($M128)*(1+IF(N($N128)&gt;0,$N128,IFERROR(CHOOSE(MATCH(LEFT($E128,2),{"AU";"NZ";"US"},0),ref_au_oncost_total,ref_nz_oncost_total,ref_us_oncost_total),0)))/12*IF(OR(8&lt;N($K128),AND(N($L128)&gt;0,8&gt;$L128)),0,1))</f>
        <v>0</v>
      </c>
      <c r="AP128">
        <f>IF($B128="",0,N($M128)*(1+IF(N($N128)&gt;0,$N128,IFERROR(CHOOSE(MATCH(LEFT($E128,2),{"AU";"NZ";"US"},0),ref_au_oncost_total,ref_nz_oncost_total,ref_us_oncost_total),0)))/12*IF(OR(9&lt;N($K128),AND(N($L128)&gt;0,9&gt;$L128)),0,1))</f>
        <v>0</v>
      </c>
      <c r="AQ128">
        <f>IF($B128="",0,N($M128)*(1+IF(N($N128)&gt;0,$N128,IFERROR(CHOOSE(MATCH(LEFT($E128,2),{"AU";"NZ";"US"},0),ref_au_oncost_total,ref_nz_oncost_total,ref_us_oncost_total),0)))/12*IF(OR(10&lt;N($K128),AND(N($L128)&gt;0,10&gt;$L128)),0,1))</f>
        <v>0</v>
      </c>
      <c r="AR128">
        <f>IF($B128="",0,N($M128)*(1+IF(N($N128)&gt;0,$N128,IFERROR(CHOOSE(MATCH(LEFT($E128,2),{"AU";"NZ";"US"},0),ref_au_oncost_total,ref_nz_oncost_total,ref_us_oncost_total),0)))/12*IF(OR(11&lt;N($K128),AND(N($L128)&gt;0,11&gt;$L128)),0,1))</f>
        <v>0</v>
      </c>
      <c r="AS128">
        <f>IF($B128="",0,N($M128)*(1+IF(N($N128)&gt;0,$N128,IFERROR(CHOOSE(MATCH(LEFT($E128,2),{"AU";"NZ";"US"},0),ref_au_oncost_total,ref_nz_oncost_total,ref_us_oncost_total),0)))/12*IF(OR(12&lt;N($K128),AND(N($L128)&gt;0,12&gt;$L128)),0,1))</f>
        <v>0</v>
      </c>
      <c r="AT128"/>
      <c r="AU128">
        <f t="shared" si="25"/>
        <v>0</v>
      </c>
      <c r="AV128">
        <f t="shared" si="26"/>
        <v>0</v>
      </c>
      <c r="AW128">
        <f t="shared" si="27"/>
        <v>0</v>
      </c>
      <c r="AX128">
        <f t="shared" si="28"/>
        <v>0</v>
      </c>
      <c r="AY128">
        <f t="shared" si="29"/>
        <v>0</v>
      </c>
      <c r="AZ128">
        <f t="shared" si="30"/>
        <v>0</v>
      </c>
      <c r="BA128">
        <f t="shared" si="31"/>
        <v>0</v>
      </c>
      <c r="BB128">
        <f t="shared" si="32"/>
        <v>0</v>
      </c>
      <c r="BC128">
        <f t="shared" si="33"/>
        <v>0</v>
      </c>
      <c r="BD128">
        <f t="shared" si="34"/>
        <v>0</v>
      </c>
      <c r="BE128">
        <f t="shared" si="35"/>
        <v>0</v>
      </c>
      <c r="BF128">
        <f t="shared" si="36"/>
        <v>0</v>
      </c>
    </row>
    <row r="129" spans="1:58" outlineLevel="1" x14ac:dyDescent="0.2">
      <c r="A129" s="41"/>
      <c r="B129" s="109"/>
      <c r="C129" s="109"/>
      <c r="D129" s="111"/>
      <c r="E129" s="112"/>
      <c r="F129" s="113"/>
      <c r="G129" s="109"/>
      <c r="H129" s="113"/>
      <c r="I129" s="104"/>
      <c r="J129" s="100"/>
      <c r="K129" s="110"/>
      <c r="L129" s="110"/>
      <c r="M129" s="100"/>
      <c r="N129" s="104"/>
      <c r="P129" s="41" t="str">
        <f t="shared" si="24"/>
        <v/>
      </c>
      <c r="S129"/>
      <c r="T129"/>
      <c r="U129" cm="1">
        <f t="array" ref="U129">IF($B129="",0,IF(OR(1&lt;N($K129),AND(N($L129)&gt;0,1&gt;$L129)),0,N($F129)*N($H129)*IFERROR(INDEX(cal_wd_active,IFERROR(MATCH($E129,cal_jurisdictions,0),MATCH($E129&amp;"-*",cal_jurisdictions,0)),1),0)*N($I129)*N($J129)))</f>
        <v>0</v>
      </c>
      <c r="V129" cm="1">
        <f t="array" ref="V129">IF($B129="",0,IF(OR(2&lt;N($K129),AND(N($L129)&gt;0,2&gt;$L129)),0,N($F129)*N($H129)*IFERROR(INDEX(cal_wd_active,IFERROR(MATCH($E129,cal_jurisdictions,0),MATCH($E129&amp;"-*",cal_jurisdictions,0)),2),0)*N($I129)*N($J129)))</f>
        <v>0</v>
      </c>
      <c r="W129" cm="1">
        <f t="array" ref="W129">IF($B129="",0,IF(OR(3&lt;N($K129),AND(N($L129)&gt;0,3&gt;$L129)),0,N($F129)*N($H129)*IFERROR(INDEX(cal_wd_active,IFERROR(MATCH($E129,cal_jurisdictions,0),MATCH($E129&amp;"-*",cal_jurisdictions,0)),3),0)*N($I129)*N($J129)))</f>
        <v>0</v>
      </c>
      <c r="X129" cm="1">
        <f t="array" ref="X129">IF($B129="",0,IF(OR(4&lt;N($K129),AND(N($L129)&gt;0,4&gt;$L129)),0,N($F129)*N($H129)*IFERROR(INDEX(cal_wd_active,IFERROR(MATCH($E129,cal_jurisdictions,0),MATCH($E129&amp;"-*",cal_jurisdictions,0)),4),0)*N($I129)*N($J129)))</f>
        <v>0</v>
      </c>
      <c r="Y129" cm="1">
        <f t="array" ref="Y129">IF($B129="",0,IF(OR(5&lt;N($K129),AND(N($L129)&gt;0,5&gt;$L129)),0,N($F129)*N($H129)*IFERROR(INDEX(cal_wd_active,IFERROR(MATCH($E129,cal_jurisdictions,0),MATCH($E129&amp;"-*",cal_jurisdictions,0)),5),0)*N($I129)*N($J129)))</f>
        <v>0</v>
      </c>
      <c r="Z129" cm="1">
        <f t="array" ref="Z129">IF($B129="",0,IF(OR(6&lt;N($K129),AND(N($L129)&gt;0,6&gt;$L129)),0,N($F129)*N($H129)*IFERROR(INDEX(cal_wd_active,IFERROR(MATCH($E129,cal_jurisdictions,0),MATCH($E129&amp;"-*",cal_jurisdictions,0)),6),0)*N($I129)*N($J129)))</f>
        <v>0</v>
      </c>
      <c r="AA129" cm="1">
        <f t="array" ref="AA129">IF($B129="",0,IF(OR(7&lt;N($K129),AND(N($L129)&gt;0,7&gt;$L129)),0,N($F129)*N($H129)*IFERROR(INDEX(cal_wd_active,IFERROR(MATCH($E129,cal_jurisdictions,0),MATCH($E129&amp;"-*",cal_jurisdictions,0)),7),0)*N($I129)*N($J129)))</f>
        <v>0</v>
      </c>
      <c r="AB129" cm="1">
        <f t="array" ref="AB129">IF($B129="",0,IF(OR(8&lt;N($K129),AND(N($L129)&gt;0,8&gt;$L129)),0,N($F129)*N($H129)*IFERROR(INDEX(cal_wd_active,IFERROR(MATCH($E129,cal_jurisdictions,0),MATCH($E129&amp;"-*",cal_jurisdictions,0)),8),0)*N($I129)*N($J129)))</f>
        <v>0</v>
      </c>
      <c r="AC129" cm="1">
        <f t="array" ref="AC129">IF($B129="",0,IF(OR(9&lt;N($K129),AND(N($L129)&gt;0,9&gt;$L129)),0,N($F129)*N($H129)*IFERROR(INDEX(cal_wd_active,IFERROR(MATCH($E129,cal_jurisdictions,0),MATCH($E129&amp;"-*",cal_jurisdictions,0)),9),0)*N($I129)*N($J129)))</f>
        <v>0</v>
      </c>
      <c r="AD129" cm="1">
        <f t="array" ref="AD129">IF($B129="",0,IF(OR(10&lt;N($K129),AND(N($L129)&gt;0,10&gt;$L129)),0,N($F129)*N($H129)*IFERROR(INDEX(cal_wd_active,IFERROR(MATCH($E129,cal_jurisdictions,0),MATCH($E129&amp;"-*",cal_jurisdictions,0)),10),0)*N($I129)*N($J129)))</f>
        <v>0</v>
      </c>
      <c r="AE129" cm="1">
        <f t="array" ref="AE129">IF($B129="",0,IF(OR(11&lt;N($K129),AND(N($L129)&gt;0,11&gt;$L129)),0,N($F129)*N($H129)*IFERROR(INDEX(cal_wd_active,IFERROR(MATCH($E129,cal_jurisdictions,0),MATCH($E129&amp;"-*",cal_jurisdictions,0)),11),0)*N($I129)*N($J129)))</f>
        <v>0</v>
      </c>
      <c r="AF129" cm="1">
        <f t="array" ref="AF129">IF($B129="",0,IF(OR(12&lt;N($K129),AND(N($L129)&gt;0,12&gt;$L129)),0,N($F129)*N($H129)*IFERROR(INDEX(cal_wd_active,IFERROR(MATCH($E129,cal_jurisdictions,0),MATCH($E129&amp;"-*",cal_jurisdictions,0)),12),0)*N($I129)*N($J129)))</f>
        <v>0</v>
      </c>
      <c r="AG129"/>
      <c r="AH129">
        <f>IF($B129="",0,N($M129)*(1+IF(N($N129)&gt;0,$N129,IFERROR(CHOOSE(MATCH(LEFT($E129,2),{"AU";"NZ";"US"},0),ref_au_oncost_total,ref_nz_oncost_total,ref_us_oncost_total),0)))/12*IF(OR(1&lt;N($K129),AND(N($L129)&gt;0,1&gt;$L129)),0,1))</f>
        <v>0</v>
      </c>
      <c r="AI129">
        <f>IF($B129="",0,N($M129)*(1+IF(N($N129)&gt;0,$N129,IFERROR(CHOOSE(MATCH(LEFT($E129,2),{"AU";"NZ";"US"},0),ref_au_oncost_total,ref_nz_oncost_total,ref_us_oncost_total),0)))/12*IF(OR(2&lt;N($K129),AND(N($L129)&gt;0,2&gt;$L129)),0,1))</f>
        <v>0</v>
      </c>
      <c r="AJ129">
        <f>IF($B129="",0,N($M129)*(1+IF(N($N129)&gt;0,$N129,IFERROR(CHOOSE(MATCH(LEFT($E129,2),{"AU";"NZ";"US"},0),ref_au_oncost_total,ref_nz_oncost_total,ref_us_oncost_total),0)))/12*IF(OR(3&lt;N($K129),AND(N($L129)&gt;0,3&gt;$L129)),0,1))</f>
        <v>0</v>
      </c>
      <c r="AK129">
        <f>IF($B129="",0,N($M129)*(1+IF(N($N129)&gt;0,$N129,IFERROR(CHOOSE(MATCH(LEFT($E129,2),{"AU";"NZ";"US"},0),ref_au_oncost_total,ref_nz_oncost_total,ref_us_oncost_total),0)))/12*IF(OR(4&lt;N($K129),AND(N($L129)&gt;0,4&gt;$L129)),0,1))</f>
        <v>0</v>
      </c>
      <c r="AL129">
        <f>IF($B129="",0,N($M129)*(1+IF(N($N129)&gt;0,$N129,IFERROR(CHOOSE(MATCH(LEFT($E129,2),{"AU";"NZ";"US"},0),ref_au_oncost_total,ref_nz_oncost_total,ref_us_oncost_total),0)))/12*IF(OR(5&lt;N($K129),AND(N($L129)&gt;0,5&gt;$L129)),0,1))</f>
        <v>0</v>
      </c>
      <c r="AM129">
        <f>IF($B129="",0,N($M129)*(1+IF(N($N129)&gt;0,$N129,IFERROR(CHOOSE(MATCH(LEFT($E129,2),{"AU";"NZ";"US"},0),ref_au_oncost_total,ref_nz_oncost_total,ref_us_oncost_total),0)))/12*IF(OR(6&lt;N($K129),AND(N($L129)&gt;0,6&gt;$L129)),0,1))</f>
        <v>0</v>
      </c>
      <c r="AN129">
        <f>IF($B129="",0,N($M129)*(1+IF(N($N129)&gt;0,$N129,IFERROR(CHOOSE(MATCH(LEFT($E129,2),{"AU";"NZ";"US"},0),ref_au_oncost_total,ref_nz_oncost_total,ref_us_oncost_total),0)))/12*IF(OR(7&lt;N($K129),AND(N($L129)&gt;0,7&gt;$L129)),0,1))</f>
        <v>0</v>
      </c>
      <c r="AO129">
        <f>IF($B129="",0,N($M129)*(1+IF(N($N129)&gt;0,$N129,IFERROR(CHOOSE(MATCH(LEFT($E129,2),{"AU";"NZ";"US"},0),ref_au_oncost_total,ref_nz_oncost_total,ref_us_oncost_total),0)))/12*IF(OR(8&lt;N($K129),AND(N($L129)&gt;0,8&gt;$L129)),0,1))</f>
        <v>0</v>
      </c>
      <c r="AP129">
        <f>IF($B129="",0,N($M129)*(1+IF(N($N129)&gt;0,$N129,IFERROR(CHOOSE(MATCH(LEFT($E129,2),{"AU";"NZ";"US"},0),ref_au_oncost_total,ref_nz_oncost_total,ref_us_oncost_total),0)))/12*IF(OR(9&lt;N($K129),AND(N($L129)&gt;0,9&gt;$L129)),0,1))</f>
        <v>0</v>
      </c>
      <c r="AQ129">
        <f>IF($B129="",0,N($M129)*(1+IF(N($N129)&gt;0,$N129,IFERROR(CHOOSE(MATCH(LEFT($E129,2),{"AU";"NZ";"US"},0),ref_au_oncost_total,ref_nz_oncost_total,ref_us_oncost_total),0)))/12*IF(OR(10&lt;N($K129),AND(N($L129)&gt;0,10&gt;$L129)),0,1))</f>
        <v>0</v>
      </c>
      <c r="AR129">
        <f>IF($B129="",0,N($M129)*(1+IF(N($N129)&gt;0,$N129,IFERROR(CHOOSE(MATCH(LEFT($E129,2),{"AU";"NZ";"US"},0),ref_au_oncost_total,ref_nz_oncost_total,ref_us_oncost_total),0)))/12*IF(OR(11&lt;N($K129),AND(N($L129)&gt;0,11&gt;$L129)),0,1))</f>
        <v>0</v>
      </c>
      <c r="AS129">
        <f>IF($B129="",0,N($M129)*(1+IF(N($N129)&gt;0,$N129,IFERROR(CHOOSE(MATCH(LEFT($E129,2),{"AU";"NZ";"US"},0),ref_au_oncost_total,ref_nz_oncost_total,ref_us_oncost_total),0)))/12*IF(OR(12&lt;N($K129),AND(N($L129)&gt;0,12&gt;$L129)),0,1))</f>
        <v>0</v>
      </c>
      <c r="AT129"/>
      <c r="AU129">
        <f t="shared" si="25"/>
        <v>0</v>
      </c>
      <c r="AV129">
        <f t="shared" si="26"/>
        <v>0</v>
      </c>
      <c r="AW129">
        <f t="shared" si="27"/>
        <v>0</v>
      </c>
      <c r="AX129">
        <f t="shared" si="28"/>
        <v>0</v>
      </c>
      <c r="AY129">
        <f t="shared" si="29"/>
        <v>0</v>
      </c>
      <c r="AZ129">
        <f t="shared" si="30"/>
        <v>0</v>
      </c>
      <c r="BA129">
        <f t="shared" si="31"/>
        <v>0</v>
      </c>
      <c r="BB129">
        <f t="shared" si="32"/>
        <v>0</v>
      </c>
      <c r="BC129">
        <f t="shared" si="33"/>
        <v>0</v>
      </c>
      <c r="BD129">
        <f t="shared" si="34"/>
        <v>0</v>
      </c>
      <c r="BE129">
        <f t="shared" si="35"/>
        <v>0</v>
      </c>
      <c r="BF129">
        <f t="shared" si="36"/>
        <v>0</v>
      </c>
    </row>
    <row r="130" spans="1:58" outlineLevel="1" x14ac:dyDescent="0.2">
      <c r="A130" s="41"/>
      <c r="B130" s="109"/>
      <c r="C130" s="109"/>
      <c r="D130" s="111"/>
      <c r="E130" s="112"/>
      <c r="F130" s="113"/>
      <c r="G130" s="109"/>
      <c r="H130" s="113"/>
      <c r="I130" s="104"/>
      <c r="J130" s="100"/>
      <c r="K130" s="110"/>
      <c r="L130" s="110"/>
      <c r="M130" s="100"/>
      <c r="N130" s="104"/>
      <c r="P130" s="41" t="str">
        <f t="shared" si="24"/>
        <v/>
      </c>
      <c r="S130"/>
      <c r="T130"/>
      <c r="U130" cm="1">
        <f t="array" ref="U130">IF($B130="",0,IF(OR(1&lt;N($K130),AND(N($L130)&gt;0,1&gt;$L130)),0,N($F130)*N($H130)*IFERROR(INDEX(cal_wd_active,IFERROR(MATCH($E130,cal_jurisdictions,0),MATCH($E130&amp;"-*",cal_jurisdictions,0)),1),0)*N($I130)*N($J130)))</f>
        <v>0</v>
      </c>
      <c r="V130" cm="1">
        <f t="array" ref="V130">IF($B130="",0,IF(OR(2&lt;N($K130),AND(N($L130)&gt;0,2&gt;$L130)),0,N($F130)*N($H130)*IFERROR(INDEX(cal_wd_active,IFERROR(MATCH($E130,cal_jurisdictions,0),MATCH($E130&amp;"-*",cal_jurisdictions,0)),2),0)*N($I130)*N($J130)))</f>
        <v>0</v>
      </c>
      <c r="W130" cm="1">
        <f t="array" ref="W130">IF($B130="",0,IF(OR(3&lt;N($K130),AND(N($L130)&gt;0,3&gt;$L130)),0,N($F130)*N($H130)*IFERROR(INDEX(cal_wd_active,IFERROR(MATCH($E130,cal_jurisdictions,0),MATCH($E130&amp;"-*",cal_jurisdictions,0)),3),0)*N($I130)*N($J130)))</f>
        <v>0</v>
      </c>
      <c r="X130" cm="1">
        <f t="array" ref="X130">IF($B130="",0,IF(OR(4&lt;N($K130),AND(N($L130)&gt;0,4&gt;$L130)),0,N($F130)*N($H130)*IFERROR(INDEX(cal_wd_active,IFERROR(MATCH($E130,cal_jurisdictions,0),MATCH($E130&amp;"-*",cal_jurisdictions,0)),4),0)*N($I130)*N($J130)))</f>
        <v>0</v>
      </c>
      <c r="Y130" cm="1">
        <f t="array" ref="Y130">IF($B130="",0,IF(OR(5&lt;N($K130),AND(N($L130)&gt;0,5&gt;$L130)),0,N($F130)*N($H130)*IFERROR(INDEX(cal_wd_active,IFERROR(MATCH($E130,cal_jurisdictions,0),MATCH($E130&amp;"-*",cal_jurisdictions,0)),5),0)*N($I130)*N($J130)))</f>
        <v>0</v>
      </c>
      <c r="Z130" cm="1">
        <f t="array" ref="Z130">IF($B130="",0,IF(OR(6&lt;N($K130),AND(N($L130)&gt;0,6&gt;$L130)),0,N($F130)*N($H130)*IFERROR(INDEX(cal_wd_active,IFERROR(MATCH($E130,cal_jurisdictions,0),MATCH($E130&amp;"-*",cal_jurisdictions,0)),6),0)*N($I130)*N($J130)))</f>
        <v>0</v>
      </c>
      <c r="AA130" cm="1">
        <f t="array" ref="AA130">IF($B130="",0,IF(OR(7&lt;N($K130),AND(N($L130)&gt;0,7&gt;$L130)),0,N($F130)*N($H130)*IFERROR(INDEX(cal_wd_active,IFERROR(MATCH($E130,cal_jurisdictions,0),MATCH($E130&amp;"-*",cal_jurisdictions,0)),7),0)*N($I130)*N($J130)))</f>
        <v>0</v>
      </c>
      <c r="AB130" cm="1">
        <f t="array" ref="AB130">IF($B130="",0,IF(OR(8&lt;N($K130),AND(N($L130)&gt;0,8&gt;$L130)),0,N($F130)*N($H130)*IFERROR(INDEX(cal_wd_active,IFERROR(MATCH($E130,cal_jurisdictions,0),MATCH($E130&amp;"-*",cal_jurisdictions,0)),8),0)*N($I130)*N($J130)))</f>
        <v>0</v>
      </c>
      <c r="AC130" cm="1">
        <f t="array" ref="AC130">IF($B130="",0,IF(OR(9&lt;N($K130),AND(N($L130)&gt;0,9&gt;$L130)),0,N($F130)*N($H130)*IFERROR(INDEX(cal_wd_active,IFERROR(MATCH($E130,cal_jurisdictions,0),MATCH($E130&amp;"-*",cal_jurisdictions,0)),9),0)*N($I130)*N($J130)))</f>
        <v>0</v>
      </c>
      <c r="AD130" cm="1">
        <f t="array" ref="AD130">IF($B130="",0,IF(OR(10&lt;N($K130),AND(N($L130)&gt;0,10&gt;$L130)),0,N($F130)*N($H130)*IFERROR(INDEX(cal_wd_active,IFERROR(MATCH($E130,cal_jurisdictions,0),MATCH($E130&amp;"-*",cal_jurisdictions,0)),10),0)*N($I130)*N($J130)))</f>
        <v>0</v>
      </c>
      <c r="AE130" cm="1">
        <f t="array" ref="AE130">IF($B130="",0,IF(OR(11&lt;N($K130),AND(N($L130)&gt;0,11&gt;$L130)),0,N($F130)*N($H130)*IFERROR(INDEX(cal_wd_active,IFERROR(MATCH($E130,cal_jurisdictions,0),MATCH($E130&amp;"-*",cal_jurisdictions,0)),11),0)*N($I130)*N($J130)))</f>
        <v>0</v>
      </c>
      <c r="AF130" cm="1">
        <f t="array" ref="AF130">IF($B130="",0,IF(OR(12&lt;N($K130),AND(N($L130)&gt;0,12&gt;$L130)),0,N($F130)*N($H130)*IFERROR(INDEX(cal_wd_active,IFERROR(MATCH($E130,cal_jurisdictions,0),MATCH($E130&amp;"-*",cal_jurisdictions,0)),12),0)*N($I130)*N($J130)))</f>
        <v>0</v>
      </c>
      <c r="AG130"/>
      <c r="AH130">
        <f>IF($B130="",0,N($M130)*(1+IF(N($N130)&gt;0,$N130,IFERROR(CHOOSE(MATCH(LEFT($E130,2),{"AU";"NZ";"US"},0),ref_au_oncost_total,ref_nz_oncost_total,ref_us_oncost_total),0)))/12*IF(OR(1&lt;N($K130),AND(N($L130)&gt;0,1&gt;$L130)),0,1))</f>
        <v>0</v>
      </c>
      <c r="AI130">
        <f>IF($B130="",0,N($M130)*(1+IF(N($N130)&gt;0,$N130,IFERROR(CHOOSE(MATCH(LEFT($E130,2),{"AU";"NZ";"US"},0),ref_au_oncost_total,ref_nz_oncost_total,ref_us_oncost_total),0)))/12*IF(OR(2&lt;N($K130),AND(N($L130)&gt;0,2&gt;$L130)),0,1))</f>
        <v>0</v>
      </c>
      <c r="AJ130">
        <f>IF($B130="",0,N($M130)*(1+IF(N($N130)&gt;0,$N130,IFERROR(CHOOSE(MATCH(LEFT($E130,2),{"AU";"NZ";"US"},0),ref_au_oncost_total,ref_nz_oncost_total,ref_us_oncost_total),0)))/12*IF(OR(3&lt;N($K130),AND(N($L130)&gt;0,3&gt;$L130)),0,1))</f>
        <v>0</v>
      </c>
      <c r="AK130">
        <f>IF($B130="",0,N($M130)*(1+IF(N($N130)&gt;0,$N130,IFERROR(CHOOSE(MATCH(LEFT($E130,2),{"AU";"NZ";"US"},0),ref_au_oncost_total,ref_nz_oncost_total,ref_us_oncost_total),0)))/12*IF(OR(4&lt;N($K130),AND(N($L130)&gt;0,4&gt;$L130)),0,1))</f>
        <v>0</v>
      </c>
      <c r="AL130">
        <f>IF($B130="",0,N($M130)*(1+IF(N($N130)&gt;0,$N130,IFERROR(CHOOSE(MATCH(LEFT($E130,2),{"AU";"NZ";"US"},0),ref_au_oncost_total,ref_nz_oncost_total,ref_us_oncost_total),0)))/12*IF(OR(5&lt;N($K130),AND(N($L130)&gt;0,5&gt;$L130)),0,1))</f>
        <v>0</v>
      </c>
      <c r="AM130">
        <f>IF($B130="",0,N($M130)*(1+IF(N($N130)&gt;0,$N130,IFERROR(CHOOSE(MATCH(LEFT($E130,2),{"AU";"NZ";"US"},0),ref_au_oncost_total,ref_nz_oncost_total,ref_us_oncost_total),0)))/12*IF(OR(6&lt;N($K130),AND(N($L130)&gt;0,6&gt;$L130)),0,1))</f>
        <v>0</v>
      </c>
      <c r="AN130">
        <f>IF($B130="",0,N($M130)*(1+IF(N($N130)&gt;0,$N130,IFERROR(CHOOSE(MATCH(LEFT($E130,2),{"AU";"NZ";"US"},0),ref_au_oncost_total,ref_nz_oncost_total,ref_us_oncost_total),0)))/12*IF(OR(7&lt;N($K130),AND(N($L130)&gt;0,7&gt;$L130)),0,1))</f>
        <v>0</v>
      </c>
      <c r="AO130">
        <f>IF($B130="",0,N($M130)*(1+IF(N($N130)&gt;0,$N130,IFERROR(CHOOSE(MATCH(LEFT($E130,2),{"AU";"NZ";"US"},0),ref_au_oncost_total,ref_nz_oncost_total,ref_us_oncost_total),0)))/12*IF(OR(8&lt;N($K130),AND(N($L130)&gt;0,8&gt;$L130)),0,1))</f>
        <v>0</v>
      </c>
      <c r="AP130">
        <f>IF($B130="",0,N($M130)*(1+IF(N($N130)&gt;0,$N130,IFERROR(CHOOSE(MATCH(LEFT($E130,2),{"AU";"NZ";"US"},0),ref_au_oncost_total,ref_nz_oncost_total,ref_us_oncost_total),0)))/12*IF(OR(9&lt;N($K130),AND(N($L130)&gt;0,9&gt;$L130)),0,1))</f>
        <v>0</v>
      </c>
      <c r="AQ130">
        <f>IF($B130="",0,N($M130)*(1+IF(N($N130)&gt;0,$N130,IFERROR(CHOOSE(MATCH(LEFT($E130,2),{"AU";"NZ";"US"},0),ref_au_oncost_total,ref_nz_oncost_total,ref_us_oncost_total),0)))/12*IF(OR(10&lt;N($K130),AND(N($L130)&gt;0,10&gt;$L130)),0,1))</f>
        <v>0</v>
      </c>
      <c r="AR130">
        <f>IF($B130="",0,N($M130)*(1+IF(N($N130)&gt;0,$N130,IFERROR(CHOOSE(MATCH(LEFT($E130,2),{"AU";"NZ";"US"},0),ref_au_oncost_total,ref_nz_oncost_total,ref_us_oncost_total),0)))/12*IF(OR(11&lt;N($K130),AND(N($L130)&gt;0,11&gt;$L130)),0,1))</f>
        <v>0</v>
      </c>
      <c r="AS130">
        <f>IF($B130="",0,N($M130)*(1+IF(N($N130)&gt;0,$N130,IFERROR(CHOOSE(MATCH(LEFT($E130,2),{"AU";"NZ";"US"},0),ref_au_oncost_total,ref_nz_oncost_total,ref_us_oncost_total),0)))/12*IF(OR(12&lt;N($K130),AND(N($L130)&gt;0,12&gt;$L130)),0,1))</f>
        <v>0</v>
      </c>
      <c r="AT130"/>
      <c r="AU130">
        <f t="shared" si="25"/>
        <v>0</v>
      </c>
      <c r="AV130">
        <f t="shared" si="26"/>
        <v>0</v>
      </c>
      <c r="AW130">
        <f t="shared" si="27"/>
        <v>0</v>
      </c>
      <c r="AX130">
        <f t="shared" si="28"/>
        <v>0</v>
      </c>
      <c r="AY130">
        <f t="shared" si="29"/>
        <v>0</v>
      </c>
      <c r="AZ130">
        <f t="shared" si="30"/>
        <v>0</v>
      </c>
      <c r="BA130">
        <f t="shared" si="31"/>
        <v>0</v>
      </c>
      <c r="BB130">
        <f t="shared" si="32"/>
        <v>0</v>
      </c>
      <c r="BC130">
        <f t="shared" si="33"/>
        <v>0</v>
      </c>
      <c r="BD130">
        <f t="shared" si="34"/>
        <v>0</v>
      </c>
      <c r="BE130">
        <f t="shared" si="35"/>
        <v>0</v>
      </c>
      <c r="BF130">
        <f t="shared" si="36"/>
        <v>0</v>
      </c>
    </row>
    <row r="131" spans="1:58" outlineLevel="1" x14ac:dyDescent="0.2">
      <c r="A131" s="41"/>
      <c r="B131" s="109"/>
      <c r="C131" s="109"/>
      <c r="D131" s="111"/>
      <c r="E131" s="112"/>
      <c r="F131" s="113"/>
      <c r="G131" s="109"/>
      <c r="H131" s="113"/>
      <c r="I131" s="104"/>
      <c r="J131" s="100"/>
      <c r="K131" s="110"/>
      <c r="L131" s="110"/>
      <c r="M131" s="100"/>
      <c r="N131" s="104"/>
      <c r="P131" s="41" t="str">
        <f t="shared" si="24"/>
        <v/>
      </c>
      <c r="S131"/>
      <c r="T131"/>
      <c r="U131" cm="1">
        <f t="array" ref="U131">IF($B131="",0,IF(OR(1&lt;N($K131),AND(N($L131)&gt;0,1&gt;$L131)),0,N($F131)*N($H131)*IFERROR(INDEX(cal_wd_active,IFERROR(MATCH($E131,cal_jurisdictions,0),MATCH($E131&amp;"-*",cal_jurisdictions,0)),1),0)*N($I131)*N($J131)))</f>
        <v>0</v>
      </c>
      <c r="V131" cm="1">
        <f t="array" ref="V131">IF($B131="",0,IF(OR(2&lt;N($K131),AND(N($L131)&gt;0,2&gt;$L131)),0,N($F131)*N($H131)*IFERROR(INDEX(cal_wd_active,IFERROR(MATCH($E131,cal_jurisdictions,0),MATCH($E131&amp;"-*",cal_jurisdictions,0)),2),0)*N($I131)*N($J131)))</f>
        <v>0</v>
      </c>
      <c r="W131" cm="1">
        <f t="array" ref="W131">IF($B131="",0,IF(OR(3&lt;N($K131),AND(N($L131)&gt;0,3&gt;$L131)),0,N($F131)*N($H131)*IFERROR(INDEX(cal_wd_active,IFERROR(MATCH($E131,cal_jurisdictions,0),MATCH($E131&amp;"-*",cal_jurisdictions,0)),3),0)*N($I131)*N($J131)))</f>
        <v>0</v>
      </c>
      <c r="X131" cm="1">
        <f t="array" ref="X131">IF($B131="",0,IF(OR(4&lt;N($K131),AND(N($L131)&gt;0,4&gt;$L131)),0,N($F131)*N($H131)*IFERROR(INDEX(cal_wd_active,IFERROR(MATCH($E131,cal_jurisdictions,0),MATCH($E131&amp;"-*",cal_jurisdictions,0)),4),0)*N($I131)*N($J131)))</f>
        <v>0</v>
      </c>
      <c r="Y131" cm="1">
        <f t="array" ref="Y131">IF($B131="",0,IF(OR(5&lt;N($K131),AND(N($L131)&gt;0,5&gt;$L131)),0,N($F131)*N($H131)*IFERROR(INDEX(cal_wd_active,IFERROR(MATCH($E131,cal_jurisdictions,0),MATCH($E131&amp;"-*",cal_jurisdictions,0)),5),0)*N($I131)*N($J131)))</f>
        <v>0</v>
      </c>
      <c r="Z131" cm="1">
        <f t="array" ref="Z131">IF($B131="",0,IF(OR(6&lt;N($K131),AND(N($L131)&gt;0,6&gt;$L131)),0,N($F131)*N($H131)*IFERROR(INDEX(cal_wd_active,IFERROR(MATCH($E131,cal_jurisdictions,0),MATCH($E131&amp;"-*",cal_jurisdictions,0)),6),0)*N($I131)*N($J131)))</f>
        <v>0</v>
      </c>
      <c r="AA131" cm="1">
        <f t="array" ref="AA131">IF($B131="",0,IF(OR(7&lt;N($K131),AND(N($L131)&gt;0,7&gt;$L131)),0,N($F131)*N($H131)*IFERROR(INDEX(cal_wd_active,IFERROR(MATCH($E131,cal_jurisdictions,0),MATCH($E131&amp;"-*",cal_jurisdictions,0)),7),0)*N($I131)*N($J131)))</f>
        <v>0</v>
      </c>
      <c r="AB131" cm="1">
        <f t="array" ref="AB131">IF($B131="",0,IF(OR(8&lt;N($K131),AND(N($L131)&gt;0,8&gt;$L131)),0,N($F131)*N($H131)*IFERROR(INDEX(cal_wd_active,IFERROR(MATCH($E131,cal_jurisdictions,0),MATCH($E131&amp;"-*",cal_jurisdictions,0)),8),0)*N($I131)*N($J131)))</f>
        <v>0</v>
      </c>
      <c r="AC131" cm="1">
        <f t="array" ref="AC131">IF($B131="",0,IF(OR(9&lt;N($K131),AND(N($L131)&gt;0,9&gt;$L131)),0,N($F131)*N($H131)*IFERROR(INDEX(cal_wd_active,IFERROR(MATCH($E131,cal_jurisdictions,0),MATCH($E131&amp;"-*",cal_jurisdictions,0)),9),0)*N($I131)*N($J131)))</f>
        <v>0</v>
      </c>
      <c r="AD131" cm="1">
        <f t="array" ref="AD131">IF($B131="",0,IF(OR(10&lt;N($K131),AND(N($L131)&gt;0,10&gt;$L131)),0,N($F131)*N($H131)*IFERROR(INDEX(cal_wd_active,IFERROR(MATCH($E131,cal_jurisdictions,0),MATCH($E131&amp;"-*",cal_jurisdictions,0)),10),0)*N($I131)*N($J131)))</f>
        <v>0</v>
      </c>
      <c r="AE131" cm="1">
        <f t="array" ref="AE131">IF($B131="",0,IF(OR(11&lt;N($K131),AND(N($L131)&gt;0,11&gt;$L131)),0,N($F131)*N($H131)*IFERROR(INDEX(cal_wd_active,IFERROR(MATCH($E131,cal_jurisdictions,0),MATCH($E131&amp;"-*",cal_jurisdictions,0)),11),0)*N($I131)*N($J131)))</f>
        <v>0</v>
      </c>
      <c r="AF131" cm="1">
        <f t="array" ref="AF131">IF($B131="",0,IF(OR(12&lt;N($K131),AND(N($L131)&gt;0,12&gt;$L131)),0,N($F131)*N($H131)*IFERROR(INDEX(cal_wd_active,IFERROR(MATCH($E131,cal_jurisdictions,0),MATCH($E131&amp;"-*",cal_jurisdictions,0)),12),0)*N($I131)*N($J131)))</f>
        <v>0</v>
      </c>
      <c r="AG131"/>
      <c r="AH131">
        <f>IF($B131="",0,N($M131)*(1+IF(N($N131)&gt;0,$N131,IFERROR(CHOOSE(MATCH(LEFT($E131,2),{"AU";"NZ";"US"},0),ref_au_oncost_total,ref_nz_oncost_total,ref_us_oncost_total),0)))/12*IF(OR(1&lt;N($K131),AND(N($L131)&gt;0,1&gt;$L131)),0,1))</f>
        <v>0</v>
      </c>
      <c r="AI131">
        <f>IF($B131="",0,N($M131)*(1+IF(N($N131)&gt;0,$N131,IFERROR(CHOOSE(MATCH(LEFT($E131,2),{"AU";"NZ";"US"},0),ref_au_oncost_total,ref_nz_oncost_total,ref_us_oncost_total),0)))/12*IF(OR(2&lt;N($K131),AND(N($L131)&gt;0,2&gt;$L131)),0,1))</f>
        <v>0</v>
      </c>
      <c r="AJ131">
        <f>IF($B131="",0,N($M131)*(1+IF(N($N131)&gt;0,$N131,IFERROR(CHOOSE(MATCH(LEFT($E131,2),{"AU";"NZ";"US"},0),ref_au_oncost_total,ref_nz_oncost_total,ref_us_oncost_total),0)))/12*IF(OR(3&lt;N($K131),AND(N($L131)&gt;0,3&gt;$L131)),0,1))</f>
        <v>0</v>
      </c>
      <c r="AK131">
        <f>IF($B131="",0,N($M131)*(1+IF(N($N131)&gt;0,$N131,IFERROR(CHOOSE(MATCH(LEFT($E131,2),{"AU";"NZ";"US"},0),ref_au_oncost_total,ref_nz_oncost_total,ref_us_oncost_total),0)))/12*IF(OR(4&lt;N($K131),AND(N($L131)&gt;0,4&gt;$L131)),0,1))</f>
        <v>0</v>
      </c>
      <c r="AL131">
        <f>IF($B131="",0,N($M131)*(1+IF(N($N131)&gt;0,$N131,IFERROR(CHOOSE(MATCH(LEFT($E131,2),{"AU";"NZ";"US"},0),ref_au_oncost_total,ref_nz_oncost_total,ref_us_oncost_total),0)))/12*IF(OR(5&lt;N($K131),AND(N($L131)&gt;0,5&gt;$L131)),0,1))</f>
        <v>0</v>
      </c>
      <c r="AM131">
        <f>IF($B131="",0,N($M131)*(1+IF(N($N131)&gt;0,$N131,IFERROR(CHOOSE(MATCH(LEFT($E131,2),{"AU";"NZ";"US"},0),ref_au_oncost_total,ref_nz_oncost_total,ref_us_oncost_total),0)))/12*IF(OR(6&lt;N($K131),AND(N($L131)&gt;0,6&gt;$L131)),0,1))</f>
        <v>0</v>
      </c>
      <c r="AN131">
        <f>IF($B131="",0,N($M131)*(1+IF(N($N131)&gt;0,$N131,IFERROR(CHOOSE(MATCH(LEFT($E131,2),{"AU";"NZ";"US"},0),ref_au_oncost_total,ref_nz_oncost_total,ref_us_oncost_total),0)))/12*IF(OR(7&lt;N($K131),AND(N($L131)&gt;0,7&gt;$L131)),0,1))</f>
        <v>0</v>
      </c>
      <c r="AO131">
        <f>IF($B131="",0,N($M131)*(1+IF(N($N131)&gt;0,$N131,IFERROR(CHOOSE(MATCH(LEFT($E131,2),{"AU";"NZ";"US"},0),ref_au_oncost_total,ref_nz_oncost_total,ref_us_oncost_total),0)))/12*IF(OR(8&lt;N($K131),AND(N($L131)&gt;0,8&gt;$L131)),0,1))</f>
        <v>0</v>
      </c>
      <c r="AP131">
        <f>IF($B131="",0,N($M131)*(1+IF(N($N131)&gt;0,$N131,IFERROR(CHOOSE(MATCH(LEFT($E131,2),{"AU";"NZ";"US"},0),ref_au_oncost_total,ref_nz_oncost_total,ref_us_oncost_total),0)))/12*IF(OR(9&lt;N($K131),AND(N($L131)&gt;0,9&gt;$L131)),0,1))</f>
        <v>0</v>
      </c>
      <c r="AQ131">
        <f>IF($B131="",0,N($M131)*(1+IF(N($N131)&gt;0,$N131,IFERROR(CHOOSE(MATCH(LEFT($E131,2),{"AU";"NZ";"US"},0),ref_au_oncost_total,ref_nz_oncost_total,ref_us_oncost_total),0)))/12*IF(OR(10&lt;N($K131),AND(N($L131)&gt;0,10&gt;$L131)),0,1))</f>
        <v>0</v>
      </c>
      <c r="AR131">
        <f>IF($B131="",0,N($M131)*(1+IF(N($N131)&gt;0,$N131,IFERROR(CHOOSE(MATCH(LEFT($E131,2),{"AU";"NZ";"US"},0),ref_au_oncost_total,ref_nz_oncost_total,ref_us_oncost_total),0)))/12*IF(OR(11&lt;N($K131),AND(N($L131)&gt;0,11&gt;$L131)),0,1))</f>
        <v>0</v>
      </c>
      <c r="AS131">
        <f>IF($B131="",0,N($M131)*(1+IF(N($N131)&gt;0,$N131,IFERROR(CHOOSE(MATCH(LEFT($E131,2),{"AU";"NZ";"US"},0),ref_au_oncost_total,ref_nz_oncost_total,ref_us_oncost_total),0)))/12*IF(OR(12&lt;N($K131),AND(N($L131)&gt;0,12&gt;$L131)),0,1))</f>
        <v>0</v>
      </c>
      <c r="AT131"/>
      <c r="AU131">
        <f t="shared" si="25"/>
        <v>0</v>
      </c>
      <c r="AV131">
        <f t="shared" si="26"/>
        <v>0</v>
      </c>
      <c r="AW131">
        <f t="shared" si="27"/>
        <v>0</v>
      </c>
      <c r="AX131">
        <f t="shared" si="28"/>
        <v>0</v>
      </c>
      <c r="AY131">
        <f t="shared" si="29"/>
        <v>0</v>
      </c>
      <c r="AZ131">
        <f t="shared" si="30"/>
        <v>0</v>
      </c>
      <c r="BA131">
        <f t="shared" si="31"/>
        <v>0</v>
      </c>
      <c r="BB131">
        <f t="shared" si="32"/>
        <v>0</v>
      </c>
      <c r="BC131">
        <f t="shared" si="33"/>
        <v>0</v>
      </c>
      <c r="BD131">
        <f t="shared" si="34"/>
        <v>0</v>
      </c>
      <c r="BE131">
        <f t="shared" si="35"/>
        <v>0</v>
      </c>
      <c r="BF131">
        <f t="shared" si="36"/>
        <v>0</v>
      </c>
    </row>
    <row r="132" spans="1:58" outlineLevel="1" x14ac:dyDescent="0.2">
      <c r="A132" s="41"/>
      <c r="B132" s="109"/>
      <c r="C132" s="109"/>
      <c r="D132" s="111"/>
      <c r="E132" s="112"/>
      <c r="F132" s="113"/>
      <c r="G132" s="109"/>
      <c r="H132" s="113"/>
      <c r="I132" s="104"/>
      <c r="J132" s="100"/>
      <c r="K132" s="110"/>
      <c r="L132" s="110"/>
      <c r="M132" s="100"/>
      <c r="N132" s="104"/>
      <c r="P132" s="41" t="str">
        <f t="shared" si="24"/>
        <v/>
      </c>
      <c r="S132"/>
      <c r="T132"/>
      <c r="U132" cm="1">
        <f t="array" ref="U132">IF($B132="",0,IF(OR(1&lt;N($K132),AND(N($L132)&gt;0,1&gt;$L132)),0,N($F132)*N($H132)*IFERROR(INDEX(cal_wd_active,IFERROR(MATCH($E132,cal_jurisdictions,0),MATCH($E132&amp;"-*",cal_jurisdictions,0)),1),0)*N($I132)*N($J132)))</f>
        <v>0</v>
      </c>
      <c r="V132" cm="1">
        <f t="array" ref="V132">IF($B132="",0,IF(OR(2&lt;N($K132),AND(N($L132)&gt;0,2&gt;$L132)),0,N($F132)*N($H132)*IFERROR(INDEX(cal_wd_active,IFERROR(MATCH($E132,cal_jurisdictions,0),MATCH($E132&amp;"-*",cal_jurisdictions,0)),2),0)*N($I132)*N($J132)))</f>
        <v>0</v>
      </c>
      <c r="W132" cm="1">
        <f t="array" ref="W132">IF($B132="",0,IF(OR(3&lt;N($K132),AND(N($L132)&gt;0,3&gt;$L132)),0,N($F132)*N($H132)*IFERROR(INDEX(cal_wd_active,IFERROR(MATCH($E132,cal_jurisdictions,0),MATCH($E132&amp;"-*",cal_jurisdictions,0)),3),0)*N($I132)*N($J132)))</f>
        <v>0</v>
      </c>
      <c r="X132" cm="1">
        <f t="array" ref="X132">IF($B132="",0,IF(OR(4&lt;N($K132),AND(N($L132)&gt;0,4&gt;$L132)),0,N($F132)*N($H132)*IFERROR(INDEX(cal_wd_active,IFERROR(MATCH($E132,cal_jurisdictions,0),MATCH($E132&amp;"-*",cal_jurisdictions,0)),4),0)*N($I132)*N($J132)))</f>
        <v>0</v>
      </c>
      <c r="Y132" cm="1">
        <f t="array" ref="Y132">IF($B132="",0,IF(OR(5&lt;N($K132),AND(N($L132)&gt;0,5&gt;$L132)),0,N($F132)*N($H132)*IFERROR(INDEX(cal_wd_active,IFERROR(MATCH($E132,cal_jurisdictions,0),MATCH($E132&amp;"-*",cal_jurisdictions,0)),5),0)*N($I132)*N($J132)))</f>
        <v>0</v>
      </c>
      <c r="Z132" cm="1">
        <f t="array" ref="Z132">IF($B132="",0,IF(OR(6&lt;N($K132),AND(N($L132)&gt;0,6&gt;$L132)),0,N($F132)*N($H132)*IFERROR(INDEX(cal_wd_active,IFERROR(MATCH($E132,cal_jurisdictions,0),MATCH($E132&amp;"-*",cal_jurisdictions,0)),6),0)*N($I132)*N($J132)))</f>
        <v>0</v>
      </c>
      <c r="AA132" cm="1">
        <f t="array" ref="AA132">IF($B132="",0,IF(OR(7&lt;N($K132),AND(N($L132)&gt;0,7&gt;$L132)),0,N($F132)*N($H132)*IFERROR(INDEX(cal_wd_active,IFERROR(MATCH($E132,cal_jurisdictions,0),MATCH($E132&amp;"-*",cal_jurisdictions,0)),7),0)*N($I132)*N($J132)))</f>
        <v>0</v>
      </c>
      <c r="AB132" cm="1">
        <f t="array" ref="AB132">IF($B132="",0,IF(OR(8&lt;N($K132),AND(N($L132)&gt;0,8&gt;$L132)),0,N($F132)*N($H132)*IFERROR(INDEX(cal_wd_active,IFERROR(MATCH($E132,cal_jurisdictions,0),MATCH($E132&amp;"-*",cal_jurisdictions,0)),8),0)*N($I132)*N($J132)))</f>
        <v>0</v>
      </c>
      <c r="AC132" cm="1">
        <f t="array" ref="AC132">IF($B132="",0,IF(OR(9&lt;N($K132),AND(N($L132)&gt;0,9&gt;$L132)),0,N($F132)*N($H132)*IFERROR(INDEX(cal_wd_active,IFERROR(MATCH($E132,cal_jurisdictions,0),MATCH($E132&amp;"-*",cal_jurisdictions,0)),9),0)*N($I132)*N($J132)))</f>
        <v>0</v>
      </c>
      <c r="AD132" cm="1">
        <f t="array" ref="AD132">IF($B132="",0,IF(OR(10&lt;N($K132),AND(N($L132)&gt;0,10&gt;$L132)),0,N($F132)*N($H132)*IFERROR(INDEX(cal_wd_active,IFERROR(MATCH($E132,cal_jurisdictions,0),MATCH($E132&amp;"-*",cal_jurisdictions,0)),10),0)*N($I132)*N($J132)))</f>
        <v>0</v>
      </c>
      <c r="AE132" cm="1">
        <f t="array" ref="AE132">IF($B132="",0,IF(OR(11&lt;N($K132),AND(N($L132)&gt;0,11&gt;$L132)),0,N($F132)*N($H132)*IFERROR(INDEX(cal_wd_active,IFERROR(MATCH($E132,cal_jurisdictions,0),MATCH($E132&amp;"-*",cal_jurisdictions,0)),11),0)*N($I132)*N($J132)))</f>
        <v>0</v>
      </c>
      <c r="AF132" cm="1">
        <f t="array" ref="AF132">IF($B132="",0,IF(OR(12&lt;N($K132),AND(N($L132)&gt;0,12&gt;$L132)),0,N($F132)*N($H132)*IFERROR(INDEX(cal_wd_active,IFERROR(MATCH($E132,cal_jurisdictions,0),MATCH($E132&amp;"-*",cal_jurisdictions,0)),12),0)*N($I132)*N($J132)))</f>
        <v>0</v>
      </c>
      <c r="AG132"/>
      <c r="AH132">
        <f>IF($B132="",0,N($M132)*(1+IF(N($N132)&gt;0,$N132,IFERROR(CHOOSE(MATCH(LEFT($E132,2),{"AU";"NZ";"US"},0),ref_au_oncost_total,ref_nz_oncost_total,ref_us_oncost_total),0)))/12*IF(OR(1&lt;N($K132),AND(N($L132)&gt;0,1&gt;$L132)),0,1))</f>
        <v>0</v>
      </c>
      <c r="AI132">
        <f>IF($B132="",0,N($M132)*(1+IF(N($N132)&gt;0,$N132,IFERROR(CHOOSE(MATCH(LEFT($E132,2),{"AU";"NZ";"US"},0),ref_au_oncost_total,ref_nz_oncost_total,ref_us_oncost_total),0)))/12*IF(OR(2&lt;N($K132),AND(N($L132)&gt;0,2&gt;$L132)),0,1))</f>
        <v>0</v>
      </c>
      <c r="AJ132">
        <f>IF($B132="",0,N($M132)*(1+IF(N($N132)&gt;0,$N132,IFERROR(CHOOSE(MATCH(LEFT($E132,2),{"AU";"NZ";"US"},0),ref_au_oncost_total,ref_nz_oncost_total,ref_us_oncost_total),0)))/12*IF(OR(3&lt;N($K132),AND(N($L132)&gt;0,3&gt;$L132)),0,1))</f>
        <v>0</v>
      </c>
      <c r="AK132">
        <f>IF($B132="",0,N($M132)*(1+IF(N($N132)&gt;0,$N132,IFERROR(CHOOSE(MATCH(LEFT($E132,2),{"AU";"NZ";"US"},0),ref_au_oncost_total,ref_nz_oncost_total,ref_us_oncost_total),0)))/12*IF(OR(4&lt;N($K132),AND(N($L132)&gt;0,4&gt;$L132)),0,1))</f>
        <v>0</v>
      </c>
      <c r="AL132">
        <f>IF($B132="",0,N($M132)*(1+IF(N($N132)&gt;0,$N132,IFERROR(CHOOSE(MATCH(LEFT($E132,2),{"AU";"NZ";"US"},0),ref_au_oncost_total,ref_nz_oncost_total,ref_us_oncost_total),0)))/12*IF(OR(5&lt;N($K132),AND(N($L132)&gt;0,5&gt;$L132)),0,1))</f>
        <v>0</v>
      </c>
      <c r="AM132">
        <f>IF($B132="",0,N($M132)*(1+IF(N($N132)&gt;0,$N132,IFERROR(CHOOSE(MATCH(LEFT($E132,2),{"AU";"NZ";"US"},0),ref_au_oncost_total,ref_nz_oncost_total,ref_us_oncost_total),0)))/12*IF(OR(6&lt;N($K132),AND(N($L132)&gt;0,6&gt;$L132)),0,1))</f>
        <v>0</v>
      </c>
      <c r="AN132">
        <f>IF($B132="",0,N($M132)*(1+IF(N($N132)&gt;0,$N132,IFERROR(CHOOSE(MATCH(LEFT($E132,2),{"AU";"NZ";"US"},0),ref_au_oncost_total,ref_nz_oncost_total,ref_us_oncost_total),0)))/12*IF(OR(7&lt;N($K132),AND(N($L132)&gt;0,7&gt;$L132)),0,1))</f>
        <v>0</v>
      </c>
      <c r="AO132">
        <f>IF($B132="",0,N($M132)*(1+IF(N($N132)&gt;0,$N132,IFERROR(CHOOSE(MATCH(LEFT($E132,2),{"AU";"NZ";"US"},0),ref_au_oncost_total,ref_nz_oncost_total,ref_us_oncost_total),0)))/12*IF(OR(8&lt;N($K132),AND(N($L132)&gt;0,8&gt;$L132)),0,1))</f>
        <v>0</v>
      </c>
      <c r="AP132">
        <f>IF($B132="",0,N($M132)*(1+IF(N($N132)&gt;0,$N132,IFERROR(CHOOSE(MATCH(LEFT($E132,2),{"AU";"NZ";"US"},0),ref_au_oncost_total,ref_nz_oncost_total,ref_us_oncost_total),0)))/12*IF(OR(9&lt;N($K132),AND(N($L132)&gt;0,9&gt;$L132)),0,1))</f>
        <v>0</v>
      </c>
      <c r="AQ132">
        <f>IF($B132="",0,N($M132)*(1+IF(N($N132)&gt;0,$N132,IFERROR(CHOOSE(MATCH(LEFT($E132,2),{"AU";"NZ";"US"},0),ref_au_oncost_total,ref_nz_oncost_total,ref_us_oncost_total),0)))/12*IF(OR(10&lt;N($K132),AND(N($L132)&gt;0,10&gt;$L132)),0,1))</f>
        <v>0</v>
      </c>
      <c r="AR132">
        <f>IF($B132="",0,N($M132)*(1+IF(N($N132)&gt;0,$N132,IFERROR(CHOOSE(MATCH(LEFT($E132,2),{"AU";"NZ";"US"},0),ref_au_oncost_total,ref_nz_oncost_total,ref_us_oncost_total),0)))/12*IF(OR(11&lt;N($K132),AND(N($L132)&gt;0,11&gt;$L132)),0,1))</f>
        <v>0</v>
      </c>
      <c r="AS132">
        <f>IF($B132="",0,N($M132)*(1+IF(N($N132)&gt;0,$N132,IFERROR(CHOOSE(MATCH(LEFT($E132,2),{"AU";"NZ";"US"},0),ref_au_oncost_total,ref_nz_oncost_total,ref_us_oncost_total),0)))/12*IF(OR(12&lt;N($K132),AND(N($L132)&gt;0,12&gt;$L132)),0,1))</f>
        <v>0</v>
      </c>
      <c r="AT132"/>
      <c r="AU132">
        <f t="shared" si="25"/>
        <v>0</v>
      </c>
      <c r="AV132">
        <f t="shared" si="26"/>
        <v>0</v>
      </c>
      <c r="AW132">
        <f t="shared" si="27"/>
        <v>0</v>
      </c>
      <c r="AX132">
        <f t="shared" si="28"/>
        <v>0</v>
      </c>
      <c r="AY132">
        <f t="shared" si="29"/>
        <v>0</v>
      </c>
      <c r="AZ132">
        <f t="shared" si="30"/>
        <v>0</v>
      </c>
      <c r="BA132">
        <f t="shared" si="31"/>
        <v>0</v>
      </c>
      <c r="BB132">
        <f t="shared" si="32"/>
        <v>0</v>
      </c>
      <c r="BC132">
        <f t="shared" si="33"/>
        <v>0</v>
      </c>
      <c r="BD132">
        <f t="shared" si="34"/>
        <v>0</v>
      </c>
      <c r="BE132">
        <f t="shared" si="35"/>
        <v>0</v>
      </c>
      <c r="BF132">
        <f t="shared" si="36"/>
        <v>0</v>
      </c>
    </row>
    <row r="133" spans="1:58" outlineLevel="1" x14ac:dyDescent="0.2">
      <c r="A133" s="41"/>
      <c r="B133" s="109"/>
      <c r="C133" s="109"/>
      <c r="D133" s="111"/>
      <c r="E133" s="112"/>
      <c r="F133" s="113"/>
      <c r="G133" s="109"/>
      <c r="H133" s="113"/>
      <c r="I133" s="104"/>
      <c r="J133" s="100"/>
      <c r="K133" s="110"/>
      <c r="L133" s="110"/>
      <c r="M133" s="100"/>
      <c r="N133" s="104"/>
      <c r="P133" s="41" t="str">
        <f t="shared" si="24"/>
        <v/>
      </c>
      <c r="S133"/>
      <c r="T133"/>
      <c r="U133" cm="1">
        <f t="array" ref="U133">IF($B133="",0,IF(OR(1&lt;N($K133),AND(N($L133)&gt;0,1&gt;$L133)),0,N($F133)*N($H133)*IFERROR(INDEX(cal_wd_active,IFERROR(MATCH($E133,cal_jurisdictions,0),MATCH($E133&amp;"-*",cal_jurisdictions,0)),1),0)*N($I133)*N($J133)))</f>
        <v>0</v>
      </c>
      <c r="V133" cm="1">
        <f t="array" ref="V133">IF($B133="",0,IF(OR(2&lt;N($K133),AND(N($L133)&gt;0,2&gt;$L133)),0,N($F133)*N($H133)*IFERROR(INDEX(cal_wd_active,IFERROR(MATCH($E133,cal_jurisdictions,0),MATCH($E133&amp;"-*",cal_jurisdictions,0)),2),0)*N($I133)*N($J133)))</f>
        <v>0</v>
      </c>
      <c r="W133" cm="1">
        <f t="array" ref="W133">IF($B133="",0,IF(OR(3&lt;N($K133),AND(N($L133)&gt;0,3&gt;$L133)),0,N($F133)*N($H133)*IFERROR(INDEX(cal_wd_active,IFERROR(MATCH($E133,cal_jurisdictions,0),MATCH($E133&amp;"-*",cal_jurisdictions,0)),3),0)*N($I133)*N($J133)))</f>
        <v>0</v>
      </c>
      <c r="X133" cm="1">
        <f t="array" ref="X133">IF($B133="",0,IF(OR(4&lt;N($K133),AND(N($L133)&gt;0,4&gt;$L133)),0,N($F133)*N($H133)*IFERROR(INDEX(cal_wd_active,IFERROR(MATCH($E133,cal_jurisdictions,0),MATCH($E133&amp;"-*",cal_jurisdictions,0)),4),0)*N($I133)*N($J133)))</f>
        <v>0</v>
      </c>
      <c r="Y133" cm="1">
        <f t="array" ref="Y133">IF($B133="",0,IF(OR(5&lt;N($K133),AND(N($L133)&gt;0,5&gt;$L133)),0,N($F133)*N($H133)*IFERROR(INDEX(cal_wd_active,IFERROR(MATCH($E133,cal_jurisdictions,0),MATCH($E133&amp;"-*",cal_jurisdictions,0)),5),0)*N($I133)*N($J133)))</f>
        <v>0</v>
      </c>
      <c r="Z133" cm="1">
        <f t="array" ref="Z133">IF($B133="",0,IF(OR(6&lt;N($K133),AND(N($L133)&gt;0,6&gt;$L133)),0,N($F133)*N($H133)*IFERROR(INDEX(cal_wd_active,IFERROR(MATCH($E133,cal_jurisdictions,0),MATCH($E133&amp;"-*",cal_jurisdictions,0)),6),0)*N($I133)*N($J133)))</f>
        <v>0</v>
      </c>
      <c r="AA133" cm="1">
        <f t="array" ref="AA133">IF($B133="",0,IF(OR(7&lt;N($K133),AND(N($L133)&gt;0,7&gt;$L133)),0,N($F133)*N($H133)*IFERROR(INDEX(cal_wd_active,IFERROR(MATCH($E133,cal_jurisdictions,0),MATCH($E133&amp;"-*",cal_jurisdictions,0)),7),0)*N($I133)*N($J133)))</f>
        <v>0</v>
      </c>
      <c r="AB133" cm="1">
        <f t="array" ref="AB133">IF($B133="",0,IF(OR(8&lt;N($K133),AND(N($L133)&gt;0,8&gt;$L133)),0,N($F133)*N($H133)*IFERROR(INDEX(cal_wd_active,IFERROR(MATCH($E133,cal_jurisdictions,0),MATCH($E133&amp;"-*",cal_jurisdictions,0)),8),0)*N($I133)*N($J133)))</f>
        <v>0</v>
      </c>
      <c r="AC133" cm="1">
        <f t="array" ref="AC133">IF($B133="",0,IF(OR(9&lt;N($K133),AND(N($L133)&gt;0,9&gt;$L133)),0,N($F133)*N($H133)*IFERROR(INDEX(cal_wd_active,IFERROR(MATCH($E133,cal_jurisdictions,0),MATCH($E133&amp;"-*",cal_jurisdictions,0)),9),0)*N($I133)*N($J133)))</f>
        <v>0</v>
      </c>
      <c r="AD133" cm="1">
        <f t="array" ref="AD133">IF($B133="",0,IF(OR(10&lt;N($K133),AND(N($L133)&gt;0,10&gt;$L133)),0,N($F133)*N($H133)*IFERROR(INDEX(cal_wd_active,IFERROR(MATCH($E133,cal_jurisdictions,0),MATCH($E133&amp;"-*",cal_jurisdictions,0)),10),0)*N($I133)*N($J133)))</f>
        <v>0</v>
      </c>
      <c r="AE133" cm="1">
        <f t="array" ref="AE133">IF($B133="",0,IF(OR(11&lt;N($K133),AND(N($L133)&gt;0,11&gt;$L133)),0,N($F133)*N($H133)*IFERROR(INDEX(cal_wd_active,IFERROR(MATCH($E133,cal_jurisdictions,0),MATCH($E133&amp;"-*",cal_jurisdictions,0)),11),0)*N($I133)*N($J133)))</f>
        <v>0</v>
      </c>
      <c r="AF133" cm="1">
        <f t="array" ref="AF133">IF($B133="",0,IF(OR(12&lt;N($K133),AND(N($L133)&gt;0,12&gt;$L133)),0,N($F133)*N($H133)*IFERROR(INDEX(cal_wd_active,IFERROR(MATCH($E133,cal_jurisdictions,0),MATCH($E133&amp;"-*",cal_jurisdictions,0)),12),0)*N($I133)*N($J133)))</f>
        <v>0</v>
      </c>
      <c r="AG133"/>
      <c r="AH133">
        <f>IF($B133="",0,N($M133)*(1+IF(N($N133)&gt;0,$N133,IFERROR(CHOOSE(MATCH(LEFT($E133,2),{"AU";"NZ";"US"},0),ref_au_oncost_total,ref_nz_oncost_total,ref_us_oncost_total),0)))/12*IF(OR(1&lt;N($K133),AND(N($L133)&gt;0,1&gt;$L133)),0,1))</f>
        <v>0</v>
      </c>
      <c r="AI133">
        <f>IF($B133="",0,N($M133)*(1+IF(N($N133)&gt;0,$N133,IFERROR(CHOOSE(MATCH(LEFT($E133,2),{"AU";"NZ";"US"},0),ref_au_oncost_total,ref_nz_oncost_total,ref_us_oncost_total),0)))/12*IF(OR(2&lt;N($K133),AND(N($L133)&gt;0,2&gt;$L133)),0,1))</f>
        <v>0</v>
      </c>
      <c r="AJ133">
        <f>IF($B133="",0,N($M133)*(1+IF(N($N133)&gt;0,$N133,IFERROR(CHOOSE(MATCH(LEFT($E133,2),{"AU";"NZ";"US"},0),ref_au_oncost_total,ref_nz_oncost_total,ref_us_oncost_total),0)))/12*IF(OR(3&lt;N($K133),AND(N($L133)&gt;0,3&gt;$L133)),0,1))</f>
        <v>0</v>
      </c>
      <c r="AK133">
        <f>IF($B133="",0,N($M133)*(1+IF(N($N133)&gt;0,$N133,IFERROR(CHOOSE(MATCH(LEFT($E133,2),{"AU";"NZ";"US"},0),ref_au_oncost_total,ref_nz_oncost_total,ref_us_oncost_total),0)))/12*IF(OR(4&lt;N($K133),AND(N($L133)&gt;0,4&gt;$L133)),0,1))</f>
        <v>0</v>
      </c>
      <c r="AL133">
        <f>IF($B133="",0,N($M133)*(1+IF(N($N133)&gt;0,$N133,IFERROR(CHOOSE(MATCH(LEFT($E133,2),{"AU";"NZ";"US"},0),ref_au_oncost_total,ref_nz_oncost_total,ref_us_oncost_total),0)))/12*IF(OR(5&lt;N($K133),AND(N($L133)&gt;0,5&gt;$L133)),0,1))</f>
        <v>0</v>
      </c>
      <c r="AM133">
        <f>IF($B133="",0,N($M133)*(1+IF(N($N133)&gt;0,$N133,IFERROR(CHOOSE(MATCH(LEFT($E133,2),{"AU";"NZ";"US"},0),ref_au_oncost_total,ref_nz_oncost_total,ref_us_oncost_total),0)))/12*IF(OR(6&lt;N($K133),AND(N($L133)&gt;0,6&gt;$L133)),0,1))</f>
        <v>0</v>
      </c>
      <c r="AN133">
        <f>IF($B133="",0,N($M133)*(1+IF(N($N133)&gt;0,$N133,IFERROR(CHOOSE(MATCH(LEFT($E133,2),{"AU";"NZ";"US"},0),ref_au_oncost_total,ref_nz_oncost_total,ref_us_oncost_total),0)))/12*IF(OR(7&lt;N($K133),AND(N($L133)&gt;0,7&gt;$L133)),0,1))</f>
        <v>0</v>
      </c>
      <c r="AO133">
        <f>IF($B133="",0,N($M133)*(1+IF(N($N133)&gt;0,$N133,IFERROR(CHOOSE(MATCH(LEFT($E133,2),{"AU";"NZ";"US"},0),ref_au_oncost_total,ref_nz_oncost_total,ref_us_oncost_total),0)))/12*IF(OR(8&lt;N($K133),AND(N($L133)&gt;0,8&gt;$L133)),0,1))</f>
        <v>0</v>
      </c>
      <c r="AP133">
        <f>IF($B133="",0,N($M133)*(1+IF(N($N133)&gt;0,$N133,IFERROR(CHOOSE(MATCH(LEFT($E133,2),{"AU";"NZ";"US"},0),ref_au_oncost_total,ref_nz_oncost_total,ref_us_oncost_total),0)))/12*IF(OR(9&lt;N($K133),AND(N($L133)&gt;0,9&gt;$L133)),0,1))</f>
        <v>0</v>
      </c>
      <c r="AQ133">
        <f>IF($B133="",0,N($M133)*(1+IF(N($N133)&gt;0,$N133,IFERROR(CHOOSE(MATCH(LEFT($E133,2),{"AU";"NZ";"US"},0),ref_au_oncost_total,ref_nz_oncost_total,ref_us_oncost_total),0)))/12*IF(OR(10&lt;N($K133),AND(N($L133)&gt;0,10&gt;$L133)),0,1))</f>
        <v>0</v>
      </c>
      <c r="AR133">
        <f>IF($B133="",0,N($M133)*(1+IF(N($N133)&gt;0,$N133,IFERROR(CHOOSE(MATCH(LEFT($E133,2),{"AU";"NZ";"US"},0),ref_au_oncost_total,ref_nz_oncost_total,ref_us_oncost_total),0)))/12*IF(OR(11&lt;N($K133),AND(N($L133)&gt;0,11&gt;$L133)),0,1))</f>
        <v>0</v>
      </c>
      <c r="AS133">
        <f>IF($B133="",0,N($M133)*(1+IF(N($N133)&gt;0,$N133,IFERROR(CHOOSE(MATCH(LEFT($E133,2),{"AU";"NZ";"US"},0),ref_au_oncost_total,ref_nz_oncost_total,ref_us_oncost_total),0)))/12*IF(OR(12&lt;N($K133),AND(N($L133)&gt;0,12&gt;$L133)),0,1))</f>
        <v>0</v>
      </c>
      <c r="AT133"/>
      <c r="AU133">
        <f t="shared" si="25"/>
        <v>0</v>
      </c>
      <c r="AV133">
        <f t="shared" si="26"/>
        <v>0</v>
      </c>
      <c r="AW133">
        <f t="shared" si="27"/>
        <v>0</v>
      </c>
      <c r="AX133">
        <f t="shared" si="28"/>
        <v>0</v>
      </c>
      <c r="AY133">
        <f t="shared" si="29"/>
        <v>0</v>
      </c>
      <c r="AZ133">
        <f t="shared" si="30"/>
        <v>0</v>
      </c>
      <c r="BA133">
        <f t="shared" si="31"/>
        <v>0</v>
      </c>
      <c r="BB133">
        <f t="shared" si="32"/>
        <v>0</v>
      </c>
      <c r="BC133">
        <f t="shared" si="33"/>
        <v>0</v>
      </c>
      <c r="BD133">
        <f t="shared" si="34"/>
        <v>0</v>
      </c>
      <c r="BE133">
        <f t="shared" si="35"/>
        <v>0</v>
      </c>
      <c r="BF133">
        <f t="shared" si="36"/>
        <v>0</v>
      </c>
    </row>
    <row r="134" spans="1:58" outlineLevel="1" x14ac:dyDescent="0.2">
      <c r="A134" s="41"/>
      <c r="B134" s="109"/>
      <c r="C134" s="109"/>
      <c r="D134" s="111"/>
      <c r="E134" s="112"/>
      <c r="F134" s="113"/>
      <c r="G134" s="109"/>
      <c r="H134" s="113"/>
      <c r="I134" s="104"/>
      <c r="J134" s="100"/>
      <c r="K134" s="110"/>
      <c r="L134" s="110"/>
      <c r="M134" s="100"/>
      <c r="N134" s="104"/>
      <c r="P134" s="41" t="str">
        <f t="shared" si="24"/>
        <v/>
      </c>
      <c r="S134"/>
      <c r="T134"/>
      <c r="U134" cm="1">
        <f t="array" ref="U134">IF($B134="",0,IF(OR(1&lt;N($K134),AND(N($L134)&gt;0,1&gt;$L134)),0,N($F134)*N($H134)*IFERROR(INDEX(cal_wd_active,IFERROR(MATCH($E134,cal_jurisdictions,0),MATCH($E134&amp;"-*",cal_jurisdictions,0)),1),0)*N($I134)*N($J134)))</f>
        <v>0</v>
      </c>
      <c r="V134" cm="1">
        <f t="array" ref="V134">IF($B134="",0,IF(OR(2&lt;N($K134),AND(N($L134)&gt;0,2&gt;$L134)),0,N($F134)*N($H134)*IFERROR(INDEX(cal_wd_active,IFERROR(MATCH($E134,cal_jurisdictions,0),MATCH($E134&amp;"-*",cal_jurisdictions,0)),2),0)*N($I134)*N($J134)))</f>
        <v>0</v>
      </c>
      <c r="W134" cm="1">
        <f t="array" ref="W134">IF($B134="",0,IF(OR(3&lt;N($K134),AND(N($L134)&gt;0,3&gt;$L134)),0,N($F134)*N($H134)*IFERROR(INDEX(cal_wd_active,IFERROR(MATCH($E134,cal_jurisdictions,0),MATCH($E134&amp;"-*",cal_jurisdictions,0)),3),0)*N($I134)*N($J134)))</f>
        <v>0</v>
      </c>
      <c r="X134" cm="1">
        <f t="array" ref="X134">IF($B134="",0,IF(OR(4&lt;N($K134),AND(N($L134)&gt;0,4&gt;$L134)),0,N($F134)*N($H134)*IFERROR(INDEX(cal_wd_active,IFERROR(MATCH($E134,cal_jurisdictions,0),MATCH($E134&amp;"-*",cal_jurisdictions,0)),4),0)*N($I134)*N($J134)))</f>
        <v>0</v>
      </c>
      <c r="Y134" cm="1">
        <f t="array" ref="Y134">IF($B134="",0,IF(OR(5&lt;N($K134),AND(N($L134)&gt;0,5&gt;$L134)),0,N($F134)*N($H134)*IFERROR(INDEX(cal_wd_active,IFERROR(MATCH($E134,cal_jurisdictions,0),MATCH($E134&amp;"-*",cal_jurisdictions,0)),5),0)*N($I134)*N($J134)))</f>
        <v>0</v>
      </c>
      <c r="Z134" cm="1">
        <f t="array" ref="Z134">IF($B134="",0,IF(OR(6&lt;N($K134),AND(N($L134)&gt;0,6&gt;$L134)),0,N($F134)*N($H134)*IFERROR(INDEX(cal_wd_active,IFERROR(MATCH($E134,cal_jurisdictions,0),MATCH($E134&amp;"-*",cal_jurisdictions,0)),6),0)*N($I134)*N($J134)))</f>
        <v>0</v>
      </c>
      <c r="AA134" cm="1">
        <f t="array" ref="AA134">IF($B134="",0,IF(OR(7&lt;N($K134),AND(N($L134)&gt;0,7&gt;$L134)),0,N($F134)*N($H134)*IFERROR(INDEX(cal_wd_active,IFERROR(MATCH($E134,cal_jurisdictions,0),MATCH($E134&amp;"-*",cal_jurisdictions,0)),7),0)*N($I134)*N($J134)))</f>
        <v>0</v>
      </c>
      <c r="AB134" cm="1">
        <f t="array" ref="AB134">IF($B134="",0,IF(OR(8&lt;N($K134),AND(N($L134)&gt;0,8&gt;$L134)),0,N($F134)*N($H134)*IFERROR(INDEX(cal_wd_active,IFERROR(MATCH($E134,cal_jurisdictions,0),MATCH($E134&amp;"-*",cal_jurisdictions,0)),8),0)*N($I134)*N($J134)))</f>
        <v>0</v>
      </c>
      <c r="AC134" cm="1">
        <f t="array" ref="AC134">IF($B134="",0,IF(OR(9&lt;N($K134),AND(N($L134)&gt;0,9&gt;$L134)),0,N($F134)*N($H134)*IFERROR(INDEX(cal_wd_active,IFERROR(MATCH($E134,cal_jurisdictions,0),MATCH($E134&amp;"-*",cal_jurisdictions,0)),9),0)*N($I134)*N($J134)))</f>
        <v>0</v>
      </c>
      <c r="AD134" cm="1">
        <f t="array" ref="AD134">IF($B134="",0,IF(OR(10&lt;N($K134),AND(N($L134)&gt;0,10&gt;$L134)),0,N($F134)*N($H134)*IFERROR(INDEX(cal_wd_active,IFERROR(MATCH($E134,cal_jurisdictions,0),MATCH($E134&amp;"-*",cal_jurisdictions,0)),10),0)*N($I134)*N($J134)))</f>
        <v>0</v>
      </c>
      <c r="AE134" cm="1">
        <f t="array" ref="AE134">IF($B134="",0,IF(OR(11&lt;N($K134),AND(N($L134)&gt;0,11&gt;$L134)),0,N($F134)*N($H134)*IFERROR(INDEX(cal_wd_active,IFERROR(MATCH($E134,cal_jurisdictions,0),MATCH($E134&amp;"-*",cal_jurisdictions,0)),11),0)*N($I134)*N($J134)))</f>
        <v>0</v>
      </c>
      <c r="AF134" cm="1">
        <f t="array" ref="AF134">IF($B134="",0,IF(OR(12&lt;N($K134),AND(N($L134)&gt;0,12&gt;$L134)),0,N($F134)*N($H134)*IFERROR(INDEX(cal_wd_active,IFERROR(MATCH($E134,cal_jurisdictions,0),MATCH($E134&amp;"-*",cal_jurisdictions,0)),12),0)*N($I134)*N($J134)))</f>
        <v>0</v>
      </c>
      <c r="AG134"/>
      <c r="AH134">
        <f>IF($B134="",0,N($M134)*(1+IF(N($N134)&gt;0,$N134,IFERROR(CHOOSE(MATCH(LEFT($E134,2),{"AU";"NZ";"US"},0),ref_au_oncost_total,ref_nz_oncost_total,ref_us_oncost_total),0)))/12*IF(OR(1&lt;N($K134),AND(N($L134)&gt;0,1&gt;$L134)),0,1))</f>
        <v>0</v>
      </c>
      <c r="AI134">
        <f>IF($B134="",0,N($M134)*(1+IF(N($N134)&gt;0,$N134,IFERROR(CHOOSE(MATCH(LEFT($E134,2),{"AU";"NZ";"US"},0),ref_au_oncost_total,ref_nz_oncost_total,ref_us_oncost_total),0)))/12*IF(OR(2&lt;N($K134),AND(N($L134)&gt;0,2&gt;$L134)),0,1))</f>
        <v>0</v>
      </c>
      <c r="AJ134">
        <f>IF($B134="",0,N($M134)*(1+IF(N($N134)&gt;0,$N134,IFERROR(CHOOSE(MATCH(LEFT($E134,2),{"AU";"NZ";"US"},0),ref_au_oncost_total,ref_nz_oncost_total,ref_us_oncost_total),0)))/12*IF(OR(3&lt;N($K134),AND(N($L134)&gt;0,3&gt;$L134)),0,1))</f>
        <v>0</v>
      </c>
      <c r="AK134">
        <f>IF($B134="",0,N($M134)*(1+IF(N($N134)&gt;0,$N134,IFERROR(CHOOSE(MATCH(LEFT($E134,2),{"AU";"NZ";"US"},0),ref_au_oncost_total,ref_nz_oncost_total,ref_us_oncost_total),0)))/12*IF(OR(4&lt;N($K134),AND(N($L134)&gt;0,4&gt;$L134)),0,1))</f>
        <v>0</v>
      </c>
      <c r="AL134">
        <f>IF($B134="",0,N($M134)*(1+IF(N($N134)&gt;0,$N134,IFERROR(CHOOSE(MATCH(LEFT($E134,2),{"AU";"NZ";"US"},0),ref_au_oncost_total,ref_nz_oncost_total,ref_us_oncost_total),0)))/12*IF(OR(5&lt;N($K134),AND(N($L134)&gt;0,5&gt;$L134)),0,1))</f>
        <v>0</v>
      </c>
      <c r="AM134">
        <f>IF($B134="",0,N($M134)*(1+IF(N($N134)&gt;0,$N134,IFERROR(CHOOSE(MATCH(LEFT($E134,2),{"AU";"NZ";"US"},0),ref_au_oncost_total,ref_nz_oncost_total,ref_us_oncost_total),0)))/12*IF(OR(6&lt;N($K134),AND(N($L134)&gt;0,6&gt;$L134)),0,1))</f>
        <v>0</v>
      </c>
      <c r="AN134">
        <f>IF($B134="",0,N($M134)*(1+IF(N($N134)&gt;0,$N134,IFERROR(CHOOSE(MATCH(LEFT($E134,2),{"AU";"NZ";"US"},0),ref_au_oncost_total,ref_nz_oncost_total,ref_us_oncost_total),0)))/12*IF(OR(7&lt;N($K134),AND(N($L134)&gt;0,7&gt;$L134)),0,1))</f>
        <v>0</v>
      </c>
      <c r="AO134">
        <f>IF($B134="",0,N($M134)*(1+IF(N($N134)&gt;0,$N134,IFERROR(CHOOSE(MATCH(LEFT($E134,2),{"AU";"NZ";"US"},0),ref_au_oncost_total,ref_nz_oncost_total,ref_us_oncost_total),0)))/12*IF(OR(8&lt;N($K134),AND(N($L134)&gt;0,8&gt;$L134)),0,1))</f>
        <v>0</v>
      </c>
      <c r="AP134">
        <f>IF($B134="",0,N($M134)*(1+IF(N($N134)&gt;0,$N134,IFERROR(CHOOSE(MATCH(LEFT($E134,2),{"AU";"NZ";"US"},0),ref_au_oncost_total,ref_nz_oncost_total,ref_us_oncost_total),0)))/12*IF(OR(9&lt;N($K134),AND(N($L134)&gt;0,9&gt;$L134)),0,1))</f>
        <v>0</v>
      </c>
      <c r="AQ134">
        <f>IF($B134="",0,N($M134)*(1+IF(N($N134)&gt;0,$N134,IFERROR(CHOOSE(MATCH(LEFT($E134,2),{"AU";"NZ";"US"},0),ref_au_oncost_total,ref_nz_oncost_total,ref_us_oncost_total),0)))/12*IF(OR(10&lt;N($K134),AND(N($L134)&gt;0,10&gt;$L134)),0,1))</f>
        <v>0</v>
      </c>
      <c r="AR134">
        <f>IF($B134="",0,N($M134)*(1+IF(N($N134)&gt;0,$N134,IFERROR(CHOOSE(MATCH(LEFT($E134,2),{"AU";"NZ";"US"},0),ref_au_oncost_total,ref_nz_oncost_total,ref_us_oncost_total),0)))/12*IF(OR(11&lt;N($K134),AND(N($L134)&gt;0,11&gt;$L134)),0,1))</f>
        <v>0</v>
      </c>
      <c r="AS134">
        <f>IF($B134="",0,N($M134)*(1+IF(N($N134)&gt;0,$N134,IFERROR(CHOOSE(MATCH(LEFT($E134,2),{"AU";"NZ";"US"},0),ref_au_oncost_total,ref_nz_oncost_total,ref_us_oncost_total),0)))/12*IF(OR(12&lt;N($K134),AND(N($L134)&gt;0,12&gt;$L134)),0,1))</f>
        <v>0</v>
      </c>
      <c r="AT134"/>
      <c r="AU134">
        <f t="shared" si="25"/>
        <v>0</v>
      </c>
      <c r="AV134">
        <f t="shared" si="26"/>
        <v>0</v>
      </c>
      <c r="AW134">
        <f t="shared" si="27"/>
        <v>0</v>
      </c>
      <c r="AX134">
        <f t="shared" si="28"/>
        <v>0</v>
      </c>
      <c r="AY134">
        <f t="shared" si="29"/>
        <v>0</v>
      </c>
      <c r="AZ134">
        <f t="shared" si="30"/>
        <v>0</v>
      </c>
      <c r="BA134">
        <f t="shared" si="31"/>
        <v>0</v>
      </c>
      <c r="BB134">
        <f t="shared" si="32"/>
        <v>0</v>
      </c>
      <c r="BC134">
        <f t="shared" si="33"/>
        <v>0</v>
      </c>
      <c r="BD134">
        <f t="shared" si="34"/>
        <v>0</v>
      </c>
      <c r="BE134">
        <f t="shared" si="35"/>
        <v>0</v>
      </c>
      <c r="BF134">
        <f t="shared" si="36"/>
        <v>0</v>
      </c>
    </row>
    <row r="135" spans="1:58" outlineLevel="1" x14ac:dyDescent="0.2">
      <c r="A135" s="41"/>
      <c r="B135" s="109"/>
      <c r="C135" s="109"/>
      <c r="D135" s="111"/>
      <c r="E135" s="112"/>
      <c r="F135" s="113"/>
      <c r="G135" s="109"/>
      <c r="H135" s="113"/>
      <c r="I135" s="104"/>
      <c r="J135" s="100"/>
      <c r="K135" s="110"/>
      <c r="L135" s="110"/>
      <c r="M135" s="100"/>
      <c r="N135" s="104"/>
      <c r="P135" s="41" t="str">
        <f t="shared" si="24"/>
        <v/>
      </c>
      <c r="S135"/>
      <c r="T135"/>
      <c r="U135" cm="1">
        <f t="array" ref="U135">IF($B135="",0,IF(OR(1&lt;N($K135),AND(N($L135)&gt;0,1&gt;$L135)),0,N($F135)*N($H135)*IFERROR(INDEX(cal_wd_active,IFERROR(MATCH($E135,cal_jurisdictions,0),MATCH($E135&amp;"-*",cal_jurisdictions,0)),1),0)*N($I135)*N($J135)))</f>
        <v>0</v>
      </c>
      <c r="V135" cm="1">
        <f t="array" ref="V135">IF($B135="",0,IF(OR(2&lt;N($K135),AND(N($L135)&gt;0,2&gt;$L135)),0,N($F135)*N($H135)*IFERROR(INDEX(cal_wd_active,IFERROR(MATCH($E135,cal_jurisdictions,0),MATCH($E135&amp;"-*",cal_jurisdictions,0)),2),0)*N($I135)*N($J135)))</f>
        <v>0</v>
      </c>
      <c r="W135" cm="1">
        <f t="array" ref="W135">IF($B135="",0,IF(OR(3&lt;N($K135),AND(N($L135)&gt;0,3&gt;$L135)),0,N($F135)*N($H135)*IFERROR(INDEX(cal_wd_active,IFERROR(MATCH($E135,cal_jurisdictions,0),MATCH($E135&amp;"-*",cal_jurisdictions,0)),3),0)*N($I135)*N($J135)))</f>
        <v>0</v>
      </c>
      <c r="X135" cm="1">
        <f t="array" ref="X135">IF($B135="",0,IF(OR(4&lt;N($K135),AND(N($L135)&gt;0,4&gt;$L135)),0,N($F135)*N($H135)*IFERROR(INDEX(cal_wd_active,IFERROR(MATCH($E135,cal_jurisdictions,0),MATCH($E135&amp;"-*",cal_jurisdictions,0)),4),0)*N($I135)*N($J135)))</f>
        <v>0</v>
      </c>
      <c r="Y135" cm="1">
        <f t="array" ref="Y135">IF($B135="",0,IF(OR(5&lt;N($K135),AND(N($L135)&gt;0,5&gt;$L135)),0,N($F135)*N($H135)*IFERROR(INDEX(cal_wd_active,IFERROR(MATCH($E135,cal_jurisdictions,0),MATCH($E135&amp;"-*",cal_jurisdictions,0)),5),0)*N($I135)*N($J135)))</f>
        <v>0</v>
      </c>
      <c r="Z135" cm="1">
        <f t="array" ref="Z135">IF($B135="",0,IF(OR(6&lt;N($K135),AND(N($L135)&gt;0,6&gt;$L135)),0,N($F135)*N($H135)*IFERROR(INDEX(cal_wd_active,IFERROR(MATCH($E135,cal_jurisdictions,0),MATCH($E135&amp;"-*",cal_jurisdictions,0)),6),0)*N($I135)*N($J135)))</f>
        <v>0</v>
      </c>
      <c r="AA135" cm="1">
        <f t="array" ref="AA135">IF($B135="",0,IF(OR(7&lt;N($K135),AND(N($L135)&gt;0,7&gt;$L135)),0,N($F135)*N($H135)*IFERROR(INDEX(cal_wd_active,IFERROR(MATCH($E135,cal_jurisdictions,0),MATCH($E135&amp;"-*",cal_jurisdictions,0)),7),0)*N($I135)*N($J135)))</f>
        <v>0</v>
      </c>
      <c r="AB135" cm="1">
        <f t="array" ref="AB135">IF($B135="",0,IF(OR(8&lt;N($K135),AND(N($L135)&gt;0,8&gt;$L135)),0,N($F135)*N($H135)*IFERROR(INDEX(cal_wd_active,IFERROR(MATCH($E135,cal_jurisdictions,0),MATCH($E135&amp;"-*",cal_jurisdictions,0)),8),0)*N($I135)*N($J135)))</f>
        <v>0</v>
      </c>
      <c r="AC135" cm="1">
        <f t="array" ref="AC135">IF($B135="",0,IF(OR(9&lt;N($K135),AND(N($L135)&gt;0,9&gt;$L135)),0,N($F135)*N($H135)*IFERROR(INDEX(cal_wd_active,IFERROR(MATCH($E135,cal_jurisdictions,0),MATCH($E135&amp;"-*",cal_jurisdictions,0)),9),0)*N($I135)*N($J135)))</f>
        <v>0</v>
      </c>
      <c r="AD135" cm="1">
        <f t="array" ref="AD135">IF($B135="",0,IF(OR(10&lt;N($K135),AND(N($L135)&gt;0,10&gt;$L135)),0,N($F135)*N($H135)*IFERROR(INDEX(cal_wd_active,IFERROR(MATCH($E135,cal_jurisdictions,0),MATCH($E135&amp;"-*",cal_jurisdictions,0)),10),0)*N($I135)*N($J135)))</f>
        <v>0</v>
      </c>
      <c r="AE135" cm="1">
        <f t="array" ref="AE135">IF($B135="",0,IF(OR(11&lt;N($K135),AND(N($L135)&gt;0,11&gt;$L135)),0,N($F135)*N($H135)*IFERROR(INDEX(cal_wd_active,IFERROR(MATCH($E135,cal_jurisdictions,0),MATCH($E135&amp;"-*",cal_jurisdictions,0)),11),0)*N($I135)*N($J135)))</f>
        <v>0</v>
      </c>
      <c r="AF135" cm="1">
        <f t="array" ref="AF135">IF($B135="",0,IF(OR(12&lt;N($K135),AND(N($L135)&gt;0,12&gt;$L135)),0,N($F135)*N($H135)*IFERROR(INDEX(cal_wd_active,IFERROR(MATCH($E135,cal_jurisdictions,0),MATCH($E135&amp;"-*",cal_jurisdictions,0)),12),0)*N($I135)*N($J135)))</f>
        <v>0</v>
      </c>
      <c r="AG135"/>
      <c r="AH135">
        <f>IF($B135="",0,N($M135)*(1+IF(N($N135)&gt;0,$N135,IFERROR(CHOOSE(MATCH(LEFT($E135,2),{"AU";"NZ";"US"},0),ref_au_oncost_total,ref_nz_oncost_total,ref_us_oncost_total),0)))/12*IF(OR(1&lt;N($K135),AND(N($L135)&gt;0,1&gt;$L135)),0,1))</f>
        <v>0</v>
      </c>
      <c r="AI135">
        <f>IF($B135="",0,N($M135)*(1+IF(N($N135)&gt;0,$N135,IFERROR(CHOOSE(MATCH(LEFT($E135,2),{"AU";"NZ";"US"},0),ref_au_oncost_total,ref_nz_oncost_total,ref_us_oncost_total),0)))/12*IF(OR(2&lt;N($K135),AND(N($L135)&gt;0,2&gt;$L135)),0,1))</f>
        <v>0</v>
      </c>
      <c r="AJ135">
        <f>IF($B135="",0,N($M135)*(1+IF(N($N135)&gt;0,$N135,IFERROR(CHOOSE(MATCH(LEFT($E135,2),{"AU";"NZ";"US"},0),ref_au_oncost_total,ref_nz_oncost_total,ref_us_oncost_total),0)))/12*IF(OR(3&lt;N($K135),AND(N($L135)&gt;0,3&gt;$L135)),0,1))</f>
        <v>0</v>
      </c>
      <c r="AK135">
        <f>IF($B135="",0,N($M135)*(1+IF(N($N135)&gt;0,$N135,IFERROR(CHOOSE(MATCH(LEFT($E135,2),{"AU";"NZ";"US"},0),ref_au_oncost_total,ref_nz_oncost_total,ref_us_oncost_total),0)))/12*IF(OR(4&lt;N($K135),AND(N($L135)&gt;0,4&gt;$L135)),0,1))</f>
        <v>0</v>
      </c>
      <c r="AL135">
        <f>IF($B135="",0,N($M135)*(1+IF(N($N135)&gt;0,$N135,IFERROR(CHOOSE(MATCH(LEFT($E135,2),{"AU";"NZ";"US"},0),ref_au_oncost_total,ref_nz_oncost_total,ref_us_oncost_total),0)))/12*IF(OR(5&lt;N($K135),AND(N($L135)&gt;0,5&gt;$L135)),0,1))</f>
        <v>0</v>
      </c>
      <c r="AM135">
        <f>IF($B135="",0,N($M135)*(1+IF(N($N135)&gt;0,$N135,IFERROR(CHOOSE(MATCH(LEFT($E135,2),{"AU";"NZ";"US"},0),ref_au_oncost_total,ref_nz_oncost_total,ref_us_oncost_total),0)))/12*IF(OR(6&lt;N($K135),AND(N($L135)&gt;0,6&gt;$L135)),0,1))</f>
        <v>0</v>
      </c>
      <c r="AN135">
        <f>IF($B135="",0,N($M135)*(1+IF(N($N135)&gt;0,$N135,IFERROR(CHOOSE(MATCH(LEFT($E135,2),{"AU";"NZ";"US"},0),ref_au_oncost_total,ref_nz_oncost_total,ref_us_oncost_total),0)))/12*IF(OR(7&lt;N($K135),AND(N($L135)&gt;0,7&gt;$L135)),0,1))</f>
        <v>0</v>
      </c>
      <c r="AO135">
        <f>IF($B135="",0,N($M135)*(1+IF(N($N135)&gt;0,$N135,IFERROR(CHOOSE(MATCH(LEFT($E135,2),{"AU";"NZ";"US"},0),ref_au_oncost_total,ref_nz_oncost_total,ref_us_oncost_total),0)))/12*IF(OR(8&lt;N($K135),AND(N($L135)&gt;0,8&gt;$L135)),0,1))</f>
        <v>0</v>
      </c>
      <c r="AP135">
        <f>IF($B135="",0,N($M135)*(1+IF(N($N135)&gt;0,$N135,IFERROR(CHOOSE(MATCH(LEFT($E135,2),{"AU";"NZ";"US"},0),ref_au_oncost_total,ref_nz_oncost_total,ref_us_oncost_total),0)))/12*IF(OR(9&lt;N($K135),AND(N($L135)&gt;0,9&gt;$L135)),0,1))</f>
        <v>0</v>
      </c>
      <c r="AQ135">
        <f>IF($B135="",0,N($M135)*(1+IF(N($N135)&gt;0,$N135,IFERROR(CHOOSE(MATCH(LEFT($E135,2),{"AU";"NZ";"US"},0),ref_au_oncost_total,ref_nz_oncost_total,ref_us_oncost_total),0)))/12*IF(OR(10&lt;N($K135),AND(N($L135)&gt;0,10&gt;$L135)),0,1))</f>
        <v>0</v>
      </c>
      <c r="AR135">
        <f>IF($B135="",0,N($M135)*(1+IF(N($N135)&gt;0,$N135,IFERROR(CHOOSE(MATCH(LEFT($E135,2),{"AU";"NZ";"US"},0),ref_au_oncost_total,ref_nz_oncost_total,ref_us_oncost_total),0)))/12*IF(OR(11&lt;N($K135),AND(N($L135)&gt;0,11&gt;$L135)),0,1))</f>
        <v>0</v>
      </c>
      <c r="AS135">
        <f>IF($B135="",0,N($M135)*(1+IF(N($N135)&gt;0,$N135,IFERROR(CHOOSE(MATCH(LEFT($E135,2),{"AU";"NZ";"US"},0),ref_au_oncost_total,ref_nz_oncost_total,ref_us_oncost_total),0)))/12*IF(OR(12&lt;N($K135),AND(N($L135)&gt;0,12&gt;$L135)),0,1))</f>
        <v>0</v>
      </c>
      <c r="AT135"/>
      <c r="AU135">
        <f t="shared" si="25"/>
        <v>0</v>
      </c>
      <c r="AV135">
        <f t="shared" si="26"/>
        <v>0</v>
      </c>
      <c r="AW135">
        <f t="shared" si="27"/>
        <v>0</v>
      </c>
      <c r="AX135">
        <f t="shared" si="28"/>
        <v>0</v>
      </c>
      <c r="AY135">
        <f t="shared" si="29"/>
        <v>0</v>
      </c>
      <c r="AZ135">
        <f t="shared" si="30"/>
        <v>0</v>
      </c>
      <c r="BA135">
        <f t="shared" si="31"/>
        <v>0</v>
      </c>
      <c r="BB135">
        <f t="shared" si="32"/>
        <v>0</v>
      </c>
      <c r="BC135">
        <f t="shared" si="33"/>
        <v>0</v>
      </c>
      <c r="BD135">
        <f t="shared" si="34"/>
        <v>0</v>
      </c>
      <c r="BE135">
        <f t="shared" si="35"/>
        <v>0</v>
      </c>
      <c r="BF135">
        <f t="shared" si="36"/>
        <v>0</v>
      </c>
    </row>
    <row r="136" spans="1:58" outlineLevel="1" x14ac:dyDescent="0.2">
      <c r="A136" s="41"/>
      <c r="B136" s="109"/>
      <c r="C136" s="109"/>
      <c r="D136" s="111"/>
      <c r="E136" s="112"/>
      <c r="F136" s="113"/>
      <c r="G136" s="109"/>
      <c r="H136" s="113"/>
      <c r="I136" s="104"/>
      <c r="J136" s="100"/>
      <c r="K136" s="110"/>
      <c r="L136" s="110"/>
      <c r="M136" s="100"/>
      <c r="N136" s="104"/>
      <c r="P136" s="41" t="str">
        <f t="shared" si="24"/>
        <v/>
      </c>
      <c r="S136"/>
      <c r="T136"/>
      <c r="U136" cm="1">
        <f t="array" ref="U136">IF($B136="",0,IF(OR(1&lt;N($K136),AND(N($L136)&gt;0,1&gt;$L136)),0,N($F136)*N($H136)*IFERROR(INDEX(cal_wd_active,IFERROR(MATCH($E136,cal_jurisdictions,0),MATCH($E136&amp;"-*",cal_jurisdictions,0)),1),0)*N($I136)*N($J136)))</f>
        <v>0</v>
      </c>
      <c r="V136" cm="1">
        <f t="array" ref="V136">IF($B136="",0,IF(OR(2&lt;N($K136),AND(N($L136)&gt;0,2&gt;$L136)),0,N($F136)*N($H136)*IFERROR(INDEX(cal_wd_active,IFERROR(MATCH($E136,cal_jurisdictions,0),MATCH($E136&amp;"-*",cal_jurisdictions,0)),2),0)*N($I136)*N($J136)))</f>
        <v>0</v>
      </c>
      <c r="W136" cm="1">
        <f t="array" ref="W136">IF($B136="",0,IF(OR(3&lt;N($K136),AND(N($L136)&gt;0,3&gt;$L136)),0,N($F136)*N($H136)*IFERROR(INDEX(cal_wd_active,IFERROR(MATCH($E136,cal_jurisdictions,0),MATCH($E136&amp;"-*",cal_jurisdictions,0)),3),0)*N($I136)*N($J136)))</f>
        <v>0</v>
      </c>
      <c r="X136" cm="1">
        <f t="array" ref="X136">IF($B136="",0,IF(OR(4&lt;N($K136),AND(N($L136)&gt;0,4&gt;$L136)),0,N($F136)*N($H136)*IFERROR(INDEX(cal_wd_active,IFERROR(MATCH($E136,cal_jurisdictions,0),MATCH($E136&amp;"-*",cal_jurisdictions,0)),4),0)*N($I136)*N($J136)))</f>
        <v>0</v>
      </c>
      <c r="Y136" cm="1">
        <f t="array" ref="Y136">IF($B136="",0,IF(OR(5&lt;N($K136),AND(N($L136)&gt;0,5&gt;$L136)),0,N($F136)*N($H136)*IFERROR(INDEX(cal_wd_active,IFERROR(MATCH($E136,cal_jurisdictions,0),MATCH($E136&amp;"-*",cal_jurisdictions,0)),5),0)*N($I136)*N($J136)))</f>
        <v>0</v>
      </c>
      <c r="Z136" cm="1">
        <f t="array" ref="Z136">IF($B136="",0,IF(OR(6&lt;N($K136),AND(N($L136)&gt;0,6&gt;$L136)),0,N($F136)*N($H136)*IFERROR(INDEX(cal_wd_active,IFERROR(MATCH($E136,cal_jurisdictions,0),MATCH($E136&amp;"-*",cal_jurisdictions,0)),6),0)*N($I136)*N($J136)))</f>
        <v>0</v>
      </c>
      <c r="AA136" cm="1">
        <f t="array" ref="AA136">IF($B136="",0,IF(OR(7&lt;N($K136),AND(N($L136)&gt;0,7&gt;$L136)),0,N($F136)*N($H136)*IFERROR(INDEX(cal_wd_active,IFERROR(MATCH($E136,cal_jurisdictions,0),MATCH($E136&amp;"-*",cal_jurisdictions,0)),7),0)*N($I136)*N($J136)))</f>
        <v>0</v>
      </c>
      <c r="AB136" cm="1">
        <f t="array" ref="AB136">IF($B136="",0,IF(OR(8&lt;N($K136),AND(N($L136)&gt;0,8&gt;$L136)),0,N($F136)*N($H136)*IFERROR(INDEX(cal_wd_active,IFERROR(MATCH($E136,cal_jurisdictions,0),MATCH($E136&amp;"-*",cal_jurisdictions,0)),8),0)*N($I136)*N($J136)))</f>
        <v>0</v>
      </c>
      <c r="AC136" cm="1">
        <f t="array" ref="AC136">IF($B136="",0,IF(OR(9&lt;N($K136),AND(N($L136)&gt;0,9&gt;$L136)),0,N($F136)*N($H136)*IFERROR(INDEX(cal_wd_active,IFERROR(MATCH($E136,cal_jurisdictions,0),MATCH($E136&amp;"-*",cal_jurisdictions,0)),9),0)*N($I136)*N($J136)))</f>
        <v>0</v>
      </c>
      <c r="AD136" cm="1">
        <f t="array" ref="AD136">IF($B136="",0,IF(OR(10&lt;N($K136),AND(N($L136)&gt;0,10&gt;$L136)),0,N($F136)*N($H136)*IFERROR(INDEX(cal_wd_active,IFERROR(MATCH($E136,cal_jurisdictions,0),MATCH($E136&amp;"-*",cal_jurisdictions,0)),10),0)*N($I136)*N($J136)))</f>
        <v>0</v>
      </c>
      <c r="AE136" cm="1">
        <f t="array" ref="AE136">IF($B136="",0,IF(OR(11&lt;N($K136),AND(N($L136)&gt;0,11&gt;$L136)),0,N($F136)*N($H136)*IFERROR(INDEX(cal_wd_active,IFERROR(MATCH($E136,cal_jurisdictions,0),MATCH($E136&amp;"-*",cal_jurisdictions,0)),11),0)*N($I136)*N($J136)))</f>
        <v>0</v>
      </c>
      <c r="AF136" cm="1">
        <f t="array" ref="AF136">IF($B136="",0,IF(OR(12&lt;N($K136),AND(N($L136)&gt;0,12&gt;$L136)),0,N($F136)*N($H136)*IFERROR(INDEX(cal_wd_active,IFERROR(MATCH($E136,cal_jurisdictions,0),MATCH($E136&amp;"-*",cal_jurisdictions,0)),12),0)*N($I136)*N($J136)))</f>
        <v>0</v>
      </c>
      <c r="AG136"/>
      <c r="AH136">
        <f>IF($B136="",0,N($M136)*(1+IF(N($N136)&gt;0,$N136,IFERROR(CHOOSE(MATCH(LEFT($E136,2),{"AU";"NZ";"US"},0),ref_au_oncost_total,ref_nz_oncost_total,ref_us_oncost_total),0)))/12*IF(OR(1&lt;N($K136),AND(N($L136)&gt;0,1&gt;$L136)),0,1))</f>
        <v>0</v>
      </c>
      <c r="AI136">
        <f>IF($B136="",0,N($M136)*(1+IF(N($N136)&gt;0,$N136,IFERROR(CHOOSE(MATCH(LEFT($E136,2),{"AU";"NZ";"US"},0),ref_au_oncost_total,ref_nz_oncost_total,ref_us_oncost_total),0)))/12*IF(OR(2&lt;N($K136),AND(N($L136)&gt;0,2&gt;$L136)),0,1))</f>
        <v>0</v>
      </c>
      <c r="AJ136">
        <f>IF($B136="",0,N($M136)*(1+IF(N($N136)&gt;0,$N136,IFERROR(CHOOSE(MATCH(LEFT($E136,2),{"AU";"NZ";"US"},0),ref_au_oncost_total,ref_nz_oncost_total,ref_us_oncost_total),0)))/12*IF(OR(3&lt;N($K136),AND(N($L136)&gt;0,3&gt;$L136)),0,1))</f>
        <v>0</v>
      </c>
      <c r="AK136">
        <f>IF($B136="",0,N($M136)*(1+IF(N($N136)&gt;0,$N136,IFERROR(CHOOSE(MATCH(LEFT($E136,2),{"AU";"NZ";"US"},0),ref_au_oncost_total,ref_nz_oncost_total,ref_us_oncost_total),0)))/12*IF(OR(4&lt;N($K136),AND(N($L136)&gt;0,4&gt;$L136)),0,1))</f>
        <v>0</v>
      </c>
      <c r="AL136">
        <f>IF($B136="",0,N($M136)*(1+IF(N($N136)&gt;0,$N136,IFERROR(CHOOSE(MATCH(LEFT($E136,2),{"AU";"NZ";"US"},0),ref_au_oncost_total,ref_nz_oncost_total,ref_us_oncost_total),0)))/12*IF(OR(5&lt;N($K136),AND(N($L136)&gt;0,5&gt;$L136)),0,1))</f>
        <v>0</v>
      </c>
      <c r="AM136">
        <f>IF($B136="",0,N($M136)*(1+IF(N($N136)&gt;0,$N136,IFERROR(CHOOSE(MATCH(LEFT($E136,2),{"AU";"NZ";"US"},0),ref_au_oncost_total,ref_nz_oncost_total,ref_us_oncost_total),0)))/12*IF(OR(6&lt;N($K136),AND(N($L136)&gt;0,6&gt;$L136)),0,1))</f>
        <v>0</v>
      </c>
      <c r="AN136">
        <f>IF($B136="",0,N($M136)*(1+IF(N($N136)&gt;0,$N136,IFERROR(CHOOSE(MATCH(LEFT($E136,2),{"AU";"NZ";"US"},0),ref_au_oncost_total,ref_nz_oncost_total,ref_us_oncost_total),0)))/12*IF(OR(7&lt;N($K136),AND(N($L136)&gt;0,7&gt;$L136)),0,1))</f>
        <v>0</v>
      </c>
      <c r="AO136">
        <f>IF($B136="",0,N($M136)*(1+IF(N($N136)&gt;0,$N136,IFERROR(CHOOSE(MATCH(LEFT($E136,2),{"AU";"NZ";"US"},0),ref_au_oncost_total,ref_nz_oncost_total,ref_us_oncost_total),0)))/12*IF(OR(8&lt;N($K136),AND(N($L136)&gt;0,8&gt;$L136)),0,1))</f>
        <v>0</v>
      </c>
      <c r="AP136">
        <f>IF($B136="",0,N($M136)*(1+IF(N($N136)&gt;0,$N136,IFERROR(CHOOSE(MATCH(LEFT($E136,2),{"AU";"NZ";"US"},0),ref_au_oncost_total,ref_nz_oncost_total,ref_us_oncost_total),0)))/12*IF(OR(9&lt;N($K136),AND(N($L136)&gt;0,9&gt;$L136)),0,1))</f>
        <v>0</v>
      </c>
      <c r="AQ136">
        <f>IF($B136="",0,N($M136)*(1+IF(N($N136)&gt;0,$N136,IFERROR(CHOOSE(MATCH(LEFT($E136,2),{"AU";"NZ";"US"},0),ref_au_oncost_total,ref_nz_oncost_total,ref_us_oncost_total),0)))/12*IF(OR(10&lt;N($K136),AND(N($L136)&gt;0,10&gt;$L136)),0,1))</f>
        <v>0</v>
      </c>
      <c r="AR136">
        <f>IF($B136="",0,N($M136)*(1+IF(N($N136)&gt;0,$N136,IFERROR(CHOOSE(MATCH(LEFT($E136,2),{"AU";"NZ";"US"},0),ref_au_oncost_total,ref_nz_oncost_total,ref_us_oncost_total),0)))/12*IF(OR(11&lt;N($K136),AND(N($L136)&gt;0,11&gt;$L136)),0,1))</f>
        <v>0</v>
      </c>
      <c r="AS136">
        <f>IF($B136="",0,N($M136)*(1+IF(N($N136)&gt;0,$N136,IFERROR(CHOOSE(MATCH(LEFT($E136,2),{"AU";"NZ";"US"},0),ref_au_oncost_total,ref_nz_oncost_total,ref_us_oncost_total),0)))/12*IF(OR(12&lt;N($K136),AND(N($L136)&gt;0,12&gt;$L136)),0,1))</f>
        <v>0</v>
      </c>
      <c r="AT136"/>
      <c r="AU136">
        <f t="shared" si="25"/>
        <v>0</v>
      </c>
      <c r="AV136">
        <f t="shared" si="26"/>
        <v>0</v>
      </c>
      <c r="AW136">
        <f t="shared" si="27"/>
        <v>0</v>
      </c>
      <c r="AX136">
        <f t="shared" si="28"/>
        <v>0</v>
      </c>
      <c r="AY136">
        <f t="shared" si="29"/>
        <v>0</v>
      </c>
      <c r="AZ136">
        <f t="shared" si="30"/>
        <v>0</v>
      </c>
      <c r="BA136">
        <f t="shared" si="31"/>
        <v>0</v>
      </c>
      <c r="BB136">
        <f t="shared" si="32"/>
        <v>0</v>
      </c>
      <c r="BC136">
        <f t="shared" si="33"/>
        <v>0</v>
      </c>
      <c r="BD136">
        <f t="shared" si="34"/>
        <v>0</v>
      </c>
      <c r="BE136">
        <f t="shared" si="35"/>
        <v>0</v>
      </c>
      <c r="BF136">
        <f t="shared" si="36"/>
        <v>0</v>
      </c>
    </row>
    <row r="137" spans="1:58" outlineLevel="1" x14ac:dyDescent="0.2">
      <c r="A137" s="41"/>
      <c r="B137" s="109"/>
      <c r="C137" s="109"/>
      <c r="D137" s="111"/>
      <c r="E137" s="112"/>
      <c r="F137" s="113"/>
      <c r="G137" s="109"/>
      <c r="H137" s="113"/>
      <c r="I137" s="104"/>
      <c r="J137" s="100"/>
      <c r="K137" s="110"/>
      <c r="L137" s="110"/>
      <c r="M137" s="100"/>
      <c r="N137" s="104"/>
      <c r="P137" s="41" t="str">
        <f t="shared" si="24"/>
        <v/>
      </c>
      <c r="S137"/>
      <c r="T137"/>
      <c r="U137" cm="1">
        <f t="array" ref="U137">IF($B137="",0,IF(OR(1&lt;N($K137),AND(N($L137)&gt;0,1&gt;$L137)),0,N($F137)*N($H137)*IFERROR(INDEX(cal_wd_active,IFERROR(MATCH($E137,cal_jurisdictions,0),MATCH($E137&amp;"-*",cal_jurisdictions,0)),1),0)*N($I137)*N($J137)))</f>
        <v>0</v>
      </c>
      <c r="V137" cm="1">
        <f t="array" ref="V137">IF($B137="",0,IF(OR(2&lt;N($K137),AND(N($L137)&gt;0,2&gt;$L137)),0,N($F137)*N($H137)*IFERROR(INDEX(cal_wd_active,IFERROR(MATCH($E137,cal_jurisdictions,0),MATCH($E137&amp;"-*",cal_jurisdictions,0)),2),0)*N($I137)*N($J137)))</f>
        <v>0</v>
      </c>
      <c r="W137" cm="1">
        <f t="array" ref="W137">IF($B137="",0,IF(OR(3&lt;N($K137),AND(N($L137)&gt;0,3&gt;$L137)),0,N($F137)*N($H137)*IFERROR(INDEX(cal_wd_active,IFERROR(MATCH($E137,cal_jurisdictions,0),MATCH($E137&amp;"-*",cal_jurisdictions,0)),3),0)*N($I137)*N($J137)))</f>
        <v>0</v>
      </c>
      <c r="X137" cm="1">
        <f t="array" ref="X137">IF($B137="",0,IF(OR(4&lt;N($K137),AND(N($L137)&gt;0,4&gt;$L137)),0,N($F137)*N($H137)*IFERROR(INDEX(cal_wd_active,IFERROR(MATCH($E137,cal_jurisdictions,0),MATCH($E137&amp;"-*",cal_jurisdictions,0)),4),0)*N($I137)*N($J137)))</f>
        <v>0</v>
      </c>
      <c r="Y137" cm="1">
        <f t="array" ref="Y137">IF($B137="",0,IF(OR(5&lt;N($K137),AND(N($L137)&gt;0,5&gt;$L137)),0,N($F137)*N($H137)*IFERROR(INDEX(cal_wd_active,IFERROR(MATCH($E137,cal_jurisdictions,0),MATCH($E137&amp;"-*",cal_jurisdictions,0)),5),0)*N($I137)*N($J137)))</f>
        <v>0</v>
      </c>
      <c r="Z137" cm="1">
        <f t="array" ref="Z137">IF($B137="",0,IF(OR(6&lt;N($K137),AND(N($L137)&gt;0,6&gt;$L137)),0,N($F137)*N($H137)*IFERROR(INDEX(cal_wd_active,IFERROR(MATCH($E137,cal_jurisdictions,0),MATCH($E137&amp;"-*",cal_jurisdictions,0)),6),0)*N($I137)*N($J137)))</f>
        <v>0</v>
      </c>
      <c r="AA137" cm="1">
        <f t="array" ref="AA137">IF($B137="",0,IF(OR(7&lt;N($K137),AND(N($L137)&gt;0,7&gt;$L137)),0,N($F137)*N($H137)*IFERROR(INDEX(cal_wd_active,IFERROR(MATCH($E137,cal_jurisdictions,0),MATCH($E137&amp;"-*",cal_jurisdictions,0)),7),0)*N($I137)*N($J137)))</f>
        <v>0</v>
      </c>
      <c r="AB137" cm="1">
        <f t="array" ref="AB137">IF($B137="",0,IF(OR(8&lt;N($K137),AND(N($L137)&gt;0,8&gt;$L137)),0,N($F137)*N($H137)*IFERROR(INDEX(cal_wd_active,IFERROR(MATCH($E137,cal_jurisdictions,0),MATCH($E137&amp;"-*",cal_jurisdictions,0)),8),0)*N($I137)*N($J137)))</f>
        <v>0</v>
      </c>
      <c r="AC137" cm="1">
        <f t="array" ref="AC137">IF($B137="",0,IF(OR(9&lt;N($K137),AND(N($L137)&gt;0,9&gt;$L137)),0,N($F137)*N($H137)*IFERROR(INDEX(cal_wd_active,IFERROR(MATCH($E137,cal_jurisdictions,0),MATCH($E137&amp;"-*",cal_jurisdictions,0)),9),0)*N($I137)*N($J137)))</f>
        <v>0</v>
      </c>
      <c r="AD137" cm="1">
        <f t="array" ref="AD137">IF($B137="",0,IF(OR(10&lt;N($K137),AND(N($L137)&gt;0,10&gt;$L137)),0,N($F137)*N($H137)*IFERROR(INDEX(cal_wd_active,IFERROR(MATCH($E137,cal_jurisdictions,0),MATCH($E137&amp;"-*",cal_jurisdictions,0)),10),0)*N($I137)*N($J137)))</f>
        <v>0</v>
      </c>
      <c r="AE137" cm="1">
        <f t="array" ref="AE137">IF($B137="",0,IF(OR(11&lt;N($K137),AND(N($L137)&gt;0,11&gt;$L137)),0,N($F137)*N($H137)*IFERROR(INDEX(cal_wd_active,IFERROR(MATCH($E137,cal_jurisdictions,0),MATCH($E137&amp;"-*",cal_jurisdictions,0)),11),0)*N($I137)*N($J137)))</f>
        <v>0</v>
      </c>
      <c r="AF137" cm="1">
        <f t="array" ref="AF137">IF($B137="",0,IF(OR(12&lt;N($K137),AND(N($L137)&gt;0,12&gt;$L137)),0,N($F137)*N($H137)*IFERROR(INDEX(cal_wd_active,IFERROR(MATCH($E137,cal_jurisdictions,0),MATCH($E137&amp;"-*",cal_jurisdictions,0)),12),0)*N($I137)*N($J137)))</f>
        <v>0</v>
      </c>
      <c r="AG137"/>
      <c r="AH137">
        <f>IF($B137="",0,N($M137)*(1+IF(N($N137)&gt;0,$N137,IFERROR(CHOOSE(MATCH(LEFT($E137,2),{"AU";"NZ";"US"},0),ref_au_oncost_total,ref_nz_oncost_total,ref_us_oncost_total),0)))/12*IF(OR(1&lt;N($K137),AND(N($L137)&gt;0,1&gt;$L137)),0,1))</f>
        <v>0</v>
      </c>
      <c r="AI137">
        <f>IF($B137="",0,N($M137)*(1+IF(N($N137)&gt;0,$N137,IFERROR(CHOOSE(MATCH(LEFT($E137,2),{"AU";"NZ";"US"},0),ref_au_oncost_total,ref_nz_oncost_total,ref_us_oncost_total),0)))/12*IF(OR(2&lt;N($K137),AND(N($L137)&gt;0,2&gt;$L137)),0,1))</f>
        <v>0</v>
      </c>
      <c r="AJ137">
        <f>IF($B137="",0,N($M137)*(1+IF(N($N137)&gt;0,$N137,IFERROR(CHOOSE(MATCH(LEFT($E137,2),{"AU";"NZ";"US"},0),ref_au_oncost_total,ref_nz_oncost_total,ref_us_oncost_total),0)))/12*IF(OR(3&lt;N($K137),AND(N($L137)&gt;0,3&gt;$L137)),0,1))</f>
        <v>0</v>
      </c>
      <c r="AK137">
        <f>IF($B137="",0,N($M137)*(1+IF(N($N137)&gt;0,$N137,IFERROR(CHOOSE(MATCH(LEFT($E137,2),{"AU";"NZ";"US"},0),ref_au_oncost_total,ref_nz_oncost_total,ref_us_oncost_total),0)))/12*IF(OR(4&lt;N($K137),AND(N($L137)&gt;0,4&gt;$L137)),0,1))</f>
        <v>0</v>
      </c>
      <c r="AL137">
        <f>IF($B137="",0,N($M137)*(1+IF(N($N137)&gt;0,$N137,IFERROR(CHOOSE(MATCH(LEFT($E137,2),{"AU";"NZ";"US"},0),ref_au_oncost_total,ref_nz_oncost_total,ref_us_oncost_total),0)))/12*IF(OR(5&lt;N($K137),AND(N($L137)&gt;0,5&gt;$L137)),0,1))</f>
        <v>0</v>
      </c>
      <c r="AM137">
        <f>IF($B137="",0,N($M137)*(1+IF(N($N137)&gt;0,$N137,IFERROR(CHOOSE(MATCH(LEFT($E137,2),{"AU";"NZ";"US"},0),ref_au_oncost_total,ref_nz_oncost_total,ref_us_oncost_total),0)))/12*IF(OR(6&lt;N($K137),AND(N($L137)&gt;0,6&gt;$L137)),0,1))</f>
        <v>0</v>
      </c>
      <c r="AN137">
        <f>IF($B137="",0,N($M137)*(1+IF(N($N137)&gt;0,$N137,IFERROR(CHOOSE(MATCH(LEFT($E137,2),{"AU";"NZ";"US"},0),ref_au_oncost_total,ref_nz_oncost_total,ref_us_oncost_total),0)))/12*IF(OR(7&lt;N($K137),AND(N($L137)&gt;0,7&gt;$L137)),0,1))</f>
        <v>0</v>
      </c>
      <c r="AO137">
        <f>IF($B137="",0,N($M137)*(1+IF(N($N137)&gt;0,$N137,IFERROR(CHOOSE(MATCH(LEFT($E137,2),{"AU";"NZ";"US"},0),ref_au_oncost_total,ref_nz_oncost_total,ref_us_oncost_total),0)))/12*IF(OR(8&lt;N($K137),AND(N($L137)&gt;0,8&gt;$L137)),0,1))</f>
        <v>0</v>
      </c>
      <c r="AP137">
        <f>IF($B137="",0,N($M137)*(1+IF(N($N137)&gt;0,$N137,IFERROR(CHOOSE(MATCH(LEFT($E137,2),{"AU";"NZ";"US"},0),ref_au_oncost_total,ref_nz_oncost_total,ref_us_oncost_total),0)))/12*IF(OR(9&lt;N($K137),AND(N($L137)&gt;0,9&gt;$L137)),0,1))</f>
        <v>0</v>
      </c>
      <c r="AQ137">
        <f>IF($B137="",0,N($M137)*(1+IF(N($N137)&gt;0,$N137,IFERROR(CHOOSE(MATCH(LEFT($E137,2),{"AU";"NZ";"US"},0),ref_au_oncost_total,ref_nz_oncost_total,ref_us_oncost_total),0)))/12*IF(OR(10&lt;N($K137),AND(N($L137)&gt;0,10&gt;$L137)),0,1))</f>
        <v>0</v>
      </c>
      <c r="AR137">
        <f>IF($B137="",0,N($M137)*(1+IF(N($N137)&gt;0,$N137,IFERROR(CHOOSE(MATCH(LEFT($E137,2),{"AU";"NZ";"US"},0),ref_au_oncost_total,ref_nz_oncost_total,ref_us_oncost_total),0)))/12*IF(OR(11&lt;N($K137),AND(N($L137)&gt;0,11&gt;$L137)),0,1))</f>
        <v>0</v>
      </c>
      <c r="AS137">
        <f>IF($B137="",0,N($M137)*(1+IF(N($N137)&gt;0,$N137,IFERROR(CHOOSE(MATCH(LEFT($E137,2),{"AU";"NZ";"US"},0),ref_au_oncost_total,ref_nz_oncost_total,ref_us_oncost_total),0)))/12*IF(OR(12&lt;N($K137),AND(N($L137)&gt;0,12&gt;$L137)),0,1))</f>
        <v>0</v>
      </c>
      <c r="AT137"/>
      <c r="AU137">
        <f t="shared" si="25"/>
        <v>0</v>
      </c>
      <c r="AV137">
        <f t="shared" si="26"/>
        <v>0</v>
      </c>
      <c r="AW137">
        <f t="shared" si="27"/>
        <v>0</v>
      </c>
      <c r="AX137">
        <f t="shared" si="28"/>
        <v>0</v>
      </c>
      <c r="AY137">
        <f t="shared" si="29"/>
        <v>0</v>
      </c>
      <c r="AZ137">
        <f t="shared" si="30"/>
        <v>0</v>
      </c>
      <c r="BA137">
        <f t="shared" si="31"/>
        <v>0</v>
      </c>
      <c r="BB137">
        <f t="shared" si="32"/>
        <v>0</v>
      </c>
      <c r="BC137">
        <f t="shared" si="33"/>
        <v>0</v>
      </c>
      <c r="BD137">
        <f t="shared" si="34"/>
        <v>0</v>
      </c>
      <c r="BE137">
        <f t="shared" si="35"/>
        <v>0</v>
      </c>
      <c r="BF137">
        <f t="shared" si="36"/>
        <v>0</v>
      </c>
    </row>
    <row r="138" spans="1:58" outlineLevel="1" x14ac:dyDescent="0.2">
      <c r="A138" s="41"/>
      <c r="B138" s="109"/>
      <c r="C138" s="109"/>
      <c r="D138" s="111"/>
      <c r="E138" s="112"/>
      <c r="F138" s="113"/>
      <c r="G138" s="109"/>
      <c r="H138" s="113"/>
      <c r="I138" s="104"/>
      <c r="J138" s="100"/>
      <c r="K138" s="110"/>
      <c r="L138" s="110"/>
      <c r="M138" s="100"/>
      <c r="N138" s="104"/>
      <c r="P138" s="41" t="str">
        <f t="shared" si="24"/>
        <v/>
      </c>
      <c r="S138"/>
      <c r="T138"/>
      <c r="U138" cm="1">
        <f t="array" ref="U138">IF($B138="",0,IF(OR(1&lt;N($K138),AND(N($L138)&gt;0,1&gt;$L138)),0,N($F138)*N($H138)*IFERROR(INDEX(cal_wd_active,IFERROR(MATCH($E138,cal_jurisdictions,0),MATCH($E138&amp;"-*",cal_jurisdictions,0)),1),0)*N($I138)*N($J138)))</f>
        <v>0</v>
      </c>
      <c r="V138" cm="1">
        <f t="array" ref="V138">IF($B138="",0,IF(OR(2&lt;N($K138),AND(N($L138)&gt;0,2&gt;$L138)),0,N($F138)*N($H138)*IFERROR(INDEX(cal_wd_active,IFERROR(MATCH($E138,cal_jurisdictions,0),MATCH($E138&amp;"-*",cal_jurisdictions,0)),2),0)*N($I138)*N($J138)))</f>
        <v>0</v>
      </c>
      <c r="W138" cm="1">
        <f t="array" ref="W138">IF($B138="",0,IF(OR(3&lt;N($K138),AND(N($L138)&gt;0,3&gt;$L138)),0,N($F138)*N($H138)*IFERROR(INDEX(cal_wd_active,IFERROR(MATCH($E138,cal_jurisdictions,0),MATCH($E138&amp;"-*",cal_jurisdictions,0)),3),0)*N($I138)*N($J138)))</f>
        <v>0</v>
      </c>
      <c r="X138" cm="1">
        <f t="array" ref="X138">IF($B138="",0,IF(OR(4&lt;N($K138),AND(N($L138)&gt;0,4&gt;$L138)),0,N($F138)*N($H138)*IFERROR(INDEX(cal_wd_active,IFERROR(MATCH($E138,cal_jurisdictions,0),MATCH($E138&amp;"-*",cal_jurisdictions,0)),4),0)*N($I138)*N($J138)))</f>
        <v>0</v>
      </c>
      <c r="Y138" cm="1">
        <f t="array" ref="Y138">IF($B138="",0,IF(OR(5&lt;N($K138),AND(N($L138)&gt;0,5&gt;$L138)),0,N($F138)*N($H138)*IFERROR(INDEX(cal_wd_active,IFERROR(MATCH($E138,cal_jurisdictions,0),MATCH($E138&amp;"-*",cal_jurisdictions,0)),5),0)*N($I138)*N($J138)))</f>
        <v>0</v>
      </c>
      <c r="Z138" cm="1">
        <f t="array" ref="Z138">IF($B138="",0,IF(OR(6&lt;N($K138),AND(N($L138)&gt;0,6&gt;$L138)),0,N($F138)*N($H138)*IFERROR(INDEX(cal_wd_active,IFERROR(MATCH($E138,cal_jurisdictions,0),MATCH($E138&amp;"-*",cal_jurisdictions,0)),6),0)*N($I138)*N($J138)))</f>
        <v>0</v>
      </c>
      <c r="AA138" cm="1">
        <f t="array" ref="AA138">IF($B138="",0,IF(OR(7&lt;N($K138),AND(N($L138)&gt;0,7&gt;$L138)),0,N($F138)*N($H138)*IFERROR(INDEX(cal_wd_active,IFERROR(MATCH($E138,cal_jurisdictions,0),MATCH($E138&amp;"-*",cal_jurisdictions,0)),7),0)*N($I138)*N($J138)))</f>
        <v>0</v>
      </c>
      <c r="AB138" cm="1">
        <f t="array" ref="AB138">IF($B138="",0,IF(OR(8&lt;N($K138),AND(N($L138)&gt;0,8&gt;$L138)),0,N($F138)*N($H138)*IFERROR(INDEX(cal_wd_active,IFERROR(MATCH($E138,cal_jurisdictions,0),MATCH($E138&amp;"-*",cal_jurisdictions,0)),8),0)*N($I138)*N($J138)))</f>
        <v>0</v>
      </c>
      <c r="AC138" cm="1">
        <f t="array" ref="AC138">IF($B138="",0,IF(OR(9&lt;N($K138),AND(N($L138)&gt;0,9&gt;$L138)),0,N($F138)*N($H138)*IFERROR(INDEX(cal_wd_active,IFERROR(MATCH($E138,cal_jurisdictions,0),MATCH($E138&amp;"-*",cal_jurisdictions,0)),9),0)*N($I138)*N($J138)))</f>
        <v>0</v>
      </c>
      <c r="AD138" cm="1">
        <f t="array" ref="AD138">IF($B138="",0,IF(OR(10&lt;N($K138),AND(N($L138)&gt;0,10&gt;$L138)),0,N($F138)*N($H138)*IFERROR(INDEX(cal_wd_active,IFERROR(MATCH($E138,cal_jurisdictions,0),MATCH($E138&amp;"-*",cal_jurisdictions,0)),10),0)*N($I138)*N($J138)))</f>
        <v>0</v>
      </c>
      <c r="AE138" cm="1">
        <f t="array" ref="AE138">IF($B138="",0,IF(OR(11&lt;N($K138),AND(N($L138)&gt;0,11&gt;$L138)),0,N($F138)*N($H138)*IFERROR(INDEX(cal_wd_active,IFERROR(MATCH($E138,cal_jurisdictions,0),MATCH($E138&amp;"-*",cal_jurisdictions,0)),11),0)*N($I138)*N($J138)))</f>
        <v>0</v>
      </c>
      <c r="AF138" cm="1">
        <f t="array" ref="AF138">IF($B138="",0,IF(OR(12&lt;N($K138),AND(N($L138)&gt;0,12&gt;$L138)),0,N($F138)*N($H138)*IFERROR(INDEX(cal_wd_active,IFERROR(MATCH($E138,cal_jurisdictions,0),MATCH($E138&amp;"-*",cal_jurisdictions,0)),12),0)*N($I138)*N($J138)))</f>
        <v>0</v>
      </c>
      <c r="AG138"/>
      <c r="AH138">
        <f>IF($B138="",0,N($M138)*(1+IF(N($N138)&gt;0,$N138,IFERROR(CHOOSE(MATCH(LEFT($E138,2),{"AU";"NZ";"US"},0),ref_au_oncost_total,ref_nz_oncost_total,ref_us_oncost_total),0)))/12*IF(OR(1&lt;N($K138),AND(N($L138)&gt;0,1&gt;$L138)),0,1))</f>
        <v>0</v>
      </c>
      <c r="AI138">
        <f>IF($B138="",0,N($M138)*(1+IF(N($N138)&gt;0,$N138,IFERROR(CHOOSE(MATCH(LEFT($E138,2),{"AU";"NZ";"US"},0),ref_au_oncost_total,ref_nz_oncost_total,ref_us_oncost_total),0)))/12*IF(OR(2&lt;N($K138),AND(N($L138)&gt;0,2&gt;$L138)),0,1))</f>
        <v>0</v>
      </c>
      <c r="AJ138">
        <f>IF($B138="",0,N($M138)*(1+IF(N($N138)&gt;0,$N138,IFERROR(CHOOSE(MATCH(LEFT($E138,2),{"AU";"NZ";"US"},0),ref_au_oncost_total,ref_nz_oncost_total,ref_us_oncost_total),0)))/12*IF(OR(3&lt;N($K138),AND(N($L138)&gt;0,3&gt;$L138)),0,1))</f>
        <v>0</v>
      </c>
      <c r="AK138">
        <f>IF($B138="",0,N($M138)*(1+IF(N($N138)&gt;0,$N138,IFERROR(CHOOSE(MATCH(LEFT($E138,2),{"AU";"NZ";"US"},0),ref_au_oncost_total,ref_nz_oncost_total,ref_us_oncost_total),0)))/12*IF(OR(4&lt;N($K138),AND(N($L138)&gt;0,4&gt;$L138)),0,1))</f>
        <v>0</v>
      </c>
      <c r="AL138">
        <f>IF($B138="",0,N($M138)*(1+IF(N($N138)&gt;0,$N138,IFERROR(CHOOSE(MATCH(LEFT($E138,2),{"AU";"NZ";"US"},0),ref_au_oncost_total,ref_nz_oncost_total,ref_us_oncost_total),0)))/12*IF(OR(5&lt;N($K138),AND(N($L138)&gt;0,5&gt;$L138)),0,1))</f>
        <v>0</v>
      </c>
      <c r="AM138">
        <f>IF($B138="",0,N($M138)*(1+IF(N($N138)&gt;0,$N138,IFERROR(CHOOSE(MATCH(LEFT($E138,2),{"AU";"NZ";"US"},0),ref_au_oncost_total,ref_nz_oncost_total,ref_us_oncost_total),0)))/12*IF(OR(6&lt;N($K138),AND(N($L138)&gt;0,6&gt;$L138)),0,1))</f>
        <v>0</v>
      </c>
      <c r="AN138">
        <f>IF($B138="",0,N($M138)*(1+IF(N($N138)&gt;0,$N138,IFERROR(CHOOSE(MATCH(LEFT($E138,2),{"AU";"NZ";"US"},0),ref_au_oncost_total,ref_nz_oncost_total,ref_us_oncost_total),0)))/12*IF(OR(7&lt;N($K138),AND(N($L138)&gt;0,7&gt;$L138)),0,1))</f>
        <v>0</v>
      </c>
      <c r="AO138">
        <f>IF($B138="",0,N($M138)*(1+IF(N($N138)&gt;0,$N138,IFERROR(CHOOSE(MATCH(LEFT($E138,2),{"AU";"NZ";"US"},0),ref_au_oncost_total,ref_nz_oncost_total,ref_us_oncost_total),0)))/12*IF(OR(8&lt;N($K138),AND(N($L138)&gt;0,8&gt;$L138)),0,1))</f>
        <v>0</v>
      </c>
      <c r="AP138">
        <f>IF($B138="",0,N($M138)*(1+IF(N($N138)&gt;0,$N138,IFERROR(CHOOSE(MATCH(LEFT($E138,2),{"AU";"NZ";"US"},0),ref_au_oncost_total,ref_nz_oncost_total,ref_us_oncost_total),0)))/12*IF(OR(9&lt;N($K138),AND(N($L138)&gt;0,9&gt;$L138)),0,1))</f>
        <v>0</v>
      </c>
      <c r="AQ138">
        <f>IF($B138="",0,N($M138)*(1+IF(N($N138)&gt;0,$N138,IFERROR(CHOOSE(MATCH(LEFT($E138,2),{"AU";"NZ";"US"},0),ref_au_oncost_total,ref_nz_oncost_total,ref_us_oncost_total),0)))/12*IF(OR(10&lt;N($K138),AND(N($L138)&gt;0,10&gt;$L138)),0,1))</f>
        <v>0</v>
      </c>
      <c r="AR138">
        <f>IF($B138="",0,N($M138)*(1+IF(N($N138)&gt;0,$N138,IFERROR(CHOOSE(MATCH(LEFT($E138,2),{"AU";"NZ";"US"},0),ref_au_oncost_total,ref_nz_oncost_total,ref_us_oncost_total),0)))/12*IF(OR(11&lt;N($K138),AND(N($L138)&gt;0,11&gt;$L138)),0,1))</f>
        <v>0</v>
      </c>
      <c r="AS138">
        <f>IF($B138="",0,N($M138)*(1+IF(N($N138)&gt;0,$N138,IFERROR(CHOOSE(MATCH(LEFT($E138,2),{"AU";"NZ";"US"},0),ref_au_oncost_total,ref_nz_oncost_total,ref_us_oncost_total),0)))/12*IF(OR(12&lt;N($K138),AND(N($L138)&gt;0,12&gt;$L138)),0,1))</f>
        <v>0</v>
      </c>
      <c r="AT138"/>
      <c r="AU138">
        <f t="shared" si="25"/>
        <v>0</v>
      </c>
      <c r="AV138">
        <f t="shared" si="26"/>
        <v>0</v>
      </c>
      <c r="AW138">
        <f t="shared" si="27"/>
        <v>0</v>
      </c>
      <c r="AX138">
        <f t="shared" si="28"/>
        <v>0</v>
      </c>
      <c r="AY138">
        <f t="shared" si="29"/>
        <v>0</v>
      </c>
      <c r="AZ138">
        <f t="shared" si="30"/>
        <v>0</v>
      </c>
      <c r="BA138">
        <f t="shared" si="31"/>
        <v>0</v>
      </c>
      <c r="BB138">
        <f t="shared" si="32"/>
        <v>0</v>
      </c>
      <c r="BC138">
        <f t="shared" si="33"/>
        <v>0</v>
      </c>
      <c r="BD138">
        <f t="shared" si="34"/>
        <v>0</v>
      </c>
      <c r="BE138">
        <f t="shared" si="35"/>
        <v>0</v>
      </c>
      <c r="BF138">
        <f t="shared" si="36"/>
        <v>0</v>
      </c>
    </row>
    <row r="139" spans="1:58" outlineLevel="1" x14ac:dyDescent="0.2">
      <c r="A139" s="41"/>
      <c r="B139" s="109"/>
      <c r="C139" s="109"/>
      <c r="D139" s="111"/>
      <c r="E139" s="112"/>
      <c r="F139" s="113"/>
      <c r="G139" s="109"/>
      <c r="H139" s="113"/>
      <c r="I139" s="104"/>
      <c r="J139" s="100"/>
      <c r="K139" s="110"/>
      <c r="L139" s="110"/>
      <c r="M139" s="100"/>
      <c r="N139" s="104"/>
      <c r="P139" s="41" t="str">
        <f t="shared" si="24"/>
        <v/>
      </c>
      <c r="S139"/>
      <c r="T139"/>
      <c r="U139" cm="1">
        <f t="array" ref="U139">IF($B139="",0,IF(OR(1&lt;N($K139),AND(N($L139)&gt;0,1&gt;$L139)),0,N($F139)*N($H139)*IFERROR(INDEX(cal_wd_active,IFERROR(MATCH($E139,cal_jurisdictions,0),MATCH($E139&amp;"-*",cal_jurisdictions,0)),1),0)*N($I139)*N($J139)))</f>
        <v>0</v>
      </c>
      <c r="V139" cm="1">
        <f t="array" ref="V139">IF($B139="",0,IF(OR(2&lt;N($K139),AND(N($L139)&gt;0,2&gt;$L139)),0,N($F139)*N($H139)*IFERROR(INDEX(cal_wd_active,IFERROR(MATCH($E139,cal_jurisdictions,0),MATCH($E139&amp;"-*",cal_jurisdictions,0)),2),0)*N($I139)*N($J139)))</f>
        <v>0</v>
      </c>
      <c r="W139" cm="1">
        <f t="array" ref="W139">IF($B139="",0,IF(OR(3&lt;N($K139),AND(N($L139)&gt;0,3&gt;$L139)),0,N($F139)*N($H139)*IFERROR(INDEX(cal_wd_active,IFERROR(MATCH($E139,cal_jurisdictions,0),MATCH($E139&amp;"-*",cal_jurisdictions,0)),3),0)*N($I139)*N($J139)))</f>
        <v>0</v>
      </c>
      <c r="X139" cm="1">
        <f t="array" ref="X139">IF($B139="",0,IF(OR(4&lt;N($K139),AND(N($L139)&gt;0,4&gt;$L139)),0,N($F139)*N($H139)*IFERROR(INDEX(cal_wd_active,IFERROR(MATCH($E139,cal_jurisdictions,0),MATCH($E139&amp;"-*",cal_jurisdictions,0)),4),0)*N($I139)*N($J139)))</f>
        <v>0</v>
      </c>
      <c r="Y139" cm="1">
        <f t="array" ref="Y139">IF($B139="",0,IF(OR(5&lt;N($K139),AND(N($L139)&gt;0,5&gt;$L139)),0,N($F139)*N($H139)*IFERROR(INDEX(cal_wd_active,IFERROR(MATCH($E139,cal_jurisdictions,0),MATCH($E139&amp;"-*",cal_jurisdictions,0)),5),0)*N($I139)*N($J139)))</f>
        <v>0</v>
      </c>
      <c r="Z139" cm="1">
        <f t="array" ref="Z139">IF($B139="",0,IF(OR(6&lt;N($K139),AND(N($L139)&gt;0,6&gt;$L139)),0,N($F139)*N($H139)*IFERROR(INDEX(cal_wd_active,IFERROR(MATCH($E139,cal_jurisdictions,0),MATCH($E139&amp;"-*",cal_jurisdictions,0)),6),0)*N($I139)*N($J139)))</f>
        <v>0</v>
      </c>
      <c r="AA139" cm="1">
        <f t="array" ref="AA139">IF($B139="",0,IF(OR(7&lt;N($K139),AND(N($L139)&gt;0,7&gt;$L139)),0,N($F139)*N($H139)*IFERROR(INDEX(cal_wd_active,IFERROR(MATCH($E139,cal_jurisdictions,0),MATCH($E139&amp;"-*",cal_jurisdictions,0)),7),0)*N($I139)*N($J139)))</f>
        <v>0</v>
      </c>
      <c r="AB139" cm="1">
        <f t="array" ref="AB139">IF($B139="",0,IF(OR(8&lt;N($K139),AND(N($L139)&gt;0,8&gt;$L139)),0,N($F139)*N($H139)*IFERROR(INDEX(cal_wd_active,IFERROR(MATCH($E139,cal_jurisdictions,0),MATCH($E139&amp;"-*",cal_jurisdictions,0)),8),0)*N($I139)*N($J139)))</f>
        <v>0</v>
      </c>
      <c r="AC139" cm="1">
        <f t="array" ref="AC139">IF($B139="",0,IF(OR(9&lt;N($K139),AND(N($L139)&gt;0,9&gt;$L139)),0,N($F139)*N($H139)*IFERROR(INDEX(cal_wd_active,IFERROR(MATCH($E139,cal_jurisdictions,0),MATCH($E139&amp;"-*",cal_jurisdictions,0)),9),0)*N($I139)*N($J139)))</f>
        <v>0</v>
      </c>
      <c r="AD139" cm="1">
        <f t="array" ref="AD139">IF($B139="",0,IF(OR(10&lt;N($K139),AND(N($L139)&gt;0,10&gt;$L139)),0,N($F139)*N($H139)*IFERROR(INDEX(cal_wd_active,IFERROR(MATCH($E139,cal_jurisdictions,0),MATCH($E139&amp;"-*",cal_jurisdictions,0)),10),0)*N($I139)*N($J139)))</f>
        <v>0</v>
      </c>
      <c r="AE139" cm="1">
        <f t="array" ref="AE139">IF($B139="",0,IF(OR(11&lt;N($K139),AND(N($L139)&gt;0,11&gt;$L139)),0,N($F139)*N($H139)*IFERROR(INDEX(cal_wd_active,IFERROR(MATCH($E139,cal_jurisdictions,0),MATCH($E139&amp;"-*",cal_jurisdictions,0)),11),0)*N($I139)*N($J139)))</f>
        <v>0</v>
      </c>
      <c r="AF139" cm="1">
        <f t="array" ref="AF139">IF($B139="",0,IF(OR(12&lt;N($K139),AND(N($L139)&gt;0,12&gt;$L139)),0,N($F139)*N($H139)*IFERROR(INDEX(cal_wd_active,IFERROR(MATCH($E139,cal_jurisdictions,0),MATCH($E139&amp;"-*",cal_jurisdictions,0)),12),0)*N($I139)*N($J139)))</f>
        <v>0</v>
      </c>
      <c r="AG139"/>
      <c r="AH139">
        <f>IF($B139="",0,N($M139)*(1+IF(N($N139)&gt;0,$N139,IFERROR(CHOOSE(MATCH(LEFT($E139,2),{"AU";"NZ";"US"},0),ref_au_oncost_total,ref_nz_oncost_total,ref_us_oncost_total),0)))/12*IF(OR(1&lt;N($K139),AND(N($L139)&gt;0,1&gt;$L139)),0,1))</f>
        <v>0</v>
      </c>
      <c r="AI139">
        <f>IF($B139="",0,N($M139)*(1+IF(N($N139)&gt;0,$N139,IFERROR(CHOOSE(MATCH(LEFT($E139,2),{"AU";"NZ";"US"},0),ref_au_oncost_total,ref_nz_oncost_total,ref_us_oncost_total),0)))/12*IF(OR(2&lt;N($K139),AND(N($L139)&gt;0,2&gt;$L139)),0,1))</f>
        <v>0</v>
      </c>
      <c r="AJ139">
        <f>IF($B139="",0,N($M139)*(1+IF(N($N139)&gt;0,$N139,IFERROR(CHOOSE(MATCH(LEFT($E139,2),{"AU";"NZ";"US"},0),ref_au_oncost_total,ref_nz_oncost_total,ref_us_oncost_total),0)))/12*IF(OR(3&lt;N($K139),AND(N($L139)&gt;0,3&gt;$L139)),0,1))</f>
        <v>0</v>
      </c>
      <c r="AK139">
        <f>IF($B139="",0,N($M139)*(1+IF(N($N139)&gt;0,$N139,IFERROR(CHOOSE(MATCH(LEFT($E139,2),{"AU";"NZ";"US"},0),ref_au_oncost_total,ref_nz_oncost_total,ref_us_oncost_total),0)))/12*IF(OR(4&lt;N($K139),AND(N($L139)&gt;0,4&gt;$L139)),0,1))</f>
        <v>0</v>
      </c>
      <c r="AL139">
        <f>IF($B139="",0,N($M139)*(1+IF(N($N139)&gt;0,$N139,IFERROR(CHOOSE(MATCH(LEFT($E139,2),{"AU";"NZ";"US"},0),ref_au_oncost_total,ref_nz_oncost_total,ref_us_oncost_total),0)))/12*IF(OR(5&lt;N($K139),AND(N($L139)&gt;0,5&gt;$L139)),0,1))</f>
        <v>0</v>
      </c>
      <c r="AM139">
        <f>IF($B139="",0,N($M139)*(1+IF(N($N139)&gt;0,$N139,IFERROR(CHOOSE(MATCH(LEFT($E139,2),{"AU";"NZ";"US"},0),ref_au_oncost_total,ref_nz_oncost_total,ref_us_oncost_total),0)))/12*IF(OR(6&lt;N($K139),AND(N($L139)&gt;0,6&gt;$L139)),0,1))</f>
        <v>0</v>
      </c>
      <c r="AN139">
        <f>IF($B139="",0,N($M139)*(1+IF(N($N139)&gt;0,$N139,IFERROR(CHOOSE(MATCH(LEFT($E139,2),{"AU";"NZ";"US"},0),ref_au_oncost_total,ref_nz_oncost_total,ref_us_oncost_total),0)))/12*IF(OR(7&lt;N($K139),AND(N($L139)&gt;0,7&gt;$L139)),0,1))</f>
        <v>0</v>
      </c>
      <c r="AO139">
        <f>IF($B139="",0,N($M139)*(1+IF(N($N139)&gt;0,$N139,IFERROR(CHOOSE(MATCH(LEFT($E139,2),{"AU";"NZ";"US"},0),ref_au_oncost_total,ref_nz_oncost_total,ref_us_oncost_total),0)))/12*IF(OR(8&lt;N($K139),AND(N($L139)&gt;0,8&gt;$L139)),0,1))</f>
        <v>0</v>
      </c>
      <c r="AP139">
        <f>IF($B139="",0,N($M139)*(1+IF(N($N139)&gt;0,$N139,IFERROR(CHOOSE(MATCH(LEFT($E139,2),{"AU";"NZ";"US"},0),ref_au_oncost_total,ref_nz_oncost_total,ref_us_oncost_total),0)))/12*IF(OR(9&lt;N($K139),AND(N($L139)&gt;0,9&gt;$L139)),0,1))</f>
        <v>0</v>
      </c>
      <c r="AQ139">
        <f>IF($B139="",0,N($M139)*(1+IF(N($N139)&gt;0,$N139,IFERROR(CHOOSE(MATCH(LEFT($E139,2),{"AU";"NZ";"US"},0),ref_au_oncost_total,ref_nz_oncost_total,ref_us_oncost_total),0)))/12*IF(OR(10&lt;N($K139),AND(N($L139)&gt;0,10&gt;$L139)),0,1))</f>
        <v>0</v>
      </c>
      <c r="AR139">
        <f>IF($B139="",0,N($M139)*(1+IF(N($N139)&gt;0,$N139,IFERROR(CHOOSE(MATCH(LEFT($E139,2),{"AU";"NZ";"US"},0),ref_au_oncost_total,ref_nz_oncost_total,ref_us_oncost_total),0)))/12*IF(OR(11&lt;N($K139),AND(N($L139)&gt;0,11&gt;$L139)),0,1))</f>
        <v>0</v>
      </c>
      <c r="AS139">
        <f>IF($B139="",0,N($M139)*(1+IF(N($N139)&gt;0,$N139,IFERROR(CHOOSE(MATCH(LEFT($E139,2),{"AU";"NZ";"US"},0),ref_au_oncost_total,ref_nz_oncost_total,ref_us_oncost_total),0)))/12*IF(OR(12&lt;N($K139),AND(N($L139)&gt;0,12&gt;$L139)),0,1))</f>
        <v>0</v>
      </c>
      <c r="AT139"/>
      <c r="AU139">
        <f t="shared" si="25"/>
        <v>0</v>
      </c>
      <c r="AV139">
        <f t="shared" si="26"/>
        <v>0</v>
      </c>
      <c r="AW139">
        <f t="shared" si="27"/>
        <v>0</v>
      </c>
      <c r="AX139">
        <f t="shared" si="28"/>
        <v>0</v>
      </c>
      <c r="AY139">
        <f t="shared" si="29"/>
        <v>0</v>
      </c>
      <c r="AZ139">
        <f t="shared" si="30"/>
        <v>0</v>
      </c>
      <c r="BA139">
        <f t="shared" si="31"/>
        <v>0</v>
      </c>
      <c r="BB139">
        <f t="shared" si="32"/>
        <v>0</v>
      </c>
      <c r="BC139">
        <f t="shared" si="33"/>
        <v>0</v>
      </c>
      <c r="BD139">
        <f t="shared" si="34"/>
        <v>0</v>
      </c>
      <c r="BE139">
        <f t="shared" si="35"/>
        <v>0</v>
      </c>
      <c r="BF139">
        <f t="shared" si="36"/>
        <v>0</v>
      </c>
    </row>
    <row r="140" spans="1:58" outlineLevel="1" x14ac:dyDescent="0.2">
      <c r="A140" s="41"/>
      <c r="B140" s="109"/>
      <c r="C140" s="109"/>
      <c r="D140" s="111"/>
      <c r="E140" s="112"/>
      <c r="F140" s="113"/>
      <c r="G140" s="109"/>
      <c r="H140" s="113"/>
      <c r="I140" s="104"/>
      <c r="J140" s="100"/>
      <c r="K140" s="110"/>
      <c r="L140" s="110"/>
      <c r="M140" s="100"/>
      <c r="N140" s="104"/>
      <c r="P140" s="41" t="str">
        <f t="shared" si="24"/>
        <v/>
      </c>
      <c r="S140"/>
      <c r="T140"/>
      <c r="U140" cm="1">
        <f t="array" ref="U140">IF($B140="",0,IF(OR(1&lt;N($K140),AND(N($L140)&gt;0,1&gt;$L140)),0,N($F140)*N($H140)*IFERROR(INDEX(cal_wd_active,IFERROR(MATCH($E140,cal_jurisdictions,0),MATCH($E140&amp;"-*",cal_jurisdictions,0)),1),0)*N($I140)*N($J140)))</f>
        <v>0</v>
      </c>
      <c r="V140" cm="1">
        <f t="array" ref="V140">IF($B140="",0,IF(OR(2&lt;N($K140),AND(N($L140)&gt;0,2&gt;$L140)),0,N($F140)*N($H140)*IFERROR(INDEX(cal_wd_active,IFERROR(MATCH($E140,cal_jurisdictions,0),MATCH($E140&amp;"-*",cal_jurisdictions,0)),2),0)*N($I140)*N($J140)))</f>
        <v>0</v>
      </c>
      <c r="W140" cm="1">
        <f t="array" ref="W140">IF($B140="",0,IF(OR(3&lt;N($K140),AND(N($L140)&gt;0,3&gt;$L140)),0,N($F140)*N($H140)*IFERROR(INDEX(cal_wd_active,IFERROR(MATCH($E140,cal_jurisdictions,0),MATCH($E140&amp;"-*",cal_jurisdictions,0)),3),0)*N($I140)*N($J140)))</f>
        <v>0</v>
      </c>
      <c r="X140" cm="1">
        <f t="array" ref="X140">IF($B140="",0,IF(OR(4&lt;N($K140),AND(N($L140)&gt;0,4&gt;$L140)),0,N($F140)*N($H140)*IFERROR(INDEX(cal_wd_active,IFERROR(MATCH($E140,cal_jurisdictions,0),MATCH($E140&amp;"-*",cal_jurisdictions,0)),4),0)*N($I140)*N($J140)))</f>
        <v>0</v>
      </c>
      <c r="Y140" cm="1">
        <f t="array" ref="Y140">IF($B140="",0,IF(OR(5&lt;N($K140),AND(N($L140)&gt;0,5&gt;$L140)),0,N($F140)*N($H140)*IFERROR(INDEX(cal_wd_active,IFERROR(MATCH($E140,cal_jurisdictions,0),MATCH($E140&amp;"-*",cal_jurisdictions,0)),5),0)*N($I140)*N($J140)))</f>
        <v>0</v>
      </c>
      <c r="Z140" cm="1">
        <f t="array" ref="Z140">IF($B140="",0,IF(OR(6&lt;N($K140),AND(N($L140)&gt;0,6&gt;$L140)),0,N($F140)*N($H140)*IFERROR(INDEX(cal_wd_active,IFERROR(MATCH($E140,cal_jurisdictions,0),MATCH($E140&amp;"-*",cal_jurisdictions,0)),6),0)*N($I140)*N($J140)))</f>
        <v>0</v>
      </c>
      <c r="AA140" cm="1">
        <f t="array" ref="AA140">IF($B140="",0,IF(OR(7&lt;N($K140),AND(N($L140)&gt;0,7&gt;$L140)),0,N($F140)*N($H140)*IFERROR(INDEX(cal_wd_active,IFERROR(MATCH($E140,cal_jurisdictions,0),MATCH($E140&amp;"-*",cal_jurisdictions,0)),7),0)*N($I140)*N($J140)))</f>
        <v>0</v>
      </c>
      <c r="AB140" cm="1">
        <f t="array" ref="AB140">IF($B140="",0,IF(OR(8&lt;N($K140),AND(N($L140)&gt;0,8&gt;$L140)),0,N($F140)*N($H140)*IFERROR(INDEX(cal_wd_active,IFERROR(MATCH($E140,cal_jurisdictions,0),MATCH($E140&amp;"-*",cal_jurisdictions,0)),8),0)*N($I140)*N($J140)))</f>
        <v>0</v>
      </c>
      <c r="AC140" cm="1">
        <f t="array" ref="AC140">IF($B140="",0,IF(OR(9&lt;N($K140),AND(N($L140)&gt;0,9&gt;$L140)),0,N($F140)*N($H140)*IFERROR(INDEX(cal_wd_active,IFERROR(MATCH($E140,cal_jurisdictions,0),MATCH($E140&amp;"-*",cal_jurisdictions,0)),9),0)*N($I140)*N($J140)))</f>
        <v>0</v>
      </c>
      <c r="AD140" cm="1">
        <f t="array" ref="AD140">IF($B140="",0,IF(OR(10&lt;N($K140),AND(N($L140)&gt;0,10&gt;$L140)),0,N($F140)*N($H140)*IFERROR(INDEX(cal_wd_active,IFERROR(MATCH($E140,cal_jurisdictions,0),MATCH($E140&amp;"-*",cal_jurisdictions,0)),10),0)*N($I140)*N($J140)))</f>
        <v>0</v>
      </c>
      <c r="AE140" cm="1">
        <f t="array" ref="AE140">IF($B140="",0,IF(OR(11&lt;N($K140),AND(N($L140)&gt;0,11&gt;$L140)),0,N($F140)*N($H140)*IFERROR(INDEX(cal_wd_active,IFERROR(MATCH($E140,cal_jurisdictions,0),MATCH($E140&amp;"-*",cal_jurisdictions,0)),11),0)*N($I140)*N($J140)))</f>
        <v>0</v>
      </c>
      <c r="AF140" cm="1">
        <f t="array" ref="AF140">IF($B140="",0,IF(OR(12&lt;N($K140),AND(N($L140)&gt;0,12&gt;$L140)),0,N($F140)*N($H140)*IFERROR(INDEX(cal_wd_active,IFERROR(MATCH($E140,cal_jurisdictions,0),MATCH($E140&amp;"-*",cal_jurisdictions,0)),12),0)*N($I140)*N($J140)))</f>
        <v>0</v>
      </c>
      <c r="AG140"/>
      <c r="AH140">
        <f>IF($B140="",0,N($M140)*(1+IF(N($N140)&gt;0,$N140,IFERROR(CHOOSE(MATCH(LEFT($E140,2),{"AU";"NZ";"US"},0),ref_au_oncost_total,ref_nz_oncost_total,ref_us_oncost_total),0)))/12*IF(OR(1&lt;N($K140),AND(N($L140)&gt;0,1&gt;$L140)),0,1))</f>
        <v>0</v>
      </c>
      <c r="AI140">
        <f>IF($B140="",0,N($M140)*(1+IF(N($N140)&gt;0,$N140,IFERROR(CHOOSE(MATCH(LEFT($E140,2),{"AU";"NZ";"US"},0),ref_au_oncost_total,ref_nz_oncost_total,ref_us_oncost_total),0)))/12*IF(OR(2&lt;N($K140),AND(N($L140)&gt;0,2&gt;$L140)),0,1))</f>
        <v>0</v>
      </c>
      <c r="AJ140">
        <f>IF($B140="",0,N($M140)*(1+IF(N($N140)&gt;0,$N140,IFERROR(CHOOSE(MATCH(LEFT($E140,2),{"AU";"NZ";"US"},0),ref_au_oncost_total,ref_nz_oncost_total,ref_us_oncost_total),0)))/12*IF(OR(3&lt;N($K140),AND(N($L140)&gt;0,3&gt;$L140)),0,1))</f>
        <v>0</v>
      </c>
      <c r="AK140">
        <f>IF($B140="",0,N($M140)*(1+IF(N($N140)&gt;0,$N140,IFERROR(CHOOSE(MATCH(LEFT($E140,2),{"AU";"NZ";"US"},0),ref_au_oncost_total,ref_nz_oncost_total,ref_us_oncost_total),0)))/12*IF(OR(4&lt;N($K140),AND(N($L140)&gt;0,4&gt;$L140)),0,1))</f>
        <v>0</v>
      </c>
      <c r="AL140">
        <f>IF($B140="",0,N($M140)*(1+IF(N($N140)&gt;0,$N140,IFERROR(CHOOSE(MATCH(LEFT($E140,2),{"AU";"NZ";"US"},0),ref_au_oncost_total,ref_nz_oncost_total,ref_us_oncost_total),0)))/12*IF(OR(5&lt;N($K140),AND(N($L140)&gt;0,5&gt;$L140)),0,1))</f>
        <v>0</v>
      </c>
      <c r="AM140">
        <f>IF($B140="",0,N($M140)*(1+IF(N($N140)&gt;0,$N140,IFERROR(CHOOSE(MATCH(LEFT($E140,2),{"AU";"NZ";"US"},0),ref_au_oncost_total,ref_nz_oncost_total,ref_us_oncost_total),0)))/12*IF(OR(6&lt;N($K140),AND(N($L140)&gt;0,6&gt;$L140)),0,1))</f>
        <v>0</v>
      </c>
      <c r="AN140">
        <f>IF($B140="",0,N($M140)*(1+IF(N($N140)&gt;0,$N140,IFERROR(CHOOSE(MATCH(LEFT($E140,2),{"AU";"NZ";"US"},0),ref_au_oncost_total,ref_nz_oncost_total,ref_us_oncost_total),0)))/12*IF(OR(7&lt;N($K140),AND(N($L140)&gt;0,7&gt;$L140)),0,1))</f>
        <v>0</v>
      </c>
      <c r="AO140">
        <f>IF($B140="",0,N($M140)*(1+IF(N($N140)&gt;0,$N140,IFERROR(CHOOSE(MATCH(LEFT($E140,2),{"AU";"NZ";"US"},0),ref_au_oncost_total,ref_nz_oncost_total,ref_us_oncost_total),0)))/12*IF(OR(8&lt;N($K140),AND(N($L140)&gt;0,8&gt;$L140)),0,1))</f>
        <v>0</v>
      </c>
      <c r="AP140">
        <f>IF($B140="",0,N($M140)*(1+IF(N($N140)&gt;0,$N140,IFERROR(CHOOSE(MATCH(LEFT($E140,2),{"AU";"NZ";"US"},0),ref_au_oncost_total,ref_nz_oncost_total,ref_us_oncost_total),0)))/12*IF(OR(9&lt;N($K140),AND(N($L140)&gt;0,9&gt;$L140)),0,1))</f>
        <v>0</v>
      </c>
      <c r="AQ140">
        <f>IF($B140="",0,N($M140)*(1+IF(N($N140)&gt;0,$N140,IFERROR(CHOOSE(MATCH(LEFT($E140,2),{"AU";"NZ";"US"},0),ref_au_oncost_total,ref_nz_oncost_total,ref_us_oncost_total),0)))/12*IF(OR(10&lt;N($K140),AND(N($L140)&gt;0,10&gt;$L140)),0,1))</f>
        <v>0</v>
      </c>
      <c r="AR140">
        <f>IF($B140="",0,N($M140)*(1+IF(N($N140)&gt;0,$N140,IFERROR(CHOOSE(MATCH(LEFT($E140,2),{"AU";"NZ";"US"},0),ref_au_oncost_total,ref_nz_oncost_total,ref_us_oncost_total),0)))/12*IF(OR(11&lt;N($K140),AND(N($L140)&gt;0,11&gt;$L140)),0,1))</f>
        <v>0</v>
      </c>
      <c r="AS140">
        <f>IF($B140="",0,N($M140)*(1+IF(N($N140)&gt;0,$N140,IFERROR(CHOOSE(MATCH(LEFT($E140,2),{"AU";"NZ";"US"},0),ref_au_oncost_total,ref_nz_oncost_total,ref_us_oncost_total),0)))/12*IF(OR(12&lt;N($K140),AND(N($L140)&gt;0,12&gt;$L140)),0,1))</f>
        <v>0</v>
      </c>
      <c r="AT140"/>
      <c r="AU140">
        <f t="shared" si="25"/>
        <v>0</v>
      </c>
      <c r="AV140">
        <f t="shared" si="26"/>
        <v>0</v>
      </c>
      <c r="AW140">
        <f t="shared" si="27"/>
        <v>0</v>
      </c>
      <c r="AX140">
        <f t="shared" si="28"/>
        <v>0</v>
      </c>
      <c r="AY140">
        <f t="shared" si="29"/>
        <v>0</v>
      </c>
      <c r="AZ140">
        <f t="shared" si="30"/>
        <v>0</v>
      </c>
      <c r="BA140">
        <f t="shared" si="31"/>
        <v>0</v>
      </c>
      <c r="BB140">
        <f t="shared" si="32"/>
        <v>0</v>
      </c>
      <c r="BC140">
        <f t="shared" si="33"/>
        <v>0</v>
      </c>
      <c r="BD140">
        <f t="shared" si="34"/>
        <v>0</v>
      </c>
      <c r="BE140">
        <f t="shared" si="35"/>
        <v>0</v>
      </c>
      <c r="BF140">
        <f t="shared" si="36"/>
        <v>0</v>
      </c>
    </row>
    <row r="141" spans="1:58" outlineLevel="1" x14ac:dyDescent="0.2">
      <c r="A141" s="41"/>
      <c r="B141" s="66"/>
      <c r="C141" s="66"/>
      <c r="D141" s="66"/>
      <c r="E141" s="66"/>
      <c r="F141" s="66"/>
      <c r="G141" s="66"/>
      <c r="H141" s="66"/>
      <c r="I141" s="66"/>
      <c r="J141" s="66"/>
      <c r="K141" s="66"/>
      <c r="L141" s="66"/>
      <c r="M141" s="66"/>
      <c r="N141" s="66"/>
      <c r="P141" s="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row>
    <row r="142" spans="1:58" outlineLevel="1" x14ac:dyDescent="0.2">
      <c r="A142" s="41"/>
      <c r="B142" s="186" t="s">
        <v>610</v>
      </c>
      <c r="C142" s="186"/>
      <c r="D142" s="186"/>
      <c r="E142" s="186"/>
      <c r="F142" s="186"/>
      <c r="G142" s="186"/>
      <c r="H142" s="186"/>
      <c r="I142" s="186"/>
      <c r="J142" s="186"/>
      <c r="K142" s="186"/>
      <c r="L142" s="186"/>
      <c r="M142" s="186"/>
      <c r="N142" s="186"/>
      <c r="P142" s="41"/>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row>
    <row r="143" spans="1:58" outlineLevel="1" x14ac:dyDescent="0.2">
      <c r="A143" s="41"/>
      <c r="B143" s="95" t="s">
        <v>611</v>
      </c>
      <c r="C143" s="71" t="str">
        <f>"SL"&amp;1</f>
        <v>SL1</v>
      </c>
      <c r="D143" s="71" t="str">
        <f>"SL"&amp;2</f>
        <v>SL2</v>
      </c>
      <c r="E143" s="71" t="str">
        <f>"SL"&amp;3</f>
        <v>SL3</v>
      </c>
      <c r="F143" s="71" t="str">
        <f>"SL"&amp;4</f>
        <v>SL4</v>
      </c>
      <c r="G143" s="71" t="str">
        <f>"SL"&amp;5</f>
        <v>SL5</v>
      </c>
      <c r="H143" s="96" t="s">
        <v>186</v>
      </c>
      <c r="I143" s="185" t="str">
        <f>"(SL1–5 = your revenue lines; see key above)"</f>
        <v>(SL1–5 = your revenue lines; see key above)</v>
      </c>
      <c r="J143" s="185"/>
      <c r="K143" s="185"/>
      <c r="L143" s="185"/>
      <c r="M143" s="185"/>
      <c r="N143" s="185"/>
      <c r="P143" s="41"/>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row>
    <row r="144" spans="1:58" outlineLevel="1" x14ac:dyDescent="0.2">
      <c r="A144" s="41"/>
      <c r="B144" s="85" t="s">
        <v>198</v>
      </c>
      <c r="C144" s="104"/>
      <c r="D144" s="104"/>
      <c r="E144" s="104"/>
      <c r="F144" s="104"/>
      <c r="G144" s="104"/>
      <c r="H144" s="93" t="str">
        <f t="shared" ref="H144:H149" si="37">IF(COUNT(C144:G144)=0,"",SUM(C144:G144))</f>
        <v/>
      </c>
      <c r="I144" s="66"/>
      <c r="J144" s="66"/>
      <c r="K144" s="66"/>
      <c r="L144" s="66"/>
      <c r="M144" s="66"/>
      <c r="N144" s="66"/>
      <c r="P144" s="41"/>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row>
    <row r="145" spans="1:58" outlineLevel="1" x14ac:dyDescent="0.2">
      <c r="A145" s="41"/>
      <c r="B145" s="85" t="s">
        <v>246</v>
      </c>
      <c r="C145" s="104"/>
      <c r="D145" s="104"/>
      <c r="E145" s="104"/>
      <c r="F145" s="104"/>
      <c r="G145" s="104"/>
      <c r="H145" s="93" t="str">
        <f t="shared" si="37"/>
        <v/>
      </c>
      <c r="I145" s="66"/>
      <c r="J145" s="66"/>
      <c r="K145" s="66"/>
      <c r="L145" s="66"/>
      <c r="M145" s="66"/>
      <c r="N145" s="66"/>
      <c r="P145" s="41"/>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row>
    <row r="146" spans="1:58" outlineLevel="1" x14ac:dyDescent="0.2">
      <c r="A146" s="41"/>
      <c r="B146" s="85"/>
      <c r="C146" s="104"/>
      <c r="D146" s="104"/>
      <c r="E146" s="104"/>
      <c r="F146" s="104"/>
      <c r="G146" s="104"/>
      <c r="H146" s="93" t="str">
        <f t="shared" si="37"/>
        <v/>
      </c>
      <c r="I146" s="66"/>
      <c r="J146" s="66"/>
      <c r="K146" s="66"/>
      <c r="L146" s="66"/>
      <c r="M146" s="66"/>
      <c r="N146" s="66"/>
      <c r="P146" s="41"/>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row>
    <row r="147" spans="1:58" outlineLevel="1" x14ac:dyDescent="0.2">
      <c r="A147" s="41"/>
      <c r="B147" s="85"/>
      <c r="C147" s="104"/>
      <c r="D147" s="104"/>
      <c r="E147" s="104"/>
      <c r="F147" s="104"/>
      <c r="G147" s="104"/>
      <c r="H147" s="93" t="str">
        <f t="shared" si="37"/>
        <v/>
      </c>
      <c r="I147" s="66"/>
      <c r="J147" s="66"/>
      <c r="K147" s="66"/>
      <c r="L147" s="66"/>
      <c r="M147" s="66"/>
      <c r="N147" s="66"/>
      <c r="P147" s="41"/>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row>
    <row r="148" spans="1:58" outlineLevel="1" x14ac:dyDescent="0.2">
      <c r="A148" s="41"/>
      <c r="B148" s="85"/>
      <c r="C148" s="104"/>
      <c r="D148" s="104"/>
      <c r="E148" s="104"/>
      <c r="F148" s="104"/>
      <c r="G148" s="104"/>
      <c r="H148" s="93" t="str">
        <f t="shared" si="37"/>
        <v/>
      </c>
      <c r="I148" s="66"/>
      <c r="J148" s="66"/>
      <c r="K148" s="66"/>
      <c r="L148" s="66"/>
      <c r="M148" s="66"/>
      <c r="N148" s="66"/>
      <c r="P148" s="41"/>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row>
    <row r="149" spans="1:58" outlineLevel="1" x14ac:dyDescent="0.2">
      <c r="A149" s="41"/>
      <c r="B149" s="85"/>
      <c r="C149" s="104"/>
      <c r="D149" s="104"/>
      <c r="E149" s="104"/>
      <c r="F149" s="104"/>
      <c r="G149" s="104"/>
      <c r="H149" s="93" t="str">
        <f t="shared" si="37"/>
        <v/>
      </c>
      <c r="I149" s="66"/>
      <c r="J149" s="66"/>
      <c r="K149" s="66"/>
      <c r="L149" s="66"/>
      <c r="M149" s="66"/>
      <c r="N149" s="66"/>
      <c r="P149" s="41"/>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row>
    <row r="150" spans="1:58" outlineLevel="1" x14ac:dyDescent="0.2">
      <c r="A150" s="41"/>
      <c r="B150" s="66"/>
      <c r="C150" s="66"/>
      <c r="D150" s="66"/>
      <c r="E150" s="66"/>
      <c r="F150" s="66"/>
      <c r="G150" s="66"/>
      <c r="H150" s="66"/>
      <c r="I150" s="66"/>
      <c r="J150" s="66"/>
      <c r="K150" s="66"/>
      <c r="L150" s="66"/>
      <c r="M150" s="66"/>
      <c r="N150" s="66"/>
      <c r="P150" s="41"/>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row>
    <row r="151" spans="1:58" outlineLevel="1" x14ac:dyDescent="0.2">
      <c r="A151" s="41"/>
      <c r="B151" s="186" t="s">
        <v>684</v>
      </c>
      <c r="C151" s="186"/>
      <c r="D151" s="186"/>
      <c r="E151" s="186"/>
      <c r="F151" s="186"/>
      <c r="G151" s="186"/>
      <c r="H151" s="186"/>
      <c r="I151" s="186"/>
      <c r="J151" s="186"/>
      <c r="K151" s="186"/>
      <c r="L151" s="186"/>
      <c r="M151" s="186"/>
      <c r="N151" s="186"/>
      <c r="P151" s="4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row>
    <row r="152" spans="1:58" outlineLevel="1" x14ac:dyDescent="0.2">
      <c r="A152" s="41"/>
      <c r="B152" s="187" t="s">
        <v>612</v>
      </c>
      <c r="C152" s="187"/>
      <c r="D152" s="187"/>
      <c r="E152" s="187"/>
      <c r="F152" s="187"/>
      <c r="G152" s="187"/>
      <c r="H152" s="187"/>
      <c r="I152" s="187"/>
      <c r="J152" s="187"/>
      <c r="K152" s="187"/>
      <c r="L152" s="187"/>
      <c r="M152" s="187"/>
      <c r="N152" s="187"/>
      <c r="P152" s="41"/>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row>
    <row r="153" spans="1:58" outlineLevel="1" x14ac:dyDescent="0.2">
      <c r="A153" s="41"/>
      <c r="B153" s="96" t="s">
        <v>205</v>
      </c>
      <c r="C153" s="96" t="s">
        <v>206</v>
      </c>
      <c r="D153" s="96" t="s">
        <v>613</v>
      </c>
      <c r="E153" s="96" t="s">
        <v>207</v>
      </c>
      <c r="F153" s="96" t="s">
        <v>208</v>
      </c>
      <c r="G153" s="96" t="s">
        <v>209</v>
      </c>
      <c r="H153" s="96" t="s">
        <v>171</v>
      </c>
      <c r="I153" s="66"/>
      <c r="J153" s="66"/>
      <c r="K153" s="66"/>
      <c r="L153" s="66"/>
      <c r="M153" s="66"/>
      <c r="N153" s="66"/>
      <c r="P153" s="41"/>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row>
    <row r="154" spans="1:58" outlineLevel="1" x14ac:dyDescent="0.2">
      <c r="A154" s="41"/>
      <c r="B154" s="115"/>
      <c r="C154" s="115"/>
      <c r="D154" s="116"/>
      <c r="E154" s="115"/>
      <c r="F154" s="117"/>
      <c r="G154" s="115"/>
      <c r="H154" s="115"/>
      <c r="I154" s="66"/>
      <c r="J154" s="66"/>
      <c r="K154" s="66"/>
      <c r="L154" s="66"/>
      <c r="M154" s="66"/>
      <c r="N154" s="66"/>
      <c r="P154" s="41"/>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row>
    <row r="155" spans="1:58" outlineLevel="1" x14ac:dyDescent="0.2">
      <c r="A155" s="41"/>
      <c r="B155" s="109"/>
      <c r="C155" s="109"/>
      <c r="D155" s="100"/>
      <c r="E155" s="109"/>
      <c r="F155" s="110"/>
      <c r="G155" s="109"/>
      <c r="H155" s="109"/>
      <c r="I155" s="66"/>
      <c r="J155" s="66"/>
      <c r="K155" s="66"/>
      <c r="L155" s="66"/>
      <c r="M155" s="66"/>
      <c r="N155" s="66"/>
      <c r="P155" s="41"/>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row>
    <row r="156" spans="1:58" outlineLevel="1" x14ac:dyDescent="0.2">
      <c r="A156" s="41"/>
      <c r="B156" s="109"/>
      <c r="C156" s="109"/>
      <c r="D156" s="100"/>
      <c r="E156" s="109"/>
      <c r="F156" s="110"/>
      <c r="G156" s="109"/>
      <c r="H156" s="109"/>
      <c r="I156" s="66"/>
      <c r="J156" s="66"/>
      <c r="K156" s="66"/>
      <c r="L156" s="66"/>
      <c r="M156" s="66"/>
      <c r="N156" s="66"/>
      <c r="P156" s="41"/>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row>
    <row r="157" spans="1:58" outlineLevel="1" x14ac:dyDescent="0.2">
      <c r="A157" s="41"/>
      <c r="B157" s="109"/>
      <c r="C157" s="109"/>
      <c r="D157" s="100"/>
      <c r="E157" s="109"/>
      <c r="F157" s="110"/>
      <c r="G157" s="109"/>
      <c r="H157" s="109"/>
      <c r="I157" s="66"/>
      <c r="J157" s="66"/>
      <c r="K157" s="66"/>
      <c r="L157" s="66"/>
      <c r="M157" s="66"/>
      <c r="N157" s="66"/>
      <c r="P157" s="41"/>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row>
    <row r="158" spans="1:58" outlineLevel="1" x14ac:dyDescent="0.2">
      <c r="A158" s="41"/>
      <c r="B158" s="109"/>
      <c r="C158" s="109"/>
      <c r="D158" s="100"/>
      <c r="E158" s="109"/>
      <c r="F158" s="110"/>
      <c r="G158" s="109"/>
      <c r="H158" s="109"/>
      <c r="I158" s="66"/>
      <c r="J158" s="66"/>
      <c r="K158" s="66"/>
      <c r="L158" s="66"/>
      <c r="M158" s="66"/>
      <c r="N158" s="66"/>
      <c r="P158" s="41"/>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row>
    <row r="159" spans="1:58" outlineLevel="1" x14ac:dyDescent="0.2">
      <c r="A159" s="41"/>
      <c r="B159" s="109"/>
      <c r="C159" s="109"/>
      <c r="D159" s="100"/>
      <c r="E159" s="109"/>
      <c r="F159" s="110"/>
      <c r="G159" s="109"/>
      <c r="H159" s="109"/>
      <c r="I159" s="66"/>
      <c r="J159" s="66"/>
      <c r="K159" s="66"/>
      <c r="L159" s="66"/>
      <c r="M159" s="66"/>
      <c r="N159" s="66"/>
      <c r="P159" s="41"/>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row>
    <row r="160" spans="1:58" outlineLevel="1" x14ac:dyDescent="0.2">
      <c r="A160" s="41"/>
      <c r="B160" s="109"/>
      <c r="C160" s="109"/>
      <c r="D160" s="100"/>
      <c r="E160" s="109"/>
      <c r="F160" s="110"/>
      <c r="G160" s="109"/>
      <c r="H160" s="109"/>
      <c r="I160" s="66"/>
      <c r="J160" s="66"/>
      <c r="K160" s="66"/>
      <c r="L160" s="66"/>
      <c r="M160" s="66"/>
      <c r="N160" s="66"/>
      <c r="P160" s="41"/>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row>
    <row r="161" spans="1:58" outlineLevel="1" x14ac:dyDescent="0.2">
      <c r="A161" s="41"/>
      <c r="B161" s="109"/>
      <c r="C161" s="109"/>
      <c r="D161" s="100"/>
      <c r="E161" s="109"/>
      <c r="F161" s="110"/>
      <c r="G161" s="109"/>
      <c r="H161" s="109"/>
      <c r="I161" s="66"/>
      <c r="J161" s="66"/>
      <c r="K161" s="66"/>
      <c r="L161" s="66"/>
      <c r="M161" s="66"/>
      <c r="N161" s="66"/>
      <c r="P161" s="4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row>
    <row r="162" spans="1:58" outlineLevel="1" x14ac:dyDescent="0.2">
      <c r="A162" s="41"/>
      <c r="B162" s="109"/>
      <c r="C162" s="109"/>
      <c r="D162" s="100"/>
      <c r="E162" s="109"/>
      <c r="F162" s="110"/>
      <c r="G162" s="109"/>
      <c r="H162" s="109"/>
      <c r="I162" s="66"/>
      <c r="J162" s="66"/>
      <c r="K162" s="66"/>
      <c r="L162" s="66"/>
      <c r="M162" s="66"/>
      <c r="N162" s="66"/>
      <c r="P162" s="41"/>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row>
    <row r="163" spans="1:58" outlineLevel="1" x14ac:dyDescent="0.2">
      <c r="A163" s="41"/>
      <c r="B163" s="109"/>
      <c r="C163" s="109"/>
      <c r="D163" s="100"/>
      <c r="E163" s="109"/>
      <c r="F163" s="110"/>
      <c r="G163" s="109"/>
      <c r="H163" s="109"/>
      <c r="I163" s="66"/>
      <c r="J163" s="66"/>
      <c r="K163" s="66"/>
      <c r="L163" s="66"/>
      <c r="M163" s="66"/>
      <c r="N163" s="66"/>
      <c r="P163" s="41"/>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row>
    <row r="164" spans="1:58" outlineLevel="1" x14ac:dyDescent="0.2">
      <c r="A164" s="41"/>
      <c r="B164" s="109"/>
      <c r="C164" s="109"/>
      <c r="D164" s="100"/>
      <c r="E164" s="109"/>
      <c r="F164" s="110"/>
      <c r="G164" s="109"/>
      <c r="H164" s="109"/>
      <c r="I164" s="66"/>
      <c r="J164" s="66"/>
      <c r="K164" s="66"/>
      <c r="L164" s="66"/>
      <c r="M164" s="66"/>
      <c r="N164" s="66"/>
      <c r="P164" s="41"/>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row>
    <row r="165" spans="1:58" outlineLevel="1" x14ac:dyDescent="0.2">
      <c r="A165" s="41"/>
      <c r="B165" s="109"/>
      <c r="C165" s="109"/>
      <c r="D165" s="100"/>
      <c r="E165" s="109"/>
      <c r="F165" s="110"/>
      <c r="G165" s="109"/>
      <c r="H165" s="109"/>
      <c r="I165" s="66"/>
      <c r="J165" s="66"/>
      <c r="K165" s="66"/>
      <c r="L165" s="66"/>
      <c r="M165" s="66"/>
      <c r="N165" s="66"/>
      <c r="P165" s="41"/>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row>
    <row r="166" spans="1:58" outlineLevel="1" x14ac:dyDescent="0.2">
      <c r="A166" s="41"/>
      <c r="B166" s="109"/>
      <c r="C166" s="109"/>
      <c r="D166" s="100"/>
      <c r="E166" s="109"/>
      <c r="F166" s="110"/>
      <c r="G166" s="109"/>
      <c r="H166" s="109"/>
      <c r="I166" s="66"/>
      <c r="J166" s="66"/>
      <c r="K166" s="66"/>
      <c r="L166" s="66"/>
      <c r="M166" s="66"/>
      <c r="N166" s="66"/>
      <c r="P166" s="41"/>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row>
    <row r="167" spans="1:58" outlineLevel="1" x14ac:dyDescent="0.2">
      <c r="A167" s="41"/>
      <c r="B167" s="109"/>
      <c r="C167" s="109"/>
      <c r="D167" s="100"/>
      <c r="E167" s="109"/>
      <c r="F167" s="110"/>
      <c r="G167" s="109"/>
      <c r="H167" s="109"/>
      <c r="I167" s="66"/>
      <c r="J167" s="66"/>
      <c r="K167" s="66"/>
      <c r="L167" s="66"/>
      <c r="M167" s="66"/>
      <c r="N167" s="66"/>
      <c r="P167" s="41"/>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row>
    <row r="168" spans="1:58" outlineLevel="1" x14ac:dyDescent="0.2">
      <c r="A168" s="41"/>
      <c r="B168" s="109"/>
      <c r="C168" s="109"/>
      <c r="D168" s="100"/>
      <c r="E168" s="109"/>
      <c r="F168" s="110"/>
      <c r="G168" s="109"/>
      <c r="H168" s="109"/>
      <c r="I168" s="66"/>
      <c r="J168" s="66"/>
      <c r="K168" s="66"/>
      <c r="L168" s="66"/>
      <c r="M168" s="66"/>
      <c r="N168" s="66"/>
      <c r="P168" s="41"/>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row>
    <row r="169" spans="1:58" outlineLevel="1" x14ac:dyDescent="0.2">
      <c r="A169" s="41"/>
      <c r="B169" s="109"/>
      <c r="C169" s="109"/>
      <c r="D169" s="100"/>
      <c r="E169" s="109"/>
      <c r="F169" s="110"/>
      <c r="G169" s="109"/>
      <c r="H169" s="109"/>
      <c r="I169" s="66"/>
      <c r="J169" s="66"/>
      <c r="K169" s="66"/>
      <c r="L169" s="66"/>
      <c r="M169" s="66"/>
      <c r="N169" s="66"/>
      <c r="P169" s="41"/>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row>
    <row r="170" spans="1:58" outlineLevel="1" x14ac:dyDescent="0.2">
      <c r="A170" s="41"/>
      <c r="B170" s="109"/>
      <c r="C170" s="109"/>
      <c r="D170" s="100"/>
      <c r="E170" s="109"/>
      <c r="F170" s="110"/>
      <c r="G170" s="109"/>
      <c r="H170" s="109"/>
      <c r="I170" s="66"/>
      <c r="J170" s="66"/>
      <c r="K170" s="66"/>
      <c r="L170" s="66"/>
      <c r="M170" s="66"/>
      <c r="N170" s="66"/>
      <c r="P170" s="41"/>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row>
    <row r="171" spans="1:58" x14ac:dyDescent="0.2">
      <c r="A171" s="41"/>
      <c r="B171" s="66"/>
      <c r="C171" s="66"/>
      <c r="D171" s="66"/>
      <c r="E171" s="66"/>
      <c r="F171" s="66"/>
      <c r="G171" s="66"/>
      <c r="H171" s="66"/>
      <c r="I171" s="66"/>
      <c r="J171" s="66"/>
      <c r="K171" s="66"/>
      <c r="L171" s="66"/>
      <c r="M171" s="66"/>
      <c r="N171" s="66"/>
      <c r="P171" s="4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row>
    <row r="172" spans="1:58" x14ac:dyDescent="0.2">
      <c r="A172" s="41"/>
      <c r="B172" s="188" t="s">
        <v>614</v>
      </c>
      <c r="C172" s="188"/>
      <c r="D172" s="188"/>
      <c r="E172" s="188"/>
      <c r="F172" s="188"/>
      <c r="G172" s="188"/>
      <c r="H172" s="188"/>
      <c r="I172" s="188"/>
      <c r="J172" s="188"/>
      <c r="K172" s="188"/>
      <c r="L172" s="188"/>
      <c r="M172" s="188"/>
      <c r="N172" s="188"/>
      <c r="P172" s="41"/>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row>
    <row r="173" spans="1:58" x14ac:dyDescent="0.2">
      <c r="A173" s="41"/>
      <c r="B173" s="66"/>
      <c r="C173" s="66"/>
      <c r="D173" s="66"/>
      <c r="E173" s="66"/>
      <c r="F173" s="66"/>
      <c r="G173" s="66"/>
      <c r="H173" s="66"/>
      <c r="I173" s="66"/>
      <c r="J173" s="66"/>
      <c r="K173" s="66"/>
      <c r="L173" s="66"/>
      <c r="M173" s="66"/>
      <c r="N173" s="66"/>
      <c r="P173" s="41"/>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row>
    <row r="174" spans="1:58" x14ac:dyDescent="0.2">
      <c r="A174" s="41"/>
      <c r="B174" s="186" t="s">
        <v>685</v>
      </c>
      <c r="C174" s="186"/>
      <c r="D174" s="186"/>
      <c r="E174" s="186"/>
      <c r="F174" s="186"/>
      <c r="G174" s="186"/>
      <c r="H174" s="186"/>
      <c r="I174" s="186"/>
      <c r="J174" s="186"/>
      <c r="K174" s="186"/>
      <c r="L174" s="186"/>
      <c r="M174" s="186"/>
      <c r="N174" s="186"/>
      <c r="P174" s="41"/>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row>
    <row r="175" spans="1:58" x14ac:dyDescent="0.2">
      <c r="A175" s="41"/>
      <c r="B175" s="83" t="s">
        <v>615</v>
      </c>
      <c r="C175" s="96" t="str">
        <f>TEXT(DATE(2000,CHOOSE(MATCH($C$8,{"AU";"NZ";"US"},0),7,4,1)+0,1),"mmm")</f>
        <v>Jul</v>
      </c>
      <c r="D175" s="96" t="str">
        <f>TEXT(DATE(2000,CHOOSE(MATCH($C$8,{"AU";"NZ";"US"},0),7,4,1)+1,1),"mmm")</f>
        <v>Aug</v>
      </c>
      <c r="E175" s="96" t="str">
        <f>TEXT(DATE(2000,CHOOSE(MATCH($C$8,{"AU";"NZ";"US"},0),7,4,1)+2,1),"mmm")</f>
        <v>Sep</v>
      </c>
      <c r="F175" s="96" t="str">
        <f>TEXT(DATE(2000,CHOOSE(MATCH($C$8,{"AU";"NZ";"US"},0),7,4,1)+3,1),"mmm")</f>
        <v>Oct</v>
      </c>
      <c r="G175" s="96" t="str">
        <f>TEXT(DATE(2000,CHOOSE(MATCH($C$8,{"AU";"NZ";"US"},0),7,4,1)+4,1),"mmm")</f>
        <v>Nov</v>
      </c>
      <c r="H175" s="96" t="str">
        <f>TEXT(DATE(2000,CHOOSE(MATCH($C$8,{"AU";"NZ";"US"},0),7,4,1)+5,1),"mmm")</f>
        <v>Dec</v>
      </c>
      <c r="I175" s="96" t="str">
        <f>TEXT(DATE(2000,CHOOSE(MATCH($C$8,{"AU";"NZ";"US"},0),7,4,1)+6,1),"mmm")</f>
        <v>Jan</v>
      </c>
      <c r="J175" s="96" t="str">
        <f>TEXT(DATE(2000,CHOOSE(MATCH($C$8,{"AU";"NZ";"US"},0),7,4,1)+7,1),"mmm")</f>
        <v>Feb</v>
      </c>
      <c r="K175" s="96" t="str">
        <f>TEXT(DATE(2000,CHOOSE(MATCH($C$8,{"AU";"NZ";"US"},0),7,4,1)+8,1),"mmm")</f>
        <v>Mar</v>
      </c>
      <c r="L175" s="96" t="str">
        <f>TEXT(DATE(2000,CHOOSE(MATCH($C$8,{"AU";"NZ";"US"},0),7,4,1)+9,1),"mmm")</f>
        <v>Apr</v>
      </c>
      <c r="M175" s="96" t="str">
        <f>TEXT(DATE(2000,CHOOSE(MATCH($C$8,{"AU";"NZ";"US"},0),7,4,1)+10,1),"mmm")</f>
        <v>May</v>
      </c>
      <c r="N175" s="96" t="str">
        <f>TEXT(DATE(2000,CHOOSE(MATCH($C$8,{"AU";"NZ";"US"},0),7,4,1)+11,1),"mmm")</f>
        <v>Jun</v>
      </c>
      <c r="P175" s="41"/>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row>
    <row r="176" spans="1:58" x14ac:dyDescent="0.2">
      <c r="A176" s="41"/>
      <c r="B176" s="68" t="s">
        <v>238</v>
      </c>
      <c r="C176" s="100"/>
      <c r="D176" s="100"/>
      <c r="E176" s="100"/>
      <c r="F176" s="100"/>
      <c r="G176" s="100"/>
      <c r="H176" s="100"/>
      <c r="I176" s="100"/>
      <c r="J176" s="100"/>
      <c r="K176" s="100"/>
      <c r="L176" s="100"/>
      <c r="M176" s="100"/>
      <c r="N176" s="100"/>
      <c r="P176" s="41"/>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row>
    <row r="177" spans="1:58" x14ac:dyDescent="0.2">
      <c r="A177" s="41"/>
      <c r="B177" s="68" t="s">
        <v>616</v>
      </c>
      <c r="C177" s="100"/>
      <c r="D177" s="100"/>
      <c r="E177" s="100"/>
      <c r="F177" s="100"/>
      <c r="G177" s="100"/>
      <c r="H177" s="100"/>
      <c r="I177" s="100"/>
      <c r="J177" s="100"/>
      <c r="K177" s="100"/>
      <c r="L177" s="100"/>
      <c r="M177" s="100"/>
      <c r="N177" s="100"/>
      <c r="P177" s="41"/>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row>
    <row r="178" spans="1:58" x14ac:dyDescent="0.2">
      <c r="A178" s="41"/>
      <c r="B178" s="68" t="s">
        <v>239</v>
      </c>
      <c r="C178" s="100"/>
      <c r="D178" s="100"/>
      <c r="E178" s="100"/>
      <c r="F178" s="100"/>
      <c r="G178" s="100"/>
      <c r="H178" s="100"/>
      <c r="I178" s="100"/>
      <c r="J178" s="100"/>
      <c r="K178" s="100"/>
      <c r="L178" s="100"/>
      <c r="M178" s="100"/>
      <c r="N178" s="100"/>
      <c r="P178" s="41"/>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row>
    <row r="179" spans="1:58" x14ac:dyDescent="0.2">
      <c r="A179" s="41"/>
      <c r="B179" s="68" t="s">
        <v>240</v>
      </c>
      <c r="C179" s="100"/>
      <c r="D179" s="100"/>
      <c r="E179" s="100"/>
      <c r="F179" s="100"/>
      <c r="G179" s="100"/>
      <c r="H179" s="100"/>
      <c r="I179" s="100"/>
      <c r="J179" s="100"/>
      <c r="K179" s="100"/>
      <c r="L179" s="100"/>
      <c r="M179" s="100"/>
      <c r="N179" s="100"/>
      <c r="P179" s="41"/>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row>
    <row r="180" spans="1:58" x14ac:dyDescent="0.2">
      <c r="A180" s="41"/>
      <c r="B180" s="68" t="s">
        <v>241</v>
      </c>
      <c r="C180" s="100"/>
      <c r="D180" s="100"/>
      <c r="E180" s="100"/>
      <c r="F180" s="100"/>
      <c r="G180" s="100"/>
      <c r="H180" s="100"/>
      <c r="I180" s="100"/>
      <c r="J180" s="100"/>
      <c r="K180" s="100"/>
      <c r="L180" s="100"/>
      <c r="M180" s="100"/>
      <c r="N180" s="100"/>
      <c r="P180" s="41"/>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row>
    <row r="181" spans="1:58" x14ac:dyDescent="0.2">
      <c r="A181" s="41"/>
      <c r="B181" s="97" t="s">
        <v>242</v>
      </c>
      <c r="C181" s="100"/>
      <c r="D181" s="100"/>
      <c r="E181" s="100"/>
      <c r="F181" s="100"/>
      <c r="G181" s="100"/>
      <c r="H181" s="100"/>
      <c r="I181" s="100"/>
      <c r="J181" s="100"/>
      <c r="K181" s="100"/>
      <c r="L181" s="100"/>
      <c r="M181" s="100"/>
      <c r="N181" s="100"/>
      <c r="P181" s="4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row>
    <row r="182" spans="1:58" x14ac:dyDescent="0.2">
      <c r="A182" s="41"/>
      <c r="P182" s="41"/>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row>
    <row r="183" spans="1:58" ht="24" customHeight="1" x14ac:dyDescent="0.2">
      <c r="A183" s="41"/>
      <c r="B183" s="3" t="s">
        <v>82</v>
      </c>
      <c r="C183" s="57"/>
      <c r="D183" s="57"/>
      <c r="E183" s="57"/>
      <c r="F183" s="57"/>
      <c r="G183" s="57"/>
      <c r="H183" s="57"/>
      <c r="I183" s="57"/>
      <c r="J183" s="57"/>
      <c r="K183" s="57"/>
      <c r="L183" s="57"/>
      <c r="M183" s="57"/>
      <c r="N183" s="57"/>
      <c r="O183" s="2" t="s">
        <v>675</v>
      </c>
      <c r="P183" s="41"/>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row>
    <row r="192" spans="1:58" x14ac:dyDescent="0.2">
      <c r="R192" s="42" t="s">
        <v>632</v>
      </c>
      <c r="U192" s="42">
        <f t="shared" ref="U192:AF192" si="38">SUMIFS(U91:U102,$C$91:$C$102,"Delivery")</f>
        <v>0</v>
      </c>
      <c r="V192" s="42">
        <f t="shared" si="38"/>
        <v>0</v>
      </c>
      <c r="W192" s="42">
        <f t="shared" si="38"/>
        <v>0</v>
      </c>
      <c r="X192" s="42">
        <f t="shared" si="38"/>
        <v>0</v>
      </c>
      <c r="Y192" s="42">
        <f t="shared" si="38"/>
        <v>0</v>
      </c>
      <c r="Z192" s="42">
        <f t="shared" si="38"/>
        <v>0</v>
      </c>
      <c r="AA192" s="42">
        <f t="shared" si="38"/>
        <v>0</v>
      </c>
      <c r="AB192" s="42">
        <f t="shared" si="38"/>
        <v>0</v>
      </c>
      <c r="AC192" s="42">
        <f t="shared" si="38"/>
        <v>0</v>
      </c>
      <c r="AD192" s="42">
        <f t="shared" si="38"/>
        <v>0</v>
      </c>
      <c r="AE192" s="42">
        <f t="shared" si="38"/>
        <v>0</v>
      </c>
      <c r="AF192" s="42">
        <f t="shared" si="38"/>
        <v>0</v>
      </c>
    </row>
    <row r="193" spans="18:32" x14ac:dyDescent="0.2">
      <c r="R193" s="42" t="s">
        <v>633</v>
      </c>
      <c r="U193" s="42">
        <f t="shared" ref="U193:AF193" si="39">SUM(AH91:AH102)</f>
        <v>0</v>
      </c>
      <c r="V193" s="42">
        <f t="shared" si="39"/>
        <v>0</v>
      </c>
      <c r="W193" s="42">
        <f t="shared" si="39"/>
        <v>0</v>
      </c>
      <c r="X193" s="42">
        <f t="shared" si="39"/>
        <v>0</v>
      </c>
      <c r="Y193" s="42">
        <f t="shared" si="39"/>
        <v>0</v>
      </c>
      <c r="Z193" s="42">
        <f t="shared" si="39"/>
        <v>0</v>
      </c>
      <c r="AA193" s="42">
        <f t="shared" si="39"/>
        <v>0</v>
      </c>
      <c r="AB193" s="42">
        <f t="shared" si="39"/>
        <v>0</v>
      </c>
      <c r="AC193" s="42">
        <f t="shared" si="39"/>
        <v>0</v>
      </c>
      <c r="AD193" s="42">
        <f t="shared" si="39"/>
        <v>0</v>
      </c>
      <c r="AE193" s="42">
        <f t="shared" si="39"/>
        <v>0</v>
      </c>
      <c r="AF193" s="42">
        <f t="shared" si="39"/>
        <v>0</v>
      </c>
    </row>
    <row r="194" spans="18:32" x14ac:dyDescent="0.2">
      <c r="R194" s="42" t="s">
        <v>687</v>
      </c>
      <c r="U194" s="42">
        <f t="shared" ref="U194:AF194" si="40">SUM(U91:U102)-U192</f>
        <v>0</v>
      </c>
      <c r="V194" s="42">
        <f t="shared" si="40"/>
        <v>0</v>
      </c>
      <c r="W194" s="42">
        <f t="shared" si="40"/>
        <v>0</v>
      </c>
      <c r="X194" s="42">
        <f t="shared" si="40"/>
        <v>0</v>
      </c>
      <c r="Y194" s="42">
        <f t="shared" si="40"/>
        <v>0</v>
      </c>
      <c r="Z194" s="42">
        <f t="shared" si="40"/>
        <v>0</v>
      </c>
      <c r="AA194" s="42">
        <f t="shared" si="40"/>
        <v>0</v>
      </c>
      <c r="AB194" s="42">
        <f t="shared" si="40"/>
        <v>0</v>
      </c>
      <c r="AC194" s="42">
        <f t="shared" si="40"/>
        <v>0</v>
      </c>
      <c r="AD194" s="42">
        <f t="shared" si="40"/>
        <v>0</v>
      </c>
      <c r="AE194" s="42">
        <f t="shared" si="40"/>
        <v>0</v>
      </c>
      <c r="AF194" s="42">
        <f t="shared" si="40"/>
        <v>0</v>
      </c>
    </row>
    <row r="201" spans="18:32" x14ac:dyDescent="0.2">
      <c r="R201" s="98" t="s">
        <v>620</v>
      </c>
    </row>
    <row r="202" spans="18:32" x14ac:dyDescent="0.2">
      <c r="R202" s="42" t="s">
        <v>647</v>
      </c>
      <c r="U202" s="42">
        <f t="shared" ref="U202:AF202" si="41">SUM(U121:U140)</f>
        <v>0</v>
      </c>
      <c r="V202" s="42">
        <f t="shared" si="41"/>
        <v>0</v>
      </c>
      <c r="W202" s="42">
        <f t="shared" si="41"/>
        <v>0</v>
      </c>
      <c r="X202" s="42">
        <f t="shared" si="41"/>
        <v>0</v>
      </c>
      <c r="Y202" s="42">
        <f t="shared" si="41"/>
        <v>0</v>
      </c>
      <c r="Z202" s="42">
        <f t="shared" si="41"/>
        <v>0</v>
      </c>
      <c r="AA202" s="42">
        <f t="shared" si="41"/>
        <v>0</v>
      </c>
      <c r="AB202" s="42">
        <f t="shared" si="41"/>
        <v>0</v>
      </c>
      <c r="AC202" s="42">
        <f t="shared" si="41"/>
        <v>0</v>
      </c>
      <c r="AD202" s="42">
        <f t="shared" si="41"/>
        <v>0</v>
      </c>
      <c r="AE202" s="42">
        <f t="shared" si="41"/>
        <v>0</v>
      </c>
      <c r="AF202" s="42">
        <f t="shared" si="41"/>
        <v>0</v>
      </c>
    </row>
    <row r="203" spans="18:32" x14ac:dyDescent="0.2">
      <c r="R203" s="42" t="s">
        <v>648</v>
      </c>
      <c r="U203" s="42">
        <f t="shared" ref="U203:AF203" si="42">SUMIFS(AH121:AH140,$C$121:$C$140,"Delivery")</f>
        <v>0</v>
      </c>
      <c r="V203" s="42">
        <f t="shared" si="42"/>
        <v>0</v>
      </c>
      <c r="W203" s="42">
        <f t="shared" si="42"/>
        <v>0</v>
      </c>
      <c r="X203" s="42">
        <f t="shared" si="42"/>
        <v>0</v>
      </c>
      <c r="Y203" s="42">
        <f t="shared" si="42"/>
        <v>0</v>
      </c>
      <c r="Z203" s="42">
        <f t="shared" si="42"/>
        <v>0</v>
      </c>
      <c r="AA203" s="42">
        <f t="shared" si="42"/>
        <v>0</v>
      </c>
      <c r="AB203" s="42">
        <f t="shared" si="42"/>
        <v>0</v>
      </c>
      <c r="AC203" s="42">
        <f t="shared" si="42"/>
        <v>0</v>
      </c>
      <c r="AD203" s="42">
        <f t="shared" si="42"/>
        <v>0</v>
      </c>
      <c r="AE203" s="42">
        <f t="shared" si="42"/>
        <v>0</v>
      </c>
      <c r="AF203" s="42">
        <f t="shared" si="42"/>
        <v>0</v>
      </c>
    </row>
    <row r="204" spans="18:32" x14ac:dyDescent="0.2">
      <c r="R204" s="42" t="s">
        <v>649</v>
      </c>
      <c r="U204" s="42">
        <f t="shared" ref="U204:AF204" si="43">SUM(AU121:AU140)</f>
        <v>0</v>
      </c>
      <c r="V204" s="42">
        <f t="shared" si="43"/>
        <v>0</v>
      </c>
      <c r="W204" s="42">
        <f t="shared" si="43"/>
        <v>0</v>
      </c>
      <c r="X204" s="42">
        <f t="shared" si="43"/>
        <v>0</v>
      </c>
      <c r="Y204" s="42">
        <f t="shared" si="43"/>
        <v>0</v>
      </c>
      <c r="Z204" s="42">
        <f t="shared" si="43"/>
        <v>0</v>
      </c>
      <c r="AA204" s="42">
        <f t="shared" si="43"/>
        <v>0</v>
      </c>
      <c r="AB204" s="42">
        <f t="shared" si="43"/>
        <v>0</v>
      </c>
      <c r="AC204" s="42">
        <f t="shared" si="43"/>
        <v>0</v>
      </c>
      <c r="AD204" s="42">
        <f t="shared" si="43"/>
        <v>0</v>
      </c>
      <c r="AE204" s="42">
        <f t="shared" si="43"/>
        <v>0</v>
      </c>
      <c r="AF204" s="42">
        <f t="shared" si="43"/>
        <v>0</v>
      </c>
    </row>
    <row r="205" spans="18:32" x14ac:dyDescent="0.2">
      <c r="R205" s="42" t="s">
        <v>650</v>
      </c>
      <c r="U205" s="42" cm="1">
        <f t="array" ref="U205">IFERROR(SUMPRODUCT(($B$121:$B$140&lt;&gt;"")*N($E$121:$E$140)*N($I$121:$I$140))/SUMPRODUCT(($B$121:$B$140&lt;&gt;"")*N($E$121:$E$140)),0)</f>
        <v>0</v>
      </c>
      <c r="V205" s="42" cm="1">
        <f t="array" ref="V205">IFERROR(SUMPRODUCT((AV121:AV140)*($I121:$I140))/SUM(AV121:AV140),0)</f>
        <v>0</v>
      </c>
      <c r="W205" s="42" cm="1">
        <f t="array" ref="W205">IFERROR(SUMPRODUCT((AW121:AW140)*($I121:$I140))/SUM(AW121:AW140),0)</f>
        <v>0</v>
      </c>
      <c r="X205" s="42" cm="1">
        <f t="array" ref="X205">IFERROR(SUMPRODUCT((AX121:AX140)*($I121:$I140))/SUM(AX121:AX140),0)</f>
        <v>0</v>
      </c>
      <c r="Y205" s="42" cm="1">
        <f t="array" ref="Y205">IFERROR(SUMPRODUCT((AY121:AY140)*($I121:$I140))/SUM(AY121:AY140),0)</f>
        <v>0</v>
      </c>
      <c r="Z205" s="42" cm="1">
        <f t="array" ref="Z205">IFERROR(SUMPRODUCT((AZ121:AZ140)*($I121:$I140))/SUM(AZ121:AZ140),0)</f>
        <v>0</v>
      </c>
      <c r="AA205" s="42" cm="1">
        <f t="array" ref="AA205">IFERROR(SUMPRODUCT((BA121:BA140)*($I121:$I140))/SUM(BA121:BA140),0)</f>
        <v>0</v>
      </c>
      <c r="AB205" s="42" cm="1">
        <f t="array" ref="AB205">IFERROR(SUMPRODUCT((BB121:BB140)*($I121:$I140))/SUM(BB121:BB140),0)</f>
        <v>0</v>
      </c>
      <c r="AC205" s="42" cm="1">
        <f t="array" ref="AC205">IFERROR(SUMPRODUCT((BC121:BC140)*($I121:$I140))/SUM(BC121:BC140),0)</f>
        <v>0</v>
      </c>
      <c r="AD205" s="42" cm="1">
        <f t="array" ref="AD205">IFERROR(SUMPRODUCT((BD121:BD140)*($I121:$I140))/SUM(BD121:BD140),0)</f>
        <v>0</v>
      </c>
      <c r="AE205" s="42" cm="1">
        <f t="array" ref="AE205">IFERROR(SUMPRODUCT((BE121:BE140)*($I121:$I140))/SUM(BE121:BE140),0)</f>
        <v>0</v>
      </c>
      <c r="AF205" s="42" cm="1">
        <f t="array" ref="AF205">IFERROR(SUMPRODUCT((BF121:BF140)*($I121:$I140))/SUM(BF121:BF140),0)</f>
        <v>0</v>
      </c>
    </row>
    <row r="206" spans="18:32" x14ac:dyDescent="0.2">
      <c r="R206" s="42" t="s">
        <v>651</v>
      </c>
      <c r="U206" s="42" cm="1">
        <f t="array" ref="U206">SUMPRODUCT(($D$121:$D$140=1)*U121:U140)</f>
        <v>0</v>
      </c>
      <c r="V206" s="42" cm="1">
        <f t="array" ref="V206">SUMPRODUCT(($D$121:$D$140=1)*V121:V140)</f>
        <v>0</v>
      </c>
      <c r="W206" s="42" cm="1">
        <f t="array" ref="W206">SUMPRODUCT(($D$121:$D$140=1)*W121:W140)</f>
        <v>0</v>
      </c>
      <c r="X206" s="42" cm="1">
        <f t="array" ref="X206">SUMPRODUCT(($D$121:$D$140=1)*X121:X140)</f>
        <v>0</v>
      </c>
      <c r="Y206" s="42" cm="1">
        <f t="array" ref="Y206">SUMPRODUCT(($D$121:$D$140=1)*Y121:Y140)</f>
        <v>0</v>
      </c>
      <c r="Z206" s="42" cm="1">
        <f t="array" ref="Z206">SUMPRODUCT(($D$121:$D$140=1)*Z121:Z140)</f>
        <v>0</v>
      </c>
      <c r="AA206" s="42" cm="1">
        <f t="array" ref="AA206">SUMPRODUCT(($D$121:$D$140=1)*AA121:AA140)</f>
        <v>0</v>
      </c>
      <c r="AB206" s="42" cm="1">
        <f t="array" ref="AB206">SUMPRODUCT(($D$121:$D$140=1)*AB121:AB140)</f>
        <v>0</v>
      </c>
      <c r="AC206" s="42" cm="1">
        <f t="array" ref="AC206">SUMPRODUCT(($D$121:$D$140=1)*AC121:AC140)</f>
        <v>0</v>
      </c>
      <c r="AD206" s="42" cm="1">
        <f t="array" ref="AD206">SUMPRODUCT(($D$121:$D$140=1)*AD121:AD140)</f>
        <v>0</v>
      </c>
      <c r="AE206" s="42" cm="1">
        <f t="array" ref="AE206">SUMPRODUCT(($D$121:$D$140=1)*AE121:AE140)</f>
        <v>0</v>
      </c>
      <c r="AF206" s="42" cm="1">
        <f t="array" ref="AF206">SUMPRODUCT(($D$121:$D$140=1)*AF121:AF140)</f>
        <v>0</v>
      </c>
    </row>
    <row r="207" spans="18:32" x14ac:dyDescent="0.2">
      <c r="R207" s="42" t="s">
        <v>652</v>
      </c>
      <c r="U207" s="42" cm="1">
        <f t="array" ref="U207">SUMPRODUCT(($D$121:$D$140=2)*U121:U140)</f>
        <v>0</v>
      </c>
      <c r="V207" s="42" cm="1">
        <f t="array" ref="V207">SUMPRODUCT(($D$121:$D$140=2)*V121:V140)</f>
        <v>0</v>
      </c>
      <c r="W207" s="42" cm="1">
        <f t="array" ref="W207">SUMPRODUCT(($D$121:$D$140=2)*W121:W140)</f>
        <v>0</v>
      </c>
      <c r="X207" s="42" cm="1">
        <f t="array" ref="X207">SUMPRODUCT(($D$121:$D$140=2)*X121:X140)</f>
        <v>0</v>
      </c>
      <c r="Y207" s="42" cm="1">
        <f t="array" ref="Y207">SUMPRODUCT(($D$121:$D$140=2)*Y121:Y140)</f>
        <v>0</v>
      </c>
      <c r="Z207" s="42" cm="1">
        <f t="array" ref="Z207">SUMPRODUCT(($D$121:$D$140=2)*Z121:Z140)</f>
        <v>0</v>
      </c>
      <c r="AA207" s="42" cm="1">
        <f t="array" ref="AA207">SUMPRODUCT(($D$121:$D$140=2)*AA121:AA140)</f>
        <v>0</v>
      </c>
      <c r="AB207" s="42" cm="1">
        <f t="array" ref="AB207">SUMPRODUCT(($D$121:$D$140=2)*AB121:AB140)</f>
        <v>0</v>
      </c>
      <c r="AC207" s="42" cm="1">
        <f t="array" ref="AC207">SUMPRODUCT(($D$121:$D$140=2)*AC121:AC140)</f>
        <v>0</v>
      </c>
      <c r="AD207" s="42" cm="1">
        <f t="array" ref="AD207">SUMPRODUCT(($D$121:$D$140=2)*AD121:AD140)</f>
        <v>0</v>
      </c>
      <c r="AE207" s="42" cm="1">
        <f t="array" ref="AE207">SUMPRODUCT(($D$121:$D$140=2)*AE121:AE140)</f>
        <v>0</v>
      </c>
      <c r="AF207" s="42" cm="1">
        <f t="array" ref="AF207">SUMPRODUCT(($D$121:$D$140=2)*AF121:AF140)</f>
        <v>0</v>
      </c>
    </row>
    <row r="208" spans="18:32" x14ac:dyDescent="0.2">
      <c r="R208" s="42" t="s">
        <v>653</v>
      </c>
      <c r="U208" s="42" cm="1">
        <f t="array" ref="U208">SUMPRODUCT(($D$121:$D$140=3)*U121:U140)</f>
        <v>0</v>
      </c>
      <c r="V208" s="42" cm="1">
        <f t="array" ref="V208">SUMPRODUCT(($D$121:$D$140=3)*V121:V140)</f>
        <v>0</v>
      </c>
      <c r="W208" s="42" cm="1">
        <f t="array" ref="W208">SUMPRODUCT(($D$121:$D$140=3)*W121:W140)</f>
        <v>0</v>
      </c>
      <c r="X208" s="42" cm="1">
        <f t="array" ref="X208">SUMPRODUCT(($D$121:$D$140=3)*X121:X140)</f>
        <v>0</v>
      </c>
      <c r="Y208" s="42" cm="1">
        <f t="array" ref="Y208">SUMPRODUCT(($D$121:$D$140=3)*Y121:Y140)</f>
        <v>0</v>
      </c>
      <c r="Z208" s="42" cm="1">
        <f t="array" ref="Z208">SUMPRODUCT(($D$121:$D$140=3)*Z121:Z140)</f>
        <v>0</v>
      </c>
      <c r="AA208" s="42" cm="1">
        <f t="array" ref="AA208">SUMPRODUCT(($D$121:$D$140=3)*AA121:AA140)</f>
        <v>0</v>
      </c>
      <c r="AB208" s="42" cm="1">
        <f t="array" ref="AB208">SUMPRODUCT(($D$121:$D$140=3)*AB121:AB140)</f>
        <v>0</v>
      </c>
      <c r="AC208" s="42" cm="1">
        <f t="array" ref="AC208">SUMPRODUCT(($D$121:$D$140=3)*AC121:AC140)</f>
        <v>0</v>
      </c>
      <c r="AD208" s="42" cm="1">
        <f t="array" ref="AD208">SUMPRODUCT(($D$121:$D$140=3)*AD121:AD140)</f>
        <v>0</v>
      </c>
      <c r="AE208" s="42" cm="1">
        <f t="array" ref="AE208">SUMPRODUCT(($D$121:$D$140=3)*AE121:AE140)</f>
        <v>0</v>
      </c>
      <c r="AF208" s="42" cm="1">
        <f t="array" ref="AF208">SUMPRODUCT(($D$121:$D$140=3)*AF121:AF140)</f>
        <v>0</v>
      </c>
    </row>
    <row r="209" spans="18:32" x14ac:dyDescent="0.2">
      <c r="R209" s="42" t="s">
        <v>654</v>
      </c>
      <c r="U209" s="42" cm="1">
        <f t="array" ref="U209">SUMPRODUCT(($D$121:$D$140=4)*U121:U140)</f>
        <v>0</v>
      </c>
      <c r="V209" s="42" cm="1">
        <f t="array" ref="V209">SUMPRODUCT(($D$121:$D$140=4)*V121:V140)</f>
        <v>0</v>
      </c>
      <c r="W209" s="42" cm="1">
        <f t="array" ref="W209">SUMPRODUCT(($D$121:$D$140=4)*W121:W140)</f>
        <v>0</v>
      </c>
      <c r="X209" s="42" cm="1">
        <f t="array" ref="X209">SUMPRODUCT(($D$121:$D$140=4)*X121:X140)</f>
        <v>0</v>
      </c>
      <c r="Y209" s="42" cm="1">
        <f t="array" ref="Y209">SUMPRODUCT(($D$121:$D$140=4)*Y121:Y140)</f>
        <v>0</v>
      </c>
      <c r="Z209" s="42" cm="1">
        <f t="array" ref="Z209">SUMPRODUCT(($D$121:$D$140=4)*Z121:Z140)</f>
        <v>0</v>
      </c>
      <c r="AA209" s="42" cm="1">
        <f t="array" ref="AA209">SUMPRODUCT(($D$121:$D$140=4)*AA121:AA140)</f>
        <v>0</v>
      </c>
      <c r="AB209" s="42" cm="1">
        <f t="array" ref="AB209">SUMPRODUCT(($D$121:$D$140=4)*AB121:AB140)</f>
        <v>0</v>
      </c>
      <c r="AC209" s="42" cm="1">
        <f t="array" ref="AC209">SUMPRODUCT(($D$121:$D$140=4)*AC121:AC140)</f>
        <v>0</v>
      </c>
      <c r="AD209" s="42" cm="1">
        <f t="array" ref="AD209">SUMPRODUCT(($D$121:$D$140=4)*AD121:AD140)</f>
        <v>0</v>
      </c>
      <c r="AE209" s="42" cm="1">
        <f t="array" ref="AE209">SUMPRODUCT(($D$121:$D$140=4)*AE121:AE140)</f>
        <v>0</v>
      </c>
      <c r="AF209" s="42" cm="1">
        <f t="array" ref="AF209">SUMPRODUCT(($D$121:$D$140=4)*AF121:AF140)</f>
        <v>0</v>
      </c>
    </row>
    <row r="210" spans="18:32" x14ac:dyDescent="0.2">
      <c r="R210" s="42" t="s">
        <v>655</v>
      </c>
      <c r="U210" s="42" cm="1">
        <f t="array" ref="U210">SUMPRODUCT(($D$121:$D$140=5)*U121:U140)</f>
        <v>0</v>
      </c>
      <c r="V210" s="42" cm="1">
        <f t="array" ref="V210">SUMPRODUCT(($D$121:$D$140=5)*V121:V140)</f>
        <v>0</v>
      </c>
      <c r="W210" s="42" cm="1">
        <f t="array" ref="W210">SUMPRODUCT(($D$121:$D$140=5)*W121:W140)</f>
        <v>0</v>
      </c>
      <c r="X210" s="42" cm="1">
        <f t="array" ref="X210">SUMPRODUCT(($D$121:$D$140=5)*X121:X140)</f>
        <v>0</v>
      </c>
      <c r="Y210" s="42" cm="1">
        <f t="array" ref="Y210">SUMPRODUCT(($D$121:$D$140=5)*Y121:Y140)</f>
        <v>0</v>
      </c>
      <c r="Z210" s="42" cm="1">
        <f t="array" ref="Z210">SUMPRODUCT(($D$121:$D$140=5)*Z121:Z140)</f>
        <v>0</v>
      </c>
      <c r="AA210" s="42" cm="1">
        <f t="array" ref="AA210">SUMPRODUCT(($D$121:$D$140=5)*AA121:AA140)</f>
        <v>0</v>
      </c>
      <c r="AB210" s="42" cm="1">
        <f t="array" ref="AB210">SUMPRODUCT(($D$121:$D$140=5)*AB121:AB140)</f>
        <v>0</v>
      </c>
      <c r="AC210" s="42" cm="1">
        <f t="array" ref="AC210">SUMPRODUCT(($D$121:$D$140=5)*AC121:AC140)</f>
        <v>0</v>
      </c>
      <c r="AD210" s="42" cm="1">
        <f t="array" ref="AD210">SUMPRODUCT(($D$121:$D$140=5)*AD121:AD140)</f>
        <v>0</v>
      </c>
      <c r="AE210" s="42" cm="1">
        <f t="array" ref="AE210">SUMPRODUCT(($D$121:$D$140=5)*AE121:AE140)</f>
        <v>0</v>
      </c>
      <c r="AF210" s="42" cm="1">
        <f t="array" ref="AF210">SUMPRODUCT(($D$121:$D$140=5)*AF121:AF140)</f>
        <v>0</v>
      </c>
    </row>
    <row r="211" spans="18:32" x14ac:dyDescent="0.2">
      <c r="U211" s="42">
        <f>SUM(U202:AF202)</f>
        <v>0</v>
      </c>
    </row>
    <row r="212" spans="18:32" x14ac:dyDescent="0.2">
      <c r="R212" s="42" t="s">
        <v>686</v>
      </c>
      <c r="U212" s="42">
        <f t="shared" ref="U212:AF212" si="44">SUM(AH121:AH140)-U203</f>
        <v>0</v>
      </c>
      <c r="V212" s="42">
        <f t="shared" si="44"/>
        <v>0</v>
      </c>
      <c r="W212" s="42">
        <f t="shared" si="44"/>
        <v>0</v>
      </c>
      <c r="X212" s="42">
        <f t="shared" si="44"/>
        <v>0</v>
      </c>
      <c r="Y212" s="42">
        <f t="shared" si="44"/>
        <v>0</v>
      </c>
      <c r="Z212" s="42">
        <f t="shared" si="44"/>
        <v>0</v>
      </c>
      <c r="AA212" s="42">
        <f t="shared" si="44"/>
        <v>0</v>
      </c>
      <c r="AB212" s="42">
        <f t="shared" si="44"/>
        <v>0</v>
      </c>
      <c r="AC212" s="42">
        <f t="shared" si="44"/>
        <v>0</v>
      </c>
      <c r="AD212" s="42">
        <f t="shared" si="44"/>
        <v>0</v>
      </c>
      <c r="AE212" s="42">
        <f t="shared" si="44"/>
        <v>0</v>
      </c>
      <c r="AF212" s="42">
        <f t="shared" si="44"/>
        <v>0</v>
      </c>
    </row>
    <row r="213" spans="18:32" x14ac:dyDescent="0.2">
      <c r="R213" s="42" t="s">
        <v>656</v>
      </c>
      <c r="U213" s="42" cm="1">
        <f t="array" ref="U213">SUMPRODUCT((($C$107:$C$112)=1)*($D$107:$D$112)*(1&gt;=IF(N($G$107:$G$112)=0,1,$G$107:$G$112))*(1&lt;=IF(N($H$107:$H$112)=0,12,$H$107:$H$112)))</f>
        <v>0</v>
      </c>
      <c r="V213" s="42" cm="1">
        <f t="array" ref="V213">SUMPRODUCT((($C$107:$C$112)=1)*($D$107:$D$112)*(2&gt;=IF(N($G$107:$G$112)=0,1,$G$107:$G$112))*(2&lt;=IF(N($H$107:$H$112)=0,12,$H$107:$H$112)))</f>
        <v>0</v>
      </c>
      <c r="W213" s="42" cm="1">
        <f t="array" ref="W213">SUMPRODUCT((($C$107:$C$112)=1)*($D$107:$D$112)*(3&gt;=IF(N($G$107:$G$112)=0,1,$G$107:$G$112))*(3&lt;=IF(N($H$107:$H$112)=0,12,$H$107:$H$112)))</f>
        <v>0</v>
      </c>
      <c r="X213" s="42" cm="1">
        <f t="array" ref="X213">SUMPRODUCT((($C$107:$C$112)=1)*($D$107:$D$112)*(4&gt;=IF(N($G$107:$G$112)=0,1,$G$107:$G$112))*(4&lt;=IF(N($H$107:$H$112)=0,12,$H$107:$H$112)))</f>
        <v>0</v>
      </c>
      <c r="Y213" s="42" cm="1">
        <f t="array" ref="Y213">SUMPRODUCT((($C$107:$C$112)=1)*($D$107:$D$112)*(5&gt;=IF(N($G$107:$G$112)=0,1,$G$107:$G$112))*(5&lt;=IF(N($H$107:$H$112)=0,12,$H$107:$H$112)))</f>
        <v>0</v>
      </c>
      <c r="Z213" s="42" cm="1">
        <f t="array" ref="Z213">SUMPRODUCT((($C$107:$C$112)=1)*($D$107:$D$112)*(6&gt;=IF(N($G$107:$G$112)=0,1,$G$107:$G$112))*(6&lt;=IF(N($H$107:$H$112)=0,12,$H$107:$H$112)))</f>
        <v>0</v>
      </c>
      <c r="AA213" s="42" cm="1">
        <f t="array" ref="AA213">SUMPRODUCT((($C$107:$C$112)=1)*($D$107:$D$112)*(7&gt;=IF(N($G$107:$G$112)=0,1,$G$107:$G$112))*(7&lt;=IF(N($H$107:$H$112)=0,12,$H$107:$H$112)))</f>
        <v>0</v>
      </c>
      <c r="AB213" s="42" cm="1">
        <f t="array" ref="AB213">SUMPRODUCT((($C$107:$C$112)=1)*($D$107:$D$112)*(8&gt;=IF(N($G$107:$G$112)=0,1,$G$107:$G$112))*(8&lt;=IF(N($H$107:$H$112)=0,12,$H$107:$H$112)))</f>
        <v>0</v>
      </c>
      <c r="AC213" s="42" cm="1">
        <f t="array" ref="AC213">SUMPRODUCT((($C$107:$C$112)=1)*($D$107:$D$112)*(9&gt;=IF(N($G$107:$G$112)=0,1,$G$107:$G$112))*(9&lt;=IF(N($H$107:$H$112)=0,12,$H$107:$H$112)))</f>
        <v>0</v>
      </c>
      <c r="AD213" s="42" cm="1">
        <f t="array" ref="AD213">SUMPRODUCT((($C$107:$C$112)=1)*($D$107:$D$112)*(10&gt;=IF(N($G$107:$G$112)=0,1,$G$107:$G$112))*(10&lt;=IF(N($H$107:$H$112)=0,12,$H$107:$H$112)))</f>
        <v>0</v>
      </c>
      <c r="AE213" s="42" cm="1">
        <f t="array" ref="AE213">SUMPRODUCT((($C$107:$C$112)=1)*($D$107:$D$112)*(11&gt;=IF(N($G$107:$G$112)=0,1,$G$107:$G$112))*(11&lt;=IF(N($H$107:$H$112)=0,12,$H$107:$H$112)))</f>
        <v>0</v>
      </c>
      <c r="AF213" s="42" cm="1">
        <f t="array" ref="AF213">SUMPRODUCT((($C$107:$C$112)=1)*($D$107:$D$112)*(12&gt;=IF(N($G$107:$G$112)=0,1,$G$107:$G$112))*(12&lt;=IF(N($H$107:$H$112)=0,12,$H$107:$H$112)))</f>
        <v>0</v>
      </c>
    </row>
    <row r="214" spans="18:32" x14ac:dyDescent="0.2">
      <c r="U214" s="42" cm="1">
        <f t="array" ref="U214">SUMPRODUCT((($C$107:$C$112)=2)*($D$107:$D$112)*(1&gt;=IF(N($G$107:$G$112)=0,1,$G$107:$G$112))*(1&lt;=IF(N($H$107:$H$112)=0,12,$H$107:$H$112)))</f>
        <v>0</v>
      </c>
      <c r="V214" s="42" cm="1">
        <f t="array" ref="V214">SUMPRODUCT((($C$107:$C$112)=2)*($D$107:$D$112)*(2&gt;=IF(N($G$107:$G$112)=0,1,$G$107:$G$112))*(2&lt;=IF(N($H$107:$H$112)=0,12,$H$107:$H$112)))</f>
        <v>0</v>
      </c>
      <c r="W214" s="42" cm="1">
        <f t="array" ref="W214">SUMPRODUCT((($C$107:$C$112)=2)*($D$107:$D$112)*(3&gt;=IF(N($G$107:$G$112)=0,1,$G$107:$G$112))*(3&lt;=IF(N($H$107:$H$112)=0,12,$H$107:$H$112)))</f>
        <v>0</v>
      </c>
      <c r="X214" s="42" cm="1">
        <f t="array" ref="X214">SUMPRODUCT((($C$107:$C$112)=2)*($D$107:$D$112)*(4&gt;=IF(N($G$107:$G$112)=0,1,$G$107:$G$112))*(4&lt;=IF(N($H$107:$H$112)=0,12,$H$107:$H$112)))</f>
        <v>0</v>
      </c>
      <c r="Y214" s="42" cm="1">
        <f t="array" ref="Y214">SUMPRODUCT((($C$107:$C$112)=2)*($D$107:$D$112)*(5&gt;=IF(N($G$107:$G$112)=0,1,$G$107:$G$112))*(5&lt;=IF(N($H$107:$H$112)=0,12,$H$107:$H$112)))</f>
        <v>0</v>
      </c>
      <c r="Z214" s="42" cm="1">
        <f t="array" ref="Z214">SUMPRODUCT((($C$107:$C$112)=2)*($D$107:$D$112)*(6&gt;=IF(N($G$107:$G$112)=0,1,$G$107:$G$112))*(6&lt;=IF(N($H$107:$H$112)=0,12,$H$107:$H$112)))</f>
        <v>0</v>
      </c>
      <c r="AA214" s="42" cm="1">
        <f t="array" ref="AA214">SUMPRODUCT((($C$107:$C$112)=2)*($D$107:$D$112)*(7&gt;=IF(N($G$107:$G$112)=0,1,$G$107:$G$112))*(7&lt;=IF(N($H$107:$H$112)=0,12,$H$107:$H$112)))</f>
        <v>0</v>
      </c>
      <c r="AB214" s="42" cm="1">
        <f t="array" ref="AB214">SUMPRODUCT((($C$107:$C$112)=2)*($D$107:$D$112)*(8&gt;=IF(N($G$107:$G$112)=0,1,$G$107:$G$112))*(8&lt;=IF(N($H$107:$H$112)=0,12,$H$107:$H$112)))</f>
        <v>0</v>
      </c>
      <c r="AC214" s="42" cm="1">
        <f t="array" ref="AC214">SUMPRODUCT((($C$107:$C$112)=2)*($D$107:$D$112)*(9&gt;=IF(N($G$107:$G$112)=0,1,$G$107:$G$112))*(9&lt;=IF(N($H$107:$H$112)=0,12,$H$107:$H$112)))</f>
        <v>0</v>
      </c>
      <c r="AD214" s="42" cm="1">
        <f t="array" ref="AD214">SUMPRODUCT((($C$107:$C$112)=2)*($D$107:$D$112)*(10&gt;=IF(N($G$107:$G$112)=0,1,$G$107:$G$112))*(10&lt;=IF(N($H$107:$H$112)=0,12,$H$107:$H$112)))</f>
        <v>0</v>
      </c>
      <c r="AE214" s="42" cm="1">
        <f t="array" ref="AE214">SUMPRODUCT((($C$107:$C$112)=2)*($D$107:$D$112)*(11&gt;=IF(N($G$107:$G$112)=0,1,$G$107:$G$112))*(11&lt;=IF(N($H$107:$H$112)=0,12,$H$107:$H$112)))</f>
        <v>0</v>
      </c>
      <c r="AF214" s="42" cm="1">
        <f t="array" ref="AF214">SUMPRODUCT((($C$107:$C$112)=2)*($D$107:$D$112)*(12&gt;=IF(N($G$107:$G$112)=0,1,$G$107:$G$112))*(12&lt;=IF(N($H$107:$H$112)=0,12,$H$107:$H$112)))</f>
        <v>0</v>
      </c>
    </row>
    <row r="215" spans="18:32" x14ac:dyDescent="0.2">
      <c r="U215" s="42" cm="1">
        <f t="array" ref="U215">SUMPRODUCT((($C$107:$C$112)=3)*($D$107:$D$112)*(1&gt;=IF(N($G$107:$G$112)=0,1,$G$107:$G$112))*(1&lt;=IF(N($H$107:$H$112)=0,12,$H$107:$H$112)))</f>
        <v>0</v>
      </c>
      <c r="V215" s="42" cm="1">
        <f t="array" ref="V215">SUMPRODUCT((($C$107:$C$112)=3)*($D$107:$D$112)*(2&gt;=IF(N($G$107:$G$112)=0,1,$G$107:$G$112))*(2&lt;=IF(N($H$107:$H$112)=0,12,$H$107:$H$112)))</f>
        <v>0</v>
      </c>
      <c r="W215" s="42" cm="1">
        <f t="array" ref="W215">SUMPRODUCT((($C$107:$C$112)=3)*($D$107:$D$112)*(3&gt;=IF(N($G$107:$G$112)=0,1,$G$107:$G$112))*(3&lt;=IF(N($H$107:$H$112)=0,12,$H$107:$H$112)))</f>
        <v>0</v>
      </c>
      <c r="X215" s="42" cm="1">
        <f t="array" ref="X215">SUMPRODUCT((($C$107:$C$112)=3)*($D$107:$D$112)*(4&gt;=IF(N($G$107:$G$112)=0,1,$G$107:$G$112))*(4&lt;=IF(N($H$107:$H$112)=0,12,$H$107:$H$112)))</f>
        <v>0</v>
      </c>
      <c r="Y215" s="42" cm="1">
        <f t="array" ref="Y215">SUMPRODUCT((($C$107:$C$112)=3)*($D$107:$D$112)*(5&gt;=IF(N($G$107:$G$112)=0,1,$G$107:$G$112))*(5&lt;=IF(N($H$107:$H$112)=0,12,$H$107:$H$112)))</f>
        <v>0</v>
      </c>
      <c r="Z215" s="42" cm="1">
        <f t="array" ref="Z215">SUMPRODUCT((($C$107:$C$112)=3)*($D$107:$D$112)*(6&gt;=IF(N($G$107:$G$112)=0,1,$G$107:$G$112))*(6&lt;=IF(N($H$107:$H$112)=0,12,$H$107:$H$112)))</f>
        <v>0</v>
      </c>
      <c r="AA215" s="42" cm="1">
        <f t="array" ref="AA215">SUMPRODUCT((($C$107:$C$112)=3)*($D$107:$D$112)*(7&gt;=IF(N($G$107:$G$112)=0,1,$G$107:$G$112))*(7&lt;=IF(N($H$107:$H$112)=0,12,$H$107:$H$112)))</f>
        <v>0</v>
      </c>
      <c r="AB215" s="42" cm="1">
        <f t="array" ref="AB215">SUMPRODUCT((($C$107:$C$112)=3)*($D$107:$D$112)*(8&gt;=IF(N($G$107:$G$112)=0,1,$G$107:$G$112))*(8&lt;=IF(N($H$107:$H$112)=0,12,$H$107:$H$112)))</f>
        <v>0</v>
      </c>
      <c r="AC215" s="42" cm="1">
        <f t="array" ref="AC215">SUMPRODUCT((($C$107:$C$112)=3)*($D$107:$D$112)*(9&gt;=IF(N($G$107:$G$112)=0,1,$G$107:$G$112))*(9&lt;=IF(N($H$107:$H$112)=0,12,$H$107:$H$112)))</f>
        <v>0</v>
      </c>
      <c r="AD215" s="42" cm="1">
        <f t="array" ref="AD215">SUMPRODUCT((($C$107:$C$112)=3)*($D$107:$D$112)*(10&gt;=IF(N($G$107:$G$112)=0,1,$G$107:$G$112))*(10&lt;=IF(N($H$107:$H$112)=0,12,$H$107:$H$112)))</f>
        <v>0</v>
      </c>
      <c r="AE215" s="42" cm="1">
        <f t="array" ref="AE215">SUMPRODUCT((($C$107:$C$112)=3)*($D$107:$D$112)*(11&gt;=IF(N($G$107:$G$112)=0,1,$G$107:$G$112))*(11&lt;=IF(N($H$107:$H$112)=0,12,$H$107:$H$112)))</f>
        <v>0</v>
      </c>
      <c r="AF215" s="42" cm="1">
        <f t="array" ref="AF215">SUMPRODUCT((($C$107:$C$112)=3)*($D$107:$D$112)*(12&gt;=IF(N($G$107:$G$112)=0,1,$G$107:$G$112))*(12&lt;=IF(N($H$107:$H$112)=0,12,$H$107:$H$112)))</f>
        <v>0</v>
      </c>
    </row>
    <row r="216" spans="18:32" x14ac:dyDescent="0.2">
      <c r="U216" s="42" cm="1">
        <f t="array" ref="U216">SUMPRODUCT((($C$107:$C$112)=4)*($D$107:$D$112)*(1&gt;=IF(N($G$107:$G$112)=0,1,$G$107:$G$112))*(1&lt;=IF(N($H$107:$H$112)=0,12,$H$107:$H$112)))</f>
        <v>0</v>
      </c>
      <c r="V216" s="42" cm="1">
        <f t="array" ref="V216">SUMPRODUCT((($C$107:$C$112)=4)*($D$107:$D$112)*(2&gt;=IF(N($G$107:$G$112)=0,1,$G$107:$G$112))*(2&lt;=IF(N($H$107:$H$112)=0,12,$H$107:$H$112)))</f>
        <v>0</v>
      </c>
      <c r="W216" s="42" cm="1">
        <f t="array" ref="W216">SUMPRODUCT((($C$107:$C$112)=4)*($D$107:$D$112)*(3&gt;=IF(N($G$107:$G$112)=0,1,$G$107:$G$112))*(3&lt;=IF(N($H$107:$H$112)=0,12,$H$107:$H$112)))</f>
        <v>0</v>
      </c>
      <c r="X216" s="42" cm="1">
        <f t="array" ref="X216">SUMPRODUCT((($C$107:$C$112)=4)*($D$107:$D$112)*(4&gt;=IF(N($G$107:$G$112)=0,1,$G$107:$G$112))*(4&lt;=IF(N($H$107:$H$112)=0,12,$H$107:$H$112)))</f>
        <v>0</v>
      </c>
      <c r="Y216" s="42" cm="1">
        <f t="array" ref="Y216">SUMPRODUCT((($C$107:$C$112)=4)*($D$107:$D$112)*(5&gt;=IF(N($G$107:$G$112)=0,1,$G$107:$G$112))*(5&lt;=IF(N($H$107:$H$112)=0,12,$H$107:$H$112)))</f>
        <v>0</v>
      </c>
      <c r="Z216" s="42" cm="1">
        <f t="array" ref="Z216">SUMPRODUCT((($C$107:$C$112)=4)*($D$107:$D$112)*(6&gt;=IF(N($G$107:$G$112)=0,1,$G$107:$G$112))*(6&lt;=IF(N($H$107:$H$112)=0,12,$H$107:$H$112)))</f>
        <v>0</v>
      </c>
      <c r="AA216" s="42" cm="1">
        <f t="array" ref="AA216">SUMPRODUCT((($C$107:$C$112)=4)*($D$107:$D$112)*(7&gt;=IF(N($G$107:$G$112)=0,1,$G$107:$G$112))*(7&lt;=IF(N($H$107:$H$112)=0,12,$H$107:$H$112)))</f>
        <v>0</v>
      </c>
      <c r="AB216" s="42" cm="1">
        <f t="array" ref="AB216">SUMPRODUCT((($C$107:$C$112)=4)*($D$107:$D$112)*(8&gt;=IF(N($G$107:$G$112)=0,1,$G$107:$G$112))*(8&lt;=IF(N($H$107:$H$112)=0,12,$H$107:$H$112)))</f>
        <v>0</v>
      </c>
      <c r="AC216" s="42" cm="1">
        <f t="array" ref="AC216">SUMPRODUCT((($C$107:$C$112)=4)*($D$107:$D$112)*(9&gt;=IF(N($G$107:$G$112)=0,1,$G$107:$G$112))*(9&lt;=IF(N($H$107:$H$112)=0,12,$H$107:$H$112)))</f>
        <v>0</v>
      </c>
      <c r="AD216" s="42" cm="1">
        <f t="array" ref="AD216">SUMPRODUCT((($C$107:$C$112)=4)*($D$107:$D$112)*(10&gt;=IF(N($G$107:$G$112)=0,1,$G$107:$G$112))*(10&lt;=IF(N($H$107:$H$112)=0,12,$H$107:$H$112)))</f>
        <v>0</v>
      </c>
      <c r="AE216" s="42" cm="1">
        <f t="array" ref="AE216">SUMPRODUCT((($C$107:$C$112)=4)*($D$107:$D$112)*(11&gt;=IF(N($G$107:$G$112)=0,1,$G$107:$G$112))*(11&lt;=IF(N($H$107:$H$112)=0,12,$H$107:$H$112)))</f>
        <v>0</v>
      </c>
      <c r="AF216" s="42" cm="1">
        <f t="array" ref="AF216">SUMPRODUCT((($C$107:$C$112)=4)*($D$107:$D$112)*(12&gt;=IF(N($G$107:$G$112)=0,1,$G$107:$G$112))*(12&lt;=IF(N($H$107:$H$112)=0,12,$H$107:$H$112)))</f>
        <v>0</v>
      </c>
    </row>
    <row r="217" spans="18:32" x14ac:dyDescent="0.2">
      <c r="U217" s="42" cm="1">
        <f t="array" ref="U217">SUMPRODUCT((($C$107:$C$112)=5)*($D$107:$D$112)*(1&gt;=IF(N($G$107:$G$112)=0,1,$G$107:$G$112))*(1&lt;=IF(N($H$107:$H$112)=0,12,$H$107:$H$112)))</f>
        <v>0</v>
      </c>
      <c r="V217" s="42" cm="1">
        <f t="array" ref="V217">SUMPRODUCT((($C$107:$C$112)=5)*($D$107:$D$112)*(2&gt;=IF(N($G$107:$G$112)=0,1,$G$107:$G$112))*(2&lt;=IF(N($H$107:$H$112)=0,12,$H$107:$H$112)))</f>
        <v>0</v>
      </c>
      <c r="W217" s="42" cm="1">
        <f t="array" ref="W217">SUMPRODUCT((($C$107:$C$112)=5)*($D$107:$D$112)*(3&gt;=IF(N($G$107:$G$112)=0,1,$G$107:$G$112))*(3&lt;=IF(N($H$107:$H$112)=0,12,$H$107:$H$112)))</f>
        <v>0</v>
      </c>
      <c r="X217" s="42" cm="1">
        <f t="array" ref="X217">SUMPRODUCT((($C$107:$C$112)=5)*($D$107:$D$112)*(4&gt;=IF(N($G$107:$G$112)=0,1,$G$107:$G$112))*(4&lt;=IF(N($H$107:$H$112)=0,12,$H$107:$H$112)))</f>
        <v>0</v>
      </c>
      <c r="Y217" s="42" cm="1">
        <f t="array" ref="Y217">SUMPRODUCT((($C$107:$C$112)=5)*($D$107:$D$112)*(5&gt;=IF(N($G$107:$G$112)=0,1,$G$107:$G$112))*(5&lt;=IF(N($H$107:$H$112)=0,12,$H$107:$H$112)))</f>
        <v>0</v>
      </c>
      <c r="Z217" s="42" cm="1">
        <f t="array" ref="Z217">SUMPRODUCT((($C$107:$C$112)=5)*($D$107:$D$112)*(6&gt;=IF(N($G$107:$G$112)=0,1,$G$107:$G$112))*(6&lt;=IF(N($H$107:$H$112)=0,12,$H$107:$H$112)))</f>
        <v>0</v>
      </c>
      <c r="AA217" s="42" cm="1">
        <f t="array" ref="AA217">SUMPRODUCT((($C$107:$C$112)=5)*($D$107:$D$112)*(7&gt;=IF(N($G$107:$G$112)=0,1,$G$107:$G$112))*(7&lt;=IF(N($H$107:$H$112)=0,12,$H$107:$H$112)))</f>
        <v>0</v>
      </c>
      <c r="AB217" s="42" cm="1">
        <f t="array" ref="AB217">SUMPRODUCT((($C$107:$C$112)=5)*($D$107:$D$112)*(8&gt;=IF(N($G$107:$G$112)=0,1,$G$107:$G$112))*(8&lt;=IF(N($H$107:$H$112)=0,12,$H$107:$H$112)))</f>
        <v>0</v>
      </c>
      <c r="AC217" s="42" cm="1">
        <f t="array" ref="AC217">SUMPRODUCT((($C$107:$C$112)=5)*($D$107:$D$112)*(9&gt;=IF(N($G$107:$G$112)=0,1,$G$107:$G$112))*(9&lt;=IF(N($H$107:$H$112)=0,12,$H$107:$H$112)))</f>
        <v>0</v>
      </c>
      <c r="AD217" s="42" cm="1">
        <f t="array" ref="AD217">SUMPRODUCT((($C$107:$C$112)=5)*($D$107:$D$112)*(10&gt;=IF(N($G$107:$G$112)=0,1,$G$107:$G$112))*(10&lt;=IF(N($H$107:$H$112)=0,12,$H$107:$H$112)))</f>
        <v>0</v>
      </c>
      <c r="AE217" s="42" cm="1">
        <f t="array" ref="AE217">SUMPRODUCT((($C$107:$C$112)=5)*($D$107:$D$112)*(11&gt;=IF(N($G$107:$G$112)=0,1,$G$107:$G$112))*(11&lt;=IF(N($H$107:$H$112)=0,12,$H$107:$H$112)))</f>
        <v>0</v>
      </c>
      <c r="AF217" s="42" cm="1">
        <f t="array" ref="AF217">SUMPRODUCT((($C$107:$C$112)=5)*($D$107:$D$112)*(12&gt;=IF(N($G$107:$G$112)=0,1,$G$107:$G$112))*(12&lt;=IF(N($H$107:$H$112)=0,12,$H$107:$H$112)))</f>
        <v>0</v>
      </c>
    </row>
    <row r="218" spans="18:32" x14ac:dyDescent="0.2">
      <c r="R218" s="42" t="s">
        <v>657</v>
      </c>
      <c r="U218" s="42" cm="1">
        <f t="array" ref="U218">SUMPRODUCT(($E$107:$E$112)*(1&gt;=IF(N($G$107:$G$112)=0,1,$G$107:$G$112))*(1&lt;=IF(N($H$107:$H$112)=0,12,$H$107:$H$112)))</f>
        <v>0</v>
      </c>
      <c r="V218" s="42" cm="1">
        <f t="array" ref="V218">SUMPRODUCT(($E$107:$E$112)*(2&gt;=IF(N($G$107:$G$112)=0,1,$G$107:$G$112))*(2&lt;=IF(N($H$107:$H$112)=0,12,$H$107:$H$112)))</f>
        <v>0</v>
      </c>
      <c r="W218" s="42" cm="1">
        <f t="array" ref="W218">SUMPRODUCT(($E$107:$E$112)*(3&gt;=IF(N($G$107:$G$112)=0,1,$G$107:$G$112))*(3&lt;=IF(N($H$107:$H$112)=0,12,$H$107:$H$112)))</f>
        <v>0</v>
      </c>
      <c r="X218" s="42" cm="1">
        <f t="array" ref="X218">SUMPRODUCT(($E$107:$E$112)*(4&gt;=IF(N($G$107:$G$112)=0,1,$G$107:$G$112))*(4&lt;=IF(N($H$107:$H$112)=0,12,$H$107:$H$112)))</f>
        <v>0</v>
      </c>
      <c r="Y218" s="42" cm="1">
        <f t="array" ref="Y218">SUMPRODUCT(($E$107:$E$112)*(5&gt;=IF(N($G$107:$G$112)=0,1,$G$107:$G$112))*(5&lt;=IF(N($H$107:$H$112)=0,12,$H$107:$H$112)))</f>
        <v>0</v>
      </c>
      <c r="Z218" s="42" cm="1">
        <f t="array" ref="Z218">SUMPRODUCT(($E$107:$E$112)*(6&gt;=IF(N($G$107:$G$112)=0,1,$G$107:$G$112))*(6&lt;=IF(N($H$107:$H$112)=0,12,$H$107:$H$112)))</f>
        <v>0</v>
      </c>
      <c r="AA218" s="42" cm="1">
        <f t="array" ref="AA218">SUMPRODUCT(($E$107:$E$112)*(7&gt;=IF(N($G$107:$G$112)=0,1,$G$107:$G$112))*(7&lt;=IF(N($H$107:$H$112)=0,12,$H$107:$H$112)))</f>
        <v>0</v>
      </c>
      <c r="AB218" s="42" cm="1">
        <f t="array" ref="AB218">SUMPRODUCT(($E$107:$E$112)*(8&gt;=IF(N($G$107:$G$112)=0,1,$G$107:$G$112))*(8&lt;=IF(N($H$107:$H$112)=0,12,$H$107:$H$112)))</f>
        <v>0</v>
      </c>
      <c r="AC218" s="42" cm="1">
        <f t="array" ref="AC218">SUMPRODUCT(($E$107:$E$112)*(9&gt;=IF(N($G$107:$G$112)=0,1,$G$107:$G$112))*(9&lt;=IF(N($H$107:$H$112)=0,12,$H$107:$H$112)))</f>
        <v>0</v>
      </c>
      <c r="AD218" s="42" cm="1">
        <f t="array" ref="AD218">SUMPRODUCT(($E$107:$E$112)*(10&gt;=IF(N($G$107:$G$112)=0,1,$G$107:$G$112))*(10&lt;=IF(N($H$107:$H$112)=0,12,$H$107:$H$112)))</f>
        <v>0</v>
      </c>
      <c r="AE218" s="42" cm="1">
        <f t="array" ref="AE218">SUMPRODUCT(($E$107:$E$112)*(11&gt;=IF(N($G$107:$G$112)=0,1,$G$107:$G$112))*(11&lt;=IF(N($H$107:$H$112)=0,12,$H$107:$H$112)))</f>
        <v>0</v>
      </c>
      <c r="AF218" s="42" cm="1">
        <f t="array" ref="AF218">SUMPRODUCT(($E$107:$E$112)*(12&gt;=IF(N($G$107:$G$112)=0,1,$G$107:$G$112))*(12&lt;=IF(N($H$107:$H$112)=0,12,$H$107:$H$112)))</f>
        <v>0</v>
      </c>
    </row>
    <row r="219" spans="18:32" x14ac:dyDescent="0.2">
      <c r="R219" s="98" t="s">
        <v>658</v>
      </c>
      <c r="U219" s="120">
        <f t="shared" ref="U219:AF219" si="45">C67+U218</f>
        <v>0</v>
      </c>
      <c r="V219" s="120">
        <f t="shared" si="45"/>
        <v>0</v>
      </c>
      <c r="W219" s="120">
        <f t="shared" si="45"/>
        <v>0</v>
      </c>
      <c r="X219" s="120">
        <f t="shared" si="45"/>
        <v>0</v>
      </c>
      <c r="Y219" s="120">
        <f t="shared" si="45"/>
        <v>0</v>
      </c>
      <c r="Z219" s="120">
        <f t="shared" si="45"/>
        <v>0</v>
      </c>
      <c r="AA219" s="120">
        <f t="shared" si="45"/>
        <v>0</v>
      </c>
      <c r="AB219" s="120">
        <f t="shared" si="45"/>
        <v>0</v>
      </c>
      <c r="AC219" s="120">
        <f t="shared" si="45"/>
        <v>0</v>
      </c>
      <c r="AD219" s="120">
        <f t="shared" si="45"/>
        <v>0</v>
      </c>
      <c r="AE219" s="120">
        <f t="shared" si="45"/>
        <v>0</v>
      </c>
      <c r="AF219" s="120">
        <f t="shared" si="45"/>
        <v>0</v>
      </c>
    </row>
    <row r="220" spans="18:32" x14ac:dyDescent="0.2">
      <c r="R220" s="42" t="s">
        <v>621</v>
      </c>
      <c r="U220" s="42">
        <f t="shared" ref="U220:AF224" si="46">IF(inp_build_method="Capacity",U206*$S$8,C82)+U213</f>
        <v>0</v>
      </c>
      <c r="V220" s="42">
        <f t="shared" si="46"/>
        <v>0</v>
      </c>
      <c r="W220" s="42">
        <f t="shared" si="46"/>
        <v>0</v>
      </c>
      <c r="X220" s="42">
        <f t="shared" si="46"/>
        <v>0</v>
      </c>
      <c r="Y220" s="42">
        <f t="shared" si="46"/>
        <v>0</v>
      </c>
      <c r="Z220" s="42">
        <f t="shared" si="46"/>
        <v>0</v>
      </c>
      <c r="AA220" s="42">
        <f t="shared" si="46"/>
        <v>0</v>
      </c>
      <c r="AB220" s="42">
        <f t="shared" si="46"/>
        <v>0</v>
      </c>
      <c r="AC220" s="42">
        <f t="shared" si="46"/>
        <v>0</v>
      </c>
      <c r="AD220" s="42">
        <f t="shared" si="46"/>
        <v>0</v>
      </c>
      <c r="AE220" s="42">
        <f t="shared" si="46"/>
        <v>0</v>
      </c>
      <c r="AF220" s="42">
        <f t="shared" si="46"/>
        <v>0</v>
      </c>
    </row>
    <row r="221" spans="18:32" x14ac:dyDescent="0.2">
      <c r="R221" s="42" t="s">
        <v>622</v>
      </c>
      <c r="U221" s="42">
        <f t="shared" si="46"/>
        <v>0</v>
      </c>
      <c r="V221" s="42">
        <f t="shared" si="46"/>
        <v>0</v>
      </c>
      <c r="W221" s="42">
        <f t="shared" si="46"/>
        <v>0</v>
      </c>
      <c r="X221" s="42">
        <f t="shared" si="46"/>
        <v>0</v>
      </c>
      <c r="Y221" s="42">
        <f t="shared" si="46"/>
        <v>0</v>
      </c>
      <c r="Z221" s="42">
        <f t="shared" si="46"/>
        <v>0</v>
      </c>
      <c r="AA221" s="42">
        <f t="shared" si="46"/>
        <v>0</v>
      </c>
      <c r="AB221" s="42">
        <f t="shared" si="46"/>
        <v>0</v>
      </c>
      <c r="AC221" s="42">
        <f t="shared" si="46"/>
        <v>0</v>
      </c>
      <c r="AD221" s="42">
        <f t="shared" si="46"/>
        <v>0</v>
      </c>
      <c r="AE221" s="42">
        <f t="shared" si="46"/>
        <v>0</v>
      </c>
      <c r="AF221" s="42">
        <f t="shared" si="46"/>
        <v>0</v>
      </c>
    </row>
    <row r="222" spans="18:32" x14ac:dyDescent="0.2">
      <c r="R222" s="42" t="s">
        <v>623</v>
      </c>
      <c r="U222" s="42">
        <f t="shared" si="46"/>
        <v>0</v>
      </c>
      <c r="V222" s="42">
        <f t="shared" si="46"/>
        <v>0</v>
      </c>
      <c r="W222" s="42">
        <f t="shared" si="46"/>
        <v>0</v>
      </c>
      <c r="X222" s="42">
        <f t="shared" si="46"/>
        <v>0</v>
      </c>
      <c r="Y222" s="42">
        <f t="shared" si="46"/>
        <v>0</v>
      </c>
      <c r="Z222" s="42">
        <f t="shared" si="46"/>
        <v>0</v>
      </c>
      <c r="AA222" s="42">
        <f t="shared" si="46"/>
        <v>0</v>
      </c>
      <c r="AB222" s="42">
        <f t="shared" si="46"/>
        <v>0</v>
      </c>
      <c r="AC222" s="42">
        <f t="shared" si="46"/>
        <v>0</v>
      </c>
      <c r="AD222" s="42">
        <f t="shared" si="46"/>
        <v>0</v>
      </c>
      <c r="AE222" s="42">
        <f t="shared" si="46"/>
        <v>0</v>
      </c>
      <c r="AF222" s="42">
        <f t="shared" si="46"/>
        <v>0</v>
      </c>
    </row>
    <row r="223" spans="18:32" x14ac:dyDescent="0.2">
      <c r="R223" s="42" t="s">
        <v>624</v>
      </c>
      <c r="U223" s="42">
        <f t="shared" si="46"/>
        <v>0</v>
      </c>
      <c r="V223" s="42">
        <f t="shared" si="46"/>
        <v>0</v>
      </c>
      <c r="W223" s="42">
        <f t="shared" si="46"/>
        <v>0</v>
      </c>
      <c r="X223" s="42">
        <f t="shared" si="46"/>
        <v>0</v>
      </c>
      <c r="Y223" s="42">
        <f t="shared" si="46"/>
        <v>0</v>
      </c>
      <c r="Z223" s="42">
        <f t="shared" si="46"/>
        <v>0</v>
      </c>
      <c r="AA223" s="42">
        <f t="shared" si="46"/>
        <v>0</v>
      </c>
      <c r="AB223" s="42">
        <f t="shared" si="46"/>
        <v>0</v>
      </c>
      <c r="AC223" s="42">
        <f t="shared" si="46"/>
        <v>0</v>
      </c>
      <c r="AD223" s="42">
        <f t="shared" si="46"/>
        <v>0</v>
      </c>
      <c r="AE223" s="42">
        <f t="shared" si="46"/>
        <v>0</v>
      </c>
      <c r="AF223" s="42">
        <f t="shared" si="46"/>
        <v>0</v>
      </c>
    </row>
    <row r="224" spans="18:32" x14ac:dyDescent="0.2">
      <c r="R224" s="42" t="s">
        <v>625</v>
      </c>
      <c r="U224" s="42">
        <f t="shared" si="46"/>
        <v>0</v>
      </c>
      <c r="V224" s="42">
        <f t="shared" si="46"/>
        <v>0</v>
      </c>
      <c r="W224" s="42">
        <f t="shared" si="46"/>
        <v>0</v>
      </c>
      <c r="X224" s="42">
        <f t="shared" si="46"/>
        <v>0</v>
      </c>
      <c r="Y224" s="42">
        <f t="shared" si="46"/>
        <v>0</v>
      </c>
      <c r="Z224" s="42">
        <f t="shared" si="46"/>
        <v>0</v>
      </c>
      <c r="AA224" s="42">
        <f t="shared" si="46"/>
        <v>0</v>
      </c>
      <c r="AB224" s="42">
        <f t="shared" si="46"/>
        <v>0</v>
      </c>
      <c r="AC224" s="42">
        <f t="shared" si="46"/>
        <v>0</v>
      </c>
      <c r="AD224" s="42">
        <f t="shared" si="46"/>
        <v>0</v>
      </c>
      <c r="AE224" s="42">
        <f t="shared" si="46"/>
        <v>0</v>
      </c>
      <c r="AF224" s="42">
        <f t="shared" si="46"/>
        <v>0</v>
      </c>
    </row>
    <row r="225" spans="18:32" x14ac:dyDescent="0.2">
      <c r="R225" s="42" t="s">
        <v>642</v>
      </c>
      <c r="U225" s="42">
        <f t="shared" ref="U225:AF225" si="47">IF(inp_build_method="Capacity",U203,U192)</f>
        <v>0</v>
      </c>
      <c r="V225" s="42">
        <f t="shared" si="47"/>
        <v>0</v>
      </c>
      <c r="W225" s="42">
        <f t="shared" si="47"/>
        <v>0</v>
      </c>
      <c r="X225" s="42">
        <f t="shared" si="47"/>
        <v>0</v>
      </c>
      <c r="Y225" s="42">
        <f t="shared" si="47"/>
        <v>0</v>
      </c>
      <c r="Z225" s="42">
        <f t="shared" si="47"/>
        <v>0</v>
      </c>
      <c r="AA225" s="42">
        <f t="shared" si="47"/>
        <v>0</v>
      </c>
      <c r="AB225" s="42">
        <f t="shared" si="47"/>
        <v>0</v>
      </c>
      <c r="AC225" s="42">
        <f t="shared" si="47"/>
        <v>0</v>
      </c>
      <c r="AD225" s="42">
        <f t="shared" si="47"/>
        <v>0</v>
      </c>
      <c r="AE225" s="42">
        <f t="shared" si="47"/>
        <v>0</v>
      </c>
      <c r="AF225" s="42">
        <f t="shared" si="47"/>
        <v>0</v>
      </c>
    </row>
    <row r="226" spans="18:32" x14ac:dyDescent="0.2">
      <c r="R226" s="42" t="s">
        <v>643</v>
      </c>
      <c r="U226" s="42">
        <f t="shared" ref="U226:AF226" si="48">IF(inp_build_method="Capacity",U212,U194)</f>
        <v>0</v>
      </c>
      <c r="V226" s="42">
        <f t="shared" si="48"/>
        <v>0</v>
      </c>
      <c r="W226" s="42">
        <f t="shared" si="48"/>
        <v>0</v>
      </c>
      <c r="X226" s="42">
        <f t="shared" si="48"/>
        <v>0</v>
      </c>
      <c r="Y226" s="42">
        <f t="shared" si="48"/>
        <v>0</v>
      </c>
      <c r="Z226" s="42">
        <f t="shared" si="48"/>
        <v>0</v>
      </c>
      <c r="AA226" s="42">
        <f t="shared" si="48"/>
        <v>0</v>
      </c>
      <c r="AB226" s="42">
        <f t="shared" si="48"/>
        <v>0</v>
      </c>
      <c r="AC226" s="42">
        <f t="shared" si="48"/>
        <v>0</v>
      </c>
      <c r="AD226" s="42">
        <f t="shared" si="48"/>
        <v>0</v>
      </c>
      <c r="AE226" s="42">
        <f t="shared" si="48"/>
        <v>0</v>
      </c>
      <c r="AF226" s="42">
        <f t="shared" si="48"/>
        <v>0</v>
      </c>
    </row>
    <row r="227" spans="18:32" x14ac:dyDescent="0.2">
      <c r="R227" s="42" t="s">
        <v>626</v>
      </c>
      <c r="U227" s="42">
        <f t="shared" ref="U227:AF227" si="49">IF(inp_build_method="Capacity",U204,U193)</f>
        <v>0</v>
      </c>
      <c r="V227" s="42">
        <f t="shared" si="49"/>
        <v>0</v>
      </c>
      <c r="W227" s="42">
        <f t="shared" si="49"/>
        <v>0</v>
      </c>
      <c r="X227" s="42">
        <f t="shared" si="49"/>
        <v>0</v>
      </c>
      <c r="Y227" s="42">
        <f t="shared" si="49"/>
        <v>0</v>
      </c>
      <c r="Z227" s="42">
        <f t="shared" si="49"/>
        <v>0</v>
      </c>
      <c r="AA227" s="42">
        <f t="shared" si="49"/>
        <v>0</v>
      </c>
      <c r="AB227" s="42">
        <f t="shared" si="49"/>
        <v>0</v>
      </c>
      <c r="AC227" s="42">
        <f t="shared" si="49"/>
        <v>0</v>
      </c>
      <c r="AD227" s="42">
        <f t="shared" si="49"/>
        <v>0</v>
      </c>
      <c r="AE227" s="42">
        <f t="shared" si="49"/>
        <v>0</v>
      </c>
      <c r="AF227" s="42">
        <f t="shared" si="49"/>
        <v>0</v>
      </c>
    </row>
    <row r="228" spans="18:32" x14ac:dyDescent="0.2">
      <c r="R228" s="42" t="s">
        <v>627</v>
      </c>
      <c r="U228" s="42">
        <f t="shared" ref="U228:AF235" si="50">IF(inp_build_method="Capacity",U240,N(C55))</f>
        <v>0</v>
      </c>
      <c r="V228" s="42">
        <f t="shared" si="50"/>
        <v>0</v>
      </c>
      <c r="W228" s="42">
        <f t="shared" si="50"/>
        <v>0</v>
      </c>
      <c r="X228" s="42">
        <f t="shared" si="50"/>
        <v>0</v>
      </c>
      <c r="Y228" s="42">
        <f t="shared" si="50"/>
        <v>0</v>
      </c>
      <c r="Z228" s="42">
        <f t="shared" si="50"/>
        <v>0</v>
      </c>
      <c r="AA228" s="42">
        <f t="shared" si="50"/>
        <v>0</v>
      </c>
      <c r="AB228" s="42">
        <f t="shared" si="50"/>
        <v>0</v>
      </c>
      <c r="AC228" s="42">
        <f t="shared" si="50"/>
        <v>0</v>
      </c>
      <c r="AD228" s="42">
        <f t="shared" si="50"/>
        <v>0</v>
      </c>
      <c r="AE228" s="42">
        <f t="shared" si="50"/>
        <v>0</v>
      </c>
      <c r="AF228" s="42">
        <f t="shared" si="50"/>
        <v>0</v>
      </c>
    </row>
    <row r="229" spans="18:32" x14ac:dyDescent="0.2">
      <c r="R229" s="42" t="s">
        <v>628</v>
      </c>
      <c r="U229" s="42">
        <f t="shared" si="50"/>
        <v>0</v>
      </c>
      <c r="V229" s="42">
        <f t="shared" si="50"/>
        <v>0</v>
      </c>
      <c r="W229" s="42">
        <f t="shared" si="50"/>
        <v>0</v>
      </c>
      <c r="X229" s="42">
        <f t="shared" si="50"/>
        <v>0</v>
      </c>
      <c r="Y229" s="42">
        <f t="shared" si="50"/>
        <v>0</v>
      </c>
      <c r="Z229" s="42">
        <f t="shared" si="50"/>
        <v>0</v>
      </c>
      <c r="AA229" s="42">
        <f t="shared" si="50"/>
        <v>0</v>
      </c>
      <c r="AB229" s="42">
        <f t="shared" si="50"/>
        <v>0</v>
      </c>
      <c r="AC229" s="42">
        <f t="shared" si="50"/>
        <v>0</v>
      </c>
      <c r="AD229" s="42">
        <f t="shared" si="50"/>
        <v>0</v>
      </c>
      <c r="AE229" s="42">
        <f t="shared" si="50"/>
        <v>0</v>
      </c>
      <c r="AF229" s="42">
        <f t="shared" si="50"/>
        <v>0</v>
      </c>
    </row>
    <row r="230" spans="18:32" x14ac:dyDescent="0.2">
      <c r="R230" s="42" t="s">
        <v>644</v>
      </c>
      <c r="U230" s="42">
        <f t="shared" si="50"/>
        <v>0</v>
      </c>
      <c r="V230" s="42">
        <f t="shared" si="50"/>
        <v>0</v>
      </c>
      <c r="W230" s="42">
        <f t="shared" si="50"/>
        <v>0</v>
      </c>
      <c r="X230" s="42">
        <f t="shared" si="50"/>
        <v>0</v>
      </c>
      <c r="Y230" s="42">
        <f t="shared" si="50"/>
        <v>0</v>
      </c>
      <c r="Z230" s="42">
        <f t="shared" si="50"/>
        <v>0</v>
      </c>
      <c r="AA230" s="42">
        <f t="shared" si="50"/>
        <v>0</v>
      </c>
      <c r="AB230" s="42">
        <f t="shared" si="50"/>
        <v>0</v>
      </c>
      <c r="AC230" s="42">
        <f t="shared" si="50"/>
        <v>0</v>
      </c>
      <c r="AD230" s="42">
        <f t="shared" si="50"/>
        <v>0</v>
      </c>
      <c r="AE230" s="42">
        <f t="shared" si="50"/>
        <v>0</v>
      </c>
      <c r="AF230" s="42">
        <f t="shared" si="50"/>
        <v>0</v>
      </c>
    </row>
    <row r="231" spans="18:32" x14ac:dyDescent="0.2">
      <c r="R231" s="42" t="s">
        <v>645</v>
      </c>
      <c r="U231" s="42">
        <f t="shared" si="50"/>
        <v>0</v>
      </c>
      <c r="V231" s="42">
        <f t="shared" si="50"/>
        <v>0</v>
      </c>
      <c r="W231" s="42">
        <f t="shared" si="50"/>
        <v>0</v>
      </c>
      <c r="X231" s="42">
        <f t="shared" si="50"/>
        <v>0</v>
      </c>
      <c r="Y231" s="42">
        <f t="shared" si="50"/>
        <v>0</v>
      </c>
      <c r="Z231" s="42">
        <f t="shared" si="50"/>
        <v>0</v>
      </c>
      <c r="AA231" s="42">
        <f t="shared" si="50"/>
        <v>0</v>
      </c>
      <c r="AB231" s="42">
        <f t="shared" si="50"/>
        <v>0</v>
      </c>
      <c r="AC231" s="42">
        <f t="shared" si="50"/>
        <v>0</v>
      </c>
      <c r="AD231" s="42">
        <f t="shared" si="50"/>
        <v>0</v>
      </c>
      <c r="AE231" s="42">
        <f t="shared" si="50"/>
        <v>0</v>
      </c>
      <c r="AF231" s="42">
        <f t="shared" si="50"/>
        <v>0</v>
      </c>
    </row>
    <row r="232" spans="18:32" x14ac:dyDescent="0.2">
      <c r="R232" s="42" t="s">
        <v>629</v>
      </c>
      <c r="U232" s="42">
        <f t="shared" si="50"/>
        <v>0</v>
      </c>
      <c r="V232" s="42">
        <f t="shared" si="50"/>
        <v>0</v>
      </c>
      <c r="W232" s="42">
        <f t="shared" si="50"/>
        <v>0</v>
      </c>
      <c r="X232" s="42">
        <f t="shared" si="50"/>
        <v>0</v>
      </c>
      <c r="Y232" s="42">
        <f t="shared" si="50"/>
        <v>0</v>
      </c>
      <c r="Z232" s="42">
        <f t="shared" si="50"/>
        <v>0</v>
      </c>
      <c r="AA232" s="42">
        <f t="shared" si="50"/>
        <v>0</v>
      </c>
      <c r="AB232" s="42">
        <f t="shared" si="50"/>
        <v>0</v>
      </c>
      <c r="AC232" s="42">
        <f t="shared" si="50"/>
        <v>0</v>
      </c>
      <c r="AD232" s="42">
        <f t="shared" si="50"/>
        <v>0</v>
      </c>
      <c r="AE232" s="42">
        <f t="shared" si="50"/>
        <v>0</v>
      </c>
      <c r="AF232" s="42">
        <f t="shared" si="50"/>
        <v>0</v>
      </c>
    </row>
    <row r="233" spans="18:32" x14ac:dyDescent="0.2">
      <c r="R233" s="42" t="s">
        <v>630</v>
      </c>
      <c r="U233" s="42">
        <f t="shared" si="50"/>
        <v>0</v>
      </c>
      <c r="V233" s="42">
        <f t="shared" si="50"/>
        <v>0</v>
      </c>
      <c r="W233" s="42">
        <f t="shared" si="50"/>
        <v>0</v>
      </c>
      <c r="X233" s="42">
        <f t="shared" si="50"/>
        <v>0</v>
      </c>
      <c r="Y233" s="42">
        <f t="shared" si="50"/>
        <v>0</v>
      </c>
      <c r="Z233" s="42">
        <f t="shared" si="50"/>
        <v>0</v>
      </c>
      <c r="AA233" s="42">
        <f t="shared" si="50"/>
        <v>0</v>
      </c>
      <c r="AB233" s="42">
        <f t="shared" si="50"/>
        <v>0</v>
      </c>
      <c r="AC233" s="42">
        <f t="shared" si="50"/>
        <v>0</v>
      </c>
      <c r="AD233" s="42">
        <f t="shared" si="50"/>
        <v>0</v>
      </c>
      <c r="AE233" s="42">
        <f t="shared" si="50"/>
        <v>0</v>
      </c>
      <c r="AF233" s="42">
        <f t="shared" si="50"/>
        <v>0</v>
      </c>
    </row>
    <row r="234" spans="18:32" x14ac:dyDescent="0.2">
      <c r="R234" s="42" t="s">
        <v>631</v>
      </c>
      <c r="U234" s="42">
        <f t="shared" si="50"/>
        <v>0</v>
      </c>
      <c r="V234" s="42">
        <f t="shared" si="50"/>
        <v>0</v>
      </c>
      <c r="W234" s="42">
        <f t="shared" si="50"/>
        <v>0</v>
      </c>
      <c r="X234" s="42">
        <f t="shared" si="50"/>
        <v>0</v>
      </c>
      <c r="Y234" s="42">
        <f t="shared" si="50"/>
        <v>0</v>
      </c>
      <c r="Z234" s="42">
        <f t="shared" si="50"/>
        <v>0</v>
      </c>
      <c r="AA234" s="42">
        <f t="shared" si="50"/>
        <v>0</v>
      </c>
      <c r="AB234" s="42">
        <f t="shared" si="50"/>
        <v>0</v>
      </c>
      <c r="AC234" s="42">
        <f t="shared" si="50"/>
        <v>0</v>
      </c>
      <c r="AD234" s="42">
        <f t="shared" si="50"/>
        <v>0</v>
      </c>
      <c r="AE234" s="42">
        <f t="shared" si="50"/>
        <v>0</v>
      </c>
      <c r="AF234" s="42">
        <f t="shared" si="50"/>
        <v>0</v>
      </c>
    </row>
    <row r="235" spans="18:32" x14ac:dyDescent="0.2">
      <c r="R235" s="42" t="s">
        <v>646</v>
      </c>
      <c r="U235" s="42">
        <f t="shared" si="50"/>
        <v>0</v>
      </c>
      <c r="V235" s="42">
        <f t="shared" si="50"/>
        <v>0</v>
      </c>
      <c r="W235" s="42">
        <f t="shared" si="50"/>
        <v>0</v>
      </c>
      <c r="X235" s="42">
        <f t="shared" si="50"/>
        <v>0</v>
      </c>
      <c r="Y235" s="42">
        <f t="shared" si="50"/>
        <v>0</v>
      </c>
      <c r="Z235" s="42">
        <f t="shared" si="50"/>
        <v>0</v>
      </c>
      <c r="AA235" s="42">
        <f t="shared" si="50"/>
        <v>0</v>
      </c>
      <c r="AB235" s="42">
        <f t="shared" si="50"/>
        <v>0</v>
      </c>
      <c r="AC235" s="42">
        <f t="shared" si="50"/>
        <v>0</v>
      </c>
      <c r="AD235" s="42">
        <f t="shared" si="50"/>
        <v>0</v>
      </c>
      <c r="AE235" s="42">
        <f t="shared" si="50"/>
        <v>0</v>
      </c>
      <c r="AF235" s="42">
        <f t="shared" si="50"/>
        <v>0</v>
      </c>
    </row>
    <row r="240" spans="18:32" x14ac:dyDescent="0.2">
      <c r="R240" s="42" t="s">
        <v>634</v>
      </c>
      <c r="U240" s="42" cm="1">
        <f t="array" ref="U240">SUMPRODUCT(($C$154:$C$170="Rent &amp; premises")*($D$154:$D$170)*IF($E$154:$E$170="Monthly",1/12,IF($E$154:$E$170="Weekly",1/12,IF($E$154:$E$170="Quarterly",IF(MOD(1-$F$154:$F$170,3)=0,1/4,0),IF(($E$154:$E$170="Annual")+($E$154:$E$170="One-off"),IF($F$154:$F$170=1,1,0),1/12)))))</f>
        <v>0</v>
      </c>
      <c r="V240" s="42" cm="1">
        <f t="array" ref="V240">SUMPRODUCT(($C$154:$C$170="Rent &amp; premises")*($D$154:$D$170)*IF($E$154:$E$170="Monthly",1/12,IF($E$154:$E$170="Weekly",1/12,IF($E$154:$E$170="Quarterly",IF(MOD(2-$F$154:$F$170,3)=0,1/4,0),IF(($E$154:$E$170="Annual")+($E$154:$E$170="One-off"),IF($F$154:$F$170=2,1,0),1/12)))))</f>
        <v>0</v>
      </c>
      <c r="W240" s="42" cm="1">
        <f t="array" ref="W240">SUMPRODUCT(($C$154:$C$170="Rent &amp; premises")*($D$154:$D$170)*IF($E$154:$E$170="Monthly",1/12,IF($E$154:$E$170="Weekly",1/12,IF($E$154:$E$170="Quarterly",IF(MOD(3-$F$154:$F$170,3)=0,1/4,0),IF(($E$154:$E$170="Annual")+($E$154:$E$170="One-off"),IF($F$154:$F$170=3,1,0),1/12)))))</f>
        <v>0</v>
      </c>
      <c r="X240" s="42" cm="1">
        <f t="array" ref="X240">SUMPRODUCT(($C$154:$C$170="Rent &amp; premises")*($D$154:$D$170)*IF($E$154:$E$170="Monthly",1/12,IF($E$154:$E$170="Weekly",1/12,IF($E$154:$E$170="Quarterly",IF(MOD(4-$F$154:$F$170,3)=0,1/4,0),IF(($E$154:$E$170="Annual")+($E$154:$E$170="One-off"),IF($F$154:$F$170=4,1,0),1/12)))))</f>
        <v>0</v>
      </c>
      <c r="Y240" s="42" cm="1">
        <f t="array" ref="Y240">SUMPRODUCT(($C$154:$C$170="Rent &amp; premises")*($D$154:$D$170)*IF($E$154:$E$170="Monthly",1/12,IF($E$154:$E$170="Weekly",1/12,IF($E$154:$E$170="Quarterly",IF(MOD(5-$F$154:$F$170,3)=0,1/4,0),IF(($E$154:$E$170="Annual")+($E$154:$E$170="One-off"),IF($F$154:$F$170=5,1,0),1/12)))))</f>
        <v>0</v>
      </c>
      <c r="Z240" s="42" cm="1">
        <f t="array" ref="Z240">SUMPRODUCT(($C$154:$C$170="Rent &amp; premises")*($D$154:$D$170)*IF($E$154:$E$170="Monthly",1/12,IF($E$154:$E$170="Weekly",1/12,IF($E$154:$E$170="Quarterly",IF(MOD(6-$F$154:$F$170,3)=0,1/4,0),IF(($E$154:$E$170="Annual")+($E$154:$E$170="One-off"),IF($F$154:$F$170=6,1,0),1/12)))))</f>
        <v>0</v>
      </c>
      <c r="AA240" s="42" cm="1">
        <f t="array" ref="AA240">SUMPRODUCT(($C$154:$C$170="Rent &amp; premises")*($D$154:$D$170)*IF($E$154:$E$170="Monthly",1/12,IF($E$154:$E$170="Weekly",1/12,IF($E$154:$E$170="Quarterly",IF(MOD(7-$F$154:$F$170,3)=0,1/4,0),IF(($E$154:$E$170="Annual")+($E$154:$E$170="One-off"),IF($F$154:$F$170=7,1,0),1/12)))))</f>
        <v>0</v>
      </c>
      <c r="AB240" s="42" cm="1">
        <f t="array" ref="AB240">SUMPRODUCT(($C$154:$C$170="Rent &amp; premises")*($D$154:$D$170)*IF($E$154:$E$170="Monthly",1/12,IF($E$154:$E$170="Weekly",1/12,IF($E$154:$E$170="Quarterly",IF(MOD(8-$F$154:$F$170,3)=0,1/4,0),IF(($E$154:$E$170="Annual")+($E$154:$E$170="One-off"),IF($F$154:$F$170=8,1,0),1/12)))))</f>
        <v>0</v>
      </c>
      <c r="AC240" s="42" cm="1">
        <f t="array" ref="AC240">SUMPRODUCT(($C$154:$C$170="Rent &amp; premises")*($D$154:$D$170)*IF($E$154:$E$170="Monthly",1/12,IF($E$154:$E$170="Weekly",1/12,IF($E$154:$E$170="Quarterly",IF(MOD(9-$F$154:$F$170,3)=0,1/4,0),IF(($E$154:$E$170="Annual")+($E$154:$E$170="One-off"),IF($F$154:$F$170=9,1,0),1/12)))))</f>
        <v>0</v>
      </c>
      <c r="AD240" s="42" cm="1">
        <f t="array" ref="AD240">SUMPRODUCT(($C$154:$C$170="Rent &amp; premises")*($D$154:$D$170)*IF($E$154:$E$170="Monthly",1/12,IF($E$154:$E$170="Weekly",1/12,IF($E$154:$E$170="Quarterly",IF(MOD(10-$F$154:$F$170,3)=0,1/4,0),IF(($E$154:$E$170="Annual")+($E$154:$E$170="One-off"),IF($F$154:$F$170=10,1,0),1/12)))))</f>
        <v>0</v>
      </c>
      <c r="AE240" s="42" cm="1">
        <f t="array" ref="AE240">SUMPRODUCT(($C$154:$C$170="Rent &amp; premises")*($D$154:$D$170)*IF($E$154:$E$170="Monthly",1/12,IF($E$154:$E$170="Weekly",1/12,IF($E$154:$E$170="Quarterly",IF(MOD(11-$F$154:$F$170,3)=0,1/4,0),IF(($E$154:$E$170="Annual")+($E$154:$E$170="One-off"),IF($F$154:$F$170=11,1,0),1/12)))))</f>
        <v>0</v>
      </c>
      <c r="AF240" s="42" cm="1">
        <f t="array" ref="AF240">SUMPRODUCT(($C$154:$C$170="Rent &amp; premises")*($D$154:$D$170)*IF($E$154:$E$170="Monthly",1/12,IF($E$154:$E$170="Weekly",1/12,IF($E$154:$E$170="Quarterly",IF(MOD(12-$F$154:$F$170,3)=0,1/4,0),IF(($E$154:$E$170="Annual")+($E$154:$E$170="One-off"),IF($F$154:$F$170=12,1,0),1/12)))))</f>
        <v>0</v>
      </c>
    </row>
    <row r="241" spans="18:32" x14ac:dyDescent="0.2">
      <c r="R241" s="42" t="s">
        <v>635</v>
      </c>
      <c r="U241" s="42" cm="1">
        <f t="array" ref="U241">SUMPRODUCT(($C$154:$C$170="Software &amp; subscriptions")*($D$154:$D$170)*IF($E$154:$E$170="Monthly",1/12,IF($E$154:$E$170="Weekly",1/12,IF($E$154:$E$170="Quarterly",IF(MOD(1-$F$154:$F$170,3)=0,1/4,0),IF(($E$154:$E$170="Annual")+($E$154:$E$170="One-off"),IF($F$154:$F$170=1,1,0),1/12)))))</f>
        <v>0</v>
      </c>
      <c r="V241" s="42" cm="1">
        <f t="array" ref="V241">SUMPRODUCT(($C$154:$C$170="Software &amp; subscriptions")*($D$154:$D$170)*IF($E$154:$E$170="Monthly",1/12,IF($E$154:$E$170="Weekly",1/12,IF($E$154:$E$170="Quarterly",IF(MOD(2-$F$154:$F$170,3)=0,1/4,0),IF(($E$154:$E$170="Annual")+($E$154:$E$170="One-off"),IF($F$154:$F$170=2,1,0),1/12)))))</f>
        <v>0</v>
      </c>
      <c r="W241" s="42" cm="1">
        <f t="array" ref="W241">SUMPRODUCT(($C$154:$C$170="Software &amp; subscriptions")*($D$154:$D$170)*IF($E$154:$E$170="Monthly",1/12,IF($E$154:$E$170="Weekly",1/12,IF($E$154:$E$170="Quarterly",IF(MOD(3-$F$154:$F$170,3)=0,1/4,0),IF(($E$154:$E$170="Annual")+($E$154:$E$170="One-off"),IF($F$154:$F$170=3,1,0),1/12)))))</f>
        <v>0</v>
      </c>
      <c r="X241" s="42" cm="1">
        <f t="array" ref="X241">SUMPRODUCT(($C$154:$C$170="Software &amp; subscriptions")*($D$154:$D$170)*IF($E$154:$E$170="Monthly",1/12,IF($E$154:$E$170="Weekly",1/12,IF($E$154:$E$170="Quarterly",IF(MOD(4-$F$154:$F$170,3)=0,1/4,0),IF(($E$154:$E$170="Annual")+($E$154:$E$170="One-off"),IF($F$154:$F$170=4,1,0),1/12)))))</f>
        <v>0</v>
      </c>
      <c r="Y241" s="42" cm="1">
        <f t="array" ref="Y241">SUMPRODUCT(($C$154:$C$170="Software &amp; subscriptions")*($D$154:$D$170)*IF($E$154:$E$170="Monthly",1/12,IF($E$154:$E$170="Weekly",1/12,IF($E$154:$E$170="Quarterly",IF(MOD(5-$F$154:$F$170,3)=0,1/4,0),IF(($E$154:$E$170="Annual")+($E$154:$E$170="One-off"),IF($F$154:$F$170=5,1,0),1/12)))))</f>
        <v>0</v>
      </c>
      <c r="Z241" s="42" cm="1">
        <f t="array" ref="Z241">SUMPRODUCT(($C$154:$C$170="Software &amp; subscriptions")*($D$154:$D$170)*IF($E$154:$E$170="Monthly",1/12,IF($E$154:$E$170="Weekly",1/12,IF($E$154:$E$170="Quarterly",IF(MOD(6-$F$154:$F$170,3)=0,1/4,0),IF(($E$154:$E$170="Annual")+($E$154:$E$170="One-off"),IF($F$154:$F$170=6,1,0),1/12)))))</f>
        <v>0</v>
      </c>
      <c r="AA241" s="42" cm="1">
        <f t="array" ref="AA241">SUMPRODUCT(($C$154:$C$170="Software &amp; subscriptions")*($D$154:$D$170)*IF($E$154:$E$170="Monthly",1/12,IF($E$154:$E$170="Weekly",1/12,IF($E$154:$E$170="Quarterly",IF(MOD(7-$F$154:$F$170,3)=0,1/4,0),IF(($E$154:$E$170="Annual")+($E$154:$E$170="One-off"),IF($F$154:$F$170=7,1,0),1/12)))))</f>
        <v>0</v>
      </c>
      <c r="AB241" s="42" cm="1">
        <f t="array" ref="AB241">SUMPRODUCT(($C$154:$C$170="Software &amp; subscriptions")*($D$154:$D$170)*IF($E$154:$E$170="Monthly",1/12,IF($E$154:$E$170="Weekly",1/12,IF($E$154:$E$170="Quarterly",IF(MOD(8-$F$154:$F$170,3)=0,1/4,0),IF(($E$154:$E$170="Annual")+($E$154:$E$170="One-off"),IF($F$154:$F$170=8,1,0),1/12)))))</f>
        <v>0</v>
      </c>
      <c r="AC241" s="42" cm="1">
        <f t="array" ref="AC241">SUMPRODUCT(($C$154:$C$170="Software &amp; subscriptions")*($D$154:$D$170)*IF($E$154:$E$170="Monthly",1/12,IF($E$154:$E$170="Weekly",1/12,IF($E$154:$E$170="Quarterly",IF(MOD(9-$F$154:$F$170,3)=0,1/4,0),IF(($E$154:$E$170="Annual")+($E$154:$E$170="One-off"),IF($F$154:$F$170=9,1,0),1/12)))))</f>
        <v>0</v>
      </c>
      <c r="AD241" s="42" cm="1">
        <f t="array" ref="AD241">SUMPRODUCT(($C$154:$C$170="Software &amp; subscriptions")*($D$154:$D$170)*IF($E$154:$E$170="Monthly",1/12,IF($E$154:$E$170="Weekly",1/12,IF($E$154:$E$170="Quarterly",IF(MOD(10-$F$154:$F$170,3)=0,1/4,0),IF(($E$154:$E$170="Annual")+($E$154:$E$170="One-off"),IF($F$154:$F$170=10,1,0),1/12)))))</f>
        <v>0</v>
      </c>
      <c r="AE241" s="42" cm="1">
        <f t="array" ref="AE241">SUMPRODUCT(($C$154:$C$170="Software &amp; subscriptions")*($D$154:$D$170)*IF($E$154:$E$170="Monthly",1/12,IF($E$154:$E$170="Weekly",1/12,IF($E$154:$E$170="Quarterly",IF(MOD(11-$F$154:$F$170,3)=0,1/4,0),IF(($E$154:$E$170="Annual")+($E$154:$E$170="One-off"),IF($F$154:$F$170=11,1,0),1/12)))))</f>
        <v>0</v>
      </c>
      <c r="AF241" s="42" cm="1">
        <f t="array" ref="AF241">SUMPRODUCT(($C$154:$C$170="Software &amp; subscriptions")*($D$154:$D$170)*IF($E$154:$E$170="Monthly",1/12,IF($E$154:$E$170="Weekly",1/12,IF($E$154:$E$170="Quarterly",IF(MOD(12-$F$154:$F$170,3)=0,1/4,0),IF(($E$154:$E$170="Annual")+($E$154:$E$170="One-off"),IF($F$154:$F$170=12,1,0),1/12)))))</f>
        <v>0</v>
      </c>
    </row>
    <row r="242" spans="18:32" x14ac:dyDescent="0.2">
      <c r="R242" s="42" t="s">
        <v>636</v>
      </c>
      <c r="U242" s="42" cm="1">
        <f t="array" ref="U242">SUMPRODUCT(($C$154:$C$170="Sales &amp; marketing")*($D$154:$D$170)*IF($E$154:$E$170="Monthly",1/12,IF($E$154:$E$170="Weekly",1/12,IF($E$154:$E$170="Quarterly",IF(MOD(1-$F$154:$F$170,3)=0,1/4,0),IF(($E$154:$E$170="Annual")+($E$154:$E$170="One-off"),IF($F$154:$F$170=1,1,0),1/12)))))</f>
        <v>0</v>
      </c>
      <c r="V242" s="42" cm="1">
        <f t="array" ref="V242">SUMPRODUCT(($C$154:$C$170="Sales &amp; marketing")*($D$154:$D$170)*IF($E$154:$E$170="Monthly",1/12,IF($E$154:$E$170="Weekly",1/12,IF($E$154:$E$170="Quarterly",IF(MOD(2-$F$154:$F$170,3)=0,1/4,0),IF(($E$154:$E$170="Annual")+($E$154:$E$170="One-off"),IF($F$154:$F$170=2,1,0),1/12)))))</f>
        <v>0</v>
      </c>
      <c r="W242" s="42" cm="1">
        <f t="array" ref="W242">SUMPRODUCT(($C$154:$C$170="Sales &amp; marketing")*($D$154:$D$170)*IF($E$154:$E$170="Monthly",1/12,IF($E$154:$E$170="Weekly",1/12,IF($E$154:$E$170="Quarterly",IF(MOD(3-$F$154:$F$170,3)=0,1/4,0),IF(($E$154:$E$170="Annual")+($E$154:$E$170="One-off"),IF($F$154:$F$170=3,1,0),1/12)))))</f>
        <v>0</v>
      </c>
      <c r="X242" s="42" cm="1">
        <f t="array" ref="X242">SUMPRODUCT(($C$154:$C$170="Sales &amp; marketing")*($D$154:$D$170)*IF($E$154:$E$170="Monthly",1/12,IF($E$154:$E$170="Weekly",1/12,IF($E$154:$E$170="Quarterly",IF(MOD(4-$F$154:$F$170,3)=0,1/4,0),IF(($E$154:$E$170="Annual")+($E$154:$E$170="One-off"),IF($F$154:$F$170=4,1,0),1/12)))))</f>
        <v>0</v>
      </c>
      <c r="Y242" s="42" cm="1">
        <f t="array" ref="Y242">SUMPRODUCT(($C$154:$C$170="Sales &amp; marketing")*($D$154:$D$170)*IF($E$154:$E$170="Monthly",1/12,IF($E$154:$E$170="Weekly",1/12,IF($E$154:$E$170="Quarterly",IF(MOD(5-$F$154:$F$170,3)=0,1/4,0),IF(($E$154:$E$170="Annual")+($E$154:$E$170="One-off"),IF($F$154:$F$170=5,1,0),1/12)))))</f>
        <v>0</v>
      </c>
      <c r="Z242" s="42" cm="1">
        <f t="array" ref="Z242">SUMPRODUCT(($C$154:$C$170="Sales &amp; marketing")*($D$154:$D$170)*IF($E$154:$E$170="Monthly",1/12,IF($E$154:$E$170="Weekly",1/12,IF($E$154:$E$170="Quarterly",IF(MOD(6-$F$154:$F$170,3)=0,1/4,0),IF(($E$154:$E$170="Annual")+($E$154:$E$170="One-off"),IF($F$154:$F$170=6,1,0),1/12)))))</f>
        <v>0</v>
      </c>
      <c r="AA242" s="42" cm="1">
        <f t="array" ref="AA242">SUMPRODUCT(($C$154:$C$170="Sales &amp; marketing")*($D$154:$D$170)*IF($E$154:$E$170="Monthly",1/12,IF($E$154:$E$170="Weekly",1/12,IF($E$154:$E$170="Quarterly",IF(MOD(7-$F$154:$F$170,3)=0,1/4,0),IF(($E$154:$E$170="Annual")+($E$154:$E$170="One-off"),IF($F$154:$F$170=7,1,0),1/12)))))</f>
        <v>0</v>
      </c>
      <c r="AB242" s="42" cm="1">
        <f t="array" ref="AB242">SUMPRODUCT(($C$154:$C$170="Sales &amp; marketing")*($D$154:$D$170)*IF($E$154:$E$170="Monthly",1/12,IF($E$154:$E$170="Weekly",1/12,IF($E$154:$E$170="Quarterly",IF(MOD(8-$F$154:$F$170,3)=0,1/4,0),IF(($E$154:$E$170="Annual")+($E$154:$E$170="One-off"),IF($F$154:$F$170=8,1,0),1/12)))))</f>
        <v>0</v>
      </c>
      <c r="AC242" s="42" cm="1">
        <f t="array" ref="AC242">SUMPRODUCT(($C$154:$C$170="Sales &amp; marketing")*($D$154:$D$170)*IF($E$154:$E$170="Monthly",1/12,IF($E$154:$E$170="Weekly",1/12,IF($E$154:$E$170="Quarterly",IF(MOD(9-$F$154:$F$170,3)=0,1/4,0),IF(($E$154:$E$170="Annual")+($E$154:$E$170="One-off"),IF($F$154:$F$170=9,1,0),1/12)))))</f>
        <v>0</v>
      </c>
      <c r="AD242" s="42" cm="1">
        <f t="array" ref="AD242">SUMPRODUCT(($C$154:$C$170="Sales &amp; marketing")*($D$154:$D$170)*IF($E$154:$E$170="Monthly",1/12,IF($E$154:$E$170="Weekly",1/12,IF($E$154:$E$170="Quarterly",IF(MOD(10-$F$154:$F$170,3)=0,1/4,0),IF(($E$154:$E$170="Annual")+($E$154:$E$170="One-off"),IF($F$154:$F$170=10,1,0),1/12)))))</f>
        <v>0</v>
      </c>
      <c r="AE242" s="42" cm="1">
        <f t="array" ref="AE242">SUMPRODUCT(($C$154:$C$170="Sales &amp; marketing")*($D$154:$D$170)*IF($E$154:$E$170="Monthly",1/12,IF($E$154:$E$170="Weekly",1/12,IF($E$154:$E$170="Quarterly",IF(MOD(11-$F$154:$F$170,3)=0,1/4,0),IF(($E$154:$E$170="Annual")+($E$154:$E$170="One-off"),IF($F$154:$F$170=11,1,0),1/12)))))</f>
        <v>0</v>
      </c>
      <c r="AF242" s="42" cm="1">
        <f t="array" ref="AF242">SUMPRODUCT(($C$154:$C$170="Sales &amp; marketing")*($D$154:$D$170)*IF($E$154:$E$170="Monthly",1/12,IF($E$154:$E$170="Weekly",1/12,IF($E$154:$E$170="Quarterly",IF(MOD(12-$F$154:$F$170,3)=0,1/4,0),IF(($E$154:$E$170="Annual")+($E$154:$E$170="One-off"),IF($F$154:$F$170=12,1,0),1/12)))))</f>
        <v>0</v>
      </c>
    </row>
    <row r="243" spans="18:32" x14ac:dyDescent="0.2">
      <c r="R243" s="42" t="s">
        <v>637</v>
      </c>
      <c r="U243" s="42" cm="1">
        <f t="array" ref="U243">SUMPRODUCT(($C$154:$C$170="Professional fees")*($D$154:$D$170)*IF($E$154:$E$170="Monthly",1/12,IF($E$154:$E$170="Weekly",1/12,IF($E$154:$E$170="Quarterly",IF(MOD(1-$F$154:$F$170,3)=0,1/4,0),IF(($E$154:$E$170="Annual")+($E$154:$E$170="One-off"),IF($F$154:$F$170=1,1,0),1/12)))))</f>
        <v>0</v>
      </c>
      <c r="V243" s="42" cm="1">
        <f t="array" ref="V243">SUMPRODUCT(($C$154:$C$170="Professional fees")*($D$154:$D$170)*IF($E$154:$E$170="Monthly",1/12,IF($E$154:$E$170="Weekly",1/12,IF($E$154:$E$170="Quarterly",IF(MOD(2-$F$154:$F$170,3)=0,1/4,0),IF(($E$154:$E$170="Annual")+($E$154:$E$170="One-off"),IF($F$154:$F$170=2,1,0),1/12)))))</f>
        <v>0</v>
      </c>
      <c r="W243" s="42" cm="1">
        <f t="array" ref="W243">SUMPRODUCT(($C$154:$C$170="Professional fees")*($D$154:$D$170)*IF($E$154:$E$170="Monthly",1/12,IF($E$154:$E$170="Weekly",1/12,IF($E$154:$E$170="Quarterly",IF(MOD(3-$F$154:$F$170,3)=0,1/4,0),IF(($E$154:$E$170="Annual")+($E$154:$E$170="One-off"),IF($F$154:$F$170=3,1,0),1/12)))))</f>
        <v>0</v>
      </c>
      <c r="X243" s="42" cm="1">
        <f t="array" ref="X243">SUMPRODUCT(($C$154:$C$170="Professional fees")*($D$154:$D$170)*IF($E$154:$E$170="Monthly",1/12,IF($E$154:$E$170="Weekly",1/12,IF($E$154:$E$170="Quarterly",IF(MOD(4-$F$154:$F$170,3)=0,1/4,0),IF(($E$154:$E$170="Annual")+($E$154:$E$170="One-off"),IF($F$154:$F$170=4,1,0),1/12)))))</f>
        <v>0</v>
      </c>
      <c r="Y243" s="42" cm="1">
        <f t="array" ref="Y243">SUMPRODUCT(($C$154:$C$170="Professional fees")*($D$154:$D$170)*IF($E$154:$E$170="Monthly",1/12,IF($E$154:$E$170="Weekly",1/12,IF($E$154:$E$170="Quarterly",IF(MOD(5-$F$154:$F$170,3)=0,1/4,0),IF(($E$154:$E$170="Annual")+($E$154:$E$170="One-off"),IF($F$154:$F$170=5,1,0),1/12)))))</f>
        <v>0</v>
      </c>
      <c r="Z243" s="42" cm="1">
        <f t="array" ref="Z243">SUMPRODUCT(($C$154:$C$170="Professional fees")*($D$154:$D$170)*IF($E$154:$E$170="Monthly",1/12,IF($E$154:$E$170="Weekly",1/12,IF($E$154:$E$170="Quarterly",IF(MOD(6-$F$154:$F$170,3)=0,1/4,0),IF(($E$154:$E$170="Annual")+($E$154:$E$170="One-off"),IF($F$154:$F$170=6,1,0),1/12)))))</f>
        <v>0</v>
      </c>
      <c r="AA243" s="42" cm="1">
        <f t="array" ref="AA243">SUMPRODUCT(($C$154:$C$170="Professional fees")*($D$154:$D$170)*IF($E$154:$E$170="Monthly",1/12,IF($E$154:$E$170="Weekly",1/12,IF($E$154:$E$170="Quarterly",IF(MOD(7-$F$154:$F$170,3)=0,1/4,0),IF(($E$154:$E$170="Annual")+($E$154:$E$170="One-off"),IF($F$154:$F$170=7,1,0),1/12)))))</f>
        <v>0</v>
      </c>
      <c r="AB243" s="42" cm="1">
        <f t="array" ref="AB243">SUMPRODUCT(($C$154:$C$170="Professional fees")*($D$154:$D$170)*IF($E$154:$E$170="Monthly",1/12,IF($E$154:$E$170="Weekly",1/12,IF($E$154:$E$170="Quarterly",IF(MOD(8-$F$154:$F$170,3)=0,1/4,0),IF(($E$154:$E$170="Annual")+($E$154:$E$170="One-off"),IF($F$154:$F$170=8,1,0),1/12)))))</f>
        <v>0</v>
      </c>
      <c r="AC243" s="42" cm="1">
        <f t="array" ref="AC243">SUMPRODUCT(($C$154:$C$170="Professional fees")*($D$154:$D$170)*IF($E$154:$E$170="Monthly",1/12,IF($E$154:$E$170="Weekly",1/12,IF($E$154:$E$170="Quarterly",IF(MOD(9-$F$154:$F$170,3)=0,1/4,0),IF(($E$154:$E$170="Annual")+($E$154:$E$170="One-off"),IF($F$154:$F$170=9,1,0),1/12)))))</f>
        <v>0</v>
      </c>
      <c r="AD243" s="42" cm="1">
        <f t="array" ref="AD243">SUMPRODUCT(($C$154:$C$170="Professional fees")*($D$154:$D$170)*IF($E$154:$E$170="Monthly",1/12,IF($E$154:$E$170="Weekly",1/12,IF($E$154:$E$170="Quarterly",IF(MOD(10-$F$154:$F$170,3)=0,1/4,0),IF(($E$154:$E$170="Annual")+($E$154:$E$170="One-off"),IF($F$154:$F$170=10,1,0),1/12)))))</f>
        <v>0</v>
      </c>
      <c r="AE243" s="42" cm="1">
        <f t="array" ref="AE243">SUMPRODUCT(($C$154:$C$170="Professional fees")*($D$154:$D$170)*IF($E$154:$E$170="Monthly",1/12,IF($E$154:$E$170="Weekly",1/12,IF($E$154:$E$170="Quarterly",IF(MOD(11-$F$154:$F$170,3)=0,1/4,0),IF(($E$154:$E$170="Annual")+($E$154:$E$170="One-off"),IF($F$154:$F$170=11,1,0),1/12)))))</f>
        <v>0</v>
      </c>
      <c r="AF243" s="42" cm="1">
        <f t="array" ref="AF243">SUMPRODUCT(($C$154:$C$170="Professional fees")*($D$154:$D$170)*IF($E$154:$E$170="Monthly",1/12,IF($E$154:$E$170="Weekly",1/12,IF($E$154:$E$170="Quarterly",IF(MOD(12-$F$154:$F$170,3)=0,1/4,0),IF(($E$154:$E$170="Annual")+($E$154:$E$170="One-off"),IF($F$154:$F$170=12,1,0),1/12)))))</f>
        <v>0</v>
      </c>
    </row>
    <row r="244" spans="18:32" x14ac:dyDescent="0.2">
      <c r="R244" s="42" t="s">
        <v>638</v>
      </c>
      <c r="U244" s="42" cm="1">
        <f t="array" ref="U244">SUMPRODUCT(($C$154:$C$170="Insurance")*($D$154:$D$170)*IF($E$154:$E$170="Monthly",1/12,IF($E$154:$E$170="Weekly",1/12,IF($E$154:$E$170="Quarterly",IF(MOD(1-$F$154:$F$170,3)=0,1/4,0),IF(($E$154:$E$170="Annual")+($E$154:$E$170="One-off"),IF($F$154:$F$170=1,1,0),1/12)))))</f>
        <v>0</v>
      </c>
      <c r="V244" s="42" cm="1">
        <f t="array" ref="V244">SUMPRODUCT(($C$154:$C$170="Insurance")*($D$154:$D$170)*IF($E$154:$E$170="Monthly",1/12,IF($E$154:$E$170="Weekly",1/12,IF($E$154:$E$170="Quarterly",IF(MOD(2-$F$154:$F$170,3)=0,1/4,0),IF(($E$154:$E$170="Annual")+($E$154:$E$170="One-off"),IF($F$154:$F$170=2,1,0),1/12)))))</f>
        <v>0</v>
      </c>
      <c r="W244" s="42" cm="1">
        <f t="array" ref="W244">SUMPRODUCT(($C$154:$C$170="Insurance")*($D$154:$D$170)*IF($E$154:$E$170="Monthly",1/12,IF($E$154:$E$170="Weekly",1/12,IF($E$154:$E$170="Quarterly",IF(MOD(3-$F$154:$F$170,3)=0,1/4,0),IF(($E$154:$E$170="Annual")+($E$154:$E$170="One-off"),IF($F$154:$F$170=3,1,0),1/12)))))</f>
        <v>0</v>
      </c>
      <c r="X244" s="42" cm="1">
        <f t="array" ref="X244">SUMPRODUCT(($C$154:$C$170="Insurance")*($D$154:$D$170)*IF($E$154:$E$170="Monthly",1/12,IF($E$154:$E$170="Weekly",1/12,IF($E$154:$E$170="Quarterly",IF(MOD(4-$F$154:$F$170,3)=0,1/4,0),IF(($E$154:$E$170="Annual")+($E$154:$E$170="One-off"),IF($F$154:$F$170=4,1,0),1/12)))))</f>
        <v>0</v>
      </c>
      <c r="Y244" s="42" cm="1">
        <f t="array" ref="Y244">SUMPRODUCT(($C$154:$C$170="Insurance")*($D$154:$D$170)*IF($E$154:$E$170="Monthly",1/12,IF($E$154:$E$170="Weekly",1/12,IF($E$154:$E$170="Quarterly",IF(MOD(5-$F$154:$F$170,3)=0,1/4,0),IF(($E$154:$E$170="Annual")+($E$154:$E$170="One-off"),IF($F$154:$F$170=5,1,0),1/12)))))</f>
        <v>0</v>
      </c>
      <c r="Z244" s="42" cm="1">
        <f t="array" ref="Z244">SUMPRODUCT(($C$154:$C$170="Insurance")*($D$154:$D$170)*IF($E$154:$E$170="Monthly",1/12,IF($E$154:$E$170="Weekly",1/12,IF($E$154:$E$170="Quarterly",IF(MOD(6-$F$154:$F$170,3)=0,1/4,0),IF(($E$154:$E$170="Annual")+($E$154:$E$170="One-off"),IF($F$154:$F$170=6,1,0),1/12)))))</f>
        <v>0</v>
      </c>
      <c r="AA244" s="42" cm="1">
        <f t="array" ref="AA244">SUMPRODUCT(($C$154:$C$170="Insurance")*($D$154:$D$170)*IF($E$154:$E$170="Monthly",1/12,IF($E$154:$E$170="Weekly",1/12,IF($E$154:$E$170="Quarterly",IF(MOD(7-$F$154:$F$170,3)=0,1/4,0),IF(($E$154:$E$170="Annual")+($E$154:$E$170="One-off"),IF($F$154:$F$170=7,1,0),1/12)))))</f>
        <v>0</v>
      </c>
      <c r="AB244" s="42" cm="1">
        <f t="array" ref="AB244">SUMPRODUCT(($C$154:$C$170="Insurance")*($D$154:$D$170)*IF($E$154:$E$170="Monthly",1/12,IF($E$154:$E$170="Weekly",1/12,IF($E$154:$E$170="Quarterly",IF(MOD(8-$F$154:$F$170,3)=0,1/4,0),IF(($E$154:$E$170="Annual")+($E$154:$E$170="One-off"),IF($F$154:$F$170=8,1,0),1/12)))))</f>
        <v>0</v>
      </c>
      <c r="AC244" s="42" cm="1">
        <f t="array" ref="AC244">SUMPRODUCT(($C$154:$C$170="Insurance")*($D$154:$D$170)*IF($E$154:$E$170="Monthly",1/12,IF($E$154:$E$170="Weekly",1/12,IF($E$154:$E$170="Quarterly",IF(MOD(9-$F$154:$F$170,3)=0,1/4,0),IF(($E$154:$E$170="Annual")+($E$154:$E$170="One-off"),IF($F$154:$F$170=9,1,0),1/12)))))</f>
        <v>0</v>
      </c>
      <c r="AD244" s="42" cm="1">
        <f t="array" ref="AD244">SUMPRODUCT(($C$154:$C$170="Insurance")*($D$154:$D$170)*IF($E$154:$E$170="Monthly",1/12,IF($E$154:$E$170="Weekly",1/12,IF($E$154:$E$170="Quarterly",IF(MOD(10-$F$154:$F$170,3)=0,1/4,0),IF(($E$154:$E$170="Annual")+($E$154:$E$170="One-off"),IF($F$154:$F$170=10,1,0),1/12)))))</f>
        <v>0</v>
      </c>
      <c r="AE244" s="42" cm="1">
        <f t="array" ref="AE244">SUMPRODUCT(($C$154:$C$170="Insurance")*($D$154:$D$170)*IF($E$154:$E$170="Monthly",1/12,IF($E$154:$E$170="Weekly",1/12,IF($E$154:$E$170="Quarterly",IF(MOD(11-$F$154:$F$170,3)=0,1/4,0),IF(($E$154:$E$170="Annual")+($E$154:$E$170="One-off"),IF($F$154:$F$170=11,1,0),1/12)))))</f>
        <v>0</v>
      </c>
      <c r="AF244" s="42" cm="1">
        <f t="array" ref="AF244">SUMPRODUCT(($C$154:$C$170="Insurance")*($D$154:$D$170)*IF($E$154:$E$170="Monthly",1/12,IF($E$154:$E$170="Weekly",1/12,IF($E$154:$E$170="Quarterly",IF(MOD(12-$F$154:$F$170,3)=0,1/4,0),IF(($E$154:$E$170="Annual")+($E$154:$E$170="One-off"),IF($F$154:$F$170=12,1,0),1/12)))))</f>
        <v>0</v>
      </c>
    </row>
    <row r="245" spans="18:32" x14ac:dyDescent="0.2">
      <c r="R245" s="42" t="s">
        <v>639</v>
      </c>
      <c r="U245" s="42" cm="1">
        <f t="array" ref="U245">SUMPRODUCT(($C$154:$C$170="Travel &amp; entertainment")*($D$154:$D$170)*IF($E$154:$E$170="Monthly",1/12,IF($E$154:$E$170="Weekly",1/12,IF($E$154:$E$170="Quarterly",IF(MOD(1-$F$154:$F$170,3)=0,1/4,0),IF(($E$154:$E$170="Annual")+($E$154:$E$170="One-off"),IF($F$154:$F$170=1,1,0),1/12)))))</f>
        <v>0</v>
      </c>
      <c r="V245" s="42" cm="1">
        <f t="array" ref="V245">SUMPRODUCT(($C$154:$C$170="Travel &amp; entertainment")*($D$154:$D$170)*IF($E$154:$E$170="Monthly",1/12,IF($E$154:$E$170="Weekly",1/12,IF($E$154:$E$170="Quarterly",IF(MOD(2-$F$154:$F$170,3)=0,1/4,0),IF(($E$154:$E$170="Annual")+($E$154:$E$170="One-off"),IF($F$154:$F$170=2,1,0),1/12)))))</f>
        <v>0</v>
      </c>
      <c r="W245" s="42" cm="1">
        <f t="array" ref="W245">SUMPRODUCT(($C$154:$C$170="Travel &amp; entertainment")*($D$154:$D$170)*IF($E$154:$E$170="Monthly",1/12,IF($E$154:$E$170="Weekly",1/12,IF($E$154:$E$170="Quarterly",IF(MOD(3-$F$154:$F$170,3)=0,1/4,0),IF(($E$154:$E$170="Annual")+($E$154:$E$170="One-off"),IF($F$154:$F$170=3,1,0),1/12)))))</f>
        <v>0</v>
      </c>
      <c r="X245" s="42" cm="1">
        <f t="array" ref="X245">SUMPRODUCT(($C$154:$C$170="Travel &amp; entertainment")*($D$154:$D$170)*IF($E$154:$E$170="Monthly",1/12,IF($E$154:$E$170="Weekly",1/12,IF($E$154:$E$170="Quarterly",IF(MOD(4-$F$154:$F$170,3)=0,1/4,0),IF(($E$154:$E$170="Annual")+($E$154:$E$170="One-off"),IF($F$154:$F$170=4,1,0),1/12)))))</f>
        <v>0</v>
      </c>
      <c r="Y245" s="42" cm="1">
        <f t="array" ref="Y245">SUMPRODUCT(($C$154:$C$170="Travel &amp; entertainment")*($D$154:$D$170)*IF($E$154:$E$170="Monthly",1/12,IF($E$154:$E$170="Weekly",1/12,IF($E$154:$E$170="Quarterly",IF(MOD(5-$F$154:$F$170,3)=0,1/4,0),IF(($E$154:$E$170="Annual")+($E$154:$E$170="One-off"),IF($F$154:$F$170=5,1,0),1/12)))))</f>
        <v>0</v>
      </c>
      <c r="Z245" s="42" cm="1">
        <f t="array" ref="Z245">SUMPRODUCT(($C$154:$C$170="Travel &amp; entertainment")*($D$154:$D$170)*IF($E$154:$E$170="Monthly",1/12,IF($E$154:$E$170="Weekly",1/12,IF($E$154:$E$170="Quarterly",IF(MOD(6-$F$154:$F$170,3)=0,1/4,0),IF(($E$154:$E$170="Annual")+($E$154:$E$170="One-off"),IF($F$154:$F$170=6,1,0),1/12)))))</f>
        <v>0</v>
      </c>
      <c r="AA245" s="42" cm="1">
        <f t="array" ref="AA245">SUMPRODUCT(($C$154:$C$170="Travel &amp; entertainment")*($D$154:$D$170)*IF($E$154:$E$170="Monthly",1/12,IF($E$154:$E$170="Weekly",1/12,IF($E$154:$E$170="Quarterly",IF(MOD(7-$F$154:$F$170,3)=0,1/4,0),IF(($E$154:$E$170="Annual")+($E$154:$E$170="One-off"),IF($F$154:$F$170=7,1,0),1/12)))))</f>
        <v>0</v>
      </c>
      <c r="AB245" s="42" cm="1">
        <f t="array" ref="AB245">SUMPRODUCT(($C$154:$C$170="Travel &amp; entertainment")*($D$154:$D$170)*IF($E$154:$E$170="Monthly",1/12,IF($E$154:$E$170="Weekly",1/12,IF($E$154:$E$170="Quarterly",IF(MOD(8-$F$154:$F$170,3)=0,1/4,0),IF(($E$154:$E$170="Annual")+($E$154:$E$170="One-off"),IF($F$154:$F$170=8,1,0),1/12)))))</f>
        <v>0</v>
      </c>
      <c r="AC245" s="42" cm="1">
        <f t="array" ref="AC245">SUMPRODUCT(($C$154:$C$170="Travel &amp; entertainment")*($D$154:$D$170)*IF($E$154:$E$170="Monthly",1/12,IF($E$154:$E$170="Weekly",1/12,IF($E$154:$E$170="Quarterly",IF(MOD(9-$F$154:$F$170,3)=0,1/4,0),IF(($E$154:$E$170="Annual")+($E$154:$E$170="One-off"),IF($F$154:$F$170=9,1,0),1/12)))))</f>
        <v>0</v>
      </c>
      <c r="AD245" s="42" cm="1">
        <f t="array" ref="AD245">SUMPRODUCT(($C$154:$C$170="Travel &amp; entertainment")*($D$154:$D$170)*IF($E$154:$E$170="Monthly",1/12,IF($E$154:$E$170="Weekly",1/12,IF($E$154:$E$170="Quarterly",IF(MOD(10-$F$154:$F$170,3)=0,1/4,0),IF(($E$154:$E$170="Annual")+($E$154:$E$170="One-off"),IF($F$154:$F$170=10,1,0),1/12)))))</f>
        <v>0</v>
      </c>
      <c r="AE245" s="42" cm="1">
        <f t="array" ref="AE245">SUMPRODUCT(($C$154:$C$170="Travel &amp; entertainment")*($D$154:$D$170)*IF($E$154:$E$170="Monthly",1/12,IF($E$154:$E$170="Weekly",1/12,IF($E$154:$E$170="Quarterly",IF(MOD(11-$F$154:$F$170,3)=0,1/4,0),IF(($E$154:$E$170="Annual")+($E$154:$E$170="One-off"),IF($F$154:$F$170=11,1,0),1/12)))))</f>
        <v>0</v>
      </c>
      <c r="AF245" s="42" cm="1">
        <f t="array" ref="AF245">SUMPRODUCT(($C$154:$C$170="Travel &amp; entertainment")*($D$154:$D$170)*IF($E$154:$E$170="Monthly",1/12,IF($E$154:$E$170="Weekly",1/12,IF($E$154:$E$170="Quarterly",IF(MOD(12-$F$154:$F$170,3)=0,1/4,0),IF(($E$154:$E$170="Annual")+($E$154:$E$170="One-off"),IF($F$154:$F$170=12,1,0),1/12)))))</f>
        <v>0</v>
      </c>
    </row>
    <row r="246" spans="18:32" x14ac:dyDescent="0.2">
      <c r="R246" s="42" t="s">
        <v>640</v>
      </c>
      <c r="U246" s="42" cm="1">
        <f t="array" ref="U246">SUMPRODUCT(($C$154:$C$170="Communications")*($D$154:$D$170)*IF($E$154:$E$170="Monthly",1/12,IF($E$154:$E$170="Weekly",1/12,IF($E$154:$E$170="Quarterly",IF(MOD(1-$F$154:$F$170,3)=0,1/4,0),IF(($E$154:$E$170="Annual")+($E$154:$E$170="One-off"),IF($F$154:$F$170=1,1,0),1/12)))))</f>
        <v>0</v>
      </c>
      <c r="V246" s="42" cm="1">
        <f t="array" ref="V246">SUMPRODUCT(($C$154:$C$170="Communications")*($D$154:$D$170)*IF($E$154:$E$170="Monthly",1/12,IF($E$154:$E$170="Weekly",1/12,IF($E$154:$E$170="Quarterly",IF(MOD(2-$F$154:$F$170,3)=0,1/4,0),IF(($E$154:$E$170="Annual")+($E$154:$E$170="One-off"),IF($F$154:$F$170=2,1,0),1/12)))))</f>
        <v>0</v>
      </c>
      <c r="W246" s="42" cm="1">
        <f t="array" ref="W246">SUMPRODUCT(($C$154:$C$170="Communications")*($D$154:$D$170)*IF($E$154:$E$170="Monthly",1/12,IF($E$154:$E$170="Weekly",1/12,IF($E$154:$E$170="Quarterly",IF(MOD(3-$F$154:$F$170,3)=0,1/4,0),IF(($E$154:$E$170="Annual")+($E$154:$E$170="One-off"),IF($F$154:$F$170=3,1,0),1/12)))))</f>
        <v>0</v>
      </c>
      <c r="X246" s="42" cm="1">
        <f t="array" ref="X246">SUMPRODUCT(($C$154:$C$170="Communications")*($D$154:$D$170)*IF($E$154:$E$170="Monthly",1/12,IF($E$154:$E$170="Weekly",1/12,IF($E$154:$E$170="Quarterly",IF(MOD(4-$F$154:$F$170,3)=0,1/4,0),IF(($E$154:$E$170="Annual")+($E$154:$E$170="One-off"),IF($F$154:$F$170=4,1,0),1/12)))))</f>
        <v>0</v>
      </c>
      <c r="Y246" s="42" cm="1">
        <f t="array" ref="Y246">SUMPRODUCT(($C$154:$C$170="Communications")*($D$154:$D$170)*IF($E$154:$E$170="Monthly",1/12,IF($E$154:$E$170="Weekly",1/12,IF($E$154:$E$170="Quarterly",IF(MOD(5-$F$154:$F$170,3)=0,1/4,0),IF(($E$154:$E$170="Annual")+($E$154:$E$170="One-off"),IF($F$154:$F$170=5,1,0),1/12)))))</f>
        <v>0</v>
      </c>
      <c r="Z246" s="42" cm="1">
        <f t="array" ref="Z246">SUMPRODUCT(($C$154:$C$170="Communications")*($D$154:$D$170)*IF($E$154:$E$170="Monthly",1/12,IF($E$154:$E$170="Weekly",1/12,IF($E$154:$E$170="Quarterly",IF(MOD(6-$F$154:$F$170,3)=0,1/4,0),IF(($E$154:$E$170="Annual")+($E$154:$E$170="One-off"),IF($F$154:$F$170=6,1,0),1/12)))))</f>
        <v>0</v>
      </c>
      <c r="AA246" s="42" cm="1">
        <f t="array" ref="AA246">SUMPRODUCT(($C$154:$C$170="Communications")*($D$154:$D$170)*IF($E$154:$E$170="Monthly",1/12,IF($E$154:$E$170="Weekly",1/12,IF($E$154:$E$170="Quarterly",IF(MOD(7-$F$154:$F$170,3)=0,1/4,0),IF(($E$154:$E$170="Annual")+($E$154:$E$170="One-off"),IF($F$154:$F$170=7,1,0),1/12)))))</f>
        <v>0</v>
      </c>
      <c r="AB246" s="42" cm="1">
        <f t="array" ref="AB246">SUMPRODUCT(($C$154:$C$170="Communications")*($D$154:$D$170)*IF($E$154:$E$170="Monthly",1/12,IF($E$154:$E$170="Weekly",1/12,IF($E$154:$E$170="Quarterly",IF(MOD(8-$F$154:$F$170,3)=0,1/4,0),IF(($E$154:$E$170="Annual")+($E$154:$E$170="One-off"),IF($F$154:$F$170=8,1,0),1/12)))))</f>
        <v>0</v>
      </c>
      <c r="AC246" s="42" cm="1">
        <f t="array" ref="AC246">SUMPRODUCT(($C$154:$C$170="Communications")*($D$154:$D$170)*IF($E$154:$E$170="Monthly",1/12,IF($E$154:$E$170="Weekly",1/12,IF($E$154:$E$170="Quarterly",IF(MOD(9-$F$154:$F$170,3)=0,1/4,0),IF(($E$154:$E$170="Annual")+($E$154:$E$170="One-off"),IF($F$154:$F$170=9,1,0),1/12)))))</f>
        <v>0</v>
      </c>
      <c r="AD246" s="42" cm="1">
        <f t="array" ref="AD246">SUMPRODUCT(($C$154:$C$170="Communications")*($D$154:$D$170)*IF($E$154:$E$170="Monthly",1/12,IF($E$154:$E$170="Weekly",1/12,IF($E$154:$E$170="Quarterly",IF(MOD(10-$F$154:$F$170,3)=0,1/4,0),IF(($E$154:$E$170="Annual")+($E$154:$E$170="One-off"),IF($F$154:$F$170=10,1,0),1/12)))))</f>
        <v>0</v>
      </c>
      <c r="AE246" s="42" cm="1">
        <f t="array" ref="AE246">SUMPRODUCT(($C$154:$C$170="Communications")*($D$154:$D$170)*IF($E$154:$E$170="Monthly",1/12,IF($E$154:$E$170="Weekly",1/12,IF($E$154:$E$170="Quarterly",IF(MOD(11-$F$154:$F$170,3)=0,1/4,0),IF(($E$154:$E$170="Annual")+($E$154:$E$170="One-off"),IF($F$154:$F$170=11,1,0),1/12)))))</f>
        <v>0</v>
      </c>
      <c r="AF246" s="42" cm="1">
        <f t="array" ref="AF246">SUMPRODUCT(($C$154:$C$170="Communications")*($D$154:$D$170)*IF($E$154:$E$170="Monthly",1/12,IF($E$154:$E$170="Weekly",1/12,IF($E$154:$E$170="Quarterly",IF(MOD(12-$F$154:$F$170,3)=0,1/4,0),IF(($E$154:$E$170="Annual")+($E$154:$E$170="One-off"),IF($F$154:$F$170=12,1,0),1/12)))))</f>
        <v>0</v>
      </c>
    </row>
    <row r="247" spans="18:32" x14ac:dyDescent="0.2">
      <c r="R247" s="42" t="s">
        <v>641</v>
      </c>
      <c r="U247" s="42" cm="1">
        <f t="array" ref="U247">SUMPRODUCT(($C$154:$C$170="Other operating expenses")*($D$154:$D$170)*IF($E$154:$E$170="Monthly",1/12,IF($E$154:$E$170="Weekly",1/12,IF($E$154:$E$170="Quarterly",IF(MOD(1-$F$154:$F$170,3)=0,1/4,0),IF(($E$154:$E$170="Annual")+($E$154:$E$170="One-off"),IF($F$154:$F$170=1,1,0),1/12)))))</f>
        <v>0</v>
      </c>
      <c r="V247" s="42" cm="1">
        <f t="array" ref="V247">SUMPRODUCT(($C$154:$C$170="Other operating expenses")*($D$154:$D$170)*IF($E$154:$E$170="Monthly",1/12,IF($E$154:$E$170="Weekly",1/12,IF($E$154:$E$170="Quarterly",IF(MOD(2-$F$154:$F$170,3)=0,1/4,0),IF(($E$154:$E$170="Annual")+($E$154:$E$170="One-off"),IF($F$154:$F$170=2,1,0),1/12)))))</f>
        <v>0</v>
      </c>
      <c r="W247" s="42" cm="1">
        <f t="array" ref="W247">SUMPRODUCT(($C$154:$C$170="Other operating expenses")*($D$154:$D$170)*IF($E$154:$E$170="Monthly",1/12,IF($E$154:$E$170="Weekly",1/12,IF($E$154:$E$170="Quarterly",IF(MOD(3-$F$154:$F$170,3)=0,1/4,0),IF(($E$154:$E$170="Annual")+($E$154:$E$170="One-off"),IF($F$154:$F$170=3,1,0),1/12)))))</f>
        <v>0</v>
      </c>
      <c r="X247" s="42" cm="1">
        <f t="array" ref="X247">SUMPRODUCT(($C$154:$C$170="Other operating expenses")*($D$154:$D$170)*IF($E$154:$E$170="Monthly",1/12,IF($E$154:$E$170="Weekly",1/12,IF($E$154:$E$170="Quarterly",IF(MOD(4-$F$154:$F$170,3)=0,1/4,0),IF(($E$154:$E$170="Annual")+($E$154:$E$170="One-off"),IF($F$154:$F$170=4,1,0),1/12)))))</f>
        <v>0</v>
      </c>
      <c r="Y247" s="42" cm="1">
        <f t="array" ref="Y247">SUMPRODUCT(($C$154:$C$170="Other operating expenses")*($D$154:$D$170)*IF($E$154:$E$170="Monthly",1/12,IF($E$154:$E$170="Weekly",1/12,IF($E$154:$E$170="Quarterly",IF(MOD(5-$F$154:$F$170,3)=0,1/4,0),IF(($E$154:$E$170="Annual")+($E$154:$E$170="One-off"),IF($F$154:$F$170=5,1,0),1/12)))))</f>
        <v>0</v>
      </c>
      <c r="Z247" s="42" cm="1">
        <f t="array" ref="Z247">SUMPRODUCT(($C$154:$C$170="Other operating expenses")*($D$154:$D$170)*IF($E$154:$E$170="Monthly",1/12,IF($E$154:$E$170="Weekly",1/12,IF($E$154:$E$170="Quarterly",IF(MOD(6-$F$154:$F$170,3)=0,1/4,0),IF(($E$154:$E$170="Annual")+($E$154:$E$170="One-off"),IF($F$154:$F$170=6,1,0),1/12)))))</f>
        <v>0</v>
      </c>
      <c r="AA247" s="42" cm="1">
        <f t="array" ref="AA247">SUMPRODUCT(($C$154:$C$170="Other operating expenses")*($D$154:$D$170)*IF($E$154:$E$170="Monthly",1/12,IF($E$154:$E$170="Weekly",1/12,IF($E$154:$E$170="Quarterly",IF(MOD(7-$F$154:$F$170,3)=0,1/4,0),IF(($E$154:$E$170="Annual")+($E$154:$E$170="One-off"),IF($F$154:$F$170=7,1,0),1/12)))))</f>
        <v>0</v>
      </c>
      <c r="AB247" s="42" cm="1">
        <f t="array" ref="AB247">SUMPRODUCT(($C$154:$C$170="Other operating expenses")*($D$154:$D$170)*IF($E$154:$E$170="Monthly",1/12,IF($E$154:$E$170="Weekly",1/12,IF($E$154:$E$170="Quarterly",IF(MOD(8-$F$154:$F$170,3)=0,1/4,0),IF(($E$154:$E$170="Annual")+($E$154:$E$170="One-off"),IF($F$154:$F$170=8,1,0),1/12)))))</f>
        <v>0</v>
      </c>
      <c r="AC247" s="42" cm="1">
        <f t="array" ref="AC247">SUMPRODUCT(($C$154:$C$170="Other operating expenses")*($D$154:$D$170)*IF($E$154:$E$170="Monthly",1/12,IF($E$154:$E$170="Weekly",1/12,IF($E$154:$E$170="Quarterly",IF(MOD(9-$F$154:$F$170,3)=0,1/4,0),IF(($E$154:$E$170="Annual")+($E$154:$E$170="One-off"),IF($F$154:$F$170=9,1,0),1/12)))))</f>
        <v>0</v>
      </c>
      <c r="AD247" s="42" cm="1">
        <f t="array" ref="AD247">SUMPRODUCT(($C$154:$C$170="Other operating expenses")*($D$154:$D$170)*IF($E$154:$E$170="Monthly",1/12,IF($E$154:$E$170="Weekly",1/12,IF($E$154:$E$170="Quarterly",IF(MOD(10-$F$154:$F$170,3)=0,1/4,0),IF(($E$154:$E$170="Annual")+($E$154:$E$170="One-off"),IF($F$154:$F$170=10,1,0),1/12)))))</f>
        <v>0</v>
      </c>
      <c r="AE247" s="42" cm="1">
        <f t="array" ref="AE247">SUMPRODUCT(($C$154:$C$170="Other operating expenses")*($D$154:$D$170)*IF($E$154:$E$170="Monthly",1/12,IF($E$154:$E$170="Weekly",1/12,IF($E$154:$E$170="Quarterly",IF(MOD(11-$F$154:$F$170,3)=0,1/4,0),IF(($E$154:$E$170="Annual")+($E$154:$E$170="One-off"),IF($F$154:$F$170=11,1,0),1/12)))))</f>
        <v>0</v>
      </c>
      <c r="AF247" s="42" cm="1">
        <f t="array" ref="AF247">SUMPRODUCT(($C$154:$C$170="Other operating expenses")*($D$154:$D$170)*IF($E$154:$E$170="Monthly",1/12,IF($E$154:$E$170="Weekly",1/12,IF($E$154:$E$170="Quarterly",IF(MOD(12-$F$154:$F$170,3)=0,1/4,0),IF(($E$154:$E$170="Annual")+($E$154:$E$170="One-off"),IF($F$154:$F$170=12,1,0),1/12)))))</f>
        <v>0</v>
      </c>
    </row>
    <row r="257" s="42" customFormat="1" x14ac:dyDescent="0.2"/>
    <row r="258" s="42" customFormat="1" x14ac:dyDescent="0.2"/>
    <row r="259" s="42" customFormat="1" x14ac:dyDescent="0.2"/>
    <row r="260" s="42" customFormat="1" x14ac:dyDescent="0.2"/>
    <row r="261" s="42" customFormat="1" x14ac:dyDescent="0.2"/>
    <row r="262" s="42" customFormat="1" x14ac:dyDescent="0.2"/>
    <row r="263" s="42" customFormat="1" x14ac:dyDescent="0.2"/>
    <row r="264" s="42" customFormat="1" x14ac:dyDescent="0.2"/>
    <row r="265" s="42" customFormat="1" x14ac:dyDescent="0.2"/>
    <row r="266" s="42" customFormat="1" x14ac:dyDescent="0.2"/>
    <row r="267" s="42" customFormat="1" x14ac:dyDescent="0.2"/>
    <row r="268" s="42" customFormat="1" x14ac:dyDescent="0.2"/>
    <row r="269" s="42" customFormat="1" x14ac:dyDescent="0.2"/>
    <row r="270" s="42" customFormat="1" x14ac:dyDescent="0.2"/>
    <row r="271" s="42" customFormat="1" x14ac:dyDescent="0.2"/>
    <row r="272" s="42" customFormat="1" x14ac:dyDescent="0.2"/>
    <row r="273" s="42" customFormat="1" x14ac:dyDescent="0.2"/>
    <row r="274" s="42" customFormat="1" x14ac:dyDescent="0.2"/>
    <row r="275" s="42" customFormat="1" x14ac:dyDescent="0.2"/>
    <row r="276" s="42" customFormat="1" x14ac:dyDescent="0.2"/>
    <row r="277" s="42" customFormat="1" x14ac:dyDescent="0.2"/>
    <row r="278" s="42" customFormat="1" x14ac:dyDescent="0.2"/>
    <row r="279" s="42" customFormat="1" x14ac:dyDescent="0.2"/>
    <row r="280" s="42" customFormat="1" x14ac:dyDescent="0.2"/>
    <row r="281" s="42" customFormat="1" x14ac:dyDescent="0.2"/>
    <row r="282" s="42" customFormat="1" x14ac:dyDescent="0.2"/>
    <row r="283" s="42" customFormat="1" x14ac:dyDescent="0.2"/>
    <row r="284" s="42" customFormat="1" x14ac:dyDescent="0.2"/>
    <row r="285" s="42" customFormat="1" x14ac:dyDescent="0.2"/>
    <row r="286" s="42" customFormat="1" x14ac:dyDescent="0.2"/>
    <row r="287" s="42" customFormat="1" x14ac:dyDescent="0.2"/>
    <row r="288" s="42" customFormat="1" x14ac:dyDescent="0.2"/>
    <row r="289" s="42" customFormat="1" x14ac:dyDescent="0.2"/>
    <row r="290" s="42" customFormat="1" x14ac:dyDescent="0.2"/>
    <row r="291" s="42" customFormat="1" x14ac:dyDescent="0.2"/>
    <row r="292" s="42" customFormat="1" x14ac:dyDescent="0.2"/>
    <row r="293" s="42" customFormat="1" x14ac:dyDescent="0.2"/>
    <row r="294" s="42" customFormat="1" x14ac:dyDescent="0.2"/>
    <row r="295" s="42" customFormat="1" x14ac:dyDescent="0.2"/>
    <row r="296" s="42" customFormat="1" x14ac:dyDescent="0.2"/>
    <row r="297" s="42" customFormat="1" x14ac:dyDescent="0.2"/>
    <row r="298" s="42" customFormat="1" x14ac:dyDescent="0.2"/>
    <row r="299" s="42" customFormat="1" x14ac:dyDescent="0.2"/>
    <row r="300" s="42" customFormat="1" x14ac:dyDescent="0.2"/>
    <row r="301" s="42" customFormat="1" x14ac:dyDescent="0.2"/>
    <row r="302" s="42" customFormat="1" x14ac:dyDescent="0.2"/>
    <row r="303" s="42" customFormat="1" x14ac:dyDescent="0.2"/>
    <row r="304" s="42" customFormat="1" x14ac:dyDescent="0.2"/>
    <row r="305" s="42" customFormat="1" x14ac:dyDescent="0.2"/>
    <row r="306" s="42" customFormat="1" x14ac:dyDescent="0.2"/>
    <row r="307" s="42" customFormat="1" x14ac:dyDescent="0.2"/>
    <row r="308" s="42" customFormat="1" x14ac:dyDescent="0.2"/>
    <row r="309" s="42" customFormat="1" x14ac:dyDescent="0.2"/>
    <row r="310" s="42" customFormat="1" x14ac:dyDescent="0.2"/>
    <row r="311" s="42" customFormat="1" x14ac:dyDescent="0.2"/>
    <row r="312" s="42" customFormat="1" x14ac:dyDescent="0.2"/>
    <row r="313" s="42" customFormat="1" x14ac:dyDescent="0.2"/>
    <row r="314" s="42" customFormat="1" x14ac:dyDescent="0.2"/>
    <row r="315" s="42" customFormat="1" x14ac:dyDescent="0.2"/>
    <row r="316" s="42" customFormat="1" x14ac:dyDescent="0.2"/>
    <row r="317" s="42" customFormat="1" x14ac:dyDescent="0.2"/>
    <row r="318" s="42" customFormat="1" x14ac:dyDescent="0.2"/>
    <row r="319" s="42" customFormat="1" x14ac:dyDescent="0.2"/>
    <row r="320" s="42" customFormat="1" x14ac:dyDescent="0.2"/>
    <row r="321" s="42" customFormat="1" x14ac:dyDescent="0.2"/>
    <row r="322" s="42" customFormat="1" x14ac:dyDescent="0.2"/>
    <row r="323" s="42" customFormat="1" x14ac:dyDescent="0.2"/>
    <row r="324" s="42" customFormat="1" x14ac:dyDescent="0.2"/>
    <row r="325" s="42" customFormat="1" x14ac:dyDescent="0.2"/>
    <row r="326" s="42" customFormat="1" x14ac:dyDescent="0.2"/>
    <row r="327" s="42" customFormat="1" x14ac:dyDescent="0.2"/>
    <row r="328" s="42" customFormat="1" x14ac:dyDescent="0.2"/>
    <row r="329" s="42" customFormat="1" x14ac:dyDescent="0.2"/>
    <row r="330" s="42" customFormat="1" x14ac:dyDescent="0.2"/>
    <row r="331" s="42" customFormat="1" x14ac:dyDescent="0.2"/>
    <row r="332" s="42" customFormat="1" x14ac:dyDescent="0.2"/>
    <row r="333" s="42" customFormat="1" x14ac:dyDescent="0.2"/>
    <row r="334" s="42" customFormat="1" x14ac:dyDescent="0.2"/>
    <row r="335" s="42" customFormat="1" x14ac:dyDescent="0.2"/>
    <row r="336" s="42" customFormat="1" x14ac:dyDescent="0.2"/>
    <row r="337" s="42" customFormat="1" x14ac:dyDescent="0.2"/>
    <row r="338" s="42" customFormat="1" x14ac:dyDescent="0.2"/>
    <row r="339" s="42" customFormat="1" x14ac:dyDescent="0.2"/>
    <row r="340" s="42" customFormat="1" x14ac:dyDescent="0.2"/>
    <row r="341" s="42" customFormat="1" x14ac:dyDescent="0.2"/>
    <row r="342" s="42" customFormat="1" x14ac:dyDescent="0.2"/>
    <row r="343" s="42" customFormat="1" x14ac:dyDescent="0.2"/>
    <row r="344" s="42" customFormat="1" x14ac:dyDescent="0.2"/>
    <row r="345" s="42" customFormat="1" x14ac:dyDescent="0.2"/>
    <row r="346" s="42" customFormat="1" x14ac:dyDescent="0.2"/>
    <row r="347" s="42" customFormat="1" x14ac:dyDescent="0.2"/>
    <row r="348" s="42" customFormat="1" x14ac:dyDescent="0.2"/>
    <row r="349" s="42" customFormat="1" x14ac:dyDescent="0.2"/>
    <row r="350" s="42" customFormat="1" x14ac:dyDescent="0.2"/>
    <row r="351" s="42" customFormat="1" x14ac:dyDescent="0.2"/>
    <row r="352" s="42" customFormat="1" x14ac:dyDescent="0.2"/>
    <row r="353" s="42" customFormat="1" x14ac:dyDescent="0.2"/>
    <row r="354" s="42" customFormat="1" x14ac:dyDescent="0.2"/>
    <row r="355" s="42" customFormat="1" x14ac:dyDescent="0.2"/>
    <row r="356" s="42" customFormat="1" x14ac:dyDescent="0.2"/>
    <row r="357" s="42" customFormat="1" x14ac:dyDescent="0.2"/>
    <row r="358" s="42" customFormat="1" x14ac:dyDescent="0.2"/>
    <row r="359" s="42" customFormat="1" x14ac:dyDescent="0.2"/>
    <row r="360" s="42" customFormat="1" x14ac:dyDescent="0.2"/>
    <row r="361" s="42" customFormat="1" x14ac:dyDescent="0.2"/>
    <row r="362" s="42" customFormat="1" x14ac:dyDescent="0.2"/>
    <row r="363" s="42" customFormat="1" x14ac:dyDescent="0.2"/>
    <row r="364" s="42" customFormat="1" x14ac:dyDescent="0.2"/>
    <row r="365" s="42" customFormat="1" x14ac:dyDescent="0.2"/>
    <row r="366" s="42" customFormat="1" x14ac:dyDescent="0.2"/>
    <row r="367" s="42" customFormat="1" x14ac:dyDescent="0.2"/>
    <row r="368" s="42" customFormat="1" x14ac:dyDescent="0.2"/>
    <row r="369" s="42" customFormat="1" x14ac:dyDescent="0.2"/>
    <row r="370" s="42" customFormat="1" x14ac:dyDescent="0.2"/>
    <row r="371" s="42" customFormat="1" x14ac:dyDescent="0.2"/>
    <row r="372" s="42" customFormat="1" x14ac:dyDescent="0.2"/>
    <row r="373" s="42" customFormat="1" x14ac:dyDescent="0.2"/>
    <row r="374" s="42" customFormat="1" x14ac:dyDescent="0.2"/>
    <row r="375" s="42" customFormat="1" x14ac:dyDescent="0.2"/>
    <row r="376" s="42" customFormat="1" x14ac:dyDescent="0.2"/>
    <row r="377" s="42" customFormat="1" x14ac:dyDescent="0.2"/>
    <row r="378" s="42" customFormat="1" x14ac:dyDescent="0.2"/>
    <row r="379" s="42" customFormat="1" x14ac:dyDescent="0.2"/>
    <row r="380" s="42" customFormat="1" x14ac:dyDescent="0.2"/>
    <row r="381" s="42" customFormat="1" x14ac:dyDescent="0.2"/>
    <row r="382" s="42" customFormat="1" x14ac:dyDescent="0.2"/>
    <row r="383" s="42" customFormat="1" x14ac:dyDescent="0.2"/>
    <row r="384" s="42" customFormat="1" x14ac:dyDescent="0.2"/>
    <row r="385" s="42" customFormat="1" x14ac:dyDescent="0.2"/>
    <row r="386" s="42" customFormat="1" x14ac:dyDescent="0.2"/>
    <row r="387" s="42" customFormat="1" x14ac:dyDescent="0.2"/>
    <row r="388" s="42" customFormat="1" x14ac:dyDescent="0.2"/>
    <row r="389" s="42" customFormat="1" x14ac:dyDescent="0.2"/>
    <row r="390" s="42" customFormat="1" x14ac:dyDescent="0.2"/>
    <row r="391" s="42" customFormat="1" x14ac:dyDescent="0.2"/>
    <row r="392" s="42" customFormat="1" x14ac:dyDescent="0.2"/>
    <row r="393" s="42" customFormat="1" x14ac:dyDescent="0.2"/>
    <row r="394" s="42" customFormat="1" x14ac:dyDescent="0.2"/>
    <row r="395" s="42" customFormat="1" x14ac:dyDescent="0.2"/>
    <row r="396" s="42" customFormat="1" x14ac:dyDescent="0.2"/>
    <row r="397" s="42" customFormat="1" x14ac:dyDescent="0.2"/>
    <row r="398" s="42" customFormat="1" x14ac:dyDescent="0.2"/>
    <row r="399" s="42" customFormat="1" x14ac:dyDescent="0.2"/>
    <row r="400" s="42" customFormat="1" x14ac:dyDescent="0.2"/>
    <row r="401" s="42" customFormat="1" x14ac:dyDescent="0.2"/>
    <row r="402" s="42" customFormat="1" x14ac:dyDescent="0.2"/>
    <row r="403" s="42" customFormat="1" x14ac:dyDescent="0.2"/>
    <row r="404" s="42" customFormat="1" x14ac:dyDescent="0.2"/>
    <row r="405" s="42" customFormat="1" x14ac:dyDescent="0.2"/>
    <row r="406" s="42" customFormat="1" x14ac:dyDescent="0.2"/>
    <row r="407" s="42" customFormat="1" x14ac:dyDescent="0.2"/>
    <row r="408" s="42" customFormat="1" x14ac:dyDescent="0.2"/>
    <row r="409" s="42" customFormat="1" x14ac:dyDescent="0.2"/>
    <row r="410" s="42" customFormat="1" x14ac:dyDescent="0.2"/>
    <row r="411" s="42" customFormat="1" x14ac:dyDescent="0.2"/>
    <row r="412" s="42" customFormat="1" x14ac:dyDescent="0.2"/>
    <row r="413" s="42" customFormat="1" x14ac:dyDescent="0.2"/>
    <row r="414" s="42" customFormat="1" x14ac:dyDescent="0.2"/>
    <row r="415" s="42" customFormat="1" x14ac:dyDescent="0.2"/>
    <row r="416" s="42" customFormat="1" x14ac:dyDescent="0.2"/>
    <row r="417" s="42" customFormat="1" x14ac:dyDescent="0.2"/>
    <row r="418" s="42" customFormat="1" x14ac:dyDescent="0.2"/>
    <row r="419" s="42" customFormat="1" x14ac:dyDescent="0.2"/>
    <row r="420" s="42" customFormat="1" x14ac:dyDescent="0.2"/>
    <row r="421" s="42" customFormat="1" x14ac:dyDescent="0.2"/>
    <row r="422" s="42" customFormat="1" x14ac:dyDescent="0.2"/>
    <row r="423" s="42" customFormat="1" x14ac:dyDescent="0.2"/>
    <row r="424" s="42" customFormat="1" x14ac:dyDescent="0.2"/>
    <row r="425" s="42" customFormat="1" x14ac:dyDescent="0.2"/>
    <row r="426" s="42" customFormat="1" x14ac:dyDescent="0.2"/>
    <row r="427" s="42" customFormat="1" x14ac:dyDescent="0.2"/>
    <row r="428" s="42" customFormat="1" x14ac:dyDescent="0.2"/>
    <row r="429" s="42" customFormat="1" x14ac:dyDescent="0.2"/>
    <row r="430" s="42" customFormat="1" x14ac:dyDescent="0.2"/>
    <row r="431" s="42" customFormat="1" x14ac:dyDescent="0.2"/>
    <row r="432" s="42" customFormat="1" x14ac:dyDescent="0.2"/>
    <row r="433" s="42" customFormat="1" x14ac:dyDescent="0.2"/>
    <row r="434" s="42" customFormat="1" x14ac:dyDescent="0.2"/>
    <row r="435" s="42" customFormat="1" x14ac:dyDescent="0.2"/>
    <row r="436" s="42" customFormat="1" x14ac:dyDescent="0.2"/>
    <row r="437" s="42" customFormat="1" x14ac:dyDescent="0.2"/>
    <row r="438" s="42" customFormat="1" x14ac:dyDescent="0.2"/>
    <row r="439" s="42" customFormat="1" x14ac:dyDescent="0.2"/>
    <row r="440" s="42" customFormat="1" x14ac:dyDescent="0.2"/>
    <row r="441" s="42" customFormat="1" x14ac:dyDescent="0.2"/>
    <row r="442" s="42" customFormat="1" x14ac:dyDescent="0.2"/>
    <row r="443" s="42" customFormat="1" x14ac:dyDescent="0.2"/>
    <row r="444" s="42" customFormat="1" x14ac:dyDescent="0.2"/>
    <row r="445" s="42" customFormat="1" x14ac:dyDescent="0.2"/>
    <row r="446" s="42" customFormat="1" x14ac:dyDescent="0.2"/>
    <row r="447" s="42" customFormat="1" x14ac:dyDescent="0.2"/>
    <row r="448" s="42" customFormat="1" x14ac:dyDescent="0.2"/>
    <row r="449" s="42" customFormat="1" x14ac:dyDescent="0.2"/>
    <row r="450" s="42" customFormat="1" x14ac:dyDescent="0.2"/>
    <row r="451" s="42" customFormat="1" x14ac:dyDescent="0.2"/>
    <row r="452" s="42" customFormat="1" x14ac:dyDescent="0.2"/>
    <row r="453" s="42" customFormat="1" x14ac:dyDescent="0.2"/>
    <row r="454" s="42" customFormat="1" x14ac:dyDescent="0.2"/>
    <row r="455" s="42" customFormat="1" x14ac:dyDescent="0.2"/>
    <row r="456" s="42" customFormat="1" x14ac:dyDescent="0.2"/>
    <row r="457" s="42" customFormat="1" x14ac:dyDescent="0.2"/>
    <row r="458" s="42" customFormat="1" x14ac:dyDescent="0.2"/>
    <row r="459" s="42" customFormat="1" x14ac:dyDescent="0.2"/>
    <row r="460" s="42" customFormat="1" x14ac:dyDescent="0.2"/>
    <row r="461" s="42" customFormat="1" x14ac:dyDescent="0.2"/>
    <row r="462" s="42" customFormat="1" x14ac:dyDescent="0.2"/>
    <row r="463" s="42" customFormat="1" x14ac:dyDescent="0.2"/>
    <row r="464" s="42" customFormat="1" x14ac:dyDescent="0.2"/>
    <row r="465" s="42" customFormat="1" x14ac:dyDescent="0.2"/>
    <row r="466" s="42" customFormat="1" x14ac:dyDescent="0.2"/>
    <row r="467" s="42" customFormat="1" x14ac:dyDescent="0.2"/>
    <row r="468" s="42" customFormat="1" x14ac:dyDescent="0.2"/>
    <row r="469" s="42" customFormat="1" x14ac:dyDescent="0.2"/>
    <row r="470" s="42" customFormat="1" x14ac:dyDescent="0.2"/>
    <row r="471" s="42" customFormat="1" x14ac:dyDescent="0.2"/>
    <row r="472" s="42" customFormat="1" x14ac:dyDescent="0.2"/>
    <row r="473" s="42" customFormat="1" x14ac:dyDescent="0.2"/>
    <row r="474" s="42" customFormat="1" x14ac:dyDescent="0.2"/>
    <row r="475" s="42" customFormat="1" x14ac:dyDescent="0.2"/>
    <row r="476" s="42" customFormat="1" x14ac:dyDescent="0.2"/>
    <row r="477" s="42" customFormat="1" x14ac:dyDescent="0.2"/>
    <row r="478" s="42" customFormat="1" x14ac:dyDescent="0.2"/>
    <row r="479" s="42" customFormat="1" x14ac:dyDescent="0.2"/>
    <row r="480" s="42" customFormat="1" x14ac:dyDescent="0.2"/>
    <row r="481" s="42" customFormat="1" x14ac:dyDescent="0.2"/>
    <row r="482" s="42" customFormat="1" x14ac:dyDescent="0.2"/>
    <row r="483" s="42" customFormat="1" x14ac:dyDescent="0.2"/>
    <row r="484" s="42" customFormat="1" x14ac:dyDescent="0.2"/>
    <row r="485" s="42" customFormat="1" x14ac:dyDescent="0.2"/>
    <row r="486" s="42" customFormat="1" x14ac:dyDescent="0.2"/>
    <row r="487" s="42" customFormat="1" x14ac:dyDescent="0.2"/>
    <row r="488" s="42" customFormat="1" x14ac:dyDescent="0.2"/>
    <row r="489" s="42" customFormat="1" x14ac:dyDescent="0.2"/>
    <row r="490" s="42" customFormat="1" x14ac:dyDescent="0.2"/>
    <row r="491" s="42" customFormat="1" x14ac:dyDescent="0.2"/>
    <row r="492" s="42" customFormat="1" x14ac:dyDescent="0.2"/>
    <row r="493" s="42" customFormat="1" x14ac:dyDescent="0.2"/>
    <row r="494" s="42" customFormat="1" x14ac:dyDescent="0.2"/>
    <row r="495" s="42" customFormat="1" x14ac:dyDescent="0.2"/>
    <row r="496" s="42" customFormat="1" x14ac:dyDescent="0.2"/>
    <row r="497" s="42" customFormat="1" x14ac:dyDescent="0.2"/>
    <row r="498" s="42" customFormat="1" x14ac:dyDescent="0.2"/>
    <row r="499" s="42" customFormat="1" x14ac:dyDescent="0.2"/>
    <row r="500" s="42" customFormat="1" x14ac:dyDescent="0.2"/>
    <row r="501" s="42" customFormat="1" x14ac:dyDescent="0.2"/>
    <row r="502" s="42" customFormat="1" x14ac:dyDescent="0.2"/>
    <row r="503" s="42" customFormat="1" x14ac:dyDescent="0.2"/>
    <row r="504" s="42" customFormat="1" x14ac:dyDescent="0.2"/>
    <row r="505" s="42" customFormat="1" x14ac:dyDescent="0.2"/>
    <row r="506" s="42" customFormat="1" x14ac:dyDescent="0.2"/>
    <row r="507" s="42" customFormat="1" x14ac:dyDescent="0.2"/>
    <row r="508" s="42" customFormat="1" x14ac:dyDescent="0.2"/>
    <row r="509" s="42" customFormat="1" x14ac:dyDescent="0.2"/>
    <row r="510" s="42" customFormat="1" x14ac:dyDescent="0.2"/>
    <row r="511" s="42" customFormat="1" x14ac:dyDescent="0.2"/>
    <row r="512" s="42" customFormat="1" x14ac:dyDescent="0.2"/>
    <row r="513" s="42" customFormat="1" x14ac:dyDescent="0.2"/>
    <row r="514" s="42" customFormat="1" x14ac:dyDescent="0.2"/>
    <row r="515" s="42" customFormat="1" x14ac:dyDescent="0.2"/>
    <row r="516" s="42" customFormat="1" x14ac:dyDescent="0.2"/>
    <row r="517" s="42" customFormat="1" x14ac:dyDescent="0.2"/>
    <row r="518" s="42" customFormat="1" x14ac:dyDescent="0.2"/>
    <row r="519" s="42" customFormat="1" x14ac:dyDescent="0.2"/>
    <row r="520" s="42" customFormat="1" x14ac:dyDescent="0.2"/>
    <row r="521" s="42" customFormat="1" x14ac:dyDescent="0.2"/>
    <row r="522" s="42" customFormat="1" x14ac:dyDescent="0.2"/>
    <row r="523" s="42" customFormat="1" x14ac:dyDescent="0.2"/>
    <row r="524" s="42" customFormat="1" x14ac:dyDescent="0.2"/>
    <row r="525" s="42" customFormat="1" x14ac:dyDescent="0.2"/>
    <row r="526" s="42" customFormat="1" x14ac:dyDescent="0.2"/>
    <row r="527" s="42" customFormat="1" x14ac:dyDescent="0.2"/>
    <row r="528" s="42" customFormat="1" x14ac:dyDescent="0.2"/>
    <row r="529" s="42" customFormat="1" x14ac:dyDescent="0.2"/>
    <row r="530" s="42" customFormat="1" x14ac:dyDescent="0.2"/>
    <row r="531" s="42" customFormat="1" x14ac:dyDescent="0.2"/>
    <row r="532" s="42" customFormat="1" x14ac:dyDescent="0.2"/>
    <row r="533" s="42" customFormat="1" x14ac:dyDescent="0.2"/>
    <row r="534" s="42" customFormat="1" x14ac:dyDescent="0.2"/>
    <row r="535" s="42" customFormat="1" x14ac:dyDescent="0.2"/>
    <row r="536" s="42" customFormat="1" x14ac:dyDescent="0.2"/>
    <row r="537" s="42" customFormat="1" x14ac:dyDescent="0.2"/>
    <row r="538" s="42" customFormat="1" x14ac:dyDescent="0.2"/>
    <row r="539" s="42" customFormat="1" x14ac:dyDescent="0.2"/>
    <row r="540" s="42" customFormat="1" x14ac:dyDescent="0.2"/>
    <row r="541" s="42" customFormat="1" x14ac:dyDescent="0.2"/>
    <row r="542" s="42" customFormat="1" x14ac:dyDescent="0.2"/>
    <row r="543" s="42" customFormat="1" x14ac:dyDescent="0.2"/>
    <row r="544" s="42" customFormat="1" x14ac:dyDescent="0.2"/>
    <row r="545" s="42" customFormat="1" x14ac:dyDescent="0.2"/>
    <row r="546" s="42" customFormat="1" x14ac:dyDescent="0.2"/>
    <row r="547" s="42" customFormat="1" x14ac:dyDescent="0.2"/>
    <row r="548" s="42" customFormat="1" x14ac:dyDescent="0.2"/>
    <row r="549" s="42" customFormat="1" x14ac:dyDescent="0.2"/>
    <row r="550" s="42" customFormat="1" x14ac:dyDescent="0.2"/>
    <row r="551" s="42" customFormat="1" x14ac:dyDescent="0.2"/>
    <row r="552" s="42" customFormat="1" x14ac:dyDescent="0.2"/>
    <row r="553" s="42" customFormat="1" x14ac:dyDescent="0.2"/>
    <row r="554" s="42" customFormat="1" x14ac:dyDescent="0.2"/>
    <row r="555" s="42" customFormat="1" x14ac:dyDescent="0.2"/>
    <row r="556" s="42" customFormat="1" x14ac:dyDescent="0.2"/>
    <row r="557" s="42" customFormat="1" x14ac:dyDescent="0.2"/>
    <row r="558" s="42" customFormat="1" x14ac:dyDescent="0.2"/>
    <row r="559" s="42" customFormat="1" x14ac:dyDescent="0.2"/>
    <row r="560" s="42" customFormat="1" x14ac:dyDescent="0.2"/>
    <row r="561" s="42" customFormat="1" x14ac:dyDescent="0.2"/>
    <row r="562" s="42" customFormat="1" x14ac:dyDescent="0.2"/>
    <row r="563" s="42" customFormat="1" x14ac:dyDescent="0.2"/>
    <row r="564" s="42" customFormat="1" x14ac:dyDescent="0.2"/>
    <row r="565" s="42" customFormat="1" x14ac:dyDescent="0.2"/>
    <row r="566" s="42" customFormat="1" x14ac:dyDescent="0.2"/>
    <row r="567" s="42" customFormat="1" x14ac:dyDescent="0.2"/>
    <row r="568" s="42" customFormat="1" x14ac:dyDescent="0.2"/>
    <row r="569" s="42" customFormat="1" x14ac:dyDescent="0.2"/>
    <row r="570" s="42" customFormat="1" x14ac:dyDescent="0.2"/>
    <row r="571" s="42" customFormat="1" x14ac:dyDescent="0.2"/>
    <row r="572" s="42" customFormat="1" x14ac:dyDescent="0.2"/>
    <row r="573" s="42" customFormat="1" x14ac:dyDescent="0.2"/>
    <row r="574" s="42" customFormat="1" x14ac:dyDescent="0.2"/>
    <row r="575" s="42" customFormat="1" x14ac:dyDescent="0.2"/>
    <row r="576" s="42" customFormat="1" x14ac:dyDescent="0.2"/>
    <row r="577" s="42" customFormat="1" x14ac:dyDescent="0.2"/>
    <row r="578" s="42" customFormat="1" x14ac:dyDescent="0.2"/>
    <row r="579" s="42" customFormat="1" x14ac:dyDescent="0.2"/>
    <row r="580" s="42" customFormat="1" x14ac:dyDescent="0.2"/>
    <row r="581" s="42" customFormat="1" x14ac:dyDescent="0.2"/>
    <row r="582" s="42" customFormat="1" x14ac:dyDescent="0.2"/>
    <row r="583" s="42" customFormat="1" x14ac:dyDescent="0.2"/>
    <row r="584" s="42" customFormat="1" x14ac:dyDescent="0.2"/>
    <row r="585" s="42" customFormat="1" x14ac:dyDescent="0.2"/>
    <row r="586" s="42" customFormat="1" x14ac:dyDescent="0.2"/>
    <row r="587" s="42" customFormat="1" x14ac:dyDescent="0.2"/>
    <row r="588" s="42" customFormat="1" x14ac:dyDescent="0.2"/>
    <row r="589" s="42" customFormat="1" x14ac:dyDescent="0.2"/>
    <row r="590" s="42" customFormat="1" x14ac:dyDescent="0.2"/>
    <row r="591" s="42" customFormat="1" x14ac:dyDescent="0.2"/>
    <row r="592" s="42" customFormat="1" x14ac:dyDescent="0.2"/>
    <row r="593" s="42" customFormat="1" x14ac:dyDescent="0.2"/>
    <row r="594" s="42" customFormat="1" x14ac:dyDescent="0.2"/>
    <row r="595" s="42" customFormat="1" x14ac:dyDescent="0.2"/>
    <row r="596" s="42" customFormat="1" x14ac:dyDescent="0.2"/>
    <row r="597" s="42" customFormat="1" x14ac:dyDescent="0.2"/>
    <row r="598" s="42" customFormat="1" x14ac:dyDescent="0.2"/>
    <row r="599" s="42" customFormat="1" x14ac:dyDescent="0.2"/>
    <row r="600" s="42" customFormat="1" x14ac:dyDescent="0.2"/>
    <row r="601" s="42" customFormat="1" x14ac:dyDescent="0.2"/>
    <row r="602" s="42" customFormat="1" x14ac:dyDescent="0.2"/>
    <row r="603" s="42" customFormat="1" x14ac:dyDescent="0.2"/>
    <row r="604" s="42" customFormat="1" x14ac:dyDescent="0.2"/>
    <row r="605" s="42" customFormat="1" x14ac:dyDescent="0.2"/>
    <row r="606" s="42" customFormat="1" x14ac:dyDescent="0.2"/>
    <row r="607" s="42" customFormat="1" x14ac:dyDescent="0.2"/>
    <row r="608" s="42" customFormat="1" x14ac:dyDescent="0.2"/>
    <row r="609" s="42" customFormat="1" x14ac:dyDescent="0.2"/>
    <row r="610" s="42" customFormat="1" x14ac:dyDescent="0.2"/>
    <row r="611" s="42" customFormat="1" x14ac:dyDescent="0.2"/>
    <row r="612" s="42" customFormat="1" x14ac:dyDescent="0.2"/>
    <row r="613" s="42" customFormat="1" x14ac:dyDescent="0.2"/>
    <row r="614" s="42" customFormat="1" x14ac:dyDescent="0.2"/>
    <row r="615" s="42" customFormat="1" x14ac:dyDescent="0.2"/>
    <row r="616" s="42" customFormat="1" x14ac:dyDescent="0.2"/>
    <row r="617" s="42" customFormat="1" x14ac:dyDescent="0.2"/>
    <row r="618" s="42" customFormat="1" x14ac:dyDescent="0.2"/>
    <row r="619" s="42" customFormat="1" x14ac:dyDescent="0.2"/>
    <row r="620" s="42" customFormat="1" x14ac:dyDescent="0.2"/>
    <row r="621" s="42" customFormat="1" x14ac:dyDescent="0.2"/>
    <row r="622" s="42" customFormat="1" x14ac:dyDescent="0.2"/>
    <row r="623" s="42" customFormat="1" x14ac:dyDescent="0.2"/>
    <row r="624" s="42" customFormat="1" x14ac:dyDescent="0.2"/>
    <row r="625" s="42" customFormat="1" x14ac:dyDescent="0.2"/>
    <row r="626" s="42" customFormat="1" x14ac:dyDescent="0.2"/>
    <row r="627" s="42" customFormat="1" x14ac:dyDescent="0.2"/>
    <row r="628" s="42" customFormat="1" x14ac:dyDescent="0.2"/>
    <row r="629" s="42" customFormat="1" x14ac:dyDescent="0.2"/>
    <row r="630" s="42" customFormat="1" x14ac:dyDescent="0.2"/>
    <row r="631" s="42" customFormat="1" x14ac:dyDescent="0.2"/>
    <row r="632" s="42" customFormat="1" x14ac:dyDescent="0.2"/>
    <row r="633" s="42" customFormat="1" x14ac:dyDescent="0.2"/>
    <row r="634" s="42" customFormat="1" x14ac:dyDescent="0.2"/>
    <row r="635" s="42" customFormat="1" x14ac:dyDescent="0.2"/>
    <row r="636" s="42" customFormat="1" x14ac:dyDescent="0.2"/>
    <row r="637" s="42" customFormat="1" x14ac:dyDescent="0.2"/>
    <row r="638" s="42" customFormat="1" x14ac:dyDescent="0.2"/>
    <row r="639" s="42" customFormat="1" x14ac:dyDescent="0.2"/>
    <row r="640" s="42" customFormat="1" x14ac:dyDescent="0.2"/>
    <row r="641" s="42" customFormat="1" x14ac:dyDescent="0.2"/>
    <row r="642" s="42" customFormat="1" x14ac:dyDescent="0.2"/>
    <row r="643" s="42" customFormat="1" x14ac:dyDescent="0.2"/>
    <row r="644" s="42" customFormat="1" x14ac:dyDescent="0.2"/>
    <row r="645" s="42" customFormat="1" x14ac:dyDescent="0.2"/>
    <row r="646" s="42" customFormat="1" x14ac:dyDescent="0.2"/>
    <row r="647" s="42" customFormat="1" x14ac:dyDescent="0.2"/>
    <row r="648" s="42" customFormat="1" x14ac:dyDescent="0.2"/>
    <row r="649" s="42" customFormat="1" x14ac:dyDescent="0.2"/>
    <row r="650" s="42" customFormat="1" x14ac:dyDescent="0.2"/>
    <row r="651" s="42" customFormat="1" x14ac:dyDescent="0.2"/>
    <row r="652" s="42" customFormat="1" x14ac:dyDescent="0.2"/>
    <row r="653" s="42" customFormat="1" x14ac:dyDescent="0.2"/>
    <row r="654" s="42" customFormat="1" x14ac:dyDescent="0.2"/>
    <row r="655" s="42" customFormat="1" x14ac:dyDescent="0.2"/>
    <row r="656" s="42" customFormat="1" x14ac:dyDescent="0.2"/>
    <row r="657" s="42" customFormat="1" x14ac:dyDescent="0.2"/>
    <row r="658" s="42" customFormat="1" x14ac:dyDescent="0.2"/>
    <row r="659" s="42" customFormat="1" x14ac:dyDescent="0.2"/>
    <row r="660" s="42" customFormat="1" x14ac:dyDescent="0.2"/>
    <row r="661" s="42" customFormat="1" x14ac:dyDescent="0.2"/>
    <row r="662" s="42" customFormat="1" x14ac:dyDescent="0.2"/>
    <row r="663" s="42" customFormat="1" x14ac:dyDescent="0.2"/>
    <row r="664" s="42" customFormat="1" x14ac:dyDescent="0.2"/>
    <row r="665" s="42" customFormat="1" x14ac:dyDescent="0.2"/>
    <row r="666" s="42" customFormat="1" x14ac:dyDescent="0.2"/>
    <row r="667" s="42" customFormat="1" x14ac:dyDescent="0.2"/>
    <row r="668" s="42" customFormat="1" x14ac:dyDescent="0.2"/>
    <row r="669" s="42" customFormat="1" x14ac:dyDescent="0.2"/>
    <row r="670" s="42" customFormat="1" x14ac:dyDescent="0.2"/>
    <row r="671" s="42" customFormat="1" x14ac:dyDescent="0.2"/>
    <row r="672" s="42" customFormat="1" x14ac:dyDescent="0.2"/>
    <row r="673" s="42" customFormat="1" x14ac:dyDescent="0.2"/>
    <row r="674" s="42" customFormat="1" x14ac:dyDescent="0.2"/>
    <row r="675" s="42" customFormat="1" x14ac:dyDescent="0.2"/>
    <row r="676" s="42" customFormat="1" x14ac:dyDescent="0.2"/>
    <row r="677" s="42" customFormat="1" x14ac:dyDescent="0.2"/>
    <row r="678" s="42" customFormat="1" x14ac:dyDescent="0.2"/>
    <row r="679" s="42" customFormat="1" x14ac:dyDescent="0.2"/>
    <row r="680" s="42" customFormat="1" x14ac:dyDescent="0.2"/>
    <row r="681" s="42" customFormat="1" x14ac:dyDescent="0.2"/>
    <row r="682" s="42" customFormat="1" x14ac:dyDescent="0.2"/>
    <row r="683" s="42" customFormat="1" x14ac:dyDescent="0.2"/>
    <row r="684" s="42" customFormat="1" x14ac:dyDescent="0.2"/>
    <row r="685" s="42" customFormat="1" x14ac:dyDescent="0.2"/>
    <row r="686" s="42" customFormat="1" x14ac:dyDescent="0.2"/>
    <row r="687" s="42" customFormat="1" x14ac:dyDescent="0.2"/>
    <row r="688" s="42" customFormat="1" x14ac:dyDescent="0.2"/>
    <row r="689" s="42" customFormat="1" x14ac:dyDescent="0.2"/>
    <row r="690" s="42" customFormat="1" x14ac:dyDescent="0.2"/>
    <row r="691" s="42" customFormat="1" x14ac:dyDescent="0.2"/>
    <row r="692" s="42" customFormat="1" x14ac:dyDescent="0.2"/>
    <row r="693" s="42" customFormat="1" x14ac:dyDescent="0.2"/>
    <row r="694" s="42" customFormat="1" x14ac:dyDescent="0.2"/>
    <row r="695" s="42" customFormat="1" x14ac:dyDescent="0.2"/>
    <row r="696" s="42" customFormat="1" x14ac:dyDescent="0.2"/>
    <row r="697" s="42" customFormat="1" x14ac:dyDescent="0.2"/>
    <row r="698" s="42" customFormat="1" x14ac:dyDescent="0.2"/>
    <row r="699" s="42" customFormat="1" x14ac:dyDescent="0.2"/>
    <row r="700" s="42" customFormat="1" x14ac:dyDescent="0.2"/>
    <row r="701" s="42" customFormat="1" x14ac:dyDescent="0.2"/>
    <row r="702" s="42" customFormat="1" x14ac:dyDescent="0.2"/>
    <row r="703" s="42" customFormat="1" x14ac:dyDescent="0.2"/>
    <row r="704" s="42" customFormat="1" x14ac:dyDescent="0.2"/>
    <row r="705" s="42" customFormat="1" x14ac:dyDescent="0.2"/>
    <row r="706" s="42" customFormat="1" x14ac:dyDescent="0.2"/>
    <row r="707" s="42" customFormat="1" x14ac:dyDescent="0.2"/>
    <row r="708" s="42" customFormat="1" x14ac:dyDescent="0.2"/>
    <row r="709" s="42" customFormat="1" x14ac:dyDescent="0.2"/>
    <row r="710" s="42" customFormat="1" x14ac:dyDescent="0.2"/>
    <row r="711" s="42" customFormat="1" x14ac:dyDescent="0.2"/>
    <row r="712" s="42" customFormat="1" x14ac:dyDescent="0.2"/>
    <row r="713" s="42" customFormat="1" x14ac:dyDescent="0.2"/>
    <row r="714" s="42" customFormat="1" x14ac:dyDescent="0.2"/>
    <row r="715" s="42" customFormat="1" x14ac:dyDescent="0.2"/>
    <row r="716" s="42" customFormat="1" x14ac:dyDescent="0.2"/>
    <row r="717" s="42" customFormat="1" x14ac:dyDescent="0.2"/>
    <row r="718" s="42" customFormat="1" x14ac:dyDescent="0.2"/>
    <row r="719" s="42" customFormat="1" x14ac:dyDescent="0.2"/>
    <row r="720" s="42" customFormat="1" x14ac:dyDescent="0.2"/>
    <row r="721" s="42" customFormat="1" x14ac:dyDescent="0.2"/>
    <row r="722" s="42" customFormat="1" x14ac:dyDescent="0.2"/>
    <row r="723" s="42" customFormat="1" x14ac:dyDescent="0.2"/>
    <row r="724" s="42" customFormat="1" x14ac:dyDescent="0.2"/>
    <row r="725" s="42" customFormat="1" x14ac:dyDescent="0.2"/>
    <row r="726" s="42" customFormat="1" x14ac:dyDescent="0.2"/>
    <row r="727" s="42" customFormat="1" x14ac:dyDescent="0.2"/>
    <row r="728" s="42" customFormat="1" x14ac:dyDescent="0.2"/>
    <row r="729" s="42" customFormat="1" x14ac:dyDescent="0.2"/>
    <row r="730" s="42" customFormat="1" x14ac:dyDescent="0.2"/>
    <row r="731" s="42" customFormat="1" x14ac:dyDescent="0.2"/>
    <row r="732" s="42" customFormat="1" x14ac:dyDescent="0.2"/>
    <row r="733" s="42" customFormat="1" x14ac:dyDescent="0.2"/>
    <row r="734" s="42" customFormat="1" x14ac:dyDescent="0.2"/>
    <row r="735" s="42" customFormat="1" x14ac:dyDescent="0.2"/>
    <row r="736" s="42" customFormat="1" x14ac:dyDescent="0.2"/>
    <row r="737" s="42" customFormat="1" x14ac:dyDescent="0.2"/>
    <row r="738" s="42" customFormat="1" x14ac:dyDescent="0.2"/>
    <row r="739" s="42" customFormat="1" x14ac:dyDescent="0.2"/>
    <row r="740" s="42" customFormat="1" x14ac:dyDescent="0.2"/>
    <row r="741" s="42" customFormat="1" x14ac:dyDescent="0.2"/>
    <row r="742" s="42" customFormat="1" x14ac:dyDescent="0.2"/>
    <row r="743" s="42" customFormat="1" x14ac:dyDescent="0.2"/>
    <row r="744" s="42" customFormat="1" x14ac:dyDescent="0.2"/>
    <row r="745" s="42" customFormat="1" x14ac:dyDescent="0.2"/>
    <row r="746" s="42" customFormat="1" x14ac:dyDescent="0.2"/>
    <row r="747" s="42" customFormat="1" x14ac:dyDescent="0.2"/>
    <row r="748" s="42" customFormat="1" x14ac:dyDescent="0.2"/>
    <row r="749" s="42" customFormat="1" x14ac:dyDescent="0.2"/>
    <row r="750" s="42" customFormat="1" x14ac:dyDescent="0.2"/>
    <row r="751" s="42" customFormat="1" x14ac:dyDescent="0.2"/>
    <row r="752" s="42" customFormat="1" x14ac:dyDescent="0.2"/>
    <row r="753" s="42" customFormat="1" x14ac:dyDescent="0.2"/>
    <row r="754" s="42" customFormat="1" x14ac:dyDescent="0.2"/>
    <row r="755" s="42" customFormat="1" x14ac:dyDescent="0.2"/>
    <row r="756" s="42" customFormat="1" x14ac:dyDescent="0.2"/>
    <row r="757" s="42" customFormat="1" x14ac:dyDescent="0.2"/>
    <row r="758" s="42" customFormat="1" x14ac:dyDescent="0.2"/>
    <row r="759" s="42" customFormat="1" x14ac:dyDescent="0.2"/>
    <row r="760" s="42" customFormat="1" x14ac:dyDescent="0.2"/>
    <row r="761" s="42" customFormat="1" x14ac:dyDescent="0.2"/>
    <row r="762" s="42" customFormat="1" x14ac:dyDescent="0.2"/>
    <row r="763" s="42" customFormat="1" x14ac:dyDescent="0.2"/>
    <row r="764" s="42" customFormat="1" x14ac:dyDescent="0.2"/>
    <row r="765" s="42" customFormat="1" x14ac:dyDescent="0.2"/>
    <row r="766" s="42" customFormat="1" x14ac:dyDescent="0.2"/>
    <row r="767" s="42" customFormat="1" x14ac:dyDescent="0.2"/>
    <row r="768" s="42" customFormat="1" x14ac:dyDescent="0.2"/>
    <row r="769" s="42" customFormat="1" x14ac:dyDescent="0.2"/>
    <row r="770" s="42" customFormat="1" x14ac:dyDescent="0.2"/>
    <row r="771" s="42" customFormat="1" x14ac:dyDescent="0.2"/>
    <row r="772" s="42" customFormat="1" x14ac:dyDescent="0.2"/>
    <row r="773" s="42" customFormat="1" x14ac:dyDescent="0.2"/>
    <row r="774" s="42" customFormat="1" x14ac:dyDescent="0.2"/>
    <row r="775" s="42" customFormat="1" x14ac:dyDescent="0.2"/>
    <row r="776" s="42" customFormat="1" x14ac:dyDescent="0.2"/>
    <row r="777" s="42" customFormat="1" x14ac:dyDescent="0.2"/>
    <row r="778" s="42" customFormat="1" x14ac:dyDescent="0.2"/>
    <row r="779" s="42" customFormat="1" x14ac:dyDescent="0.2"/>
    <row r="780" s="42" customFormat="1" x14ac:dyDescent="0.2"/>
    <row r="781" s="42" customFormat="1" x14ac:dyDescent="0.2"/>
    <row r="782" s="42" customFormat="1" x14ac:dyDescent="0.2"/>
    <row r="783" s="42" customFormat="1" x14ac:dyDescent="0.2"/>
    <row r="784" s="42" customFormat="1" x14ac:dyDescent="0.2"/>
    <row r="785" s="42" customFormat="1" x14ac:dyDescent="0.2"/>
    <row r="786" s="42" customFormat="1" x14ac:dyDescent="0.2"/>
    <row r="787" s="42" customFormat="1" x14ac:dyDescent="0.2"/>
    <row r="788" s="42" customFormat="1" x14ac:dyDescent="0.2"/>
    <row r="789" s="42" customFormat="1" x14ac:dyDescent="0.2"/>
    <row r="790" s="42" customFormat="1" x14ac:dyDescent="0.2"/>
    <row r="791" s="42" customFormat="1" x14ac:dyDescent="0.2"/>
    <row r="792" s="42" customFormat="1" x14ac:dyDescent="0.2"/>
    <row r="793" s="42" customFormat="1" x14ac:dyDescent="0.2"/>
    <row r="794" s="42" customFormat="1" x14ac:dyDescent="0.2"/>
    <row r="795" s="42" customFormat="1" x14ac:dyDescent="0.2"/>
    <row r="796" s="42" customFormat="1" x14ac:dyDescent="0.2"/>
    <row r="797" s="42" customFormat="1" x14ac:dyDescent="0.2"/>
    <row r="798" s="42" customFormat="1" x14ac:dyDescent="0.2"/>
    <row r="799" s="42" customFormat="1" x14ac:dyDescent="0.2"/>
    <row r="800" s="42" customFormat="1" x14ac:dyDescent="0.2"/>
    <row r="801" s="42" customFormat="1" x14ac:dyDescent="0.2"/>
    <row r="802" s="42" customFormat="1" x14ac:dyDescent="0.2"/>
    <row r="803" s="42" customFormat="1" x14ac:dyDescent="0.2"/>
    <row r="804" s="42" customFormat="1" x14ac:dyDescent="0.2"/>
    <row r="805" s="42" customFormat="1" x14ac:dyDescent="0.2"/>
    <row r="806" s="42" customFormat="1" x14ac:dyDescent="0.2"/>
    <row r="807" s="42" customFormat="1" x14ac:dyDescent="0.2"/>
    <row r="808" s="42" customFormat="1" x14ac:dyDescent="0.2"/>
    <row r="809" s="42" customFormat="1" x14ac:dyDescent="0.2"/>
    <row r="810" s="42" customFormat="1" x14ac:dyDescent="0.2"/>
    <row r="811" s="42" customFormat="1" x14ac:dyDescent="0.2"/>
    <row r="812" s="42" customFormat="1" x14ac:dyDescent="0.2"/>
    <row r="813" s="42" customFormat="1" x14ac:dyDescent="0.2"/>
    <row r="814" s="42" customFormat="1" x14ac:dyDescent="0.2"/>
    <row r="815" s="42" customFormat="1" x14ac:dyDescent="0.2"/>
    <row r="816" s="42" customFormat="1" x14ac:dyDescent="0.2"/>
    <row r="817" s="42" customFormat="1" x14ac:dyDescent="0.2"/>
    <row r="818" s="42" customFormat="1" x14ac:dyDescent="0.2"/>
    <row r="819" s="42" customFormat="1" x14ac:dyDescent="0.2"/>
    <row r="820" s="42" customFormat="1" x14ac:dyDescent="0.2"/>
    <row r="821" s="42" customFormat="1" x14ac:dyDescent="0.2"/>
    <row r="822" s="42" customFormat="1" x14ac:dyDescent="0.2"/>
    <row r="823" s="42" customFormat="1" x14ac:dyDescent="0.2"/>
    <row r="824" s="42" customFormat="1" x14ac:dyDescent="0.2"/>
    <row r="825" s="42" customFormat="1" x14ac:dyDescent="0.2"/>
    <row r="826" s="42" customFormat="1" x14ac:dyDescent="0.2"/>
    <row r="827" s="42" customFormat="1" x14ac:dyDescent="0.2"/>
    <row r="828" s="42" customFormat="1" x14ac:dyDescent="0.2"/>
    <row r="829" s="42" customFormat="1" x14ac:dyDescent="0.2"/>
    <row r="830" s="42" customFormat="1" x14ac:dyDescent="0.2"/>
    <row r="831" s="42" customFormat="1" x14ac:dyDescent="0.2"/>
    <row r="832" s="42" customFormat="1" x14ac:dyDescent="0.2"/>
    <row r="833" s="42" customFormat="1" x14ac:dyDescent="0.2"/>
    <row r="834" s="42" customFormat="1" x14ac:dyDescent="0.2"/>
    <row r="835" s="42" customFormat="1" x14ac:dyDescent="0.2"/>
    <row r="836" s="42" customFormat="1" x14ac:dyDescent="0.2"/>
    <row r="837" s="42" customFormat="1" x14ac:dyDescent="0.2"/>
    <row r="838" s="42" customFormat="1" x14ac:dyDescent="0.2"/>
    <row r="839" s="42" customFormat="1" x14ac:dyDescent="0.2"/>
    <row r="840" s="42" customFormat="1" x14ac:dyDescent="0.2"/>
    <row r="841" s="42" customFormat="1" x14ac:dyDescent="0.2"/>
    <row r="842" s="42" customFormat="1" x14ac:dyDescent="0.2"/>
    <row r="843" s="42" customFormat="1" x14ac:dyDescent="0.2"/>
    <row r="844" s="42" customFormat="1" x14ac:dyDescent="0.2"/>
    <row r="845" s="42" customFormat="1" x14ac:dyDescent="0.2"/>
    <row r="846" s="42" customFormat="1" x14ac:dyDescent="0.2"/>
    <row r="847" s="42" customFormat="1" x14ac:dyDescent="0.2"/>
    <row r="848" s="42" customFormat="1" x14ac:dyDescent="0.2"/>
    <row r="849" s="42" customFormat="1" x14ac:dyDescent="0.2"/>
    <row r="850" s="42" customFormat="1" x14ac:dyDescent="0.2"/>
    <row r="851" s="42" customFormat="1" x14ac:dyDescent="0.2"/>
    <row r="852" s="42" customFormat="1" x14ac:dyDescent="0.2"/>
    <row r="853" s="42" customFormat="1" x14ac:dyDescent="0.2"/>
    <row r="854" s="42" customFormat="1" x14ac:dyDescent="0.2"/>
    <row r="855" s="42" customFormat="1" x14ac:dyDescent="0.2"/>
    <row r="856" s="42" customFormat="1" x14ac:dyDescent="0.2"/>
    <row r="857" s="42" customFormat="1" x14ac:dyDescent="0.2"/>
    <row r="858" s="42" customFormat="1" x14ac:dyDescent="0.2"/>
    <row r="859" s="42" customFormat="1" x14ac:dyDescent="0.2"/>
    <row r="860" s="42" customFormat="1" x14ac:dyDescent="0.2"/>
    <row r="861" s="42" customFormat="1" x14ac:dyDescent="0.2"/>
    <row r="862" s="42" customFormat="1" x14ac:dyDescent="0.2"/>
    <row r="863" s="42" customFormat="1" x14ac:dyDescent="0.2"/>
    <row r="864" s="42" customFormat="1" x14ac:dyDescent="0.2"/>
    <row r="865" s="42" customFormat="1" x14ac:dyDescent="0.2"/>
    <row r="866" s="42" customFormat="1" x14ac:dyDescent="0.2"/>
    <row r="867" s="42" customFormat="1" x14ac:dyDescent="0.2"/>
    <row r="868" s="42" customFormat="1" x14ac:dyDescent="0.2"/>
    <row r="869" s="42" customFormat="1" x14ac:dyDescent="0.2"/>
    <row r="870" s="42" customFormat="1" x14ac:dyDescent="0.2"/>
    <row r="871" s="42" customFormat="1" x14ac:dyDescent="0.2"/>
    <row r="872" s="42" customFormat="1" x14ac:dyDescent="0.2"/>
    <row r="873" s="42" customFormat="1" x14ac:dyDescent="0.2"/>
    <row r="874" s="42" customFormat="1" x14ac:dyDescent="0.2"/>
    <row r="875" s="42" customFormat="1" x14ac:dyDescent="0.2"/>
    <row r="876" s="42" customFormat="1" x14ac:dyDescent="0.2"/>
    <row r="877" s="42" customFormat="1" x14ac:dyDescent="0.2"/>
    <row r="878" s="42" customFormat="1" x14ac:dyDescent="0.2"/>
    <row r="879" s="42" customFormat="1" x14ac:dyDescent="0.2"/>
    <row r="880" s="42" customFormat="1" x14ac:dyDescent="0.2"/>
    <row r="881" s="42" customFormat="1" x14ac:dyDescent="0.2"/>
    <row r="882" s="42" customFormat="1" x14ac:dyDescent="0.2"/>
    <row r="883" s="42" customFormat="1" x14ac:dyDescent="0.2"/>
    <row r="884" s="42" customFormat="1" x14ac:dyDescent="0.2"/>
    <row r="885" s="42" customFormat="1" x14ac:dyDescent="0.2"/>
    <row r="886" s="42" customFormat="1" x14ac:dyDescent="0.2"/>
    <row r="887" s="42" customFormat="1" x14ac:dyDescent="0.2"/>
    <row r="888" s="42" customFormat="1" x14ac:dyDescent="0.2"/>
    <row r="889" s="42" customFormat="1" x14ac:dyDescent="0.2"/>
    <row r="890" s="42" customFormat="1" x14ac:dyDescent="0.2"/>
    <row r="891" s="42" customFormat="1" x14ac:dyDescent="0.2"/>
    <row r="892" s="42" customFormat="1" x14ac:dyDescent="0.2"/>
    <row r="893" s="42" customFormat="1" x14ac:dyDescent="0.2"/>
    <row r="894" s="42" customFormat="1" x14ac:dyDescent="0.2"/>
    <row r="895" s="42" customFormat="1" x14ac:dyDescent="0.2"/>
    <row r="896" s="42" customFormat="1" x14ac:dyDescent="0.2"/>
    <row r="897" s="42" customFormat="1" x14ac:dyDescent="0.2"/>
    <row r="898" s="42" customFormat="1" x14ac:dyDescent="0.2"/>
    <row r="899" s="42" customFormat="1" x14ac:dyDescent="0.2"/>
    <row r="900" s="42" customFormat="1" x14ac:dyDescent="0.2"/>
    <row r="901" s="42" customFormat="1" x14ac:dyDescent="0.2"/>
    <row r="902" s="42" customFormat="1" x14ac:dyDescent="0.2"/>
    <row r="903" s="42" customFormat="1" x14ac:dyDescent="0.2"/>
    <row r="904" s="42" customFormat="1" x14ac:dyDescent="0.2"/>
    <row r="905" s="42" customFormat="1" x14ac:dyDescent="0.2"/>
    <row r="906" s="42" customFormat="1" x14ac:dyDescent="0.2"/>
    <row r="907" s="42" customFormat="1" x14ac:dyDescent="0.2"/>
    <row r="908" s="42" customFormat="1" x14ac:dyDescent="0.2"/>
    <row r="909" s="42" customFormat="1" x14ac:dyDescent="0.2"/>
    <row r="910" s="42" customFormat="1" x14ac:dyDescent="0.2"/>
    <row r="911" s="42" customFormat="1" x14ac:dyDescent="0.2"/>
    <row r="912" s="42" customFormat="1" x14ac:dyDescent="0.2"/>
    <row r="913" s="42" customFormat="1" x14ac:dyDescent="0.2"/>
    <row r="914" s="42" customFormat="1" x14ac:dyDescent="0.2"/>
    <row r="915" s="42" customFormat="1" x14ac:dyDescent="0.2"/>
    <row r="916" s="42" customFormat="1" x14ac:dyDescent="0.2"/>
    <row r="917" s="42" customFormat="1" x14ac:dyDescent="0.2"/>
    <row r="918" s="42" customFormat="1" x14ac:dyDescent="0.2"/>
    <row r="919" s="42" customFormat="1" x14ac:dyDescent="0.2"/>
    <row r="920" s="42" customFormat="1" x14ac:dyDescent="0.2"/>
    <row r="921" s="42" customFormat="1" x14ac:dyDescent="0.2"/>
    <row r="922" s="42" customFormat="1" x14ac:dyDescent="0.2"/>
    <row r="923" s="42" customFormat="1" x14ac:dyDescent="0.2"/>
    <row r="924" s="42" customFormat="1" x14ac:dyDescent="0.2"/>
    <row r="925" s="42" customFormat="1" x14ac:dyDescent="0.2"/>
    <row r="926" s="42" customFormat="1" x14ac:dyDescent="0.2"/>
    <row r="927" s="42" customFormat="1" x14ac:dyDescent="0.2"/>
    <row r="928" s="42" customFormat="1" x14ac:dyDescent="0.2"/>
    <row r="929" s="42" customFormat="1" x14ac:dyDescent="0.2"/>
    <row r="930" s="42" customFormat="1" x14ac:dyDescent="0.2"/>
    <row r="931" s="42" customFormat="1" x14ac:dyDescent="0.2"/>
    <row r="932" s="42" customFormat="1" x14ac:dyDescent="0.2"/>
    <row r="933" s="42" customFormat="1" x14ac:dyDescent="0.2"/>
    <row r="934" s="42" customFormat="1" x14ac:dyDescent="0.2"/>
    <row r="935" s="42" customFormat="1" x14ac:dyDescent="0.2"/>
    <row r="936" s="42" customFormat="1" x14ac:dyDescent="0.2"/>
    <row r="937" s="42" customFormat="1" x14ac:dyDescent="0.2"/>
    <row r="938" s="42" customFormat="1" x14ac:dyDescent="0.2"/>
    <row r="939" s="42" customFormat="1" x14ac:dyDescent="0.2"/>
    <row r="940" s="42" customFormat="1" x14ac:dyDescent="0.2"/>
    <row r="941" s="42" customFormat="1" x14ac:dyDescent="0.2"/>
    <row r="942" s="42" customFormat="1" x14ac:dyDescent="0.2"/>
    <row r="943" s="42" customFormat="1" x14ac:dyDescent="0.2"/>
    <row r="944" s="42" customFormat="1" x14ac:dyDescent="0.2"/>
    <row r="945" s="42" customFormat="1" x14ac:dyDescent="0.2"/>
    <row r="946" s="42" customFormat="1" x14ac:dyDescent="0.2"/>
    <row r="947" s="42" customFormat="1" x14ac:dyDescent="0.2"/>
    <row r="948" s="42" customFormat="1" x14ac:dyDescent="0.2"/>
    <row r="949" s="42" customFormat="1" x14ac:dyDescent="0.2"/>
    <row r="950" s="42" customFormat="1" x14ac:dyDescent="0.2"/>
    <row r="951" s="42" customFormat="1" x14ac:dyDescent="0.2"/>
    <row r="952" s="42" customFormat="1" x14ac:dyDescent="0.2"/>
    <row r="953" s="42" customFormat="1" x14ac:dyDescent="0.2"/>
    <row r="954" s="42" customFormat="1" x14ac:dyDescent="0.2"/>
    <row r="955" s="42" customFormat="1" x14ac:dyDescent="0.2"/>
    <row r="956" s="42" customFormat="1" x14ac:dyDescent="0.2"/>
    <row r="957" s="42" customFormat="1" x14ac:dyDescent="0.2"/>
    <row r="958" s="42" customFormat="1" x14ac:dyDescent="0.2"/>
    <row r="959" s="42" customFormat="1" x14ac:dyDescent="0.2"/>
    <row r="960" s="42" customFormat="1" x14ac:dyDescent="0.2"/>
    <row r="961" s="42" customFormat="1" x14ac:dyDescent="0.2"/>
    <row r="962" s="42" customFormat="1" x14ac:dyDescent="0.2"/>
    <row r="963" s="42" customFormat="1" x14ac:dyDescent="0.2"/>
    <row r="964" s="42" customFormat="1" x14ac:dyDescent="0.2"/>
    <row r="965" s="42" customFormat="1" x14ac:dyDescent="0.2"/>
    <row r="966" s="42" customFormat="1" x14ac:dyDescent="0.2"/>
    <row r="967" s="42" customFormat="1" x14ac:dyDescent="0.2"/>
    <row r="968" s="42" customFormat="1" x14ac:dyDescent="0.2"/>
    <row r="969" s="42" customFormat="1" x14ac:dyDescent="0.2"/>
    <row r="970" s="42" customFormat="1" x14ac:dyDescent="0.2"/>
    <row r="971" s="42" customFormat="1" x14ac:dyDescent="0.2"/>
    <row r="972" s="42" customFormat="1" x14ac:dyDescent="0.2"/>
    <row r="973" s="42" customFormat="1" x14ac:dyDescent="0.2"/>
    <row r="974" s="42" customFormat="1" x14ac:dyDescent="0.2"/>
    <row r="975" s="42" customFormat="1" x14ac:dyDescent="0.2"/>
    <row r="976" s="42" customFormat="1" x14ac:dyDescent="0.2"/>
    <row r="977" s="42" customFormat="1" x14ac:dyDescent="0.2"/>
    <row r="978" s="42" customFormat="1" x14ac:dyDescent="0.2"/>
    <row r="979" s="42" customFormat="1" x14ac:dyDescent="0.2"/>
    <row r="980" s="42" customFormat="1" x14ac:dyDescent="0.2"/>
    <row r="981" s="42" customFormat="1" x14ac:dyDescent="0.2"/>
    <row r="982" s="42" customFormat="1" x14ac:dyDescent="0.2"/>
    <row r="983" s="42" customFormat="1" x14ac:dyDescent="0.2"/>
    <row r="984" s="42" customFormat="1" x14ac:dyDescent="0.2"/>
    <row r="985" s="42" customFormat="1" x14ac:dyDescent="0.2"/>
    <row r="986" s="42" customFormat="1" x14ac:dyDescent="0.2"/>
    <row r="987" s="42" customFormat="1" x14ac:dyDescent="0.2"/>
    <row r="988" s="42" customFormat="1" x14ac:dyDescent="0.2"/>
    <row r="989" s="42" customFormat="1" x14ac:dyDescent="0.2"/>
    <row r="990" s="42" customFormat="1" x14ac:dyDescent="0.2"/>
    <row r="991" s="42" customFormat="1" x14ac:dyDescent="0.2"/>
    <row r="992" s="42" customFormat="1" x14ac:dyDescent="0.2"/>
    <row r="993" s="42" customFormat="1" x14ac:dyDescent="0.2"/>
    <row r="994" s="42" customFormat="1" x14ac:dyDescent="0.2"/>
    <row r="995" s="42" customFormat="1" x14ac:dyDescent="0.2"/>
    <row r="996" s="42" customFormat="1" x14ac:dyDescent="0.2"/>
    <row r="997" s="42" customFormat="1" x14ac:dyDescent="0.2"/>
    <row r="998" s="42" customFormat="1" x14ac:dyDescent="0.2"/>
    <row r="999" s="42" customFormat="1" x14ac:dyDescent="0.2"/>
    <row r="1000" s="42" customFormat="1" x14ac:dyDescent="0.2"/>
  </sheetData>
  <sheetProtection formatCells="0" formatColumns="0" formatRows="0" sort="0" autoFilter="0"/>
  <mergeCells count="31">
    <mergeCell ref="B3:N3"/>
    <mergeCell ref="B7:N7"/>
    <mergeCell ref="B16:N16"/>
    <mergeCell ref="E18:N18"/>
    <mergeCell ref="E19:N19"/>
    <mergeCell ref="B172:N172"/>
    <mergeCell ref="B174:N174"/>
    <mergeCell ref="B104:O104"/>
    <mergeCell ref="B105:O105"/>
    <mergeCell ref="B114:N114"/>
    <mergeCell ref="E116:N116"/>
    <mergeCell ref="B118:N118"/>
    <mergeCell ref="B115:N115"/>
    <mergeCell ref="B20:N20"/>
    <mergeCell ref="B22:N22"/>
    <mergeCell ref="F24:N24"/>
    <mergeCell ref="B29:N29"/>
    <mergeCell ref="B38:N38"/>
    <mergeCell ref="B40:N40"/>
    <mergeCell ref="E47:N47"/>
    <mergeCell ref="B54:N54"/>
    <mergeCell ref="E64:N64"/>
    <mergeCell ref="I143:N143"/>
    <mergeCell ref="B142:N142"/>
    <mergeCell ref="B151:N151"/>
    <mergeCell ref="B152:N152"/>
    <mergeCell ref="B66:N66"/>
    <mergeCell ref="B72:N72"/>
    <mergeCell ref="B78:N78"/>
    <mergeCell ref="B80:N80"/>
    <mergeCell ref="B79:N79"/>
  </mergeCells>
  <conditionalFormatting sqref="B79">
    <cfRule type="expression" dxfId="34" priority="3">
      <formula>$C$18="Planned"</formula>
    </cfRule>
    <cfRule type="expression" dxfId="33" priority="4">
      <formula>$C$18="Capacity"</formula>
    </cfRule>
  </conditionalFormatting>
  <conditionalFormatting sqref="B115">
    <cfRule type="expression" dxfId="32" priority="5">
      <formula>$C$18="Capacity"</formula>
    </cfRule>
    <cfRule type="expression" dxfId="31" priority="6">
      <formula>$C$18="Planned"</formula>
    </cfRule>
  </conditionalFormatting>
  <conditionalFormatting sqref="B78:O78 B79 O79 B80:O112">
    <cfRule type="expression" dxfId="30" priority="1">
      <formula>$C$18="Capacity"</formula>
    </cfRule>
  </conditionalFormatting>
  <conditionalFormatting sqref="B114:O114 B115 O115 B116:O142 B143:I143 O143 B144:O170">
    <cfRule type="expression" dxfId="29" priority="2">
      <formula>$C$18="Planned"</formula>
    </cfRule>
  </conditionalFormatting>
  <conditionalFormatting sqref="E18">
    <cfRule type="expression" dxfId="28" priority="7">
      <formula>$C$18="Planned"</formula>
    </cfRule>
  </conditionalFormatting>
  <conditionalFormatting sqref="E19">
    <cfRule type="expression" dxfId="27" priority="8">
      <formula>$C$18="Capacity"</formula>
    </cfRule>
  </conditionalFormatting>
  <dataValidations count="3">
    <dataValidation type="list" allowBlank="1" showInputMessage="1" showErrorMessage="1" sqref="C8" xr:uid="{0BC5FB8B-54DD-264C-8FAC-25DF83E331A7}">
      <formula1>"AU,NZ,US"</formula1>
    </dataValidation>
    <dataValidation type="list" allowBlank="1" showInputMessage="1" showErrorMessage="1" sqref="C18" xr:uid="{B8EBD45B-D63F-7E4B-90D7-225711938583}">
      <formula1>"Planned,Capacity"</formula1>
    </dataValidation>
    <dataValidation type="list" allowBlank="1" showInputMessage="1" showErrorMessage="1" sqref="E121:E140" xr:uid="{040C86EC-502C-9B4F-9D63-4F3FFFEE4FB6}">
      <formula1>cal_jurisdictions</formula1>
    </dataValidation>
  </dataValidations>
  <printOptions horizontalCentered="1"/>
  <pageMargins left="0.4" right="0.4" top="0.5" bottom="0.5" header="0.3" footer="0.3"/>
  <pageSetup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47E52-403E-2F49-84EC-B83AAD0D40E5}">
  <sheetPr>
    <tabColor rgb="FF8896B3"/>
    <pageSetUpPr fitToPage="1"/>
  </sheetPr>
  <dimension ref="A1:CR282"/>
  <sheetViews>
    <sheetView showGridLines="0" zoomScale="140" zoomScaleNormal="140" workbookViewId="0">
      <pane ySplit="9" topLeftCell="A10" activePane="bottomLeft" state="frozen"/>
      <selection activeCell="CV20" sqref="CV20"/>
      <selection pane="bottomLeft" activeCell="O4" sqref="O4"/>
    </sheetView>
  </sheetViews>
  <sheetFormatPr baseColWidth="10" defaultColWidth="8.83203125" defaultRowHeight="15" x14ac:dyDescent="0.2"/>
  <cols>
    <col min="1" max="1" width="1.5" style="42" customWidth="1"/>
    <col min="2" max="2" width="39.83203125" style="42" bestFit="1" customWidth="1"/>
    <col min="3" max="14" width="11.6640625" style="42" customWidth="1"/>
    <col min="15" max="15" width="15.33203125" style="42" customWidth="1"/>
    <col min="16" max="16" width="1.5" style="42" customWidth="1"/>
    <col min="17" max="96" width="12" style="42" hidden="1" customWidth="1"/>
    <col min="97" max="97" width="5.33203125" style="42" customWidth="1"/>
    <col min="98" max="16384" width="8.83203125" style="42"/>
  </cols>
  <sheetData>
    <row r="1" spans="1:96" ht="8" customHeight="1" x14ac:dyDescent="0.2">
      <c r="A1" s="57"/>
      <c r="B1" s="57"/>
      <c r="C1" s="57"/>
      <c r="D1" s="57"/>
      <c r="E1" s="57"/>
      <c r="F1" s="57"/>
      <c r="G1" s="57"/>
      <c r="H1" s="57"/>
      <c r="I1" s="57"/>
      <c r="J1" s="57"/>
      <c r="K1" s="57"/>
      <c r="L1" s="57"/>
      <c r="M1" s="57"/>
      <c r="N1" s="57"/>
      <c r="O1" s="57"/>
      <c r="P1" s="57"/>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c r="BH1"/>
      <c r="BI1"/>
      <c r="BJ1"/>
      <c r="BK1"/>
      <c r="BL1"/>
      <c r="BM1"/>
      <c r="BN1"/>
      <c r="BO1"/>
      <c r="BP1"/>
      <c r="BQ1"/>
      <c r="BR1"/>
      <c r="BS1"/>
      <c r="BT1"/>
      <c r="BU1"/>
      <c r="BV1"/>
      <c r="BW1"/>
      <c r="BX1"/>
      <c r="BY1"/>
      <c r="BZ1"/>
      <c r="CA1"/>
      <c r="CB1"/>
      <c r="CC1"/>
      <c r="CD1"/>
      <c r="CE1"/>
      <c r="CF1"/>
      <c r="CG1"/>
      <c r="CH1"/>
      <c r="CI1"/>
      <c r="CJ1"/>
      <c r="CK1"/>
      <c r="CL1"/>
      <c r="CM1"/>
      <c r="CN1"/>
      <c r="CO1"/>
      <c r="CP1"/>
      <c r="CQ1"/>
      <c r="CR1"/>
    </row>
    <row r="2" spans="1:96" ht="26" customHeight="1" x14ac:dyDescent="0.2">
      <c r="A2" s="57"/>
      <c r="B2" s="57"/>
      <c r="C2" s="180" t="s">
        <v>0</v>
      </c>
      <c r="D2" s="164"/>
      <c r="E2" s="164"/>
      <c r="F2" s="164"/>
      <c r="G2" s="164"/>
      <c r="H2" s="164"/>
      <c r="I2" s="164"/>
      <c r="J2" s="57"/>
      <c r="K2" s="137" t="s">
        <v>1</v>
      </c>
      <c r="L2" s="135" t="s">
        <v>2</v>
      </c>
      <c r="M2" s="57"/>
      <c r="N2" s="57"/>
      <c r="O2" s="57"/>
      <c r="P2" s="57"/>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c r="BH2"/>
      <c r="BI2"/>
      <c r="BJ2"/>
      <c r="BK2"/>
      <c r="BL2"/>
      <c r="BM2"/>
      <c r="BN2"/>
      <c r="BO2"/>
      <c r="BP2"/>
      <c r="BQ2"/>
      <c r="BR2"/>
      <c r="BS2"/>
      <c r="BT2"/>
      <c r="BU2"/>
      <c r="BV2"/>
      <c r="BW2"/>
      <c r="BX2"/>
      <c r="BY2"/>
      <c r="BZ2"/>
      <c r="CA2"/>
      <c r="CB2"/>
      <c r="CC2"/>
      <c r="CD2"/>
      <c r="CE2"/>
      <c r="CF2"/>
      <c r="CG2"/>
      <c r="CH2"/>
      <c r="CI2"/>
      <c r="CJ2"/>
      <c r="CK2"/>
      <c r="CL2"/>
      <c r="CM2"/>
      <c r="CN2"/>
      <c r="CO2"/>
      <c r="CP2"/>
      <c r="CQ2"/>
      <c r="CR2"/>
    </row>
    <row r="3" spans="1:96" ht="22" customHeight="1" x14ac:dyDescent="0.2">
      <c r="A3" s="57"/>
      <c r="B3" s="163" t="s">
        <v>694</v>
      </c>
      <c r="C3" s="164"/>
      <c r="D3" s="164"/>
      <c r="E3" s="164"/>
      <c r="F3" s="164"/>
      <c r="G3" s="164"/>
      <c r="H3" s="164"/>
      <c r="I3" s="164"/>
      <c r="J3" s="57"/>
      <c r="K3" s="137" t="s">
        <v>3</v>
      </c>
      <c r="L3" s="136" t="s">
        <v>225</v>
      </c>
      <c r="M3" s="57"/>
      <c r="N3" s="57"/>
      <c r="O3" s="57"/>
      <c r="P3" s="57"/>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c r="BH3"/>
      <c r="BI3"/>
      <c r="BJ3"/>
      <c r="BK3"/>
      <c r="BL3"/>
      <c r="BM3"/>
      <c r="BN3"/>
      <c r="BO3"/>
      <c r="BP3"/>
      <c r="BQ3"/>
      <c r="BR3"/>
      <c r="BS3"/>
      <c r="BT3"/>
      <c r="BU3"/>
      <c r="BV3"/>
      <c r="BW3"/>
      <c r="BX3"/>
      <c r="BY3"/>
      <c r="BZ3"/>
      <c r="CA3"/>
      <c r="CB3"/>
      <c r="CC3"/>
      <c r="CD3"/>
      <c r="CE3"/>
      <c r="CF3"/>
      <c r="CG3"/>
      <c r="CH3"/>
      <c r="CI3"/>
      <c r="CJ3"/>
      <c r="CK3"/>
      <c r="CL3"/>
      <c r="CM3"/>
      <c r="CN3"/>
      <c r="CO3"/>
      <c r="CP3"/>
      <c r="CQ3"/>
      <c r="CR3"/>
    </row>
    <row r="4" spans="1:96" ht="22" customHeight="1" x14ac:dyDescent="0.2">
      <c r="A4" s="57"/>
      <c r="B4" s="163" t="s">
        <v>523</v>
      </c>
      <c r="C4" s="164"/>
      <c r="D4" s="164"/>
      <c r="E4" s="164"/>
      <c r="F4" s="164"/>
      <c r="G4" s="164"/>
      <c r="H4" s="164"/>
      <c r="I4" s="164"/>
      <c r="J4" s="57"/>
      <c r="K4" s="41"/>
      <c r="L4" s="41"/>
      <c r="M4" s="57"/>
      <c r="N4" s="57"/>
      <c r="O4" s="57"/>
      <c r="P4" s="57"/>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c r="BH4"/>
      <c r="BI4"/>
      <c r="BJ4"/>
      <c r="BK4"/>
      <c r="BL4"/>
      <c r="BM4"/>
      <c r="BN4"/>
      <c r="BO4"/>
      <c r="BP4"/>
      <c r="BQ4"/>
      <c r="BR4"/>
      <c r="BS4"/>
      <c r="BT4"/>
      <c r="BU4"/>
      <c r="BV4"/>
      <c r="BW4"/>
      <c r="BX4"/>
      <c r="BY4"/>
      <c r="BZ4"/>
      <c r="CA4"/>
      <c r="CB4"/>
      <c r="CC4"/>
      <c r="CD4"/>
      <c r="CE4"/>
      <c r="CF4"/>
      <c r="CG4"/>
      <c r="CH4"/>
      <c r="CI4"/>
      <c r="CJ4"/>
      <c r="CK4"/>
      <c r="CL4"/>
      <c r="CM4"/>
      <c r="CN4"/>
      <c r="CO4"/>
      <c r="CP4"/>
      <c r="CQ4"/>
      <c r="CR4"/>
    </row>
    <row r="5" spans="1:96" ht="22" customHeight="1" x14ac:dyDescent="0.2">
      <c r="A5" s="57"/>
      <c r="B5" s="163" t="s">
        <v>4</v>
      </c>
      <c r="C5" s="164"/>
      <c r="D5" s="164"/>
      <c r="E5" s="164"/>
      <c r="F5" s="164"/>
      <c r="G5" s="164"/>
      <c r="H5" s="164"/>
      <c r="I5" s="164"/>
      <c r="J5" s="57"/>
      <c r="K5" s="57"/>
      <c r="L5" s="57"/>
      <c r="M5" s="57"/>
      <c r="N5" s="57"/>
      <c r="O5" s="57"/>
      <c r="P5" s="57"/>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c r="BH5"/>
      <c r="BI5"/>
      <c r="BJ5"/>
      <c r="BK5"/>
      <c r="BL5"/>
      <c r="BM5"/>
      <c r="BN5"/>
      <c r="BO5"/>
      <c r="BP5"/>
      <c r="BQ5"/>
      <c r="BR5"/>
      <c r="BS5"/>
      <c r="BT5"/>
      <c r="BU5"/>
      <c r="BV5"/>
      <c r="BW5"/>
      <c r="BX5"/>
      <c r="BY5"/>
      <c r="BZ5"/>
      <c r="CA5"/>
      <c r="CB5"/>
      <c r="CC5"/>
      <c r="CD5"/>
      <c r="CE5"/>
      <c r="CF5"/>
      <c r="CG5"/>
      <c r="CH5"/>
      <c r="CI5"/>
      <c r="CJ5"/>
      <c r="CK5"/>
      <c r="CL5"/>
      <c r="CM5"/>
      <c r="CN5"/>
      <c r="CO5"/>
      <c r="CP5"/>
      <c r="CQ5"/>
      <c r="CR5"/>
    </row>
    <row r="6" spans="1:96" ht="9" customHeight="1" thickBot="1" x14ac:dyDescent="0.25">
      <c r="A6" s="57"/>
      <c r="B6" s="1"/>
      <c r="C6" s="1"/>
      <c r="D6" s="1"/>
      <c r="E6" s="1"/>
      <c r="F6" s="1"/>
      <c r="G6" s="1"/>
      <c r="H6" s="1"/>
      <c r="I6" s="1"/>
      <c r="J6" s="1"/>
      <c r="K6" s="1"/>
      <c r="L6" s="1"/>
      <c r="M6" s="1"/>
      <c r="N6" s="1"/>
      <c r="O6" s="1"/>
      <c r="P6" s="1"/>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row>
    <row r="7" spans="1:96" ht="15" customHeight="1" x14ac:dyDescent="0.2">
      <c r="A7" s="57"/>
      <c r="C7" s="182" t="s">
        <v>8</v>
      </c>
      <c r="D7" s="167"/>
      <c r="E7" s="166" t="s">
        <v>9</v>
      </c>
      <c r="F7" s="167"/>
      <c r="G7" s="166" t="s">
        <v>10</v>
      </c>
      <c r="H7" s="167"/>
      <c r="I7" s="166" t="s">
        <v>11</v>
      </c>
      <c r="J7" s="167"/>
      <c r="K7" s="166" t="s">
        <v>12</v>
      </c>
      <c r="L7" s="167"/>
      <c r="M7" s="166" t="s">
        <v>676</v>
      </c>
      <c r="N7" s="167"/>
      <c r="O7" s="129" t="s">
        <v>677</v>
      </c>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row>
    <row r="8" spans="1:96" ht="26" customHeight="1" x14ac:dyDescent="0.2">
      <c r="A8" s="57"/>
      <c r="C8" s="183">
        <f>calc_rev_total_ann</f>
        <v>2440497</v>
      </c>
      <c r="D8" s="170"/>
      <c r="E8" s="169">
        <f>calc_ebitda_ann</f>
        <v>467347</v>
      </c>
      <c r="F8" s="170"/>
      <c r="G8" s="184">
        <f>calc_ebitda_pct_ann</f>
        <v>0.1914966500675887</v>
      </c>
      <c r="H8" s="170"/>
      <c r="I8" s="169">
        <f ca="1">calc_net_profit_ann</f>
        <v>281656.5</v>
      </c>
      <c r="J8" s="170"/>
      <c r="K8" s="169">
        <f ca="1">calc_close_cash_ann</f>
        <v>768841.37500000023</v>
      </c>
      <c r="L8" s="170"/>
      <c r="M8" s="171">
        <f>calc_peak_fte</f>
        <v>10</v>
      </c>
      <c r="N8" s="170"/>
      <c r="O8" s="131" t="str">
        <f ca="1">"M"&amp;calc_min_cash_month&amp;" · "&amp;TEXT(calc_min_cash_value,"$#,##0")</f>
        <v>M1 · $431,012</v>
      </c>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row>
    <row r="9" spans="1:96" ht="16" customHeight="1" x14ac:dyDescent="0.2">
      <c r="A9" s="57"/>
      <c r="C9" s="132"/>
      <c r="D9" s="130"/>
      <c r="E9" s="133"/>
      <c r="F9" s="130"/>
      <c r="G9" s="128"/>
      <c r="H9" s="130"/>
      <c r="I9" s="128"/>
      <c r="J9" s="130"/>
      <c r="K9" s="134"/>
      <c r="L9" s="130"/>
      <c r="M9" s="128"/>
      <c r="N9" s="130"/>
      <c r="O9" s="128"/>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row>
    <row r="10" spans="1:96" ht="11" customHeight="1" x14ac:dyDescent="0.2">
      <c r="A10" s="57"/>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row>
    <row r="11" spans="1:96" ht="26" customHeight="1" x14ac:dyDescent="0.2">
      <c r="A11" s="57"/>
      <c r="B11" s="177" t="s">
        <v>13</v>
      </c>
      <c r="C11" s="164"/>
      <c r="D11" s="164"/>
      <c r="E11" s="164"/>
      <c r="F11" s="164"/>
      <c r="G11" s="164"/>
      <c r="H11" s="164"/>
      <c r="I11" s="164"/>
      <c r="J11" s="172" t="s">
        <v>14</v>
      </c>
      <c r="K11" s="164"/>
      <c r="L11" s="164"/>
      <c r="M11" s="164"/>
      <c r="N11" s="164"/>
      <c r="O11" s="164"/>
      <c r="P11" s="57"/>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row>
    <row r="12" spans="1:96" x14ac:dyDescent="0.2">
      <c r="A12" s="57"/>
      <c r="B12" s="58" t="s">
        <v>15</v>
      </c>
      <c r="C12" s="58"/>
      <c r="D12" s="58"/>
      <c r="E12" s="158" t="s">
        <v>2</v>
      </c>
      <c r="F12" s="159"/>
      <c r="G12" s="159"/>
      <c r="H12" s="159"/>
      <c r="I12" s="158" t="s">
        <v>16</v>
      </c>
      <c r="J12" s="159"/>
      <c r="K12" s="159"/>
      <c r="L12" s="159"/>
      <c r="M12" s="158" t="s">
        <v>17</v>
      </c>
      <c r="N12" s="159"/>
      <c r="O12" s="159"/>
      <c r="P12" s="159"/>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row>
    <row r="13" spans="1:96" x14ac:dyDescent="0.2">
      <c r="A13" s="57"/>
      <c r="B13" s="5" t="s">
        <v>18</v>
      </c>
      <c r="C13" s="1"/>
      <c r="D13" s="1"/>
      <c r="E13" s="178">
        <f>calc_scn_rev_base</f>
        <v>2440497</v>
      </c>
      <c r="F13" s="156"/>
      <c r="G13" s="156"/>
      <c r="H13" s="156"/>
      <c r="I13" s="155">
        <f>calc_scn_rev_downside</f>
        <v>2074422.45</v>
      </c>
      <c r="J13" s="156"/>
      <c r="K13" s="156"/>
      <c r="L13" s="156"/>
      <c r="M13" s="155">
        <f>calc_scn_rev_upside</f>
        <v>2684546.7</v>
      </c>
      <c r="N13" s="156"/>
      <c r="O13" s="156"/>
      <c r="P13" s="156"/>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row>
    <row r="14" spans="1:96" x14ac:dyDescent="0.2">
      <c r="A14" s="57"/>
      <c r="B14" s="5" t="s">
        <v>19</v>
      </c>
      <c r="C14" s="1"/>
      <c r="D14" s="1"/>
      <c r="E14" s="178">
        <f>calc_scn_ebitda_base</f>
        <v>467347</v>
      </c>
      <c r="F14" s="156"/>
      <c r="G14" s="156"/>
      <c r="H14" s="156"/>
      <c r="I14" s="155">
        <f>calc_scn_ebitda_downside</f>
        <v>2614.9499999999534</v>
      </c>
      <c r="J14" s="156"/>
      <c r="K14" s="156"/>
      <c r="L14" s="156"/>
      <c r="M14" s="155">
        <f>calc_scn_ebitda_upside</f>
        <v>750859.70000000019</v>
      </c>
      <c r="N14" s="156"/>
      <c r="O14" s="156"/>
      <c r="P14" s="156"/>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row>
    <row r="15" spans="1:96" x14ac:dyDescent="0.2">
      <c r="A15" s="57"/>
      <c r="B15" s="5" t="s">
        <v>20</v>
      </c>
      <c r="C15" s="1"/>
      <c r="D15" s="1"/>
      <c r="E15" s="178">
        <f>calc_scn_cash_base</f>
        <v>637985.25</v>
      </c>
      <c r="F15" s="156"/>
      <c r="G15" s="156"/>
      <c r="H15" s="156"/>
      <c r="I15" s="155">
        <f>calc_scn_cash_downside</f>
        <v>265914.94999999995</v>
      </c>
      <c r="J15" s="156"/>
      <c r="K15" s="156"/>
      <c r="L15" s="156"/>
      <c r="M15" s="155">
        <f>calc_scn_cash_upside</f>
        <v>850619.77500000014</v>
      </c>
      <c r="N15" s="156"/>
      <c r="O15" s="156"/>
      <c r="P15" s="156"/>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row>
    <row r="16" spans="1:96" x14ac:dyDescent="0.2">
      <c r="A16" s="57"/>
      <c r="B16" s="1"/>
      <c r="C16" s="1"/>
      <c r="D16" s="1"/>
      <c r="E16" s="1"/>
      <c r="F16" s="1"/>
      <c r="G16" s="1"/>
      <c r="H16" s="1"/>
      <c r="I16" s="1"/>
      <c r="J16" s="1"/>
      <c r="K16" s="1"/>
      <c r="L16" s="1"/>
      <c r="M16" s="1"/>
      <c r="N16" s="1"/>
      <c r="O16" s="1"/>
      <c r="P16" s="1"/>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row>
    <row r="17" spans="1:96" ht="28" customHeight="1" x14ac:dyDescent="0.2">
      <c r="A17" s="57"/>
      <c r="B17" s="168" t="str">
        <f>"12-MONTH "&amp;UPPER(inp_view)&amp;"  —  switch P&amp;L / Cash Flow / Balance Sheet at the VIEW selector →"</f>
        <v>12-MONTH P&amp;L  —  switch P&amp;L / Cash Flow / Balance Sheet at the VIEW selector →</v>
      </c>
      <c r="C17" s="156"/>
      <c r="D17" s="156"/>
      <c r="E17" s="156"/>
      <c r="F17" s="156"/>
      <c r="G17" s="156"/>
      <c r="H17" s="156"/>
      <c r="I17" s="156"/>
      <c r="J17" s="174" t="str">
        <f>"View · "&amp;inp_view&amp;" · Scenario · "&amp;inp_scenario&amp;" · Region · "&amp;inp_region</f>
        <v>View · P&amp;L · Scenario · Base · Region · AU</v>
      </c>
      <c r="K17" s="156"/>
      <c r="L17" s="156"/>
      <c r="M17" s="156"/>
      <c r="N17" s="156"/>
      <c r="O17" s="156"/>
      <c r="P17" s="1"/>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row>
    <row r="18" spans="1:96" ht="22" customHeight="1" x14ac:dyDescent="0.2">
      <c r="A18" s="57"/>
      <c r="B18" s="4" t="s">
        <v>21</v>
      </c>
      <c r="C18" s="8" t="str">
        <f>CHOOSE(MOD((CHOOSE(MATCH(inp_region,{"AU","NZ","US"},0),7,4,1)-1+1-1),12)+1,"Jan","Feb","Mar","Apr","May","Jun","Jul","Aug","Sep","Oct","Nov","Dec")</f>
        <v>Jul</v>
      </c>
      <c r="D18" s="8" t="str">
        <f>CHOOSE(MOD((CHOOSE(MATCH(inp_region,{"AU","NZ","US"},0),7,4,1)-1+2-1),12)+1,"Jan","Feb","Mar","Apr","May","Jun","Jul","Aug","Sep","Oct","Nov","Dec")</f>
        <v>Aug</v>
      </c>
      <c r="E18" s="8" t="str">
        <f>CHOOSE(MOD((CHOOSE(MATCH(inp_region,{"AU","NZ","US"},0),7,4,1)-1+3-1),12)+1,"Jan","Feb","Mar","Apr","May","Jun","Jul","Aug","Sep","Oct","Nov","Dec")</f>
        <v>Sep</v>
      </c>
      <c r="F18" s="8" t="str">
        <f>CHOOSE(MOD((CHOOSE(MATCH(inp_region,{"AU","NZ","US"},0),7,4,1)-1+4-1),12)+1,"Jan","Feb","Mar","Apr","May","Jun","Jul","Aug","Sep","Oct","Nov","Dec")</f>
        <v>Oct</v>
      </c>
      <c r="G18" s="8" t="str">
        <f>CHOOSE(MOD((CHOOSE(MATCH(inp_region,{"AU","NZ","US"},0),7,4,1)-1+5-1),12)+1,"Jan","Feb","Mar","Apr","May","Jun","Jul","Aug","Sep","Oct","Nov","Dec")</f>
        <v>Nov</v>
      </c>
      <c r="H18" s="8" t="str">
        <f>CHOOSE(MOD((CHOOSE(MATCH(inp_region,{"AU","NZ","US"},0),7,4,1)-1+6-1),12)+1,"Jan","Feb","Mar","Apr","May","Jun","Jul","Aug","Sep","Oct","Nov","Dec")</f>
        <v>Dec</v>
      </c>
      <c r="I18" s="8" t="str">
        <f>CHOOSE(MOD((CHOOSE(MATCH(inp_region,{"AU","NZ","US"},0),7,4,1)-1+7-1),12)+1,"Jan","Feb","Mar","Apr","May","Jun","Jul","Aug","Sep","Oct","Nov","Dec")</f>
        <v>Jan</v>
      </c>
      <c r="J18" s="8" t="str">
        <f>CHOOSE(MOD((CHOOSE(MATCH(inp_region,{"AU","NZ","US"},0),7,4,1)-1+8-1),12)+1,"Jan","Feb","Mar","Apr","May","Jun","Jul","Aug","Sep","Oct","Nov","Dec")</f>
        <v>Feb</v>
      </c>
      <c r="K18" s="8" t="str">
        <f>CHOOSE(MOD((CHOOSE(MATCH(inp_region,{"AU","NZ","US"},0),7,4,1)-1+9-1),12)+1,"Jan","Feb","Mar","Apr","May","Jun","Jul","Aug","Sep","Oct","Nov","Dec")</f>
        <v>Mar</v>
      </c>
      <c r="L18" s="8" t="str">
        <f>CHOOSE(MOD((CHOOSE(MATCH(inp_region,{"AU","NZ","US"},0),7,4,1)-1+10-1),12)+1,"Jan","Feb","Mar","Apr","May","Jun","Jul","Aug","Sep","Oct","Nov","Dec")</f>
        <v>Apr</v>
      </c>
      <c r="M18" s="8" t="str">
        <f>CHOOSE(MOD((CHOOSE(MATCH(inp_region,{"AU","NZ","US"},0),7,4,1)-1+11-1),12)+1,"Jan","Feb","Mar","Apr","May","Jun","Jul","Aug","Sep","Oct","Nov","Dec")</f>
        <v>May</v>
      </c>
      <c r="N18" s="8" t="str">
        <f>CHOOSE(MOD((CHOOSE(MATCH(inp_region,{"AU","NZ","US"},0),7,4,1)-1+12-1),12)+1,"Jan","Feb","Mar","Apr","May","Jun","Jul","Aug","Sep","Oct","Nov","Dec")</f>
        <v>Jun</v>
      </c>
      <c r="O18" s="8" t="s">
        <v>22</v>
      </c>
      <c r="P18" s="1"/>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row>
    <row r="19" spans="1:96" x14ac:dyDescent="0.2">
      <c r="A19" s="57"/>
      <c r="B19" s="9" t="str">
        <f>CHOOSE(MATCH(inp_view,{"P&amp;L","Cash Flow","Balance Sheet"},0),"REVENUE","OPERATING CASH FLOW","ASSETS")</f>
        <v>REVENUE</v>
      </c>
      <c r="C19" s="10" t="str">
        <f>CHOOSE(MATCH(inp_view,{"P&amp;L","Cash Flow","Balance Sheet"},0),"","","")</f>
        <v/>
      </c>
      <c r="D19" s="10" t="str">
        <f>CHOOSE(MATCH(inp_view,{"P&amp;L","Cash Flow","Balance Sheet"},0),"","","")</f>
        <v/>
      </c>
      <c r="E19" s="10" t="str">
        <f>CHOOSE(MATCH(inp_view,{"P&amp;L","Cash Flow","Balance Sheet"},0),"","","")</f>
        <v/>
      </c>
      <c r="F19" s="10" t="str">
        <f>CHOOSE(MATCH(inp_view,{"P&amp;L","Cash Flow","Balance Sheet"},0),"","","")</f>
        <v/>
      </c>
      <c r="G19" s="10" t="str">
        <f>CHOOSE(MATCH(inp_view,{"P&amp;L","Cash Flow","Balance Sheet"},0),"","","")</f>
        <v/>
      </c>
      <c r="H19" s="10" t="str">
        <f>CHOOSE(MATCH(inp_view,{"P&amp;L","Cash Flow","Balance Sheet"},0),"","","")</f>
        <v/>
      </c>
      <c r="I19" s="10" t="str">
        <f>CHOOSE(MATCH(inp_view,{"P&amp;L","Cash Flow","Balance Sheet"},0),"","","")</f>
        <v/>
      </c>
      <c r="J19" s="10" t="str">
        <f>CHOOSE(MATCH(inp_view,{"P&amp;L","Cash Flow","Balance Sheet"},0),"","","")</f>
        <v/>
      </c>
      <c r="K19" s="10" t="str">
        <f>CHOOSE(MATCH(inp_view,{"P&amp;L","Cash Flow","Balance Sheet"},0),"","","")</f>
        <v/>
      </c>
      <c r="L19" s="10" t="str">
        <f>CHOOSE(MATCH(inp_view,{"P&amp;L","Cash Flow","Balance Sheet"},0),"","","")</f>
        <v/>
      </c>
      <c r="M19" s="10" t="str">
        <f>CHOOSE(MATCH(inp_view,{"P&amp;L","Cash Flow","Balance Sheet"},0),"","","")</f>
        <v/>
      </c>
      <c r="N19" s="10" t="str">
        <f>CHOOSE(MATCH(inp_view,{"P&amp;L","Cash Flow","Balance Sheet"},0),"","","")</f>
        <v/>
      </c>
      <c r="O19" s="10" t="str">
        <f>CHOOSE(MATCH(inp_view,{"P&amp;L","Cash Flow","Balance Sheet"},0),"","","")</f>
        <v/>
      </c>
      <c r="P19" s="1"/>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row>
    <row r="20" spans="1:96" x14ac:dyDescent="0.2">
      <c r="A20" s="57"/>
      <c r="B20" s="5" t="str">
        <f>CHOOSE(MATCH(inp_view,{"P&amp;L","Cash Flow","Balance Sheet"},0),"Service line 1","EBITDA","Cash and cash equivalents")</f>
        <v>Service line 1</v>
      </c>
      <c r="C20" s="7">
        <f>CHOOSE(MATCH(inp_view,{"P&amp;L","Cash Flow","Balance Sheet"},0),calc_rev_sl1_m1,calc_ebitda_m1,calc_bs_cash_m1)</f>
        <v>80402.25</v>
      </c>
      <c r="D20" s="7">
        <f>CHOOSE(MATCH(inp_view,{"P&amp;L","Cash Flow","Balance Sheet"},0),calc_rev_sl1_m2,calc_ebitda_m2,calc_bs_cash_m2)</f>
        <v>73410.75</v>
      </c>
      <c r="E20" s="7">
        <f>CHOOSE(MATCH(inp_view,{"P&amp;L","Cash Flow","Balance Sheet"},0),calc_rev_sl1_m3,calc_ebitda_m3,calc_bs_cash_m3)</f>
        <v>76906.5</v>
      </c>
      <c r="F20" s="7">
        <f>CHOOSE(MATCH(inp_view,{"P&amp;L","Cash Flow","Balance Sheet"},0),calc_rev_sl1_m4,calc_ebitda_m4,calc_bs_cash_m4)</f>
        <v>76906.5</v>
      </c>
      <c r="G20" s="7">
        <f>CHOOSE(MATCH(inp_view,{"P&amp;L","Cash Flow","Balance Sheet"},0),calc_rev_sl1_m5,calc_ebitda_m5,calc_bs_cash_m5)</f>
        <v>69915</v>
      </c>
      <c r="H20" s="7">
        <f>CHOOSE(MATCH(inp_view,{"P&amp;L","Cash Flow","Balance Sheet"},0),calc_rev_sl1_m6,calc_ebitda_m6,calc_bs_cash_m6)</f>
        <v>73410.75</v>
      </c>
      <c r="I20" s="7">
        <f>CHOOSE(MATCH(inp_view,{"P&amp;L","Cash Flow","Balance Sheet"},0),calc_rev_sl1_m7,calc_ebitda_m7,calc_bs_cash_m7)</f>
        <v>69915</v>
      </c>
      <c r="J20" s="7">
        <f>CHOOSE(MATCH(inp_view,{"P&amp;L","Cash Flow","Balance Sheet"},0),calc_rev_sl1_m8,calc_ebitda_m8,calc_bs_cash_m8)</f>
        <v>69915</v>
      </c>
      <c r="K20" s="7">
        <f>CHOOSE(MATCH(inp_view,{"P&amp;L","Cash Flow","Balance Sheet"},0),calc_rev_sl1_m9,calc_ebitda_m9,calc_bs_cash_m9)</f>
        <v>76906.5</v>
      </c>
      <c r="L20" s="7">
        <f>CHOOSE(MATCH(inp_view,{"P&amp;L","Cash Flow","Balance Sheet"},0),calc_rev_sl1_m10,calc_ebitda_m10,calc_bs_cash_m10)</f>
        <v>66419.25</v>
      </c>
      <c r="M20" s="7">
        <f>CHOOSE(MATCH(inp_view,{"P&amp;L","Cash Flow","Balance Sheet"},0),calc_rev_sl1_m11,calc_ebitda_m11,calc_bs_cash_m11)</f>
        <v>73410.75</v>
      </c>
      <c r="N20" s="7">
        <f>CHOOSE(MATCH(inp_view,{"P&amp;L","Cash Flow","Balance Sheet"},0),calc_rev_sl1_m12,calc_ebitda_m12,calc_bs_cash_m12)</f>
        <v>73410.75</v>
      </c>
      <c r="O20" s="6">
        <f>CHOOSE(MATCH(inp_view,{"P&amp;L","Cash Flow","Balance Sheet"},0),IFERROR(calc_rev_sl1_ann,""),IFERROR(calc_ebitda_ann,""),IFERROR(calc_bs_cash_ann,""))</f>
        <v>880929</v>
      </c>
      <c r="P20" s="1"/>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row>
    <row r="21" spans="1:96" x14ac:dyDescent="0.2">
      <c r="A21" s="57"/>
      <c r="B21" s="5" t="str">
        <f>CHOOSE(MATCH(inp_view,{"P&amp;L","Cash Flow","Balance Sheet"},0),"Service line 2","− Increase in accounts receivable","Accounts receivable")</f>
        <v>Service line 2</v>
      </c>
      <c r="C21" s="7">
        <f>CHOOSE(MATCH(inp_view,{"P&amp;L","Cash Flow","Balance Sheet"},0),calc_rev_sl2_m1,calc_delta_ar_neg_m1,calc_bs_ar_m1)</f>
        <v>96669</v>
      </c>
      <c r="D21" s="7">
        <f>CHOOSE(MATCH(inp_view,{"P&amp;L","Cash Flow","Balance Sheet"},0),calc_rev_sl2_m2,calc_delta_ar_neg_m2,calc_bs_ar_m2)</f>
        <v>88263</v>
      </c>
      <c r="E21" s="7">
        <f>CHOOSE(MATCH(inp_view,{"P&amp;L","Cash Flow","Balance Sheet"},0),calc_rev_sl2_m3,calc_delta_ar_neg_m3,calc_bs_ar_m3)</f>
        <v>111878.25</v>
      </c>
      <c r="F21" s="7">
        <f>CHOOSE(MATCH(inp_view,{"P&amp;L","Cash Flow","Balance Sheet"},0),calc_rev_sl2_m4,calc_delta_ar_neg_m4,calc_bs_ar_m4)</f>
        <v>115788.75</v>
      </c>
      <c r="G21" s="7">
        <f>CHOOSE(MATCH(inp_view,{"P&amp;L","Cash Flow","Balance Sheet"},0),calc_rev_sl2_m5,calc_delta_ar_neg_m5,calc_bs_ar_m5)</f>
        <v>101529.75</v>
      </c>
      <c r="H21" s="7">
        <f>CHOOSE(MATCH(inp_view,{"P&amp;L","Cash Flow","Balance Sheet"},0),calc_rev_sl2_m6,calc_delta_ar_neg_m6,calc_bs_ar_m6)</f>
        <v>108659.25</v>
      </c>
      <c r="I21" s="7">
        <f>CHOOSE(MATCH(inp_view,{"P&amp;L","Cash Flow","Balance Sheet"},0),calc_rev_sl2_m7,calc_delta_ar_neg_m7,calc_bs_ar_m7)</f>
        <v>103485</v>
      </c>
      <c r="J21" s="7">
        <f>CHOOSE(MATCH(inp_view,{"P&amp;L","Cash Flow","Balance Sheet"},0),calc_rev_sl2_m8,calc_delta_ar_neg_m8,calc_bs_ar_m8)</f>
        <v>103485</v>
      </c>
      <c r="K21" s="7">
        <f>CHOOSE(MATCH(inp_view,{"P&amp;L","Cash Flow","Balance Sheet"},0),calc_rev_sl2_m9,calc_delta_ar_neg_m9,calc_bs_ar_m9)</f>
        <v>111878.25</v>
      </c>
      <c r="L21" s="7">
        <f>CHOOSE(MATCH(inp_view,{"P&amp;L","Cash Flow","Balance Sheet"},0),calc_rev_sl2_m10,calc_delta_ar_neg_m10,calc_bs_ar_m10)</f>
        <v>101237.25</v>
      </c>
      <c r="M21" s="7">
        <f>CHOOSE(MATCH(inp_view,{"P&amp;L","Cash Flow","Balance Sheet"},0),calc_rev_sl2_m11,calc_delta_ar_neg_m11,calc_bs_ar_m11)</f>
        <v>107688</v>
      </c>
      <c r="N21" s="7">
        <f>CHOOSE(MATCH(inp_view,{"P&amp;L","Cash Flow","Balance Sheet"},0),calc_rev_sl2_m12,calc_delta_ar_neg_m12,calc_bs_ar_m12)</f>
        <v>109630.5</v>
      </c>
      <c r="O21" s="6">
        <f>CHOOSE(MATCH(inp_view,{"P&amp;L","Cash Flow","Balance Sheet"},0),IFERROR(calc_rev_sl2_ann,""),IFERROR(calc_delta_ar_neg_ann,""),IFERROR(calc_bs_ar_ann,""))</f>
        <v>1260192</v>
      </c>
      <c r="P21" s="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row>
    <row r="22" spans="1:96" x14ac:dyDescent="0.2">
      <c r="A22" s="57"/>
      <c r="B22" s="5" t="str">
        <f>CHOOSE(MATCH(inp_view,{"P&amp;L","Cash Flow","Balance Sheet"},0),"Service line 3","+ Increase in accounts payable","Other current assets")</f>
        <v>Service line 3</v>
      </c>
      <c r="C22" s="7">
        <f>CHOOSE(MATCH(inp_view,{"P&amp;L","Cash Flow","Balance Sheet"},0),calc_rev_sl3_m1,calc_delta_ap_pos_m1,calc_bs_other_ca_m1)</f>
        <v>27324.000000000004</v>
      </c>
      <c r="D22" s="7">
        <f>CHOOSE(MATCH(inp_view,{"P&amp;L","Cash Flow","Balance Sheet"},0),calc_rev_sl3_m2,calc_delta_ap_pos_m2,calc_bs_other_ca_m2)</f>
        <v>24948</v>
      </c>
      <c r="E22" s="7">
        <f>CHOOSE(MATCH(inp_view,{"P&amp;L","Cash Flow","Balance Sheet"},0),calc_rev_sl3_m3,calc_delta_ap_pos_m3,calc_bs_other_ca_m3)</f>
        <v>26136</v>
      </c>
      <c r="F22" s="7">
        <f>CHOOSE(MATCH(inp_view,{"P&amp;L","Cash Flow","Balance Sheet"},0),calc_rev_sl3_m4,calc_delta_ap_pos_m4,calc_bs_other_ca_m4)</f>
        <v>26136</v>
      </c>
      <c r="G22" s="7">
        <f>CHOOSE(MATCH(inp_view,{"P&amp;L","Cash Flow","Balance Sheet"},0),calc_rev_sl3_m5,calc_delta_ap_pos_m5,calc_bs_other_ca_m5)</f>
        <v>23760</v>
      </c>
      <c r="H22" s="7">
        <f>CHOOSE(MATCH(inp_view,{"P&amp;L","Cash Flow","Balance Sheet"},0),calc_rev_sl3_m6,calc_delta_ap_pos_m6,calc_bs_other_ca_m6)</f>
        <v>24948</v>
      </c>
      <c r="I22" s="7">
        <f>CHOOSE(MATCH(inp_view,{"P&amp;L","Cash Flow","Balance Sheet"},0),calc_rev_sl3_m7,calc_delta_ap_pos_m7,calc_bs_other_ca_m7)</f>
        <v>23760</v>
      </c>
      <c r="J22" s="7">
        <f>CHOOSE(MATCH(inp_view,{"P&amp;L","Cash Flow","Balance Sheet"},0),calc_rev_sl3_m8,calc_delta_ap_pos_m8,calc_bs_other_ca_m8)</f>
        <v>23760</v>
      </c>
      <c r="K22" s="7">
        <f>CHOOSE(MATCH(inp_view,{"P&amp;L","Cash Flow","Balance Sheet"},0),calc_rev_sl3_m9,calc_delta_ap_pos_m9,calc_bs_other_ca_m9)</f>
        <v>26136</v>
      </c>
      <c r="L22" s="7">
        <f>CHOOSE(MATCH(inp_view,{"P&amp;L","Cash Flow","Balance Sheet"},0),calc_rev_sl3_m10,calc_delta_ap_pos_m10,calc_bs_other_ca_m10)</f>
        <v>22572.000000000004</v>
      </c>
      <c r="M22" s="7">
        <f>CHOOSE(MATCH(inp_view,{"P&amp;L","Cash Flow","Balance Sheet"},0),calc_rev_sl3_m11,calc_delta_ap_pos_m11,calc_bs_other_ca_m11)</f>
        <v>24948</v>
      </c>
      <c r="N22" s="7">
        <f>CHOOSE(MATCH(inp_view,{"P&amp;L","Cash Flow","Balance Sheet"},0),calc_rev_sl3_m12,calc_delta_ap_pos_m12,calc_bs_other_ca_m12)</f>
        <v>24948</v>
      </c>
      <c r="O22" s="6">
        <f>CHOOSE(MATCH(inp_view,{"P&amp;L","Cash Flow","Balance Sheet"},0),IFERROR(calc_rev_sl3_ann,""),IFERROR(calc_delta_ap_pos_ann,""),IFERROR(calc_bs_other_ca_ann,""))</f>
        <v>299376</v>
      </c>
      <c r="P22" s="1"/>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row>
    <row r="23" spans="1:96" x14ac:dyDescent="0.2">
      <c r="A23" s="57"/>
      <c r="B23" s="5" t="str">
        <f>CHOOSE(MATCH(inp_view,{"P&amp;L","Cash Flow","Balance Sheet"},0),"Service line 4","− Interest paid (cash)","")</f>
        <v>Service line 4</v>
      </c>
      <c r="C23" s="7">
        <f>CHOOSE(MATCH(inp_view,{"P&amp;L","Cash Flow","Balance Sheet"},0),calc_rev_sl4_m1,calc_interest_neg_m1,"")</f>
        <v>0</v>
      </c>
      <c r="D23" s="7">
        <f>CHOOSE(MATCH(inp_view,{"P&amp;L","Cash Flow","Balance Sheet"},0),calc_rev_sl4_m2,calc_interest_neg_m2,"")</f>
        <v>0</v>
      </c>
      <c r="E23" s="7">
        <f>CHOOSE(MATCH(inp_view,{"P&amp;L","Cash Flow","Balance Sheet"},0),calc_rev_sl4_m3,calc_interest_neg_m3,"")</f>
        <v>0</v>
      </c>
      <c r="F23" s="7">
        <f>CHOOSE(MATCH(inp_view,{"P&amp;L","Cash Flow","Balance Sheet"},0),calc_rev_sl4_m4,calc_interest_neg_m4,"")</f>
        <v>0</v>
      </c>
      <c r="G23" s="7">
        <f>CHOOSE(MATCH(inp_view,{"P&amp;L","Cash Flow","Balance Sheet"},0),calc_rev_sl4_m5,calc_interest_neg_m5,"")</f>
        <v>0</v>
      </c>
      <c r="H23" s="7">
        <f>CHOOSE(MATCH(inp_view,{"P&amp;L","Cash Flow","Balance Sheet"},0),calc_rev_sl4_m6,calc_interest_neg_m6,"")</f>
        <v>0</v>
      </c>
      <c r="I23" s="7">
        <f>CHOOSE(MATCH(inp_view,{"P&amp;L","Cash Flow","Balance Sheet"},0),calc_rev_sl4_m7,calc_interest_neg_m7,"")</f>
        <v>0</v>
      </c>
      <c r="J23" s="7">
        <f>CHOOSE(MATCH(inp_view,{"P&amp;L","Cash Flow","Balance Sheet"},0),calc_rev_sl4_m8,calc_interest_neg_m8,"")</f>
        <v>0</v>
      </c>
      <c r="K23" s="7">
        <f>CHOOSE(MATCH(inp_view,{"P&amp;L","Cash Flow","Balance Sheet"},0),calc_rev_sl4_m9,calc_interest_neg_m9,"")</f>
        <v>0</v>
      </c>
      <c r="L23" s="7">
        <f>CHOOSE(MATCH(inp_view,{"P&amp;L","Cash Flow","Balance Sheet"},0),calc_rev_sl4_m10,calc_interest_neg_m10,"")</f>
        <v>0</v>
      </c>
      <c r="M23" s="7">
        <f>CHOOSE(MATCH(inp_view,{"P&amp;L","Cash Flow","Balance Sheet"},0),calc_rev_sl4_m11,calc_interest_neg_m11,"")</f>
        <v>0</v>
      </c>
      <c r="N23" s="7">
        <f>CHOOSE(MATCH(inp_view,{"P&amp;L","Cash Flow","Balance Sheet"},0),calc_rev_sl4_m12,calc_interest_neg_m12,"")</f>
        <v>0</v>
      </c>
      <c r="O23" s="6">
        <f>CHOOSE(MATCH(inp_view,{"P&amp;L","Cash Flow","Balance Sheet"},0),IFERROR(calc_rev_sl4_ann,""),IFERROR(calc_interest_neg_ann,""),"")</f>
        <v>0</v>
      </c>
      <c r="P23" s="1"/>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row>
    <row r="24" spans="1:96" x14ac:dyDescent="0.2">
      <c r="A24" s="57"/>
      <c r="B24" s="5" t="str">
        <f>CHOOSE(MATCH(inp_view,{"P&amp;L","Cash Flow","Balance Sheet"},0),"Service line 5","− Income tax paid (cash)","")</f>
        <v>Service line 5</v>
      </c>
      <c r="C24" s="7">
        <f>CHOOSE(MATCH(inp_view,{"P&amp;L","Cash Flow","Balance Sheet"},0),calc_rev_sl5_m1,calc_tax_paid_neg_m1,"")</f>
        <v>0</v>
      </c>
      <c r="D24" s="7">
        <f>CHOOSE(MATCH(inp_view,{"P&amp;L","Cash Flow","Balance Sheet"},0),calc_rev_sl5_m2,calc_tax_paid_neg_m2,"")</f>
        <v>0</v>
      </c>
      <c r="E24" s="7">
        <f>CHOOSE(MATCH(inp_view,{"P&amp;L","Cash Flow","Balance Sheet"},0),calc_rev_sl5_m3,calc_tax_paid_neg_m3,"")</f>
        <v>0</v>
      </c>
      <c r="F24" s="7">
        <f>CHOOSE(MATCH(inp_view,{"P&amp;L","Cash Flow","Balance Sheet"},0),calc_rev_sl5_m4,calc_tax_paid_neg_m4,"")</f>
        <v>0</v>
      </c>
      <c r="G24" s="7">
        <f>CHOOSE(MATCH(inp_view,{"P&amp;L","Cash Flow","Balance Sheet"},0),calc_rev_sl5_m5,calc_tax_paid_neg_m5,"")</f>
        <v>0</v>
      </c>
      <c r="H24" s="7">
        <f>CHOOSE(MATCH(inp_view,{"P&amp;L","Cash Flow","Balance Sheet"},0),calc_rev_sl5_m6,calc_tax_paid_neg_m6,"")</f>
        <v>0</v>
      </c>
      <c r="I24" s="7">
        <f>CHOOSE(MATCH(inp_view,{"P&amp;L","Cash Flow","Balance Sheet"},0),calc_rev_sl5_m7,calc_tax_paid_neg_m7,"")</f>
        <v>0</v>
      </c>
      <c r="J24" s="7">
        <f>CHOOSE(MATCH(inp_view,{"P&amp;L","Cash Flow","Balance Sheet"},0),calc_rev_sl5_m8,calc_tax_paid_neg_m8,"")</f>
        <v>0</v>
      </c>
      <c r="K24" s="7">
        <f>CHOOSE(MATCH(inp_view,{"P&amp;L","Cash Flow","Balance Sheet"},0),calc_rev_sl5_m9,calc_tax_paid_neg_m9,"")</f>
        <v>0</v>
      </c>
      <c r="L24" s="7">
        <f>CHOOSE(MATCH(inp_view,{"P&amp;L","Cash Flow","Balance Sheet"},0),calc_rev_sl5_m10,calc_tax_paid_neg_m10,"")</f>
        <v>0</v>
      </c>
      <c r="M24" s="7">
        <f>CHOOSE(MATCH(inp_view,{"P&amp;L","Cash Flow","Balance Sheet"},0),calc_rev_sl5_m11,calc_tax_paid_neg_m11,"")</f>
        <v>0</v>
      </c>
      <c r="N24" s="7">
        <f>CHOOSE(MATCH(inp_view,{"P&amp;L","Cash Flow","Balance Sheet"},0),calc_rev_sl5_m12,calc_tax_paid_neg_m12,"")</f>
        <v>0</v>
      </c>
      <c r="O24" s="6">
        <f>CHOOSE(MATCH(inp_view,{"P&amp;L","Cash Flow","Balance Sheet"},0),IFERROR(calc_rev_sl5_ann,""),IFERROR(calc_tax_paid_neg_ann,""),"")</f>
        <v>0</v>
      </c>
      <c r="P24" s="1"/>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row>
    <row r="25" spans="1:96" x14ac:dyDescent="0.2">
      <c r="A25" s="57"/>
      <c r="B25" s="11" t="str">
        <f>CHOOSE(MATCH(inp_view,{"P&amp;L","Cash Flow","Balance Sheet"},0),"Total revenue","Operating cash flow","Total current assets")</f>
        <v>Total revenue</v>
      </c>
      <c r="C25" s="12">
        <f>CHOOSE(MATCH(inp_view,{"P&amp;L","Cash Flow","Balance Sheet"},0),calc_rev_total_m1,calc_op_cf_m1,calc_bs_total_ca_m1)</f>
        <v>204395.25</v>
      </c>
      <c r="D25" s="12">
        <f>CHOOSE(MATCH(inp_view,{"P&amp;L","Cash Flow","Balance Sheet"},0),calc_rev_total_m2,calc_op_cf_m2,calc_bs_total_ca_m2)</f>
        <v>186621.75</v>
      </c>
      <c r="E25" s="12">
        <f>CHOOSE(MATCH(inp_view,{"P&amp;L","Cash Flow","Balance Sheet"},0),calc_rev_total_m3,calc_op_cf_m3,calc_bs_total_ca_m3)</f>
        <v>214920.75</v>
      </c>
      <c r="F25" s="12">
        <f>CHOOSE(MATCH(inp_view,{"P&amp;L","Cash Flow","Balance Sheet"},0),calc_rev_total_m4,calc_op_cf_m4,calc_bs_total_ca_m4)</f>
        <v>218831.25</v>
      </c>
      <c r="G25" s="12">
        <f>CHOOSE(MATCH(inp_view,{"P&amp;L","Cash Flow","Balance Sheet"},0),calc_rev_total_m5,calc_op_cf_m5,calc_bs_total_ca_m5)</f>
        <v>195204.75</v>
      </c>
      <c r="H25" s="12">
        <f>CHOOSE(MATCH(inp_view,{"P&amp;L","Cash Flow","Balance Sheet"},0),calc_rev_total_m6,calc_op_cf_m6,calc_bs_total_ca_m6)</f>
        <v>207018</v>
      </c>
      <c r="I25" s="12">
        <f>CHOOSE(MATCH(inp_view,{"P&amp;L","Cash Flow","Balance Sheet"},0),calc_rev_total_m7,calc_op_cf_m7,calc_bs_total_ca_m7)</f>
        <v>197160</v>
      </c>
      <c r="J25" s="12">
        <f>CHOOSE(MATCH(inp_view,{"P&amp;L","Cash Flow","Balance Sheet"},0),calc_rev_total_m8,calc_op_cf_m8,calc_bs_total_ca_m8)</f>
        <v>197160</v>
      </c>
      <c r="K25" s="12">
        <f>CHOOSE(MATCH(inp_view,{"P&amp;L","Cash Flow","Balance Sheet"},0),calc_rev_total_m9,calc_op_cf_m9,calc_bs_total_ca_m9)</f>
        <v>214920.75</v>
      </c>
      <c r="L25" s="12">
        <f>CHOOSE(MATCH(inp_view,{"P&amp;L","Cash Flow","Balance Sheet"},0),calc_rev_total_m10,calc_op_cf_m10,calc_bs_total_ca_m10)</f>
        <v>190228.5</v>
      </c>
      <c r="M25" s="12">
        <f>CHOOSE(MATCH(inp_view,{"P&amp;L","Cash Flow","Balance Sheet"},0),calc_rev_total_m11,calc_op_cf_m11,calc_bs_total_ca_m11)</f>
        <v>206046.75</v>
      </c>
      <c r="N25" s="12">
        <f>CHOOSE(MATCH(inp_view,{"P&amp;L","Cash Flow","Balance Sheet"},0),calc_rev_total_m12,calc_op_cf_m12,calc_bs_total_ca_m12)</f>
        <v>207989.25</v>
      </c>
      <c r="O25" s="12">
        <f>CHOOSE(MATCH(inp_view,{"P&amp;L","Cash Flow","Balance Sheet"},0),IFERROR(calc_rev_total_ann,""),IFERROR(calc_op_cf_ann,""),IFERROR(calc_bs_total_ca_ann,""))</f>
        <v>2440497</v>
      </c>
      <c r="P25" s="1"/>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row>
    <row r="26" spans="1:96" x14ac:dyDescent="0.2">
      <c r="A26" s="57"/>
      <c r="B26" s="5" t="str">
        <f>CHOOSE(MATCH(inp_view,{"P&amp;L","Cash Flow","Balance Sheet"},0),"","","")</f>
        <v/>
      </c>
      <c r="C26" s="7" t="str">
        <f>CHOOSE(MATCH(inp_view,{"P&amp;L","Cash Flow","Balance Sheet"},0),"","","")</f>
        <v/>
      </c>
      <c r="D26" s="7" t="str">
        <f>CHOOSE(MATCH(inp_view,{"P&amp;L","Cash Flow","Balance Sheet"},0),"","","")</f>
        <v/>
      </c>
      <c r="E26" s="7" t="str">
        <f>CHOOSE(MATCH(inp_view,{"P&amp;L","Cash Flow","Balance Sheet"},0),"","","")</f>
        <v/>
      </c>
      <c r="F26" s="7" t="str">
        <f>CHOOSE(MATCH(inp_view,{"P&amp;L","Cash Flow","Balance Sheet"},0),"","","")</f>
        <v/>
      </c>
      <c r="G26" s="7" t="str">
        <f>CHOOSE(MATCH(inp_view,{"P&amp;L","Cash Flow","Balance Sheet"},0),"","","")</f>
        <v/>
      </c>
      <c r="H26" s="7" t="str">
        <f>CHOOSE(MATCH(inp_view,{"P&amp;L","Cash Flow","Balance Sheet"},0),"","","")</f>
        <v/>
      </c>
      <c r="I26" s="7" t="str">
        <f>CHOOSE(MATCH(inp_view,{"P&amp;L","Cash Flow","Balance Sheet"},0),"","","")</f>
        <v/>
      </c>
      <c r="J26" s="7" t="str">
        <f>CHOOSE(MATCH(inp_view,{"P&amp;L","Cash Flow","Balance Sheet"},0),"","","")</f>
        <v/>
      </c>
      <c r="K26" s="7" t="str">
        <f>CHOOSE(MATCH(inp_view,{"P&amp;L","Cash Flow","Balance Sheet"},0),"","","")</f>
        <v/>
      </c>
      <c r="L26" s="7" t="str">
        <f>CHOOSE(MATCH(inp_view,{"P&amp;L","Cash Flow","Balance Sheet"},0),"","","")</f>
        <v/>
      </c>
      <c r="M26" s="7" t="str">
        <f>CHOOSE(MATCH(inp_view,{"P&amp;L","Cash Flow","Balance Sheet"},0),"","","")</f>
        <v/>
      </c>
      <c r="N26" s="7" t="str">
        <f>CHOOSE(MATCH(inp_view,{"P&amp;L","Cash Flow","Balance Sheet"},0),"","","")</f>
        <v/>
      </c>
      <c r="O26" s="6" t="str">
        <f>CHOOSE(MATCH(inp_view,{"P&amp;L","Cash Flow","Balance Sheet"},0),"","","")</f>
        <v/>
      </c>
      <c r="P26" s="1"/>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row>
    <row r="27" spans="1:96" x14ac:dyDescent="0.2">
      <c r="A27" s="57"/>
      <c r="B27" s="9" t="str">
        <f>CHOOSE(MATCH(inp_view,{"P&amp;L","Cash Flow","Balance Sheet"},0),"DIRECT COST","INVESTING CASH FLOW","FIXED ASSETS")</f>
        <v>DIRECT COST</v>
      </c>
      <c r="C27" s="10" t="str">
        <f>CHOOSE(MATCH(inp_view,{"P&amp;L","Cash Flow","Balance Sheet"},0),"","","")</f>
        <v/>
      </c>
      <c r="D27" s="10" t="str">
        <f>CHOOSE(MATCH(inp_view,{"P&amp;L","Cash Flow","Balance Sheet"},0),"","","")</f>
        <v/>
      </c>
      <c r="E27" s="10" t="str">
        <f>CHOOSE(MATCH(inp_view,{"P&amp;L","Cash Flow","Balance Sheet"},0),"","","")</f>
        <v/>
      </c>
      <c r="F27" s="10" t="str">
        <f>CHOOSE(MATCH(inp_view,{"P&amp;L","Cash Flow","Balance Sheet"},0),"","","")</f>
        <v/>
      </c>
      <c r="G27" s="10" t="str">
        <f>CHOOSE(MATCH(inp_view,{"P&amp;L","Cash Flow","Balance Sheet"},0),"","","")</f>
        <v/>
      </c>
      <c r="H27" s="10" t="str">
        <f>CHOOSE(MATCH(inp_view,{"P&amp;L","Cash Flow","Balance Sheet"},0),"","","")</f>
        <v/>
      </c>
      <c r="I27" s="10" t="str">
        <f>CHOOSE(MATCH(inp_view,{"P&amp;L","Cash Flow","Balance Sheet"},0),"","","")</f>
        <v/>
      </c>
      <c r="J27" s="10" t="str">
        <f>CHOOSE(MATCH(inp_view,{"P&amp;L","Cash Flow","Balance Sheet"},0),"","","")</f>
        <v/>
      </c>
      <c r="K27" s="10" t="str">
        <f>CHOOSE(MATCH(inp_view,{"P&amp;L","Cash Flow","Balance Sheet"},0),"","","")</f>
        <v/>
      </c>
      <c r="L27" s="10" t="str">
        <f>CHOOSE(MATCH(inp_view,{"P&amp;L","Cash Flow","Balance Sheet"},0),"","","")</f>
        <v/>
      </c>
      <c r="M27" s="10" t="str">
        <f>CHOOSE(MATCH(inp_view,{"P&amp;L","Cash Flow","Balance Sheet"},0),"","","")</f>
        <v/>
      </c>
      <c r="N27" s="10" t="str">
        <f>CHOOSE(MATCH(inp_view,{"P&amp;L","Cash Flow","Balance Sheet"},0),"","","")</f>
        <v/>
      </c>
      <c r="O27" s="10" t="str">
        <f>CHOOSE(MATCH(inp_view,{"P&amp;L","Cash Flow","Balance Sheet"},0),"","","")</f>
        <v/>
      </c>
      <c r="P27" s="1"/>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row>
    <row r="28" spans="1:96" x14ac:dyDescent="0.2">
      <c r="A28" s="57"/>
      <c r="B28" s="5" t="str">
        <f>CHOOSE(MATCH(inp_view,{"P&amp;L","Cash Flow","Balance Sheet"},0),"Delivery payroll (roster)","− Capital expenditure","Property, plant &amp; equipment")</f>
        <v>Delivery payroll (roster)</v>
      </c>
      <c r="C28" s="7">
        <f>CHOOSE(MATCH(inp_view,{"P&amp;L","Cash Flow","Balance Sheet"},0),calc_dc_payroll_m1,calc_capex_neg_m1,calc_bs_ppe_cost_m1)</f>
        <v>95293.75</v>
      </c>
      <c r="D28" s="7">
        <f>CHOOSE(MATCH(inp_view,{"P&amp;L","Cash Flow","Balance Sheet"},0),calc_dc_payroll_m2,calc_capex_neg_m2,calc_bs_ppe_cost_m2)</f>
        <v>95293.75</v>
      </c>
      <c r="E28" s="7">
        <f>CHOOSE(MATCH(inp_view,{"P&amp;L","Cash Flow","Balance Sheet"},0),calc_dc_payroll_m3,calc_capex_neg_m3,calc_bs_ppe_cost_m3)</f>
        <v>105168.75</v>
      </c>
      <c r="F28" s="7">
        <f>CHOOSE(MATCH(inp_view,{"P&amp;L","Cash Flow","Balance Sheet"},0),calc_dc_payroll_m4,calc_capex_neg_m4,calc_bs_ppe_cost_m4)</f>
        <v>105168.75</v>
      </c>
      <c r="G28" s="7">
        <f>CHOOSE(MATCH(inp_view,{"P&amp;L","Cash Flow","Balance Sheet"},0),calc_dc_payroll_m5,calc_capex_neg_m5,calc_bs_ppe_cost_m5)</f>
        <v>105168.75</v>
      </c>
      <c r="H28" s="7">
        <f>CHOOSE(MATCH(inp_view,{"P&amp;L","Cash Flow","Balance Sheet"},0),calc_dc_payroll_m6,calc_capex_neg_m6,calc_bs_ppe_cost_m6)</f>
        <v>105168.75</v>
      </c>
      <c r="I28" s="7">
        <f>CHOOSE(MATCH(inp_view,{"P&amp;L","Cash Flow","Balance Sheet"},0),calc_dc_payroll_m7,calc_capex_neg_m7,calc_bs_ppe_cost_m7)</f>
        <v>105168.75</v>
      </c>
      <c r="J28" s="7">
        <f>CHOOSE(MATCH(inp_view,{"P&amp;L","Cash Flow","Balance Sheet"},0),calc_dc_payroll_m8,calc_capex_neg_m8,calc_bs_ppe_cost_m8)</f>
        <v>105168.75</v>
      </c>
      <c r="K28" s="7">
        <f>CHOOSE(MATCH(inp_view,{"P&amp;L","Cash Flow","Balance Sheet"},0),calc_dc_payroll_m9,calc_capex_neg_m9,calc_bs_ppe_cost_m9)</f>
        <v>105168.75</v>
      </c>
      <c r="L28" s="7">
        <f>CHOOSE(MATCH(inp_view,{"P&amp;L","Cash Flow","Balance Sheet"},0),calc_dc_payroll_m10,calc_capex_neg_m10,calc_bs_ppe_cost_m10)</f>
        <v>105168.75</v>
      </c>
      <c r="M28" s="7">
        <f>CHOOSE(MATCH(inp_view,{"P&amp;L","Cash Flow","Balance Sheet"},0),calc_dc_payroll_m11,calc_capex_neg_m11,calc_bs_ppe_cost_m11)</f>
        <v>105168.75</v>
      </c>
      <c r="N28" s="7">
        <f>CHOOSE(MATCH(inp_view,{"P&amp;L","Cash Flow","Balance Sheet"},0),calc_dc_payroll_m12,calc_capex_neg_m12,calc_bs_ppe_cost_m12)</f>
        <v>105168.75</v>
      </c>
      <c r="O28" s="6">
        <f>CHOOSE(MATCH(inp_view,{"P&amp;L","Cash Flow","Balance Sheet"},0),IFERROR(calc_dc_payroll_ann,""),IFERROR(calc_capex_neg_ann,""),IFERROR(calc_bs_ppe_cost_ann,""))</f>
        <v>1242275</v>
      </c>
      <c r="P28" s="1"/>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row>
    <row r="29" spans="1:96" x14ac:dyDescent="0.2">
      <c r="A29" s="57"/>
      <c r="B29" s="5" t="str">
        <f>CHOOSE(MATCH(inp_view,{"P&amp;L","Cash Flow","Balance Sheet"},0),"Contractors / freelance","","Less: accumulated D&amp;A")</f>
        <v>Contractors / freelance</v>
      </c>
      <c r="C29" s="7">
        <f>CHOOSE(MATCH(inp_view,{"P&amp;L","Cash Flow","Balance Sheet"},0),calc_dc_contractors_m1,"",calc_bs_acc_da_neg_m1)</f>
        <v>14000</v>
      </c>
      <c r="D29" s="7">
        <f>CHOOSE(MATCH(inp_view,{"P&amp;L","Cash Flow","Balance Sheet"},0),calc_dc_contractors_m2,"",calc_bs_acc_da_neg_m2)</f>
        <v>14000</v>
      </c>
      <c r="E29" s="7">
        <f>CHOOSE(MATCH(inp_view,{"P&amp;L","Cash Flow","Balance Sheet"},0),calc_dc_contractors_m3,"",calc_bs_acc_da_neg_m3)</f>
        <v>14000</v>
      </c>
      <c r="F29" s="7">
        <f>CHOOSE(MATCH(inp_view,{"P&amp;L","Cash Flow","Balance Sheet"},0),calc_dc_contractors_m4,"",calc_bs_acc_da_neg_m4)</f>
        <v>14000</v>
      </c>
      <c r="G29" s="7">
        <f>CHOOSE(MATCH(inp_view,{"P&amp;L","Cash Flow","Balance Sheet"},0),calc_dc_contractors_m5,"",calc_bs_acc_da_neg_m5)</f>
        <v>14000</v>
      </c>
      <c r="H29" s="7">
        <f>CHOOSE(MATCH(inp_view,{"P&amp;L","Cash Flow","Balance Sheet"},0),calc_dc_contractors_m6,"",calc_bs_acc_da_neg_m6)</f>
        <v>14000</v>
      </c>
      <c r="I29" s="7">
        <f>CHOOSE(MATCH(inp_view,{"P&amp;L","Cash Flow","Balance Sheet"},0),calc_dc_contractors_m7,"",calc_bs_acc_da_neg_m7)</f>
        <v>14000</v>
      </c>
      <c r="J29" s="7">
        <f>CHOOSE(MATCH(inp_view,{"P&amp;L","Cash Flow","Balance Sheet"},0),calc_dc_contractors_m8,"",calc_bs_acc_da_neg_m8)</f>
        <v>14000</v>
      </c>
      <c r="K29" s="7">
        <f>CHOOSE(MATCH(inp_view,{"P&amp;L","Cash Flow","Balance Sheet"},0),calc_dc_contractors_m9,"",calc_bs_acc_da_neg_m9)</f>
        <v>14000</v>
      </c>
      <c r="L29" s="7">
        <f>CHOOSE(MATCH(inp_view,{"P&amp;L","Cash Flow","Balance Sheet"},0),calc_dc_contractors_m10,"",calc_bs_acc_da_neg_m10)</f>
        <v>14000</v>
      </c>
      <c r="M29" s="7">
        <f>CHOOSE(MATCH(inp_view,{"P&amp;L","Cash Flow","Balance Sheet"},0),calc_dc_contractors_m11,"",calc_bs_acc_da_neg_m11)</f>
        <v>14000</v>
      </c>
      <c r="N29" s="7">
        <f>CHOOSE(MATCH(inp_view,{"P&amp;L","Cash Flow","Balance Sheet"},0),calc_dc_contractors_m12,"",calc_bs_acc_da_neg_m12)</f>
        <v>14000</v>
      </c>
      <c r="O29" s="6">
        <f>CHOOSE(MATCH(inp_view,{"P&amp;L","Cash Flow","Balance Sheet"},0),IFERROR(calc_dc_contractors_ann,""),"",IFERROR(calc_bs_acc_da_neg_ann,""))</f>
        <v>168000</v>
      </c>
      <c r="P29" s="1"/>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row>
    <row r="30" spans="1:96" x14ac:dyDescent="0.2">
      <c r="A30" s="57"/>
      <c r="B30" s="5" t="str">
        <f>CHOOSE(MATCH(inp_view,{"P&amp;L","Cash Flow","Balance Sheet"},0),"Production tools","","")</f>
        <v>Production tools</v>
      </c>
      <c r="C30" s="7">
        <f>CHOOSE(MATCH(inp_view,{"P&amp;L","Cash Flow","Balance Sheet"},0),calc_dc_tools_m1,"","")</f>
        <v>0</v>
      </c>
      <c r="D30" s="7">
        <f>CHOOSE(MATCH(inp_view,{"P&amp;L","Cash Flow","Balance Sheet"},0),calc_dc_tools_m2,"","")</f>
        <v>0</v>
      </c>
      <c r="E30" s="7">
        <f>CHOOSE(MATCH(inp_view,{"P&amp;L","Cash Flow","Balance Sheet"},0),calc_dc_tools_m3,"","")</f>
        <v>0</v>
      </c>
      <c r="F30" s="7">
        <f>CHOOSE(MATCH(inp_view,{"P&amp;L","Cash Flow","Balance Sheet"},0),calc_dc_tools_m4,"","")</f>
        <v>0</v>
      </c>
      <c r="G30" s="7">
        <f>CHOOSE(MATCH(inp_view,{"P&amp;L","Cash Flow","Balance Sheet"},0),calc_dc_tools_m5,"","")</f>
        <v>0</v>
      </c>
      <c r="H30" s="7">
        <f>CHOOSE(MATCH(inp_view,{"P&amp;L","Cash Flow","Balance Sheet"},0),calc_dc_tools_m6,"","")</f>
        <v>0</v>
      </c>
      <c r="I30" s="7">
        <f>CHOOSE(MATCH(inp_view,{"P&amp;L","Cash Flow","Balance Sheet"},0),calc_dc_tools_m7,"","")</f>
        <v>0</v>
      </c>
      <c r="J30" s="7">
        <f>CHOOSE(MATCH(inp_view,{"P&amp;L","Cash Flow","Balance Sheet"},0),calc_dc_tools_m8,"","")</f>
        <v>0</v>
      </c>
      <c r="K30" s="7">
        <f>CHOOSE(MATCH(inp_view,{"P&amp;L","Cash Flow","Balance Sheet"},0),calc_dc_tools_m9,"","")</f>
        <v>0</v>
      </c>
      <c r="L30" s="7">
        <f>CHOOSE(MATCH(inp_view,{"P&amp;L","Cash Flow","Balance Sheet"},0),calc_dc_tools_m10,"","")</f>
        <v>0</v>
      </c>
      <c r="M30" s="7">
        <f>CHOOSE(MATCH(inp_view,{"P&amp;L","Cash Flow","Balance Sheet"},0),calc_dc_tools_m11,"","")</f>
        <v>0</v>
      </c>
      <c r="N30" s="7">
        <f>CHOOSE(MATCH(inp_view,{"P&amp;L","Cash Flow","Balance Sheet"},0),calc_dc_tools_m12,"","")</f>
        <v>0</v>
      </c>
      <c r="O30" s="6">
        <f>CHOOSE(MATCH(inp_view,{"P&amp;L","Cash Flow","Balance Sheet"},0),IFERROR(calc_dc_tools_ann,""),"","")</f>
        <v>0</v>
      </c>
      <c r="P30" s="1"/>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row>
    <row r="31" spans="1:96" x14ac:dyDescent="0.2">
      <c r="A31" s="57"/>
      <c r="B31" s="5" t="str">
        <f>CHOOSE(MATCH(inp_view,{"P&amp;L","Cash Flow","Balance Sheet"},0),"Pass-through media","","")</f>
        <v>Pass-through media</v>
      </c>
      <c r="C31" s="7">
        <f>CHOOSE(MATCH(inp_view,{"P&amp;L","Cash Flow","Balance Sheet"},0),calc_dc_passthrough_m1,"","")</f>
        <v>0</v>
      </c>
      <c r="D31" s="7">
        <f>CHOOSE(MATCH(inp_view,{"P&amp;L","Cash Flow","Balance Sheet"},0),calc_dc_passthrough_m2,"","")</f>
        <v>0</v>
      </c>
      <c r="E31" s="7">
        <f>CHOOSE(MATCH(inp_view,{"P&amp;L","Cash Flow","Balance Sheet"},0),calc_dc_passthrough_m3,"","")</f>
        <v>0</v>
      </c>
      <c r="F31" s="7">
        <f>CHOOSE(MATCH(inp_view,{"P&amp;L","Cash Flow","Balance Sheet"},0),calc_dc_passthrough_m4,"","")</f>
        <v>0</v>
      </c>
      <c r="G31" s="7">
        <f>CHOOSE(MATCH(inp_view,{"P&amp;L","Cash Flow","Balance Sheet"},0),calc_dc_passthrough_m5,"","")</f>
        <v>0</v>
      </c>
      <c r="H31" s="7">
        <f>CHOOSE(MATCH(inp_view,{"P&amp;L","Cash Flow","Balance Sheet"},0),calc_dc_passthrough_m6,"","")</f>
        <v>0</v>
      </c>
      <c r="I31" s="7">
        <f>CHOOSE(MATCH(inp_view,{"P&amp;L","Cash Flow","Balance Sheet"},0),calc_dc_passthrough_m7,"","")</f>
        <v>0</v>
      </c>
      <c r="J31" s="7">
        <f>CHOOSE(MATCH(inp_view,{"P&amp;L","Cash Flow","Balance Sheet"},0),calc_dc_passthrough_m8,"","")</f>
        <v>0</v>
      </c>
      <c r="K31" s="7">
        <f>CHOOSE(MATCH(inp_view,{"P&amp;L","Cash Flow","Balance Sheet"},0),calc_dc_passthrough_m9,"","")</f>
        <v>0</v>
      </c>
      <c r="L31" s="7">
        <f>CHOOSE(MATCH(inp_view,{"P&amp;L","Cash Flow","Balance Sheet"},0),calc_dc_passthrough_m10,"","")</f>
        <v>0</v>
      </c>
      <c r="M31" s="7">
        <f>CHOOSE(MATCH(inp_view,{"P&amp;L","Cash Flow","Balance Sheet"},0),calc_dc_passthrough_m11,"","")</f>
        <v>0</v>
      </c>
      <c r="N31" s="7">
        <f>CHOOSE(MATCH(inp_view,{"P&amp;L","Cash Flow","Balance Sheet"},0),calc_dc_passthrough_m12,"","")</f>
        <v>0</v>
      </c>
      <c r="O31" s="6">
        <f>CHOOSE(MATCH(inp_view,{"P&amp;L","Cash Flow","Balance Sheet"},0),IFERROR(calc_dc_passthrough_ann,""),"","")</f>
        <v>0</v>
      </c>
      <c r="P31" s="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row>
    <row r="32" spans="1:96" ht="16" thickBot="1" x14ac:dyDescent="0.25">
      <c r="A32" s="57"/>
      <c r="B32" s="11" t="str">
        <f>CHOOSE(MATCH(inp_view,{"P&amp;L","Cash Flow","Balance Sheet"},0),"Total direct cost","Investing cash flow","Net fixed assets")</f>
        <v>Total direct cost</v>
      </c>
      <c r="C32" s="12">
        <f>CHOOSE(MATCH(inp_view,{"P&amp;L","Cash Flow","Balance Sheet"},0),calc_dc_total_m1,calc_inv_cf_m1,calc_bs_net_fa_m1)</f>
        <v>109293.75</v>
      </c>
      <c r="D32" s="12">
        <f>CHOOSE(MATCH(inp_view,{"P&amp;L","Cash Flow","Balance Sheet"},0),calc_dc_total_m2,calc_inv_cf_m2,calc_bs_net_fa_m2)</f>
        <v>109293.75</v>
      </c>
      <c r="E32" s="12">
        <f>CHOOSE(MATCH(inp_view,{"P&amp;L","Cash Flow","Balance Sheet"},0),calc_dc_total_m3,calc_inv_cf_m3,calc_bs_net_fa_m3)</f>
        <v>119168.75</v>
      </c>
      <c r="F32" s="12">
        <f>CHOOSE(MATCH(inp_view,{"P&amp;L","Cash Flow","Balance Sheet"},0),calc_dc_total_m4,calc_inv_cf_m4,calc_bs_net_fa_m4)</f>
        <v>119168.75</v>
      </c>
      <c r="G32" s="12">
        <f>CHOOSE(MATCH(inp_view,{"P&amp;L","Cash Flow","Balance Sheet"},0),calc_dc_total_m5,calc_inv_cf_m5,calc_bs_net_fa_m5)</f>
        <v>119168.75</v>
      </c>
      <c r="H32" s="12">
        <f>CHOOSE(MATCH(inp_view,{"P&amp;L","Cash Flow","Balance Sheet"},0),calc_dc_total_m6,calc_inv_cf_m6,calc_bs_net_fa_m6)</f>
        <v>119168.75</v>
      </c>
      <c r="I32" s="12">
        <f>CHOOSE(MATCH(inp_view,{"P&amp;L","Cash Flow","Balance Sheet"},0),calc_dc_total_m7,calc_inv_cf_m7,calc_bs_net_fa_m7)</f>
        <v>119168.75</v>
      </c>
      <c r="J32" s="12">
        <f>CHOOSE(MATCH(inp_view,{"P&amp;L","Cash Flow","Balance Sheet"},0),calc_dc_total_m8,calc_inv_cf_m8,calc_bs_net_fa_m8)</f>
        <v>119168.75</v>
      </c>
      <c r="K32" s="12">
        <f>CHOOSE(MATCH(inp_view,{"P&amp;L","Cash Flow","Balance Sheet"},0),calc_dc_total_m9,calc_inv_cf_m9,calc_bs_net_fa_m9)</f>
        <v>119168.75</v>
      </c>
      <c r="L32" s="12">
        <f>CHOOSE(MATCH(inp_view,{"P&amp;L","Cash Flow","Balance Sheet"},0),calc_dc_total_m10,calc_inv_cf_m10,calc_bs_net_fa_m10)</f>
        <v>119168.75</v>
      </c>
      <c r="M32" s="12">
        <f>CHOOSE(MATCH(inp_view,{"P&amp;L","Cash Flow","Balance Sheet"},0),calc_dc_total_m11,calc_inv_cf_m11,calc_bs_net_fa_m11)</f>
        <v>119168.75</v>
      </c>
      <c r="N32" s="12">
        <f>CHOOSE(MATCH(inp_view,{"P&amp;L","Cash Flow","Balance Sheet"},0),calc_dc_total_m12,calc_inv_cf_m12,calc_bs_net_fa_m12)</f>
        <v>119168.75</v>
      </c>
      <c r="O32" s="12">
        <f>CHOOSE(MATCH(inp_view,{"P&amp;L","Cash Flow","Balance Sheet"},0),IFERROR(calc_dc_total_ann,""),IFERROR(calc_inv_cf_ann,""),IFERROR(calc_bs_net_fa_ann,""))</f>
        <v>1410275</v>
      </c>
      <c r="P32" s="1"/>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row>
    <row r="33" spans="1:96" ht="16" thickTop="1" x14ac:dyDescent="0.2">
      <c r="A33" s="57"/>
      <c r="B33" s="13" t="str">
        <f>CHOOSE(MATCH(inp_view,{"P&amp;L","Cash Flow","Balance Sheet"},0),"GROSS PROFIT","","TOTAL ASSETS")</f>
        <v>GROSS PROFIT</v>
      </c>
      <c r="C33" s="14">
        <f>CHOOSE(MATCH(inp_view,{"P&amp;L","Cash Flow","Balance Sheet"},0),calc_gp_m1,"",calc_bs_total_assets_m1)</f>
        <v>95101.5</v>
      </c>
      <c r="D33" s="14">
        <f>CHOOSE(MATCH(inp_view,{"P&amp;L","Cash Flow","Balance Sheet"},0),calc_gp_m2,"",calc_bs_total_assets_m2)</f>
        <v>77328</v>
      </c>
      <c r="E33" s="14">
        <f>CHOOSE(MATCH(inp_view,{"P&amp;L","Cash Flow","Balance Sheet"},0),calc_gp_m3,"",calc_bs_total_assets_m3)</f>
        <v>95752</v>
      </c>
      <c r="F33" s="14">
        <f>CHOOSE(MATCH(inp_view,{"P&amp;L","Cash Flow","Balance Sheet"},0),calc_gp_m4,"",calc_bs_total_assets_m4)</f>
        <v>99662.5</v>
      </c>
      <c r="G33" s="14">
        <f>CHOOSE(MATCH(inp_view,{"P&amp;L","Cash Flow","Balance Sheet"},0),calc_gp_m5,"",calc_bs_total_assets_m5)</f>
        <v>76036</v>
      </c>
      <c r="H33" s="14">
        <f>CHOOSE(MATCH(inp_view,{"P&amp;L","Cash Flow","Balance Sheet"},0),calc_gp_m6,"",calc_bs_total_assets_m6)</f>
        <v>87849.25</v>
      </c>
      <c r="I33" s="14">
        <f>CHOOSE(MATCH(inp_view,{"P&amp;L","Cash Flow","Balance Sheet"},0),calc_gp_m7,"",calc_bs_total_assets_m7)</f>
        <v>77991.25</v>
      </c>
      <c r="J33" s="14">
        <f>CHOOSE(MATCH(inp_view,{"P&amp;L","Cash Flow","Balance Sheet"},0),calc_gp_m8,"",calc_bs_total_assets_m8)</f>
        <v>77991.25</v>
      </c>
      <c r="K33" s="14">
        <f>CHOOSE(MATCH(inp_view,{"P&amp;L","Cash Flow","Balance Sheet"},0),calc_gp_m9,"",calc_bs_total_assets_m9)</f>
        <v>95752</v>
      </c>
      <c r="L33" s="14">
        <f>CHOOSE(MATCH(inp_view,{"P&amp;L","Cash Flow","Balance Sheet"},0),calc_gp_m10,"",calc_bs_total_assets_m10)</f>
        <v>71059.75</v>
      </c>
      <c r="M33" s="14">
        <f>CHOOSE(MATCH(inp_view,{"P&amp;L","Cash Flow","Balance Sheet"},0),calc_gp_m11,"",calc_bs_total_assets_m11)</f>
        <v>86878</v>
      </c>
      <c r="N33" s="14">
        <f>CHOOSE(MATCH(inp_view,{"P&amp;L","Cash Flow","Balance Sheet"},0),calc_gp_m12,"",calc_bs_total_assets_m12)</f>
        <v>88820.5</v>
      </c>
      <c r="O33" s="14">
        <f>CHOOSE(MATCH(inp_view,{"P&amp;L","Cash Flow","Balance Sheet"},0),IFERROR(calc_gp_ann,""),"",IFERROR(calc_bs_total_assets_ann,""))</f>
        <v>1030222</v>
      </c>
      <c r="P33" s="1"/>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row>
    <row r="34" spans="1:96" x14ac:dyDescent="0.2">
      <c r="A34" s="57"/>
      <c r="B34" s="15" t="str">
        <f>CHOOSE(MATCH(inp_view,{"P&amp;L","Cash Flow","Balance Sheet"},0),"Gross margin %","","")</f>
        <v>Gross margin %</v>
      </c>
      <c r="C34" s="16">
        <f>CHOOSE(MATCH(inp_view,{"P&amp;L","Cash Flow","Balance Sheet"},0),calc_gm_pct_m1,"","")</f>
        <v>0.46528233899760391</v>
      </c>
      <c r="D34" s="16">
        <f>CHOOSE(MATCH(inp_view,{"P&amp;L","Cash Flow","Balance Sheet"},0),calc_gm_pct_m2,"","")</f>
        <v>0.41435684747356616</v>
      </c>
      <c r="E34" s="16">
        <f>CHOOSE(MATCH(inp_view,{"P&amp;L","Cash Flow","Balance Sheet"},0),calc_gm_pct_m3,"","")</f>
        <v>0.44552236114940041</v>
      </c>
      <c r="F34" s="16">
        <f>CHOOSE(MATCH(inp_view,{"P&amp;L","Cash Flow","Balance Sheet"},0),calc_gm_pct_m4,"","")</f>
        <v>0.45543083997372402</v>
      </c>
      <c r="G34" s="16">
        <f>CHOOSE(MATCH(inp_view,{"P&amp;L","Cash Flow","Balance Sheet"},0),calc_gm_pct_m5,"","")</f>
        <v>0.38951920995774947</v>
      </c>
      <c r="H34" s="16">
        <f>CHOOSE(MATCH(inp_view,{"P&amp;L","Cash Flow","Balance Sheet"},0),calc_gm_pct_m6,"","")</f>
        <v>0.42435561158933038</v>
      </c>
      <c r="I34" s="16">
        <f>CHOOSE(MATCH(inp_view,{"P&amp;L","Cash Flow","Balance Sheet"},0),calc_gm_pct_m7,"","")</f>
        <v>0.39557339216879689</v>
      </c>
      <c r="J34" s="16">
        <f>CHOOSE(MATCH(inp_view,{"P&amp;L","Cash Flow","Balance Sheet"},0),calc_gm_pct_m8,"","")</f>
        <v>0.39557339216879689</v>
      </c>
      <c r="K34" s="16">
        <f>CHOOSE(MATCH(inp_view,{"P&amp;L","Cash Flow","Balance Sheet"},0),calc_gm_pct_m9,"","")</f>
        <v>0.44552236114940041</v>
      </c>
      <c r="L34" s="16">
        <f>CHOOSE(MATCH(inp_view,{"P&amp;L","Cash Flow","Balance Sheet"},0),calc_gm_pct_m10,"","")</f>
        <v>0.3735494418554528</v>
      </c>
      <c r="M34" s="16">
        <f>CHOOSE(MATCH(inp_view,{"P&amp;L","Cash Flow","Balance Sheet"},0),calc_gm_pct_m11,"","")</f>
        <v>0.42164217586542863</v>
      </c>
      <c r="N34" s="16">
        <f>CHOOSE(MATCH(inp_view,{"P&amp;L","Cash Flow","Balance Sheet"},0),calc_gm_pct_m12,"","")</f>
        <v>0.42704370538381192</v>
      </c>
      <c r="O34" s="16">
        <f>CHOOSE(MATCH(inp_view,{"P&amp;L","Cash Flow","Balance Sheet"},0),IFERROR(calc_gm_pct_ann,""),"","")</f>
        <v>0.42213614685861117</v>
      </c>
      <c r="P34" s="1"/>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row>
    <row r="35" spans="1:96" x14ac:dyDescent="0.2">
      <c r="A35" s="57"/>
      <c r="B35" s="9" t="str">
        <f>CHOOSE(MATCH(inp_view,{"P&amp;L","Cash Flow","Balance Sheet"},0),"OPERATING EXPENSES","FINANCING CASH FLOW","LIABILITIES")</f>
        <v>OPERATING EXPENSES</v>
      </c>
      <c r="C35" s="10" t="str">
        <f>CHOOSE(MATCH(inp_view,{"P&amp;L","Cash Flow","Balance Sheet"},0),"","","")</f>
        <v/>
      </c>
      <c r="D35" s="10" t="str">
        <f>CHOOSE(MATCH(inp_view,{"P&amp;L","Cash Flow","Balance Sheet"},0),"","","")</f>
        <v/>
      </c>
      <c r="E35" s="10" t="str">
        <f>CHOOSE(MATCH(inp_view,{"P&amp;L","Cash Flow","Balance Sheet"},0),"","","")</f>
        <v/>
      </c>
      <c r="F35" s="10" t="str">
        <f>CHOOSE(MATCH(inp_view,{"P&amp;L","Cash Flow","Balance Sheet"},0),"","","")</f>
        <v/>
      </c>
      <c r="G35" s="10" t="str">
        <f>CHOOSE(MATCH(inp_view,{"P&amp;L","Cash Flow","Balance Sheet"},0),"","","")</f>
        <v/>
      </c>
      <c r="H35" s="10" t="str">
        <f>CHOOSE(MATCH(inp_view,{"P&amp;L","Cash Flow","Balance Sheet"},0),"","","")</f>
        <v/>
      </c>
      <c r="I35" s="10" t="str">
        <f>CHOOSE(MATCH(inp_view,{"P&amp;L","Cash Flow","Balance Sheet"},0),"","","")</f>
        <v/>
      </c>
      <c r="J35" s="10" t="str">
        <f>CHOOSE(MATCH(inp_view,{"P&amp;L","Cash Flow","Balance Sheet"},0),"","","")</f>
        <v/>
      </c>
      <c r="K35" s="10" t="str">
        <f>CHOOSE(MATCH(inp_view,{"P&amp;L","Cash Flow","Balance Sheet"},0),"","","")</f>
        <v/>
      </c>
      <c r="L35" s="10" t="str">
        <f>CHOOSE(MATCH(inp_view,{"P&amp;L","Cash Flow","Balance Sheet"},0),"","","")</f>
        <v/>
      </c>
      <c r="M35" s="10" t="str">
        <f>CHOOSE(MATCH(inp_view,{"P&amp;L","Cash Flow","Balance Sheet"},0),"","","")</f>
        <v/>
      </c>
      <c r="N35" s="10" t="str">
        <f>CHOOSE(MATCH(inp_view,{"P&amp;L","Cash Flow","Balance Sheet"},0),"","","")</f>
        <v/>
      </c>
      <c r="O35" s="10" t="str">
        <f>CHOOSE(MATCH(inp_view,{"P&amp;L","Cash Flow","Balance Sheet"},0),"","","")</f>
        <v/>
      </c>
      <c r="P35" s="1"/>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row>
    <row r="36" spans="1:96" x14ac:dyDescent="0.2">
      <c r="A36" s="57"/>
      <c r="B36" s="5" t="str">
        <f>CHOOSE(MATCH(inp_view,{"P&amp;L","Cash Flow","Balance Sheet"},0),"Overhead payroll (roster)","+ Debt drawdowns","Accounts payable")</f>
        <v>Overhead payroll (roster)</v>
      </c>
      <c r="C36" s="7">
        <f>CHOOSE(MATCH(inp_view,{"P&amp;L","Cash Flow","Balance Sheet"},0),calc_ox_payroll_m1,calc_debt_draw_m1,calc_bs_ap_m1)</f>
        <v>7406.25</v>
      </c>
      <c r="D36" s="7">
        <f>CHOOSE(MATCH(inp_view,{"P&amp;L","Cash Flow","Balance Sheet"},0),calc_ox_payroll_m2,calc_debt_draw_m2,calc_bs_ap_m2)</f>
        <v>7406.25</v>
      </c>
      <c r="E36" s="7">
        <f>CHOOSE(MATCH(inp_view,{"P&amp;L","Cash Flow","Balance Sheet"},0),calc_ox_payroll_m3,calc_debt_draw_m3,calc_bs_ap_m3)</f>
        <v>7406.25</v>
      </c>
      <c r="F36" s="7">
        <f>CHOOSE(MATCH(inp_view,{"P&amp;L","Cash Flow","Balance Sheet"},0),calc_ox_payroll_m4,calc_debt_draw_m4,calc_bs_ap_m4)</f>
        <v>7406.25</v>
      </c>
      <c r="G36" s="7">
        <f>CHOOSE(MATCH(inp_view,{"P&amp;L","Cash Flow","Balance Sheet"},0),calc_ox_payroll_m5,calc_debt_draw_m5,calc_bs_ap_m5)</f>
        <v>7406.25</v>
      </c>
      <c r="H36" s="7">
        <f>CHOOSE(MATCH(inp_view,{"P&amp;L","Cash Flow","Balance Sheet"},0),calc_ox_payroll_m6,calc_debt_draw_m6,calc_bs_ap_m6)</f>
        <v>7406.25</v>
      </c>
      <c r="I36" s="7">
        <f>CHOOSE(MATCH(inp_view,{"P&amp;L","Cash Flow","Balance Sheet"},0),calc_ox_payroll_m7,calc_debt_draw_m7,calc_bs_ap_m7)</f>
        <v>7406.25</v>
      </c>
      <c r="J36" s="7">
        <f>CHOOSE(MATCH(inp_view,{"P&amp;L","Cash Flow","Balance Sheet"},0),calc_ox_payroll_m8,calc_debt_draw_m8,calc_bs_ap_m8)</f>
        <v>7406.25</v>
      </c>
      <c r="K36" s="7">
        <f>CHOOSE(MATCH(inp_view,{"P&amp;L","Cash Flow","Balance Sheet"},0),calc_ox_payroll_m9,calc_debt_draw_m9,calc_bs_ap_m9)</f>
        <v>7406.25</v>
      </c>
      <c r="L36" s="7">
        <f>CHOOSE(MATCH(inp_view,{"P&amp;L","Cash Flow","Balance Sheet"},0),calc_ox_payroll_m10,calc_debt_draw_m10,calc_bs_ap_m10)</f>
        <v>7406.25</v>
      </c>
      <c r="M36" s="7">
        <f>CHOOSE(MATCH(inp_view,{"P&amp;L","Cash Flow","Balance Sheet"},0),calc_ox_payroll_m11,calc_debt_draw_m11,calc_bs_ap_m11)</f>
        <v>7406.25</v>
      </c>
      <c r="N36" s="7">
        <f>CHOOSE(MATCH(inp_view,{"P&amp;L","Cash Flow","Balance Sheet"},0),calc_ox_payroll_m12,calc_debt_draw_m12,calc_bs_ap_m12)</f>
        <v>7406.25</v>
      </c>
      <c r="O36" s="6">
        <f>CHOOSE(MATCH(inp_view,{"P&amp;L","Cash Flow","Balance Sheet"},0),IFERROR(calc_ox_payroll_ann,""),IFERROR(calc_debt_draw_ann,""),IFERROR(calc_bs_ap_ann,""))</f>
        <v>88875</v>
      </c>
      <c r="P36" s="1"/>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row>
    <row r="37" spans="1:96" x14ac:dyDescent="0.2">
      <c r="A37" s="57"/>
      <c r="B37" s="5" t="str">
        <f>CHOOSE(MATCH(inp_view,{"P&amp;L","Cash Flow","Balance Sheet"},0),"Rent / occupancy","− Debt principal repayments","Interest-bearing debt")</f>
        <v>Rent / occupancy</v>
      </c>
      <c r="C37" s="7">
        <f>CHOOSE(MATCH(inp_view,{"P&amp;L","Cash Flow","Balance Sheet"},0),calc_ox_rent_m1,calc_debt_repay_neg_m1,calc_bs_debt_m1)</f>
        <v>11000</v>
      </c>
      <c r="D37" s="7">
        <f>CHOOSE(MATCH(inp_view,{"P&amp;L","Cash Flow","Balance Sheet"},0),calc_ox_rent_m2,calc_debt_repay_neg_m2,calc_bs_debt_m2)</f>
        <v>11000</v>
      </c>
      <c r="E37" s="7">
        <f>CHOOSE(MATCH(inp_view,{"P&amp;L","Cash Flow","Balance Sheet"},0),calc_ox_rent_m3,calc_debt_repay_neg_m3,calc_bs_debt_m3)</f>
        <v>11000</v>
      </c>
      <c r="F37" s="7">
        <f>CHOOSE(MATCH(inp_view,{"P&amp;L","Cash Flow","Balance Sheet"},0),calc_ox_rent_m4,calc_debt_repay_neg_m4,calc_bs_debt_m4)</f>
        <v>11000</v>
      </c>
      <c r="G37" s="7">
        <f>CHOOSE(MATCH(inp_view,{"P&amp;L","Cash Flow","Balance Sheet"},0),calc_ox_rent_m5,calc_debt_repay_neg_m5,calc_bs_debt_m5)</f>
        <v>11000</v>
      </c>
      <c r="H37" s="7">
        <f>CHOOSE(MATCH(inp_view,{"P&amp;L","Cash Flow","Balance Sheet"},0),calc_ox_rent_m6,calc_debt_repay_neg_m6,calc_bs_debt_m6)</f>
        <v>11000</v>
      </c>
      <c r="I37" s="7">
        <f>CHOOSE(MATCH(inp_view,{"P&amp;L","Cash Flow","Balance Sheet"},0),calc_ox_rent_m7,calc_debt_repay_neg_m7,calc_bs_debt_m7)</f>
        <v>11000</v>
      </c>
      <c r="J37" s="7">
        <f>CHOOSE(MATCH(inp_view,{"P&amp;L","Cash Flow","Balance Sheet"},0),calc_ox_rent_m8,calc_debt_repay_neg_m8,calc_bs_debt_m8)</f>
        <v>11000</v>
      </c>
      <c r="K37" s="7">
        <f>CHOOSE(MATCH(inp_view,{"P&amp;L","Cash Flow","Balance Sheet"},0),calc_ox_rent_m9,calc_debt_repay_neg_m9,calc_bs_debt_m9)</f>
        <v>11000</v>
      </c>
      <c r="L37" s="7">
        <f>CHOOSE(MATCH(inp_view,{"P&amp;L","Cash Flow","Balance Sheet"},0),calc_ox_rent_m10,calc_debt_repay_neg_m10,calc_bs_debt_m10)</f>
        <v>11000</v>
      </c>
      <c r="M37" s="7">
        <f>CHOOSE(MATCH(inp_view,{"P&amp;L","Cash Flow","Balance Sheet"},0),calc_ox_rent_m11,calc_debt_repay_neg_m11,calc_bs_debt_m11)</f>
        <v>11000</v>
      </c>
      <c r="N37" s="7">
        <f>CHOOSE(MATCH(inp_view,{"P&amp;L","Cash Flow","Balance Sheet"},0),calc_ox_rent_m12,calc_debt_repay_neg_m12,calc_bs_debt_m12)</f>
        <v>11000</v>
      </c>
      <c r="O37" s="6">
        <f>CHOOSE(MATCH(inp_view,{"P&amp;L","Cash Flow","Balance Sheet"},0),IFERROR(calc_ox_rent_ann,""),IFERROR(calc_debt_repay_neg_ann,""),IFERROR(calc_bs_debt_ann,""))</f>
        <v>132000</v>
      </c>
      <c r="P37" s="1"/>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row>
    <row r="38" spans="1:96" x14ac:dyDescent="0.2">
      <c r="A38" s="57"/>
      <c r="B38" s="5" t="str">
        <f>CHOOSE(MATCH(inp_view,{"P&amp;L","Cash Flow","Balance Sheet"},0),"Software &amp; systems","− Owner distributions","Tax payable")</f>
        <v>Software &amp; systems</v>
      </c>
      <c r="C38" s="7">
        <f>CHOOSE(MATCH(inp_view,{"P&amp;L","Cash Flow","Balance Sheet"},0),calc_ox_software_m1,calc_dist_neg_m1,calc_bs_tax_pay_m1)</f>
        <v>6500</v>
      </c>
      <c r="D38" s="7">
        <f>CHOOSE(MATCH(inp_view,{"P&amp;L","Cash Flow","Balance Sheet"},0),calc_ox_software_m2,calc_dist_neg_m2,calc_bs_tax_pay_m2)</f>
        <v>6500</v>
      </c>
      <c r="E38" s="7">
        <f>CHOOSE(MATCH(inp_view,{"P&amp;L","Cash Flow","Balance Sheet"},0),calc_ox_software_m3,calc_dist_neg_m3,calc_bs_tax_pay_m3)</f>
        <v>6500</v>
      </c>
      <c r="F38" s="7">
        <f>CHOOSE(MATCH(inp_view,{"P&amp;L","Cash Flow","Balance Sheet"},0),calc_ox_software_m4,calc_dist_neg_m4,calc_bs_tax_pay_m4)</f>
        <v>6500</v>
      </c>
      <c r="G38" s="7">
        <f>CHOOSE(MATCH(inp_view,{"P&amp;L","Cash Flow","Balance Sheet"},0),calc_ox_software_m5,calc_dist_neg_m5,calc_bs_tax_pay_m5)</f>
        <v>6500</v>
      </c>
      <c r="H38" s="7">
        <f>CHOOSE(MATCH(inp_view,{"P&amp;L","Cash Flow","Balance Sheet"},0),calc_ox_software_m6,calc_dist_neg_m6,calc_bs_tax_pay_m6)</f>
        <v>6500</v>
      </c>
      <c r="I38" s="7">
        <f>CHOOSE(MATCH(inp_view,{"P&amp;L","Cash Flow","Balance Sheet"},0),calc_ox_software_m7,calc_dist_neg_m7,calc_bs_tax_pay_m7)</f>
        <v>6500</v>
      </c>
      <c r="J38" s="7">
        <f>CHOOSE(MATCH(inp_view,{"P&amp;L","Cash Flow","Balance Sheet"},0),calc_ox_software_m8,calc_dist_neg_m8,calc_bs_tax_pay_m8)</f>
        <v>6500</v>
      </c>
      <c r="K38" s="7">
        <f>CHOOSE(MATCH(inp_view,{"P&amp;L","Cash Flow","Balance Sheet"},0),calc_ox_software_m9,calc_dist_neg_m9,calc_bs_tax_pay_m9)</f>
        <v>6500</v>
      </c>
      <c r="L38" s="7">
        <f>CHOOSE(MATCH(inp_view,{"P&amp;L","Cash Flow","Balance Sheet"},0),calc_ox_software_m10,calc_dist_neg_m10,calc_bs_tax_pay_m10)</f>
        <v>6500</v>
      </c>
      <c r="M38" s="7">
        <f>CHOOSE(MATCH(inp_view,{"P&amp;L","Cash Flow","Balance Sheet"},0),calc_ox_software_m11,calc_dist_neg_m11,calc_bs_tax_pay_m11)</f>
        <v>6500</v>
      </c>
      <c r="N38" s="7">
        <f>CHOOSE(MATCH(inp_view,{"P&amp;L","Cash Flow","Balance Sheet"},0),calc_ox_software_m12,calc_dist_neg_m12,calc_bs_tax_pay_m12)</f>
        <v>6500</v>
      </c>
      <c r="O38" s="6">
        <f>CHOOSE(MATCH(inp_view,{"P&amp;L","Cash Flow","Balance Sheet"},0),IFERROR(calc_ox_software_ann,""),IFERROR(calc_dist_neg_ann,""),IFERROR(calc_bs_tax_pay_ann,""))</f>
        <v>78000</v>
      </c>
      <c r="P38" s="1"/>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row>
    <row r="39" spans="1:96" x14ac:dyDescent="0.2">
      <c r="A39" s="57"/>
      <c r="B39" s="5" t="str">
        <f>CHOOSE(MATCH(inp_view,{"P&amp;L","Cash Flow","Balance Sheet"},0),"Sales &amp; marketing","","")</f>
        <v>Sales &amp; marketing</v>
      </c>
      <c r="C39" s="7">
        <f>CHOOSE(MATCH(inp_view,{"P&amp;L","Cash Flow","Balance Sheet"},0),calc_ox_sales_mktg_m1,"","")</f>
        <v>8000</v>
      </c>
      <c r="D39" s="7">
        <f>CHOOSE(MATCH(inp_view,{"P&amp;L","Cash Flow","Balance Sheet"},0),calc_ox_sales_mktg_m2,"","")</f>
        <v>8000</v>
      </c>
      <c r="E39" s="7">
        <f>CHOOSE(MATCH(inp_view,{"P&amp;L","Cash Flow","Balance Sheet"},0),calc_ox_sales_mktg_m3,"","")</f>
        <v>8000</v>
      </c>
      <c r="F39" s="7">
        <f>CHOOSE(MATCH(inp_view,{"P&amp;L","Cash Flow","Balance Sheet"},0),calc_ox_sales_mktg_m4,"","")</f>
        <v>8000</v>
      </c>
      <c r="G39" s="7">
        <f>CHOOSE(MATCH(inp_view,{"P&amp;L","Cash Flow","Balance Sheet"},0),calc_ox_sales_mktg_m5,"","")</f>
        <v>8000</v>
      </c>
      <c r="H39" s="7">
        <f>CHOOSE(MATCH(inp_view,{"P&amp;L","Cash Flow","Balance Sheet"},0),calc_ox_sales_mktg_m6,"","")</f>
        <v>8000</v>
      </c>
      <c r="I39" s="7">
        <f>CHOOSE(MATCH(inp_view,{"P&amp;L","Cash Flow","Balance Sheet"},0),calc_ox_sales_mktg_m7,"","")</f>
        <v>8000</v>
      </c>
      <c r="J39" s="7">
        <f>CHOOSE(MATCH(inp_view,{"P&amp;L","Cash Flow","Balance Sheet"},0),calc_ox_sales_mktg_m8,"","")</f>
        <v>8000</v>
      </c>
      <c r="K39" s="7">
        <f>CHOOSE(MATCH(inp_view,{"P&amp;L","Cash Flow","Balance Sheet"},0),calc_ox_sales_mktg_m9,"","")</f>
        <v>8000</v>
      </c>
      <c r="L39" s="7">
        <f>CHOOSE(MATCH(inp_view,{"P&amp;L","Cash Flow","Balance Sheet"},0),calc_ox_sales_mktg_m10,"","")</f>
        <v>8000</v>
      </c>
      <c r="M39" s="7">
        <f>CHOOSE(MATCH(inp_view,{"P&amp;L","Cash Flow","Balance Sheet"},0),calc_ox_sales_mktg_m11,"","")</f>
        <v>8000</v>
      </c>
      <c r="N39" s="7">
        <f>CHOOSE(MATCH(inp_view,{"P&amp;L","Cash Flow","Balance Sheet"},0),calc_ox_sales_mktg_m12,"","")</f>
        <v>8000</v>
      </c>
      <c r="O39" s="6">
        <f>CHOOSE(MATCH(inp_view,{"P&amp;L","Cash Flow","Balance Sheet"},0),IFERROR(calc_ox_sales_mktg_ann,""),"","")</f>
        <v>96000</v>
      </c>
      <c r="P39" s="1"/>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row>
    <row r="40" spans="1:96" x14ac:dyDescent="0.2">
      <c r="A40" s="57"/>
      <c r="B40" s="5" t="str">
        <f>CHOOSE(MATCH(inp_view,{"P&amp;L","Cash Flow","Balance Sheet"},0),"Professional fees","","")</f>
        <v>Professional fees</v>
      </c>
      <c r="C40" s="7">
        <f>CHOOSE(MATCH(inp_view,{"P&amp;L","Cash Flow","Balance Sheet"},0),calc_ox_prof_fees_m1,"","")</f>
        <v>0</v>
      </c>
      <c r="D40" s="7">
        <f>CHOOSE(MATCH(inp_view,{"P&amp;L","Cash Flow","Balance Sheet"},0),calc_ox_prof_fees_m2,"","")</f>
        <v>0</v>
      </c>
      <c r="E40" s="7">
        <f>CHOOSE(MATCH(inp_view,{"P&amp;L","Cash Flow","Balance Sheet"},0),calc_ox_prof_fees_m3,"","")</f>
        <v>12000</v>
      </c>
      <c r="F40" s="7">
        <f>CHOOSE(MATCH(inp_view,{"P&amp;L","Cash Flow","Balance Sheet"},0),calc_ox_prof_fees_m4,"","")</f>
        <v>0</v>
      </c>
      <c r="G40" s="7">
        <f>CHOOSE(MATCH(inp_view,{"P&amp;L","Cash Flow","Balance Sheet"},0),calc_ox_prof_fees_m5,"","")</f>
        <v>0</v>
      </c>
      <c r="H40" s="7">
        <f>CHOOSE(MATCH(inp_view,{"P&amp;L","Cash Flow","Balance Sheet"},0),calc_ox_prof_fees_m6,"","")</f>
        <v>12000</v>
      </c>
      <c r="I40" s="7">
        <f>CHOOSE(MATCH(inp_view,{"P&amp;L","Cash Flow","Balance Sheet"},0),calc_ox_prof_fees_m7,"","")</f>
        <v>0</v>
      </c>
      <c r="J40" s="7">
        <f>CHOOSE(MATCH(inp_view,{"P&amp;L","Cash Flow","Balance Sheet"},0),calc_ox_prof_fees_m8,"","")</f>
        <v>0</v>
      </c>
      <c r="K40" s="7">
        <f>CHOOSE(MATCH(inp_view,{"P&amp;L","Cash Flow","Balance Sheet"},0),calc_ox_prof_fees_m9,"","")</f>
        <v>12000</v>
      </c>
      <c r="L40" s="7">
        <f>CHOOSE(MATCH(inp_view,{"P&amp;L","Cash Flow","Balance Sheet"},0),calc_ox_prof_fees_m10,"","")</f>
        <v>0</v>
      </c>
      <c r="M40" s="7">
        <f>CHOOSE(MATCH(inp_view,{"P&amp;L","Cash Flow","Balance Sheet"},0),calc_ox_prof_fees_m11,"","")</f>
        <v>0</v>
      </c>
      <c r="N40" s="7">
        <f>CHOOSE(MATCH(inp_view,{"P&amp;L","Cash Flow","Balance Sheet"},0),calc_ox_prof_fees_m12,"","")</f>
        <v>12000</v>
      </c>
      <c r="O40" s="6">
        <f>CHOOSE(MATCH(inp_view,{"P&amp;L","Cash Flow","Balance Sheet"},0),IFERROR(calc_ox_prof_fees_ann,""),"","")</f>
        <v>48000</v>
      </c>
      <c r="P40" s="1"/>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row>
    <row r="41" spans="1:96" x14ac:dyDescent="0.2">
      <c r="A41" s="57"/>
      <c r="B41" s="5" t="str">
        <f>CHOOSE(MATCH(inp_view,{"P&amp;L","Cash Flow","Balance Sheet"},0),"Insurance + other overhead","","")</f>
        <v>Insurance + other overhead</v>
      </c>
      <c r="C41" s="7">
        <f>CHOOSE(MATCH(inp_view,{"P&amp;L","Cash Flow","Balance Sheet"},0),calc_ox_other_bundle_m1,"","")</f>
        <v>37500</v>
      </c>
      <c r="D41" s="7">
        <f>CHOOSE(MATCH(inp_view,{"P&amp;L","Cash Flow","Balance Sheet"},0),calc_ox_other_bundle_m2,"","")</f>
        <v>7500</v>
      </c>
      <c r="E41" s="7">
        <f>CHOOSE(MATCH(inp_view,{"P&amp;L","Cash Flow","Balance Sheet"},0),calc_ox_other_bundle_m3,"","")</f>
        <v>7500</v>
      </c>
      <c r="F41" s="7">
        <f>CHOOSE(MATCH(inp_view,{"P&amp;L","Cash Flow","Balance Sheet"},0),calc_ox_other_bundle_m4,"","")</f>
        <v>7500</v>
      </c>
      <c r="G41" s="7">
        <f>CHOOSE(MATCH(inp_view,{"P&amp;L","Cash Flow","Balance Sheet"},0),calc_ox_other_bundle_m5,"","")</f>
        <v>7500</v>
      </c>
      <c r="H41" s="7">
        <f>CHOOSE(MATCH(inp_view,{"P&amp;L","Cash Flow","Balance Sheet"},0),calc_ox_other_bundle_m6,"","")</f>
        <v>7500</v>
      </c>
      <c r="I41" s="7">
        <f>CHOOSE(MATCH(inp_view,{"P&amp;L","Cash Flow","Balance Sheet"},0),calc_ox_other_bundle_m7,"","")</f>
        <v>7500</v>
      </c>
      <c r="J41" s="7">
        <f>CHOOSE(MATCH(inp_view,{"P&amp;L","Cash Flow","Balance Sheet"},0),calc_ox_other_bundle_m8,"","")</f>
        <v>7500</v>
      </c>
      <c r="K41" s="7">
        <f>CHOOSE(MATCH(inp_view,{"P&amp;L","Cash Flow","Balance Sheet"},0),calc_ox_other_bundle_m9,"","")</f>
        <v>7500</v>
      </c>
      <c r="L41" s="7">
        <f>CHOOSE(MATCH(inp_view,{"P&amp;L","Cash Flow","Balance Sheet"},0),calc_ox_other_bundle_m10,"","")</f>
        <v>7500</v>
      </c>
      <c r="M41" s="7">
        <f>CHOOSE(MATCH(inp_view,{"P&amp;L","Cash Flow","Balance Sheet"},0),calc_ox_other_bundle_m11,"","")</f>
        <v>7500</v>
      </c>
      <c r="N41" s="7">
        <f>CHOOSE(MATCH(inp_view,{"P&amp;L","Cash Flow","Balance Sheet"},0),calc_ox_other_bundle_m12,"","")</f>
        <v>7500</v>
      </c>
      <c r="O41" s="6">
        <f>CHOOSE(MATCH(inp_view,{"P&amp;L","Cash Flow","Balance Sheet"},0),IFERROR(calc_ox_other_bundle_ann,""),"","")</f>
        <v>120000</v>
      </c>
      <c r="P41" s="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row>
    <row r="42" spans="1:96" ht="16" thickBot="1" x14ac:dyDescent="0.25">
      <c r="A42" s="57"/>
      <c r="B42" s="11" t="str">
        <f>CHOOSE(MATCH(inp_view,{"P&amp;L","Cash Flow","Balance Sheet"},0),"Total operating expenses","Financing cash flow","Total liabilities")</f>
        <v>Total operating expenses</v>
      </c>
      <c r="C42" s="12">
        <f>CHOOSE(MATCH(inp_view,{"P&amp;L","Cash Flow","Balance Sheet"},0),calc_ox_total_m1,calc_fin_cf_m1,calc_bs_total_liab_m1)</f>
        <v>70406.25</v>
      </c>
      <c r="D42" s="12">
        <f>CHOOSE(MATCH(inp_view,{"P&amp;L","Cash Flow","Balance Sheet"},0),calc_ox_total_m2,calc_fin_cf_m2,calc_bs_total_liab_m2)</f>
        <v>40406.25</v>
      </c>
      <c r="E42" s="12">
        <f>CHOOSE(MATCH(inp_view,{"P&amp;L","Cash Flow","Balance Sheet"},0),calc_ox_total_m3,calc_fin_cf_m3,calc_bs_total_liab_m3)</f>
        <v>52406.25</v>
      </c>
      <c r="F42" s="12">
        <f>CHOOSE(MATCH(inp_view,{"P&amp;L","Cash Flow","Balance Sheet"},0),calc_ox_total_m4,calc_fin_cf_m4,calc_bs_total_liab_m4)</f>
        <v>40406.25</v>
      </c>
      <c r="G42" s="12">
        <f>CHOOSE(MATCH(inp_view,{"P&amp;L","Cash Flow","Balance Sheet"},0),calc_ox_total_m5,calc_fin_cf_m5,calc_bs_total_liab_m5)</f>
        <v>40406.25</v>
      </c>
      <c r="H42" s="12">
        <f>CHOOSE(MATCH(inp_view,{"P&amp;L","Cash Flow","Balance Sheet"},0),calc_ox_total_m6,calc_fin_cf_m6,calc_bs_total_liab_m6)</f>
        <v>52406.25</v>
      </c>
      <c r="I42" s="12">
        <f>CHOOSE(MATCH(inp_view,{"P&amp;L","Cash Flow","Balance Sheet"},0),calc_ox_total_m7,calc_fin_cf_m7,calc_bs_total_liab_m7)</f>
        <v>40406.25</v>
      </c>
      <c r="J42" s="12">
        <f>CHOOSE(MATCH(inp_view,{"P&amp;L","Cash Flow","Balance Sheet"},0),calc_ox_total_m8,calc_fin_cf_m8,calc_bs_total_liab_m8)</f>
        <v>40406.25</v>
      </c>
      <c r="K42" s="12">
        <f>CHOOSE(MATCH(inp_view,{"P&amp;L","Cash Flow","Balance Sheet"},0),calc_ox_total_m9,calc_fin_cf_m9,calc_bs_total_liab_m9)</f>
        <v>52406.25</v>
      </c>
      <c r="L42" s="12">
        <f>CHOOSE(MATCH(inp_view,{"P&amp;L","Cash Flow","Balance Sheet"},0),calc_ox_total_m10,calc_fin_cf_m10,calc_bs_total_liab_m10)</f>
        <v>40406.25</v>
      </c>
      <c r="M42" s="12">
        <f>CHOOSE(MATCH(inp_view,{"P&amp;L","Cash Flow","Balance Sheet"},0),calc_ox_total_m11,calc_fin_cf_m11,calc_bs_total_liab_m11)</f>
        <v>40406.25</v>
      </c>
      <c r="N42" s="12">
        <f>CHOOSE(MATCH(inp_view,{"P&amp;L","Cash Flow","Balance Sheet"},0),calc_ox_total_m12,calc_fin_cf_m12,calc_bs_total_liab_m12)</f>
        <v>52406.25</v>
      </c>
      <c r="O42" s="12">
        <f>CHOOSE(MATCH(inp_view,{"P&amp;L","Cash Flow","Balance Sheet"},0),IFERROR(calc_ox_total_ann,""),IFERROR(calc_fin_cf_ann,""),IFERROR(calc_bs_total_liab_ann,""))</f>
        <v>562875</v>
      </c>
      <c r="P42" s="1"/>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row>
    <row r="43" spans="1:96" ht="16" thickTop="1" x14ac:dyDescent="0.2">
      <c r="A43" s="57"/>
      <c r="B43" s="13" t="str">
        <f>CHOOSE(MATCH(inp_view,{"P&amp;L","Cash Flow","Balance Sheet"},0),"EBITDA","NET CHANGE IN CASH","")</f>
        <v>EBITDA</v>
      </c>
      <c r="C43" s="14">
        <f>CHOOSE(MATCH(inp_view,{"P&amp;L","Cash Flow","Balance Sheet"},0),calc_ebitda_m1,calc_net_change_m1,"")</f>
        <v>24695.25</v>
      </c>
      <c r="D43" s="14">
        <f>CHOOSE(MATCH(inp_view,{"P&amp;L","Cash Flow","Balance Sheet"},0),calc_ebitda_m2,calc_net_change_m2,"")</f>
        <v>36921.75</v>
      </c>
      <c r="E43" s="14">
        <f>CHOOSE(MATCH(inp_view,{"P&amp;L","Cash Flow","Balance Sheet"},0),calc_ebitda_m3,calc_net_change_m3,"")</f>
        <v>43345.75</v>
      </c>
      <c r="F43" s="14">
        <f>CHOOSE(MATCH(inp_view,{"P&amp;L","Cash Flow","Balance Sheet"},0),calc_ebitda_m4,calc_net_change_m4,"")</f>
        <v>59256.25</v>
      </c>
      <c r="G43" s="14">
        <f>CHOOSE(MATCH(inp_view,{"P&amp;L","Cash Flow","Balance Sheet"},0),calc_ebitda_m5,calc_net_change_m5,"")</f>
        <v>35629.75</v>
      </c>
      <c r="H43" s="14">
        <f>CHOOSE(MATCH(inp_view,{"P&amp;L","Cash Flow","Balance Sheet"},0),calc_ebitda_m6,calc_net_change_m6,"")</f>
        <v>35443</v>
      </c>
      <c r="I43" s="14">
        <f>CHOOSE(MATCH(inp_view,{"P&amp;L","Cash Flow","Balance Sheet"},0),calc_ebitda_m7,calc_net_change_m7,"")</f>
        <v>37585</v>
      </c>
      <c r="J43" s="14">
        <f>CHOOSE(MATCH(inp_view,{"P&amp;L","Cash Flow","Balance Sheet"},0),calc_ebitda_m8,calc_net_change_m8,"")</f>
        <v>37585</v>
      </c>
      <c r="K43" s="14">
        <f>CHOOSE(MATCH(inp_view,{"P&amp;L","Cash Flow","Balance Sheet"},0),calc_ebitda_m9,calc_net_change_m9,"")</f>
        <v>43345.75</v>
      </c>
      <c r="L43" s="14">
        <f>CHOOSE(MATCH(inp_view,{"P&amp;L","Cash Flow","Balance Sheet"},0),calc_ebitda_m10,calc_net_change_m10,"")</f>
        <v>30653.5</v>
      </c>
      <c r="M43" s="14">
        <f>CHOOSE(MATCH(inp_view,{"P&amp;L","Cash Flow","Balance Sheet"},0),calc_ebitda_m11,calc_net_change_m11,"")</f>
        <v>46471.75</v>
      </c>
      <c r="N43" s="14">
        <f>CHOOSE(MATCH(inp_view,{"P&amp;L","Cash Flow","Balance Sheet"},0),calc_ebitda_m12,calc_net_change_m12,"")</f>
        <v>36414.25</v>
      </c>
      <c r="O43" s="14">
        <f>CHOOSE(MATCH(inp_view,{"P&amp;L","Cash Flow","Balance Sheet"},0),IFERROR(calc_ebitda_ann,""),IFERROR(calc_net_change_ann,""),"")</f>
        <v>467347</v>
      </c>
      <c r="P43" s="1"/>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row>
    <row r="44" spans="1:96" x14ac:dyDescent="0.2">
      <c r="A44" s="57"/>
      <c r="B44" s="15" t="str">
        <f>CHOOSE(MATCH(inp_view,{"P&amp;L","Cash Flow","Balance Sheet"},0),"EBITDA %","","")</f>
        <v>EBITDA %</v>
      </c>
      <c r="C44" s="16">
        <f>CHOOSE(MATCH(inp_view,{"P&amp;L","Cash Flow","Balance Sheet"},0),calc_ebitda_pct_m1,"","")</f>
        <v>0.12082105626231529</v>
      </c>
      <c r="D44" s="16">
        <f>CHOOSE(MATCH(inp_view,{"P&amp;L","Cash Flow","Balance Sheet"},0),calc_ebitda_pct_m2,"","")</f>
        <v>0.19784269518424299</v>
      </c>
      <c r="E44" s="16">
        <f>CHOOSE(MATCH(inp_view,{"P&amp;L","Cash Flow","Balance Sheet"},0),calc_ebitda_pct_m3,"","")</f>
        <v>0.20168248063530395</v>
      </c>
      <c r="F44" s="16">
        <f>CHOOSE(MATCH(inp_view,{"P&amp;L","Cash Flow","Balance Sheet"},0),calc_ebitda_pct_m4,"","")</f>
        <v>0.2707851369491332</v>
      </c>
      <c r="G44" s="16">
        <f>CHOOSE(MATCH(inp_view,{"P&amp;L","Cash Flow","Balance Sheet"},0),calc_ebitda_pct_m5,"","")</f>
        <v>0.18252501540049615</v>
      </c>
      <c r="H44" s="16">
        <f>CHOOSE(MATCH(inp_view,{"P&amp;L","Cash Flow","Balance Sheet"},0),calc_ebitda_pct_m6,"","")</f>
        <v>0.17120733462790674</v>
      </c>
      <c r="I44" s="16">
        <f>CHOOSE(MATCH(inp_view,{"P&amp;L","Cash Flow","Balance Sheet"},0),calc_ebitda_pct_m7,"","")</f>
        <v>0.19063197403124366</v>
      </c>
      <c r="J44" s="16">
        <f>CHOOSE(MATCH(inp_view,{"P&amp;L","Cash Flow","Balance Sheet"},0),calc_ebitda_pct_m8,"","")</f>
        <v>0.19063197403124366</v>
      </c>
      <c r="K44" s="16">
        <f>CHOOSE(MATCH(inp_view,{"P&amp;L","Cash Flow","Balance Sheet"},0),calc_ebitda_pct_m9,"","")</f>
        <v>0.20168248063530395</v>
      </c>
      <c r="L44" s="16">
        <f>CHOOSE(MATCH(inp_view,{"P&amp;L","Cash Flow","Balance Sheet"},0),calc_ebitda_pct_m10,"","")</f>
        <v>0.16114041797101905</v>
      </c>
      <c r="M44" s="16">
        <f>CHOOSE(MATCH(inp_view,{"P&amp;L","Cash Flow","Balance Sheet"},0),calc_ebitda_pct_m11,"","")</f>
        <v>0.22553983501317054</v>
      </c>
      <c r="N44" s="16">
        <f>CHOOSE(MATCH(inp_view,{"P&amp;L","Cash Flow","Balance Sheet"},0),calc_ebitda_pct_m12,"","")</f>
        <v>0.17507755809494963</v>
      </c>
      <c r="O44" s="16">
        <f>CHOOSE(MATCH(inp_view,{"P&amp;L","Cash Flow","Balance Sheet"},0),IFERROR(calc_ebitda_pct_ann,""),"","")</f>
        <v>0.1914966500675887</v>
      </c>
      <c r="P44" s="1"/>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row>
    <row r="45" spans="1:96" x14ac:dyDescent="0.2">
      <c r="A45" s="57"/>
      <c r="B45" s="5" t="str">
        <f>CHOOSE(MATCH(inp_view,{"P&amp;L","Cash Flow","Balance Sheet"},0),"Depreciation &amp; amortisation","Opening cash balance","EQUITY")</f>
        <v>Depreciation &amp; amortisation</v>
      </c>
      <c r="C45" s="7">
        <f>CHOOSE(MATCH(inp_view,{"P&amp;L","Cash Flow","Balance Sheet"},0),calc_da_m1,calc_open_cash_m1,"")</f>
        <v>5833.333333333333</v>
      </c>
      <c r="D45" s="7">
        <f>CHOOSE(MATCH(inp_view,{"P&amp;L","Cash Flow","Balance Sheet"},0),calc_da_m2,calc_open_cash_m2,"")</f>
        <v>5833.333333333333</v>
      </c>
      <c r="E45" s="7">
        <f>CHOOSE(MATCH(inp_view,{"P&amp;L","Cash Flow","Balance Sheet"},0),calc_da_m3,calc_open_cash_m3,"")</f>
        <v>5833.333333333333</v>
      </c>
      <c r="F45" s="7">
        <f>CHOOSE(MATCH(inp_view,{"P&amp;L","Cash Flow","Balance Sheet"},0),calc_da_m4,calc_open_cash_m4,"")</f>
        <v>5833.333333333333</v>
      </c>
      <c r="G45" s="7">
        <f>CHOOSE(MATCH(inp_view,{"P&amp;L","Cash Flow","Balance Sheet"},0),calc_da_m5,calc_open_cash_m5,"")</f>
        <v>5833.333333333333</v>
      </c>
      <c r="H45" s="7">
        <f>CHOOSE(MATCH(inp_view,{"P&amp;L","Cash Flow","Balance Sheet"},0),calc_da_m6,calc_open_cash_m6,"")</f>
        <v>5833.333333333333</v>
      </c>
      <c r="I45" s="7">
        <f>CHOOSE(MATCH(inp_view,{"P&amp;L","Cash Flow","Balance Sheet"},0),calc_da_m7,calc_open_cash_m7,"")</f>
        <v>5833.333333333333</v>
      </c>
      <c r="J45" s="7">
        <f>CHOOSE(MATCH(inp_view,{"P&amp;L","Cash Flow","Balance Sheet"},0),calc_da_m8,calc_open_cash_m8,"")</f>
        <v>5833.333333333333</v>
      </c>
      <c r="K45" s="7">
        <f>CHOOSE(MATCH(inp_view,{"P&amp;L","Cash Flow","Balance Sheet"},0),calc_da_m9,calc_open_cash_m9,"")</f>
        <v>5833.333333333333</v>
      </c>
      <c r="L45" s="7">
        <f>CHOOSE(MATCH(inp_view,{"P&amp;L","Cash Flow","Balance Sheet"},0),calc_da_m10,calc_open_cash_m10,"")</f>
        <v>5833.333333333333</v>
      </c>
      <c r="M45" s="7">
        <f>CHOOSE(MATCH(inp_view,{"P&amp;L","Cash Flow","Balance Sheet"},0),calc_da_m11,calc_open_cash_m11,"")</f>
        <v>5833.333333333333</v>
      </c>
      <c r="N45" s="7">
        <f>CHOOSE(MATCH(inp_view,{"P&amp;L","Cash Flow","Balance Sheet"},0),calc_da_m12,calc_open_cash_m12,"")</f>
        <v>5833.333333333333</v>
      </c>
      <c r="O45" s="6">
        <f>CHOOSE(MATCH(inp_view,{"P&amp;L","Cash Flow","Balance Sheet"},0),IFERROR(calc_da_ann,""),IFERROR(calc_open_cash_ann,""),"")</f>
        <v>70000.000000000015</v>
      </c>
      <c r="P45" s="1"/>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row>
    <row r="46" spans="1:96" x14ac:dyDescent="0.2">
      <c r="A46" s="57"/>
      <c r="B46" s="5" t="str">
        <f>CHOOSE(MATCH(inp_view,{"P&amp;L","Cash Flow","Balance Sheet"},0),"Interest expense","+ Net change in month","Paid-in capital")</f>
        <v>Interest expense</v>
      </c>
      <c r="C46" s="7">
        <f>CHOOSE(MATCH(inp_view,{"P&amp;L","Cash Flow","Balance Sheet"},0),calc_interest_m1,calc_net_change_m1,calc_bs_paid_in_m1)</f>
        <v>2225</v>
      </c>
      <c r="D46" s="7">
        <f ca="1">CHOOSE(MATCH(inp_view,{"P&amp;L","Cash Flow","Balance Sheet"},0),calc_interest_m2,calc_net_change_m2,calc_bs_paid_in_m2)</f>
        <v>1780</v>
      </c>
      <c r="E46" s="7">
        <f ca="1">CHOOSE(MATCH(inp_view,{"P&amp;L","Cash Flow","Balance Sheet"},0),calc_interest_m3,calc_net_change_m3,calc_bs_paid_in_m3)</f>
        <v>1780</v>
      </c>
      <c r="F46" s="7">
        <f ca="1">CHOOSE(MATCH(inp_view,{"P&amp;L","Cash Flow","Balance Sheet"},0),calc_interest_m4,calc_net_change_m4,calc_bs_paid_in_m4)</f>
        <v>1780</v>
      </c>
      <c r="G46" s="7">
        <f ca="1">CHOOSE(MATCH(inp_view,{"P&amp;L","Cash Flow","Balance Sheet"},0),calc_interest_m5,calc_net_change_m5,calc_bs_paid_in_m5)</f>
        <v>1780</v>
      </c>
      <c r="H46" s="7">
        <f ca="1">CHOOSE(MATCH(inp_view,{"P&amp;L","Cash Flow","Balance Sheet"},0),calc_interest_m6,calc_net_change_m6,calc_bs_paid_in_m6)</f>
        <v>1780</v>
      </c>
      <c r="I46" s="7">
        <f ca="1">CHOOSE(MATCH(inp_view,{"P&amp;L","Cash Flow","Balance Sheet"},0),calc_interest_m7,calc_net_change_m7,calc_bs_paid_in_m7)</f>
        <v>1780</v>
      </c>
      <c r="J46" s="7">
        <f ca="1">CHOOSE(MATCH(inp_view,{"P&amp;L","Cash Flow","Balance Sheet"},0),calc_interest_m8,calc_net_change_m8,calc_bs_paid_in_m8)</f>
        <v>1780</v>
      </c>
      <c r="K46" s="7">
        <f ca="1">CHOOSE(MATCH(inp_view,{"P&amp;L","Cash Flow","Balance Sheet"},0),calc_interest_m9,calc_net_change_m9,calc_bs_paid_in_m9)</f>
        <v>1780</v>
      </c>
      <c r="L46" s="7">
        <f ca="1">CHOOSE(MATCH(inp_view,{"P&amp;L","Cash Flow","Balance Sheet"},0),calc_interest_m10,calc_net_change_m10,calc_bs_paid_in_m10)</f>
        <v>1780</v>
      </c>
      <c r="M46" s="7">
        <f ca="1">CHOOSE(MATCH(inp_view,{"P&amp;L","Cash Flow","Balance Sheet"},0),calc_interest_m11,calc_net_change_m11,calc_bs_paid_in_m11)</f>
        <v>1780</v>
      </c>
      <c r="N46" s="7">
        <f ca="1">CHOOSE(MATCH(inp_view,{"P&amp;L","Cash Flow","Balance Sheet"},0),calc_interest_m12,calc_net_change_m12,calc_bs_paid_in_m12)</f>
        <v>1780</v>
      </c>
      <c r="O46" s="6">
        <f ca="1">CHOOSE(MATCH(inp_view,{"P&amp;L","Cash Flow","Balance Sheet"},0),IFERROR(calc_interest_ann,""),IFERROR(calc_net_change_ann,""),IFERROR(calc_bs_paid_in_ann,""))</f>
        <v>21805</v>
      </c>
      <c r="P46" s="1"/>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row>
    <row r="47" spans="1:96" ht="16" thickBot="1" x14ac:dyDescent="0.25">
      <c r="A47" s="57"/>
      <c r="B47" s="5" t="str">
        <f>CHOOSE(MATCH(inp_view,{"P&amp;L","Cash Flow","Balance Sheet"},0),"Income tax expense","","Retained earnings")</f>
        <v>Income tax expense</v>
      </c>
      <c r="C47" s="7">
        <f>CHOOSE(MATCH(inp_view,{"P&amp;L","Cash Flow","Balance Sheet"},0),calc_tax_m1,"",calc_bs_ret_earn_m1)</f>
        <v>4159.229166666667</v>
      </c>
      <c r="D47" s="7">
        <f ca="1">CHOOSE(MATCH(inp_view,{"P&amp;L","Cash Flow","Balance Sheet"},0),calc_tax_m2,"",calc_bs_ret_earn_m2)</f>
        <v>7327.104166666667</v>
      </c>
      <c r="E47" s="7">
        <f ca="1">CHOOSE(MATCH(inp_view,{"P&amp;L","Cash Flow","Balance Sheet"},0),calc_tax_m3,"",calc_bs_ret_earn_m3)</f>
        <v>8933.1041666666661</v>
      </c>
      <c r="F47" s="7">
        <f ca="1">CHOOSE(MATCH(inp_view,{"P&amp;L","Cash Flow","Balance Sheet"},0),calc_tax_m4,"",calc_bs_ret_earn_m4)</f>
        <v>12910.729166666666</v>
      </c>
      <c r="G47" s="7">
        <f ca="1">CHOOSE(MATCH(inp_view,{"P&amp;L","Cash Flow","Balance Sheet"},0),calc_tax_m5,"",calc_bs_ret_earn_m5)</f>
        <v>7004.104166666667</v>
      </c>
      <c r="H47" s="7">
        <f ca="1">CHOOSE(MATCH(inp_view,{"P&amp;L","Cash Flow","Balance Sheet"},0),calc_tax_m6,"",calc_bs_ret_earn_m6)</f>
        <v>6957.416666666667</v>
      </c>
      <c r="I47" s="7">
        <f ca="1">CHOOSE(MATCH(inp_view,{"P&amp;L","Cash Flow","Balance Sheet"},0),calc_tax_m7,"",calc_bs_ret_earn_m7)</f>
        <v>7492.916666666667</v>
      </c>
      <c r="J47" s="7">
        <f ca="1">CHOOSE(MATCH(inp_view,{"P&amp;L","Cash Flow","Balance Sheet"},0),calc_tax_m8,"",calc_bs_ret_earn_m8)</f>
        <v>7492.916666666667</v>
      </c>
      <c r="K47" s="7">
        <f ca="1">CHOOSE(MATCH(inp_view,{"P&amp;L","Cash Flow","Balance Sheet"},0),calc_tax_m9,"",calc_bs_ret_earn_m9)</f>
        <v>8933.1041666666661</v>
      </c>
      <c r="L47" s="7">
        <f ca="1">CHOOSE(MATCH(inp_view,{"P&amp;L","Cash Flow","Balance Sheet"},0),calc_tax_m10,"",calc_bs_ret_earn_m10)</f>
        <v>5760.041666666667</v>
      </c>
      <c r="M47" s="7">
        <f ca="1">CHOOSE(MATCH(inp_view,{"P&amp;L","Cash Flow","Balance Sheet"},0),calc_tax_m11,"",calc_bs_ret_earn_m11)</f>
        <v>9714.6041666666661</v>
      </c>
      <c r="N47" s="7">
        <f ca="1">CHOOSE(MATCH(inp_view,{"P&amp;L","Cash Flow","Balance Sheet"},0),calc_tax_m12,"",calc_bs_ret_earn_m12)</f>
        <v>7200.229166666667</v>
      </c>
      <c r="O47" s="6">
        <f ca="1">CHOOSE(MATCH(inp_view,{"P&amp;L","Cash Flow","Balance Sheet"},0),IFERROR(calc_tax_ann,""),"",IFERROR(calc_bs_ret_earn_ann,""))</f>
        <v>93885.5</v>
      </c>
      <c r="P47" s="1"/>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row>
    <row r="48" spans="1:96" ht="16" thickTop="1" x14ac:dyDescent="0.2">
      <c r="A48" s="57"/>
      <c r="B48" s="13" t="str">
        <f>CHOOSE(MATCH(inp_view,{"P&amp;L","Cash Flow","Balance Sheet"},0),"NET PROFIT","CLOSING CASH","TOTAL LIABILITIES + EQUITY")</f>
        <v>NET PROFIT</v>
      </c>
      <c r="C48" s="14">
        <f>CHOOSE(MATCH(inp_view,{"P&amp;L","Cash Flow","Balance Sheet"},0),calc_net_profit_m1,calc_close_cash_m1,calc_bs_total_le_m1)</f>
        <v>12477.6875</v>
      </c>
      <c r="D48" s="14">
        <f ca="1">CHOOSE(MATCH(inp_view,{"P&amp;L","Cash Flow","Balance Sheet"},0),calc_net_profit_m2,calc_close_cash_m2,calc_bs_total_le_m2)</f>
        <v>21981.3125</v>
      </c>
      <c r="E48" s="14">
        <f ca="1">CHOOSE(MATCH(inp_view,{"P&amp;L","Cash Flow","Balance Sheet"},0),calc_net_profit_m3,calc_close_cash_m3,calc_bs_total_le_m3)</f>
        <v>26799.3125</v>
      </c>
      <c r="F48" s="14">
        <f ca="1">CHOOSE(MATCH(inp_view,{"P&amp;L","Cash Flow","Balance Sheet"},0),calc_net_profit_m4,calc_close_cash_m4,calc_bs_total_le_m4)</f>
        <v>38732.1875</v>
      </c>
      <c r="G48" s="14">
        <f ca="1">CHOOSE(MATCH(inp_view,{"P&amp;L","Cash Flow","Balance Sheet"},0),calc_net_profit_m5,calc_close_cash_m5,calc_bs_total_le_m5)</f>
        <v>21012.3125</v>
      </c>
      <c r="H48" s="14">
        <f ca="1">CHOOSE(MATCH(inp_view,{"P&amp;L","Cash Flow","Balance Sheet"},0),calc_net_profit_m6,calc_close_cash_m6,calc_bs_total_le_m6)</f>
        <v>20872.25</v>
      </c>
      <c r="I48" s="14">
        <f ca="1">CHOOSE(MATCH(inp_view,{"P&amp;L","Cash Flow","Balance Sheet"},0),calc_net_profit_m7,calc_close_cash_m7,calc_bs_total_le_m7)</f>
        <v>22478.75</v>
      </c>
      <c r="J48" s="14">
        <f ca="1">CHOOSE(MATCH(inp_view,{"P&amp;L","Cash Flow","Balance Sheet"},0),calc_net_profit_m8,calc_close_cash_m8,calc_bs_total_le_m8)</f>
        <v>22478.75</v>
      </c>
      <c r="K48" s="14">
        <f ca="1">CHOOSE(MATCH(inp_view,{"P&amp;L","Cash Flow","Balance Sheet"},0),calc_net_profit_m9,calc_close_cash_m9,calc_bs_total_le_m9)</f>
        <v>26799.3125</v>
      </c>
      <c r="L48" s="14">
        <f ca="1">CHOOSE(MATCH(inp_view,{"P&amp;L","Cash Flow","Balance Sheet"},0),calc_net_profit_m10,calc_close_cash_m10,calc_bs_total_le_m10)</f>
        <v>17280.125</v>
      </c>
      <c r="M48" s="14">
        <f ca="1">CHOOSE(MATCH(inp_view,{"P&amp;L","Cash Flow","Balance Sheet"},0),calc_net_profit_m11,calc_close_cash_m11,calc_bs_total_le_m11)</f>
        <v>29143.8125</v>
      </c>
      <c r="N48" s="14">
        <f ca="1">CHOOSE(MATCH(inp_view,{"P&amp;L","Cash Flow","Balance Sheet"},0),calc_net_profit_m12,calc_close_cash_m12,calc_bs_total_le_m12)</f>
        <v>21600.6875</v>
      </c>
      <c r="O48" s="14">
        <f ca="1">CHOOSE(MATCH(inp_view,{"P&amp;L","Cash Flow","Balance Sheet"},0),IFERROR(calc_net_profit_ann,""),IFERROR(calc_close_cash_ann,""),IFERROR(calc_bs_total_le_ann,""))</f>
        <v>281656.5</v>
      </c>
      <c r="P48" s="1"/>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row>
    <row r="49" spans="1:96" x14ac:dyDescent="0.2">
      <c r="A49" s="57"/>
      <c r="B49" s="15" t="str">
        <f>CHOOSE(MATCH(inp_view,{"P&amp;L","Cash Flow","Balance Sheet"},0),"Net margin %","","")</f>
        <v>Net margin %</v>
      </c>
      <c r="C49" s="16">
        <f>CHOOSE(MATCH(inp_view,{"P&amp;L","Cash Flow","Balance Sheet"},0),calc_np_pct_m1,"","")</f>
        <v>6.1046856519415202E-2</v>
      </c>
      <c r="D49" s="16">
        <f ca="1">CHOOSE(MATCH(inp_view,{"P&amp;L","Cash Flow","Balance Sheet"},0),calc_np_pct_m2,"","")</f>
        <v>0.11778537335546366</v>
      </c>
      <c r="E49" s="16">
        <f ca="1">CHOOSE(MATCH(inp_view,{"P&amp;L","Cash Flow","Balance Sheet"},0),calc_np_pct_m3,"","")</f>
        <v>0.12469392787806668</v>
      </c>
      <c r="F49" s="16">
        <f ca="1">CHOOSE(MATCH(inp_view,{"P&amp;L","Cash Flow","Balance Sheet"},0),calc_np_pct_m4,"","")</f>
        <v>0.17699568731613971</v>
      </c>
      <c r="G49" s="16">
        <f ca="1">CHOOSE(MATCH(inp_view,{"P&amp;L","Cash Flow","Balance Sheet"},0),calc_np_pct_m5,"","")</f>
        <v>0.10764242417256752</v>
      </c>
      <c r="H49" s="16">
        <f ca="1">CHOOSE(MATCH(inp_view,{"P&amp;L","Cash Flow","Balance Sheet"},0),calc_np_pct_m6,"","")</f>
        <v>0.1008233583553121</v>
      </c>
      <c r="I49" s="16">
        <f ca="1">CHOOSE(MATCH(inp_view,{"P&amp;L","Cash Flow","Balance Sheet"},0),calc_np_pct_m7,"","")</f>
        <v>0.11401273077703387</v>
      </c>
      <c r="J49" s="16">
        <f ca="1">CHOOSE(MATCH(inp_view,{"P&amp;L","Cash Flow","Balance Sheet"},0),calc_np_pct_m8,"","")</f>
        <v>0.11401273077703387</v>
      </c>
      <c r="K49" s="16">
        <f ca="1">CHOOSE(MATCH(inp_view,{"P&amp;L","Cash Flow","Balance Sheet"},0),calc_np_pct_m9,"","")</f>
        <v>0.12469392787806668</v>
      </c>
      <c r="L49" s="16">
        <f ca="1">CHOOSE(MATCH(inp_view,{"P&amp;L","Cash Flow","Balance Sheet"},0),calc_np_pct_m10,"","")</f>
        <v>9.0838780729491114E-2</v>
      </c>
      <c r="M49" s="16">
        <f ca="1">CHOOSE(MATCH(inp_view,{"P&amp;L","Cash Flow","Balance Sheet"},0),calc_np_pct_m11,"","")</f>
        <v>0.14144271870340105</v>
      </c>
      <c r="N49" s="16">
        <f ca="1">CHOOSE(MATCH(inp_view,{"P&amp;L","Cash Flow","Balance Sheet"},0),calc_np_pct_m12,"","")</f>
        <v>0.10385482663166486</v>
      </c>
      <c r="O49" s="16">
        <f ca="1">CHOOSE(MATCH(inp_view,{"P&amp;L","Cash Flow","Balance Sheet"},0),IFERROR(calc_np_pct_ann,""),"","")</f>
        <v>0.11540948421571508</v>
      </c>
      <c r="P49" s="1"/>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row>
    <row r="50" spans="1:96" x14ac:dyDescent="0.2">
      <c r="A50" s="57"/>
      <c r="B50" s="5" t="str">
        <f>CHOOSE(MATCH(inp_view,{"P&amp;L","Cash Flow","Balance Sheet"},0),"Closing headcount (FTE)","Months below minimum buffer (YTD)","BS check (assets − L+E)")</f>
        <v>Closing headcount (FTE)</v>
      </c>
      <c r="C50" s="17">
        <f>CHOOSE(MATCH(inp_view,{"P&amp;L","Cash Flow","Balance Sheet"},0),calc_fte_close_m1,calc_below_buffer_count_m1,calc_bs_check_m1)</f>
        <v>9</v>
      </c>
      <c r="D50" s="17">
        <f>CHOOSE(MATCH(inp_view,{"P&amp;L","Cash Flow","Balance Sheet"},0),calc_fte_close_m2,calc_below_buffer_count_m2,calc_bs_check_m2)</f>
        <v>9</v>
      </c>
      <c r="E50" s="17">
        <f>CHOOSE(MATCH(inp_view,{"P&amp;L","Cash Flow","Balance Sheet"},0),calc_fte_close_m3,calc_below_buffer_count_m3,calc_bs_check_m3)</f>
        <v>10</v>
      </c>
      <c r="F50" s="17">
        <f>CHOOSE(MATCH(inp_view,{"P&amp;L","Cash Flow","Balance Sheet"},0),calc_fte_close_m4,calc_below_buffer_count_m4,calc_bs_check_m4)</f>
        <v>10</v>
      </c>
      <c r="G50" s="17">
        <f>CHOOSE(MATCH(inp_view,{"P&amp;L","Cash Flow","Balance Sheet"},0),calc_fte_close_m5,calc_below_buffer_count_m5,calc_bs_check_m5)</f>
        <v>10</v>
      </c>
      <c r="H50" s="17">
        <f>CHOOSE(MATCH(inp_view,{"P&amp;L","Cash Flow","Balance Sheet"},0),calc_fte_close_m6,calc_below_buffer_count_m6,calc_bs_check_m6)</f>
        <v>10</v>
      </c>
      <c r="I50" s="17">
        <f>CHOOSE(MATCH(inp_view,{"P&amp;L","Cash Flow","Balance Sheet"},0),calc_fte_close_m7,calc_below_buffer_count_m7,calc_bs_check_m7)</f>
        <v>10</v>
      </c>
      <c r="J50" s="17">
        <f>CHOOSE(MATCH(inp_view,{"P&amp;L","Cash Flow","Balance Sheet"},0),calc_fte_close_m8,calc_below_buffer_count_m8,calc_bs_check_m8)</f>
        <v>10</v>
      </c>
      <c r="K50" s="17">
        <f>CHOOSE(MATCH(inp_view,{"P&amp;L","Cash Flow","Balance Sheet"},0),calc_fte_close_m9,calc_below_buffer_count_m9,calc_bs_check_m9)</f>
        <v>10</v>
      </c>
      <c r="L50" s="17">
        <f>CHOOSE(MATCH(inp_view,{"P&amp;L","Cash Flow","Balance Sheet"},0),calc_fte_close_m10,calc_below_buffer_count_m10,calc_bs_check_m10)</f>
        <v>10</v>
      </c>
      <c r="M50" s="17">
        <f>CHOOSE(MATCH(inp_view,{"P&amp;L","Cash Flow","Balance Sheet"},0),calc_fte_close_m11,calc_below_buffer_count_m11,calc_bs_check_m11)</f>
        <v>10</v>
      </c>
      <c r="N50" s="17">
        <f>CHOOSE(MATCH(inp_view,{"P&amp;L","Cash Flow","Balance Sheet"},0),calc_fte_close_m12,calc_below_buffer_count_m12,calc_bs_check_m12)</f>
        <v>10</v>
      </c>
      <c r="O50" s="18">
        <f>CHOOSE(MATCH(inp_view,{"P&amp;L","Cash Flow","Balance Sheet"},0),IFERROR(calc_fte_close_ann,""),IFERROR(calc_below_buffer_count_ann,""),IFERROR(calc_bs_check_ann,""))</f>
        <v>10</v>
      </c>
      <c r="P50" s="1"/>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row>
    <row r="51" spans="1:96" x14ac:dyDescent="0.2">
      <c r="A51" s="57"/>
      <c r="B51" s="1"/>
      <c r="C51" s="1"/>
      <c r="D51" s="1"/>
      <c r="E51" s="1"/>
      <c r="F51" s="1"/>
      <c r="G51" s="1"/>
      <c r="H51" s="1"/>
      <c r="I51" s="1"/>
      <c r="J51" s="1"/>
      <c r="K51" s="1"/>
      <c r="L51" s="1"/>
      <c r="M51" s="1"/>
      <c r="N51" s="1"/>
      <c r="O51" s="1"/>
      <c r="P51" s="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row>
    <row r="52" spans="1:96" ht="26" customHeight="1" x14ac:dyDescent="0.2">
      <c r="A52" s="57"/>
      <c r="B52" s="173" t="s">
        <v>23</v>
      </c>
      <c r="C52" s="156"/>
      <c r="D52" s="156"/>
      <c r="E52" s="156"/>
      <c r="F52" s="156"/>
      <c r="G52" s="156"/>
      <c r="H52" s="156"/>
      <c r="I52" s="156"/>
      <c r="J52" s="174" t="s">
        <v>24</v>
      </c>
      <c r="K52" s="156"/>
      <c r="L52" s="156"/>
      <c r="M52" s="156"/>
      <c r="N52" s="156"/>
      <c r="O52" s="156"/>
      <c r="P52" s="1"/>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row>
    <row r="53" spans="1:96" x14ac:dyDescent="0.2">
      <c r="A53" s="57"/>
      <c r="B53" s="4" t="s">
        <v>21</v>
      </c>
      <c r="C53" s="19"/>
      <c r="D53" s="19"/>
      <c r="E53" s="8" t="s">
        <v>25</v>
      </c>
      <c r="F53" s="19"/>
      <c r="G53" s="19"/>
      <c r="H53" s="8" t="s">
        <v>26</v>
      </c>
      <c r="I53" s="19"/>
      <c r="J53" s="19"/>
      <c r="K53" s="8" t="s">
        <v>27</v>
      </c>
      <c r="L53" s="19"/>
      <c r="M53" s="19"/>
      <c r="N53" s="8" t="s">
        <v>28</v>
      </c>
      <c r="O53" s="19"/>
      <c r="P53" s="1"/>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row>
    <row r="54" spans="1:96" x14ac:dyDescent="0.2">
      <c r="A54" s="57"/>
      <c r="B54" s="5" t="s">
        <v>29</v>
      </c>
      <c r="C54" s="1"/>
      <c r="D54" s="1"/>
      <c r="E54" s="155">
        <f>SUMPRODUCT(calc_rev_total_m1m12,--(inp_act_rev_m1m12&lt;&gt;"")*(inp_act_rev_m1m12&lt;&gt;0))</f>
        <v>0</v>
      </c>
      <c r="F54" s="156"/>
      <c r="G54" s="156"/>
      <c r="H54" s="155">
        <f>SUMIF(inp_act_rev_m1m12,"&lt;&gt;")</f>
        <v>0</v>
      </c>
      <c r="I54" s="156"/>
      <c r="J54" s="156"/>
      <c r="K54" s="165">
        <f t="shared" ref="K54:K60" si="0">IFERROR(H54-E54,0)</f>
        <v>0</v>
      </c>
      <c r="L54" s="156"/>
      <c r="M54" s="156"/>
      <c r="N54" s="175">
        <f t="shared" ref="N54:N60" si="1">IFERROR((H54-E54)/E54,0)</f>
        <v>0</v>
      </c>
      <c r="O54" s="156"/>
      <c r="P54" s="1"/>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row>
    <row r="55" spans="1:96" x14ac:dyDescent="0.2">
      <c r="A55" s="57"/>
      <c r="B55" s="5" t="s">
        <v>30</v>
      </c>
      <c r="C55" s="1"/>
      <c r="D55" s="1"/>
      <c r="E55" s="155">
        <f>SUMPRODUCT(calc_dc_total_m1m12,--(inp_act_rev_m1m12&lt;&gt;"")*(inp_act_rev_m1m12&lt;&gt;0))</f>
        <v>0</v>
      </c>
      <c r="F55" s="156"/>
      <c r="G55" s="156"/>
      <c r="H55" s="155">
        <f>SUMIF(inp_act_dc_m1m12,"&lt;&gt;")</f>
        <v>0</v>
      </c>
      <c r="I55" s="156"/>
      <c r="J55" s="156"/>
      <c r="K55" s="165">
        <f t="shared" si="0"/>
        <v>0</v>
      </c>
      <c r="L55" s="156"/>
      <c r="M55" s="156"/>
      <c r="N55" s="175">
        <f t="shared" si="1"/>
        <v>0</v>
      </c>
      <c r="O55" s="156"/>
      <c r="P55" s="1"/>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row>
    <row r="56" spans="1:96" x14ac:dyDescent="0.2">
      <c r="A56" s="57"/>
      <c r="B56" s="5" t="s">
        <v>31</v>
      </c>
      <c r="C56" s="1"/>
      <c r="D56" s="1"/>
      <c r="E56" s="155">
        <f>SUMPRODUCT(calc_gp_m1m12,--(inp_act_rev_m1m12&lt;&gt;"")*(inp_act_rev_m1m12&lt;&gt;0))</f>
        <v>0</v>
      </c>
      <c r="F56" s="156"/>
      <c r="G56" s="156"/>
      <c r="H56" s="155">
        <f>SUMIF(inp_act_rev_m1m12,"&lt;&gt;")-SUMIF(inp_act_dc_m1m12,"&lt;&gt;")</f>
        <v>0</v>
      </c>
      <c r="I56" s="156"/>
      <c r="J56" s="156"/>
      <c r="K56" s="165">
        <f t="shared" si="0"/>
        <v>0</v>
      </c>
      <c r="L56" s="156"/>
      <c r="M56" s="156"/>
      <c r="N56" s="175">
        <f t="shared" si="1"/>
        <v>0</v>
      </c>
      <c r="O56" s="156"/>
      <c r="P56" s="1"/>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row>
    <row r="57" spans="1:96" x14ac:dyDescent="0.2">
      <c r="A57" s="57"/>
      <c r="B57" s="5" t="s">
        <v>32</v>
      </c>
      <c r="C57" s="1"/>
      <c r="D57" s="1"/>
      <c r="E57" s="155">
        <f>SUMPRODUCT(calc_ox_total_m1m12,--(inp_act_rev_m1m12&lt;&gt;"")*(inp_act_rev_m1m12&lt;&gt;0))</f>
        <v>0</v>
      </c>
      <c r="F57" s="156"/>
      <c r="G57" s="156"/>
      <c r="H57" s="155">
        <f>SUMIF(inp_act_ox_m1m12,"&lt;&gt;")</f>
        <v>0</v>
      </c>
      <c r="I57" s="156"/>
      <c r="J57" s="156"/>
      <c r="K57" s="165">
        <f t="shared" si="0"/>
        <v>0</v>
      </c>
      <c r="L57" s="156"/>
      <c r="M57" s="156"/>
      <c r="N57" s="175">
        <f t="shared" si="1"/>
        <v>0</v>
      </c>
      <c r="O57" s="156"/>
      <c r="P57" s="1"/>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row>
    <row r="58" spans="1:96" x14ac:dyDescent="0.2">
      <c r="A58" s="57"/>
      <c r="B58" s="5" t="s">
        <v>33</v>
      </c>
      <c r="C58" s="1"/>
      <c r="D58" s="1"/>
      <c r="E58" s="155">
        <f>SUMPRODUCT(calc_ebitda_m1m12,--(inp_act_rev_m1m12&lt;&gt;"")*(inp_act_rev_m1m12&lt;&gt;0))</f>
        <v>0</v>
      </c>
      <c r="F58" s="156"/>
      <c r="G58" s="156"/>
      <c r="H58" s="155">
        <f>SUMIF(inp_act_ebitda_m1m12,"&lt;&gt;")</f>
        <v>0</v>
      </c>
      <c r="I58" s="156"/>
      <c r="J58" s="156"/>
      <c r="K58" s="165">
        <f t="shared" si="0"/>
        <v>0</v>
      </c>
      <c r="L58" s="156"/>
      <c r="M58" s="156"/>
      <c r="N58" s="175">
        <f t="shared" si="1"/>
        <v>0</v>
      </c>
      <c r="O58" s="156"/>
      <c r="P58" s="1"/>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row>
    <row r="59" spans="1:96" x14ac:dyDescent="0.2">
      <c r="A59" s="57"/>
      <c r="B59" s="5" t="s">
        <v>34</v>
      </c>
      <c r="C59" s="1"/>
      <c r="D59" s="1"/>
      <c r="E59" s="155">
        <f ca="1">SUMPRODUCT(calc_net_profit_m1m12,--(inp_act_rev_m1m12&lt;&gt;"")*(inp_act_rev_m1m12&lt;&gt;0))</f>
        <v>0</v>
      </c>
      <c r="F59" s="156"/>
      <c r="G59" s="156"/>
      <c r="H59" s="155">
        <f>SUMIF(inp_act_np_m1m12,"&lt;&gt;")</f>
        <v>0</v>
      </c>
      <c r="I59" s="156"/>
      <c r="J59" s="156"/>
      <c r="K59" s="165">
        <f t="shared" ca="1" si="0"/>
        <v>0</v>
      </c>
      <c r="L59" s="156"/>
      <c r="M59" s="156"/>
      <c r="N59" s="175">
        <f t="shared" ca="1" si="1"/>
        <v>0</v>
      </c>
      <c r="O59" s="156"/>
      <c r="P59" s="1"/>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row>
    <row r="60" spans="1:96" x14ac:dyDescent="0.2">
      <c r="A60" s="57"/>
      <c r="B60" s="5" t="s">
        <v>35</v>
      </c>
      <c r="C60" s="1"/>
      <c r="D60" s="1"/>
      <c r="E60" s="155">
        <f>IF(SUMPRODUCT(--(inp_act_rev_m1m12&lt;&gt;"")*(inp_act_rev_m1m12&lt;&gt;0))=0,0,INDEX(calc_close_cash_m1m12,SUMPRODUCT(--(inp_act_rev_m1m12&lt;&gt;"")*(inp_act_rev_m1m12&lt;&gt;0))))</f>
        <v>0</v>
      </c>
      <c r="F60" s="156"/>
      <c r="G60" s="156"/>
      <c r="H60" s="155">
        <f>IFERROR(LOOKUP(2,1/((inp_act_cash_m1m12&lt;&gt;"")),inp_act_cash_m1m12),0)</f>
        <v>0</v>
      </c>
      <c r="I60" s="156"/>
      <c r="J60" s="156"/>
      <c r="K60" s="165">
        <f t="shared" si="0"/>
        <v>0</v>
      </c>
      <c r="L60" s="156"/>
      <c r="M60" s="156"/>
      <c r="N60" s="175">
        <f t="shared" si="1"/>
        <v>0</v>
      </c>
      <c r="O60" s="156"/>
      <c r="P60" s="1"/>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row>
    <row r="61" spans="1:96" x14ac:dyDescent="0.2">
      <c r="A61" s="57"/>
      <c r="B61" s="1"/>
      <c r="C61" s="1"/>
      <c r="D61" s="1"/>
      <c r="E61" s="1"/>
      <c r="F61" s="1"/>
      <c r="G61" s="1"/>
      <c r="H61" s="1"/>
      <c r="I61" s="1"/>
      <c r="J61" s="1"/>
      <c r="K61" s="1"/>
      <c r="L61" s="1"/>
      <c r="M61" s="1"/>
      <c r="N61" s="1"/>
      <c r="O61" s="1"/>
      <c r="P61" s="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row>
    <row r="62" spans="1:96" ht="26" hidden="1" customHeight="1" x14ac:dyDescent="0.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row>
    <row r="63" spans="1:96" hidden="1" x14ac:dyDescent="0.2">
      <c r="O63" s="59"/>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row>
    <row r="64" spans="1:96" hidden="1" x14ac:dyDescent="0.2">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row>
    <row r="65" spans="1:96" hidden="1" x14ac:dyDescent="0.2">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row>
    <row r="66" spans="1:96" hidden="1" x14ac:dyDescent="0.2">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row>
    <row r="67" spans="1:96" hidden="1" x14ac:dyDescent="0.2">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row>
    <row r="68" spans="1:96" hidden="1" x14ac:dyDescent="0.2">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row>
    <row r="69" spans="1:96" ht="26" customHeight="1" x14ac:dyDescent="0.2">
      <c r="A69" s="57"/>
      <c r="B69" s="173" t="s">
        <v>37</v>
      </c>
      <c r="C69" s="156"/>
      <c r="D69" s="156"/>
      <c r="E69" s="156"/>
      <c r="F69" s="156"/>
      <c r="G69" s="156"/>
      <c r="H69" s="156"/>
      <c r="I69" s="156"/>
      <c r="J69" s="174" t="s">
        <v>38</v>
      </c>
      <c r="K69" s="156"/>
      <c r="L69" s="156"/>
      <c r="M69" s="156"/>
      <c r="N69" s="156"/>
      <c r="O69" s="156"/>
      <c r="P69" s="1"/>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row>
    <row r="70" spans="1:96" ht="22" customHeight="1" x14ac:dyDescent="0.2">
      <c r="A70" s="57"/>
      <c r="B70" s="5" t="s">
        <v>39</v>
      </c>
      <c r="C70" s="1"/>
      <c r="D70" s="1"/>
      <c r="E70" s="155">
        <f>IF(SUM(inp_alloc_sl1)&gt;0,SUM(inp_sl1_committed_m1m12),0)+IF(SUM(inp_alloc_sl2)&gt;0,SUM(inp_sl2_committed_m1m12),0)+IF(SUM(inp_alloc_sl3)&gt;0,SUM(inp_sl3_committed_m1m12),0)+IF(SUM(inp_alloc_sl4)&gt;0,SUM(inp_sl4_committed_m1m12),0)+IF(SUM(inp_alloc_sl5)&gt;0,SUM(inp_sl5_committed_m1m12),0)</f>
        <v>0</v>
      </c>
      <c r="F70" s="156"/>
      <c r="G70" s="156"/>
      <c r="H70" s="155">
        <f>SUM(calc_roster_revcap_annual)</f>
        <v>2440497</v>
      </c>
      <c r="I70" s="156"/>
      <c r="J70" s="156"/>
      <c r="K70" s="176" t="str">
        <f>IF(SUM(calc_roster_revcap_annual)&lt;=0,"Set delivery capacity on the roster",IF((IF(SUM(inp_alloc_sl1)&gt;0,SUM(inp_sl1_committed_m1m12),0)+IF(SUM(inp_alloc_sl2)&gt;0,SUM(inp_sl2_committed_m1m12),0)+IF(SUM(inp_alloc_sl3)&gt;0,SUM(inp_sl3_committed_m1m12),0)+IF(SUM(inp_alloc_sl4)&gt;0,SUM(inp_sl4_committed_m1m12),0)+IF(SUM(inp_alloc_sl5)&gt;0,SUM(inp_sl5_committed_m1m12),0))&gt;SUM(calc_roster_revcap_annual)*1.05,"OVER - plan exceeds billable delivery capacity; add delivery headcount or raise rates","WITHIN - plan fits billable delivery capacity"))</f>
        <v>WITHIN - plan fits billable delivery capacity</v>
      </c>
      <c r="L70" s="156"/>
      <c r="M70" s="156"/>
      <c r="N70" s="156"/>
      <c r="O70" s="156"/>
      <c r="P70" s="1"/>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row>
    <row r="71" spans="1:96" x14ac:dyDescent="0.2">
      <c r="A71" s="57"/>
      <c r="B71" s="203"/>
      <c r="C71" s="203"/>
      <c r="D71" s="203"/>
      <c r="E71" s="203"/>
      <c r="F71" s="203"/>
      <c r="G71" s="203"/>
      <c r="H71" s="203"/>
      <c r="I71" s="203"/>
      <c r="J71" s="203"/>
      <c r="K71" s="203"/>
      <c r="L71" s="203"/>
      <c r="M71" s="203"/>
      <c r="N71" s="203"/>
      <c r="O71" s="203"/>
      <c r="P71" s="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row>
    <row r="72" spans="1:96" x14ac:dyDescent="0.2">
      <c r="A72" s="57"/>
      <c r="B72" s="206" t="s">
        <v>703</v>
      </c>
      <c r="C72" s="206"/>
      <c r="D72" s="206"/>
      <c r="E72" s="206"/>
      <c r="F72" s="206"/>
      <c r="G72" s="206"/>
      <c r="H72" s="206"/>
      <c r="I72" s="206"/>
      <c r="J72" s="204"/>
      <c r="K72" s="204"/>
      <c r="L72" s="204"/>
      <c r="M72" s="204"/>
      <c r="N72" s="204"/>
      <c r="O72" s="203"/>
      <c r="P72" s="1"/>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row>
    <row r="73" spans="1:96" ht="32" customHeight="1" x14ac:dyDescent="0.2">
      <c r="A73" s="57"/>
      <c r="B73" s="179" t="s">
        <v>40</v>
      </c>
      <c r="C73" s="205"/>
      <c r="D73" s="205"/>
      <c r="E73" s="205"/>
      <c r="F73" s="205"/>
      <c r="G73" s="205"/>
      <c r="H73" s="205"/>
      <c r="I73" s="174" t="s">
        <v>41</v>
      </c>
      <c r="J73" s="205"/>
      <c r="K73" s="205"/>
      <c r="L73" s="181" t="str">
        <f ca="1">IF(COUNTIF(N75:N110,"PASS")=36,"PASS","FAIL")</f>
        <v>PASS</v>
      </c>
      <c r="M73" s="205"/>
      <c r="N73" s="205"/>
      <c r="O73" s="205"/>
      <c r="P73" s="1"/>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row>
    <row r="74" spans="1:96" x14ac:dyDescent="0.2">
      <c r="A74" s="57"/>
      <c r="B74" s="4" t="s">
        <v>42</v>
      </c>
      <c r="C74" s="19"/>
      <c r="D74" s="19"/>
      <c r="E74" s="19"/>
      <c r="F74" s="19"/>
      <c r="G74" s="19"/>
      <c r="H74" s="8" t="s">
        <v>43</v>
      </c>
      <c r="I74" s="19"/>
      <c r="J74" s="8" t="s">
        <v>44</v>
      </c>
      <c r="K74" s="19"/>
      <c r="L74" s="8" t="s">
        <v>45</v>
      </c>
      <c r="M74" s="19"/>
      <c r="N74" s="8" t="s">
        <v>36</v>
      </c>
      <c r="O74" s="19"/>
      <c r="P74" s="1"/>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row>
    <row r="75" spans="1:96" x14ac:dyDescent="0.2">
      <c r="A75" s="57"/>
      <c r="B75" s="160" t="s">
        <v>46</v>
      </c>
      <c r="C75" s="156"/>
      <c r="D75" s="156"/>
      <c r="E75" s="156"/>
      <c r="F75" s="156"/>
      <c r="G75" s="156"/>
      <c r="H75" s="162">
        <f ca="1">calc_bs_total_assets_m1</f>
        <v>911771.43749999988</v>
      </c>
      <c r="I75" s="156"/>
      <c r="J75" s="162">
        <f ca="1">calc_bs_total_le_m1</f>
        <v>911771.43749999988</v>
      </c>
      <c r="K75" s="156"/>
      <c r="L75" s="157">
        <f t="shared" ref="L75:L110" ca="1" si="2">H75-J75</f>
        <v>0</v>
      </c>
      <c r="M75" s="156"/>
      <c r="N75" s="161" t="str">
        <f t="shared" ref="N75:N102" ca="1" si="3">IF(ABS(L75)&lt;=1,"PASS","FAIL")</f>
        <v>PASS</v>
      </c>
      <c r="O75" s="156"/>
      <c r="P75" s="1"/>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row>
    <row r="76" spans="1:96" x14ac:dyDescent="0.2">
      <c r="A76" s="57"/>
      <c r="B76" s="160" t="s">
        <v>47</v>
      </c>
      <c r="C76" s="156"/>
      <c r="D76" s="156"/>
      <c r="E76" s="156"/>
      <c r="F76" s="156"/>
      <c r="G76" s="156"/>
      <c r="H76" s="162">
        <f ca="1">calc_bs_total_assets_m2</f>
        <v>933752.75</v>
      </c>
      <c r="I76" s="156"/>
      <c r="J76" s="162">
        <f ca="1">calc_bs_total_le_m2</f>
        <v>933752.74999999988</v>
      </c>
      <c r="K76" s="156"/>
      <c r="L76" s="157">
        <f t="shared" ca="1" si="2"/>
        <v>0</v>
      </c>
      <c r="M76" s="156"/>
      <c r="N76" s="161" t="str">
        <f t="shared" ca="1" si="3"/>
        <v>PASS</v>
      </c>
      <c r="O76" s="156"/>
      <c r="P76" s="1"/>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row>
    <row r="77" spans="1:96" x14ac:dyDescent="0.2">
      <c r="A77" s="57"/>
      <c r="B77" s="160" t="s">
        <v>48</v>
      </c>
      <c r="C77" s="156"/>
      <c r="D77" s="156"/>
      <c r="E77" s="156"/>
      <c r="F77" s="156"/>
      <c r="G77" s="156"/>
      <c r="H77" s="162">
        <f ca="1">calc_bs_total_assets_m3</f>
        <v>970427.0625</v>
      </c>
      <c r="I77" s="156"/>
      <c r="J77" s="162">
        <f ca="1">calc_bs_total_le_m3</f>
        <v>970427.06249999988</v>
      </c>
      <c r="K77" s="156"/>
      <c r="L77" s="157">
        <f t="shared" ca="1" si="2"/>
        <v>0</v>
      </c>
      <c r="M77" s="156"/>
      <c r="N77" s="161" t="str">
        <f t="shared" ca="1" si="3"/>
        <v>PASS</v>
      </c>
      <c r="O77" s="156"/>
      <c r="P77" s="1"/>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row>
    <row r="78" spans="1:96" x14ac:dyDescent="0.2">
      <c r="A78" s="57"/>
      <c r="B78" s="160" t="s">
        <v>49</v>
      </c>
      <c r="C78" s="156"/>
      <c r="D78" s="156"/>
      <c r="E78" s="156"/>
      <c r="F78" s="156"/>
      <c r="G78" s="156"/>
      <c r="H78" s="162">
        <f ca="1">calc_bs_total_assets_m4</f>
        <v>1009159.2499999999</v>
      </c>
      <c r="I78" s="156"/>
      <c r="J78" s="162">
        <f ca="1">calc_bs_total_le_m4</f>
        <v>1009159.2499999999</v>
      </c>
      <c r="K78" s="156"/>
      <c r="L78" s="157">
        <f t="shared" ca="1" si="2"/>
        <v>0</v>
      </c>
      <c r="M78" s="156"/>
      <c r="N78" s="161" t="str">
        <f t="shared" ca="1" si="3"/>
        <v>PASS</v>
      </c>
      <c r="O78" s="156"/>
      <c r="P78" s="1"/>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row>
    <row r="79" spans="1:96" x14ac:dyDescent="0.2">
      <c r="A79" s="57"/>
      <c r="B79" s="160" t="s">
        <v>50</v>
      </c>
      <c r="C79" s="156"/>
      <c r="D79" s="156"/>
      <c r="E79" s="156"/>
      <c r="F79" s="156"/>
      <c r="G79" s="156"/>
      <c r="H79" s="162">
        <f ca="1">calc_bs_total_assets_m5</f>
        <v>1030171.5625</v>
      </c>
      <c r="I79" s="156"/>
      <c r="J79" s="162">
        <f ca="1">calc_bs_total_le_m5</f>
        <v>1030171.5624999999</v>
      </c>
      <c r="K79" s="156"/>
      <c r="L79" s="157">
        <f t="shared" ca="1" si="2"/>
        <v>0</v>
      </c>
      <c r="M79" s="156"/>
      <c r="N79" s="161" t="str">
        <f t="shared" ca="1" si="3"/>
        <v>PASS</v>
      </c>
      <c r="O79" s="156"/>
      <c r="P79" s="1"/>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row>
    <row r="80" spans="1:96" x14ac:dyDescent="0.2">
      <c r="A80" s="57"/>
      <c r="B80" s="160" t="s">
        <v>51</v>
      </c>
      <c r="C80" s="156"/>
      <c r="D80" s="156"/>
      <c r="E80" s="156"/>
      <c r="F80" s="156"/>
      <c r="G80" s="156"/>
      <c r="H80" s="162">
        <f ca="1">calc_bs_total_assets_m6</f>
        <v>1051043.8125</v>
      </c>
      <c r="I80" s="156"/>
      <c r="J80" s="162">
        <f ca="1">calc_bs_total_le_m6</f>
        <v>1051043.8125</v>
      </c>
      <c r="K80" s="156"/>
      <c r="L80" s="157">
        <f t="shared" ca="1" si="2"/>
        <v>0</v>
      </c>
      <c r="M80" s="156"/>
      <c r="N80" s="161" t="str">
        <f t="shared" ca="1" si="3"/>
        <v>PASS</v>
      </c>
      <c r="O80" s="156"/>
      <c r="P80" s="1"/>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row>
    <row r="81" spans="1:96" x14ac:dyDescent="0.2">
      <c r="A81" s="57"/>
      <c r="B81" s="160" t="s">
        <v>52</v>
      </c>
      <c r="C81" s="156"/>
      <c r="D81" s="156"/>
      <c r="E81" s="156"/>
      <c r="F81" s="156"/>
      <c r="G81" s="156"/>
      <c r="H81" s="162">
        <f ca="1">calc_bs_total_assets_m7</f>
        <v>1073522.5625</v>
      </c>
      <c r="I81" s="156"/>
      <c r="J81" s="162">
        <f ca="1">calc_bs_total_le_m7</f>
        <v>1073522.5625</v>
      </c>
      <c r="K81" s="156"/>
      <c r="L81" s="157">
        <f t="shared" ca="1" si="2"/>
        <v>0</v>
      </c>
      <c r="M81" s="156"/>
      <c r="N81" s="161" t="str">
        <f t="shared" ca="1" si="3"/>
        <v>PASS</v>
      </c>
      <c r="O81" s="156"/>
      <c r="P81" s="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row>
    <row r="82" spans="1:96" x14ac:dyDescent="0.2">
      <c r="A82" s="57"/>
      <c r="B82" s="160" t="s">
        <v>53</v>
      </c>
      <c r="C82" s="156"/>
      <c r="D82" s="156"/>
      <c r="E82" s="156"/>
      <c r="F82" s="156"/>
      <c r="G82" s="156"/>
      <c r="H82" s="162">
        <f ca="1">calc_bs_total_assets_m8</f>
        <v>1096001.3125</v>
      </c>
      <c r="I82" s="156"/>
      <c r="J82" s="162">
        <f ca="1">calc_bs_total_le_m8</f>
        <v>1096001.3125</v>
      </c>
      <c r="K82" s="156"/>
      <c r="L82" s="157">
        <f t="shared" ca="1" si="2"/>
        <v>0</v>
      </c>
      <c r="M82" s="156"/>
      <c r="N82" s="161" t="str">
        <f t="shared" ca="1" si="3"/>
        <v>PASS</v>
      </c>
      <c r="O82" s="156"/>
      <c r="P82" s="1"/>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row>
    <row r="83" spans="1:96" x14ac:dyDescent="0.2">
      <c r="A83" s="57"/>
      <c r="B83" s="160" t="s">
        <v>54</v>
      </c>
      <c r="C83" s="156"/>
      <c r="D83" s="156"/>
      <c r="E83" s="156"/>
      <c r="F83" s="156"/>
      <c r="G83" s="156"/>
      <c r="H83" s="162">
        <f ca="1">calc_bs_total_assets_m9</f>
        <v>1122800.625</v>
      </c>
      <c r="I83" s="156"/>
      <c r="J83" s="162">
        <f ca="1">calc_bs_total_le_m9</f>
        <v>1122800.625</v>
      </c>
      <c r="K83" s="156"/>
      <c r="L83" s="157">
        <f t="shared" ca="1" si="2"/>
        <v>0</v>
      </c>
      <c r="M83" s="156"/>
      <c r="N83" s="161" t="str">
        <f t="shared" ca="1" si="3"/>
        <v>PASS</v>
      </c>
      <c r="O83" s="156"/>
      <c r="P83" s="1"/>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row>
    <row r="84" spans="1:96" x14ac:dyDescent="0.2">
      <c r="A84" s="57"/>
      <c r="B84" s="160" t="s">
        <v>55</v>
      </c>
      <c r="C84" s="156"/>
      <c r="D84" s="156"/>
      <c r="E84" s="156"/>
      <c r="F84" s="156"/>
      <c r="G84" s="156"/>
      <c r="H84" s="162">
        <f ca="1">calc_bs_total_assets_m10</f>
        <v>1140080.7500000002</v>
      </c>
      <c r="I84" s="156"/>
      <c r="J84" s="162">
        <f ca="1">calc_bs_total_le_m10</f>
        <v>1140080.75</v>
      </c>
      <c r="K84" s="156"/>
      <c r="L84" s="157">
        <f t="shared" ca="1" si="2"/>
        <v>0</v>
      </c>
      <c r="M84" s="156"/>
      <c r="N84" s="161" t="str">
        <f t="shared" ca="1" si="3"/>
        <v>PASS</v>
      </c>
      <c r="O84" s="156"/>
      <c r="P84" s="1"/>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row>
    <row r="85" spans="1:96" x14ac:dyDescent="0.2">
      <c r="A85" s="57"/>
      <c r="B85" s="160" t="s">
        <v>56</v>
      </c>
      <c r="C85" s="156"/>
      <c r="D85" s="156"/>
      <c r="E85" s="156"/>
      <c r="F85" s="156"/>
      <c r="G85" s="156"/>
      <c r="H85" s="162">
        <f ca="1">calc_bs_total_assets_m11</f>
        <v>1169224.5625000002</v>
      </c>
      <c r="I85" s="156"/>
      <c r="J85" s="162">
        <f ca="1">calc_bs_total_le_m11</f>
        <v>1169224.5625</v>
      </c>
      <c r="K85" s="156"/>
      <c r="L85" s="157">
        <f t="shared" ca="1" si="2"/>
        <v>0</v>
      </c>
      <c r="M85" s="156"/>
      <c r="N85" s="161" t="str">
        <f t="shared" ca="1" si="3"/>
        <v>PASS</v>
      </c>
      <c r="O85" s="156"/>
      <c r="P85" s="1"/>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row>
    <row r="86" spans="1:96" x14ac:dyDescent="0.2">
      <c r="A86" s="57"/>
      <c r="B86" s="160" t="s">
        <v>57</v>
      </c>
      <c r="C86" s="156"/>
      <c r="D86" s="156"/>
      <c r="E86" s="156"/>
      <c r="F86" s="156"/>
      <c r="G86" s="156"/>
      <c r="H86" s="162">
        <f ca="1">calc_bs_total_assets_m12</f>
        <v>1190825.2500000002</v>
      </c>
      <c r="I86" s="156"/>
      <c r="J86" s="162">
        <f ca="1">calc_bs_total_le_m12</f>
        <v>1190825.25</v>
      </c>
      <c r="K86" s="156"/>
      <c r="L86" s="157">
        <f t="shared" ca="1" si="2"/>
        <v>0</v>
      </c>
      <c r="M86" s="156"/>
      <c r="N86" s="161" t="str">
        <f t="shared" ca="1" si="3"/>
        <v>PASS</v>
      </c>
      <c r="O86" s="156"/>
      <c r="P86" s="1"/>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row>
    <row r="87" spans="1:96" x14ac:dyDescent="0.2">
      <c r="A87" s="57"/>
      <c r="B87" s="160" t="s">
        <v>58</v>
      </c>
      <c r="C87" s="156"/>
      <c r="D87" s="156"/>
      <c r="E87" s="156"/>
      <c r="F87" s="156"/>
      <c r="G87" s="156"/>
      <c r="H87" s="162">
        <f>calc_rev_total_ann</f>
        <v>2440497</v>
      </c>
      <c r="I87" s="156"/>
      <c r="J87" s="162">
        <f>SUM(calc_rev_total_m1,calc_rev_total_m2,calc_rev_total_m3,calc_rev_total_m4,calc_rev_total_m5,calc_rev_total_m6,calc_rev_total_m7,calc_rev_total_m8,calc_rev_total_m9,calc_rev_total_m10,calc_rev_total_m11,calc_rev_total_m12)</f>
        <v>2440497</v>
      </c>
      <c r="K87" s="156"/>
      <c r="L87" s="157">
        <f t="shared" si="2"/>
        <v>0</v>
      </c>
      <c r="M87" s="156"/>
      <c r="N87" s="161" t="str">
        <f t="shared" si="3"/>
        <v>PASS</v>
      </c>
      <c r="O87" s="156"/>
      <c r="P87" s="1"/>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row>
    <row r="88" spans="1:96" x14ac:dyDescent="0.2">
      <c r="A88" s="57"/>
      <c r="B88" s="160" t="s">
        <v>59</v>
      </c>
      <c r="C88" s="156"/>
      <c r="D88" s="156"/>
      <c r="E88" s="156"/>
      <c r="F88" s="156"/>
      <c r="G88" s="156"/>
      <c r="H88" s="162">
        <f>calc_ebitda_ann</f>
        <v>467347</v>
      </c>
      <c r="I88" s="156"/>
      <c r="J88" s="162">
        <f>SUM(calc_ebitda_m1,calc_ebitda_m2,calc_ebitda_m3,calc_ebitda_m4,calc_ebitda_m5,calc_ebitda_m6,calc_ebitda_m7,calc_ebitda_m8,calc_ebitda_m9,calc_ebitda_m10,calc_ebitda_m11,calc_ebitda_m12)</f>
        <v>467347</v>
      </c>
      <c r="K88" s="156"/>
      <c r="L88" s="157">
        <f t="shared" si="2"/>
        <v>0</v>
      </c>
      <c r="M88" s="156"/>
      <c r="N88" s="161" t="str">
        <f t="shared" si="3"/>
        <v>PASS</v>
      </c>
      <c r="O88" s="156"/>
      <c r="P88" s="1"/>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row>
    <row r="89" spans="1:96" x14ac:dyDescent="0.2">
      <c r="A89" s="57"/>
      <c r="B89" s="160" t="s">
        <v>60</v>
      </c>
      <c r="C89" s="156"/>
      <c r="D89" s="156"/>
      <c r="E89" s="156"/>
      <c r="F89" s="156"/>
      <c r="G89" s="156"/>
      <c r="H89" s="162">
        <f>calc_open_cash_m2</f>
        <v>431011.89583333331</v>
      </c>
      <c r="I89" s="156"/>
      <c r="J89" s="162">
        <f>calc_close_cash_m1</f>
        <v>431011.89583333331</v>
      </c>
      <c r="K89" s="156"/>
      <c r="L89" s="157">
        <f t="shared" si="2"/>
        <v>0</v>
      </c>
      <c r="M89" s="156"/>
      <c r="N89" s="161" t="str">
        <f t="shared" si="3"/>
        <v>PASS</v>
      </c>
      <c r="O89" s="156"/>
      <c r="P89" s="1"/>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row>
    <row r="90" spans="1:96" x14ac:dyDescent="0.2">
      <c r="A90" s="57"/>
      <c r="B90" s="160" t="s">
        <v>61</v>
      </c>
      <c r="C90" s="156"/>
      <c r="D90" s="156"/>
      <c r="E90" s="156"/>
      <c r="F90" s="156"/>
      <c r="G90" s="156"/>
      <c r="H90" s="162">
        <f ca="1">calc_open_cash_m3</f>
        <v>485486.79166666663</v>
      </c>
      <c r="I90" s="156"/>
      <c r="J90" s="162">
        <f ca="1">calc_close_cash_m2</f>
        <v>485486.79166666663</v>
      </c>
      <c r="K90" s="156"/>
      <c r="L90" s="157">
        <f t="shared" ca="1" si="2"/>
        <v>0</v>
      </c>
      <c r="M90" s="156"/>
      <c r="N90" s="161" t="str">
        <f t="shared" ca="1" si="3"/>
        <v>PASS</v>
      </c>
      <c r="O90" s="156"/>
      <c r="P90" s="1"/>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row>
    <row r="91" spans="1:96" x14ac:dyDescent="0.2">
      <c r="A91" s="57"/>
      <c r="B91" s="160" t="s">
        <v>62</v>
      </c>
      <c r="C91" s="156"/>
      <c r="D91" s="156"/>
      <c r="E91" s="156"/>
      <c r="F91" s="156"/>
      <c r="G91" s="156"/>
      <c r="H91" s="162">
        <f ca="1">calc_open_cash_m4</f>
        <v>485545.93749999994</v>
      </c>
      <c r="I91" s="156"/>
      <c r="J91" s="162">
        <f ca="1">calc_close_cash_m3</f>
        <v>485545.93749999994</v>
      </c>
      <c r="K91" s="156"/>
      <c r="L91" s="157">
        <f t="shared" ca="1" si="2"/>
        <v>0</v>
      </c>
      <c r="M91" s="156"/>
      <c r="N91" s="161" t="str">
        <f t="shared" ca="1" si="3"/>
        <v>PASS</v>
      </c>
      <c r="O91" s="156"/>
      <c r="P91" s="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row>
    <row r="92" spans="1:96" x14ac:dyDescent="0.2">
      <c r="A92" s="57"/>
      <c r="B92" s="160" t="s">
        <v>63</v>
      </c>
      <c r="C92" s="156"/>
      <c r="D92" s="156"/>
      <c r="E92" s="156"/>
      <c r="F92" s="156"/>
      <c r="G92" s="156"/>
      <c r="H92" s="162">
        <f ca="1">calc_open_cash_m5</f>
        <v>524245.70833333326</v>
      </c>
      <c r="I92" s="156"/>
      <c r="J92" s="162">
        <f ca="1">calc_close_cash_m4</f>
        <v>524245.70833333326</v>
      </c>
      <c r="K92" s="156"/>
      <c r="L92" s="157">
        <f t="shared" ca="1" si="2"/>
        <v>0</v>
      </c>
      <c r="M92" s="156"/>
      <c r="N92" s="161" t="str">
        <f t="shared" ca="1" si="3"/>
        <v>PASS</v>
      </c>
      <c r="O92" s="156"/>
      <c r="P92" s="1"/>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row>
    <row r="93" spans="1:96" x14ac:dyDescent="0.2">
      <c r="A93" s="57"/>
      <c r="B93" s="160" t="s">
        <v>64</v>
      </c>
      <c r="C93" s="156"/>
      <c r="D93" s="156"/>
      <c r="E93" s="156"/>
      <c r="F93" s="156"/>
      <c r="G93" s="156"/>
      <c r="H93" s="162">
        <f ca="1">calc_open_cash_m6</f>
        <v>586531.10416666663</v>
      </c>
      <c r="I93" s="156"/>
      <c r="J93" s="162">
        <f ca="1">calc_close_cash_m5</f>
        <v>586531.10416666663</v>
      </c>
      <c r="K93" s="156"/>
      <c r="L93" s="157">
        <f t="shared" ca="1" si="2"/>
        <v>0</v>
      </c>
      <c r="M93" s="156"/>
      <c r="N93" s="161" t="str">
        <f t="shared" ca="1" si="3"/>
        <v>PASS</v>
      </c>
      <c r="O93" s="156"/>
      <c r="P93" s="1"/>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row>
    <row r="94" spans="1:96" x14ac:dyDescent="0.2">
      <c r="A94" s="57"/>
      <c r="B94" s="160" t="s">
        <v>65</v>
      </c>
      <c r="C94" s="156"/>
      <c r="D94" s="156"/>
      <c r="E94" s="156"/>
      <c r="F94" s="156"/>
      <c r="G94" s="156"/>
      <c r="H94" s="162">
        <f ca="1">calc_open_cash_m7</f>
        <v>595516.8125</v>
      </c>
      <c r="I94" s="156"/>
      <c r="J94" s="162">
        <f ca="1">calc_close_cash_m6</f>
        <v>595516.8125</v>
      </c>
      <c r="K94" s="156"/>
      <c r="L94" s="157">
        <f t="shared" ca="1" si="2"/>
        <v>0</v>
      </c>
      <c r="M94" s="156"/>
      <c r="N94" s="161" t="str">
        <f t="shared" ca="1" si="3"/>
        <v>PASS</v>
      </c>
      <c r="O94" s="156"/>
      <c r="P94" s="1"/>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row>
    <row r="95" spans="1:96" x14ac:dyDescent="0.2">
      <c r="A95" s="57"/>
      <c r="B95" s="160" t="s">
        <v>66</v>
      </c>
      <c r="C95" s="156"/>
      <c r="D95" s="156"/>
      <c r="E95" s="156"/>
      <c r="F95" s="156"/>
      <c r="G95" s="156"/>
      <c r="H95" s="162">
        <f ca="1">calc_open_cash_m8</f>
        <v>638615.89583333337</v>
      </c>
      <c r="I95" s="156"/>
      <c r="J95" s="162">
        <f ca="1">calc_close_cash_m7</f>
        <v>638615.89583333337</v>
      </c>
      <c r="K95" s="156"/>
      <c r="L95" s="157">
        <f t="shared" ca="1" si="2"/>
        <v>0</v>
      </c>
      <c r="M95" s="156"/>
      <c r="N95" s="161" t="str">
        <f t="shared" ca="1" si="3"/>
        <v>PASS</v>
      </c>
      <c r="O95" s="156"/>
      <c r="P95" s="1"/>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row>
    <row r="96" spans="1:96" x14ac:dyDescent="0.2">
      <c r="A96" s="57"/>
      <c r="B96" s="160" t="s">
        <v>67</v>
      </c>
      <c r="C96" s="156"/>
      <c r="D96" s="156"/>
      <c r="E96" s="156"/>
      <c r="F96" s="156"/>
      <c r="G96" s="156"/>
      <c r="H96" s="162">
        <f ca="1">calc_open_cash_m9</f>
        <v>666927.97916666674</v>
      </c>
      <c r="I96" s="156"/>
      <c r="J96" s="162">
        <f ca="1">calc_close_cash_m8</f>
        <v>666927.97916666674</v>
      </c>
      <c r="K96" s="156"/>
      <c r="L96" s="157">
        <f t="shared" ca="1" si="2"/>
        <v>0</v>
      </c>
      <c r="M96" s="156"/>
      <c r="N96" s="161" t="str">
        <f t="shared" ca="1" si="3"/>
        <v>PASS</v>
      </c>
      <c r="O96" s="156"/>
      <c r="P96" s="1"/>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row>
    <row r="97" spans="1:96" x14ac:dyDescent="0.2">
      <c r="A97" s="57"/>
      <c r="B97" s="160" t="s">
        <v>68</v>
      </c>
      <c r="C97" s="156"/>
      <c r="D97" s="156"/>
      <c r="E97" s="156"/>
      <c r="F97" s="156"/>
      <c r="G97" s="156"/>
      <c r="H97" s="162">
        <f ca="1">calc_open_cash_m10</f>
        <v>672919.50000000012</v>
      </c>
      <c r="I97" s="156"/>
      <c r="J97" s="162">
        <f ca="1">calc_close_cash_m9</f>
        <v>672919.50000000012</v>
      </c>
      <c r="K97" s="156"/>
      <c r="L97" s="157">
        <f t="shared" ca="1" si="2"/>
        <v>0</v>
      </c>
      <c r="M97" s="156"/>
      <c r="N97" s="161" t="str">
        <f t="shared" ca="1" si="3"/>
        <v>PASS</v>
      </c>
      <c r="O97" s="156"/>
      <c r="P97" s="1"/>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row>
    <row r="98" spans="1:96" x14ac:dyDescent="0.2">
      <c r="A98" s="57"/>
      <c r="B98" s="160" t="s">
        <v>69</v>
      </c>
      <c r="C98" s="156"/>
      <c r="D98" s="156"/>
      <c r="E98" s="156"/>
      <c r="F98" s="156"/>
      <c r="G98" s="156"/>
      <c r="H98" s="162">
        <f ca="1">calc_open_cash_m11</f>
        <v>733071.33333333349</v>
      </c>
      <c r="I98" s="156"/>
      <c r="J98" s="162">
        <f ca="1">calc_close_cash_m10</f>
        <v>733071.33333333349</v>
      </c>
      <c r="K98" s="156"/>
      <c r="L98" s="157">
        <f t="shared" ca="1" si="2"/>
        <v>0</v>
      </c>
      <c r="M98" s="156"/>
      <c r="N98" s="161" t="str">
        <f t="shared" ca="1" si="3"/>
        <v>PASS</v>
      </c>
      <c r="O98" s="156"/>
      <c r="P98" s="1"/>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row>
    <row r="99" spans="1:96" x14ac:dyDescent="0.2">
      <c r="A99" s="57"/>
      <c r="B99" s="160" t="s">
        <v>70</v>
      </c>
      <c r="C99" s="156"/>
      <c r="D99" s="156"/>
      <c r="E99" s="156"/>
      <c r="F99" s="156"/>
      <c r="G99" s="156"/>
      <c r="H99" s="162">
        <f ca="1">calc_open_cash_m12</f>
        <v>744321.10416666686</v>
      </c>
      <c r="I99" s="156"/>
      <c r="J99" s="162">
        <f ca="1">calc_close_cash_m11</f>
        <v>744321.10416666686</v>
      </c>
      <c r="K99" s="156"/>
      <c r="L99" s="157">
        <f t="shared" ca="1" si="2"/>
        <v>0</v>
      </c>
      <c r="M99" s="156"/>
      <c r="N99" s="161" t="str">
        <f t="shared" ca="1" si="3"/>
        <v>PASS</v>
      </c>
      <c r="O99" s="156"/>
      <c r="P99" s="1"/>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row>
    <row r="100" spans="1:96" x14ac:dyDescent="0.2">
      <c r="A100" s="57"/>
      <c r="B100" s="160" t="s">
        <v>71</v>
      </c>
      <c r="C100" s="156"/>
      <c r="D100" s="156"/>
      <c r="E100" s="156"/>
      <c r="F100" s="156"/>
      <c r="G100" s="156"/>
      <c r="H100" s="162">
        <f ca="1">calc_net_change_ann</f>
        <v>348841.375</v>
      </c>
      <c r="I100" s="156"/>
      <c r="J100" s="162">
        <f ca="1">calc_op_cf_ann+calc_inv_cf_ann+calc_fin_cf_ann</f>
        <v>348841.37499999988</v>
      </c>
      <c r="K100" s="156"/>
      <c r="L100" s="157">
        <f t="shared" ca="1" si="2"/>
        <v>0</v>
      </c>
      <c r="M100" s="156"/>
      <c r="N100" s="161" t="str">
        <f t="shared" ca="1" si="3"/>
        <v>PASS</v>
      </c>
      <c r="O100" s="156"/>
      <c r="P100" s="1"/>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row>
    <row r="101" spans="1:96" x14ac:dyDescent="0.2">
      <c r="A101" s="57"/>
      <c r="B101" s="160" t="s">
        <v>72</v>
      </c>
      <c r="C101" s="156"/>
      <c r="D101" s="156"/>
      <c r="E101" s="156"/>
      <c r="F101" s="156"/>
      <c r="G101" s="156"/>
      <c r="H101" s="162">
        <f>SUM(calc_dc_payroll_m1,calc_dc_payroll_m2,calc_dc_payroll_m3,calc_dc_payroll_m4,calc_dc_payroll_m5,calc_dc_payroll_m6,calc_dc_payroll_m7,calc_dc_payroll_m8,calc_dc_payroll_m9,calc_dc_payroll_m10,calc_dc_payroll_m11,calc_dc_payroll_m12)</f>
        <v>1242275</v>
      </c>
      <c r="I101" s="156"/>
      <c r="J101" s="162">
        <f>calc_dc_payroll_ann</f>
        <v>1242275</v>
      </c>
      <c r="K101" s="156"/>
      <c r="L101" s="157">
        <f t="shared" si="2"/>
        <v>0</v>
      </c>
      <c r="M101" s="156"/>
      <c r="N101" s="161" t="str">
        <f t="shared" si="3"/>
        <v>PASS</v>
      </c>
      <c r="O101" s="156"/>
      <c r="P101" s="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row>
    <row r="102" spans="1:96" x14ac:dyDescent="0.2">
      <c r="A102" s="57"/>
      <c r="B102" s="160" t="s">
        <v>73</v>
      </c>
      <c r="C102" s="156"/>
      <c r="D102" s="156"/>
      <c r="E102" s="156"/>
      <c r="F102" s="156"/>
      <c r="G102" s="156"/>
      <c r="H102" s="162">
        <f ca="1">calc_bs_ret_earn_m12</f>
        <v>281656.5</v>
      </c>
      <c r="I102" s="156"/>
      <c r="J102" s="162">
        <f ca="1">calc_net_profit_ann-SUM((inp_dist_m1m12))</f>
        <v>281656.5</v>
      </c>
      <c r="K102" s="156"/>
      <c r="L102" s="157">
        <f t="shared" ca="1" si="2"/>
        <v>0</v>
      </c>
      <c r="M102" s="156"/>
      <c r="N102" s="161" t="str">
        <f t="shared" ca="1" si="3"/>
        <v>PASS</v>
      </c>
      <c r="O102" s="156"/>
      <c r="P102" s="1"/>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row>
    <row r="103" spans="1:96" x14ac:dyDescent="0.2">
      <c r="A103" s="57"/>
      <c r="B103" s="160" t="s">
        <v>74</v>
      </c>
      <c r="C103" s="156"/>
      <c r="D103" s="156"/>
      <c r="E103" s="156"/>
      <c r="F103" s="156"/>
      <c r="G103" s="156"/>
      <c r="H103" s="162">
        <f>--(OR(inp_region="AU",inp_region="NZ",inp_region="US"))</f>
        <v>1</v>
      </c>
      <c r="I103" s="156"/>
      <c r="J103" s="162">
        <f>1</f>
        <v>1</v>
      </c>
      <c r="K103" s="156"/>
      <c r="L103" s="157">
        <f t="shared" si="2"/>
        <v>0</v>
      </c>
      <c r="M103" s="156"/>
      <c r="N103" s="161" t="str">
        <f t="shared" ref="N103:N110" si="4">IF(H103&gt;=1,"PASS","FAIL")</f>
        <v>PASS</v>
      </c>
      <c r="O103" s="156"/>
      <c r="P103" s="1"/>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row>
    <row r="104" spans="1:96" x14ac:dyDescent="0.2">
      <c r="A104" s="57"/>
      <c r="B104" s="160" t="s">
        <v>75</v>
      </c>
      <c r="C104" s="156"/>
      <c r="D104" s="156"/>
      <c r="E104" s="156"/>
      <c r="F104" s="156"/>
      <c r="G104" s="156"/>
      <c r="H104" s="162">
        <f>--(OR(inp_scenario="Base",inp_scenario="Downside",inp_scenario="Upside"))</f>
        <v>1</v>
      </c>
      <c r="I104" s="156"/>
      <c r="J104" s="162">
        <f>1</f>
        <v>1</v>
      </c>
      <c r="K104" s="156"/>
      <c r="L104" s="157">
        <f t="shared" si="2"/>
        <v>0</v>
      </c>
      <c r="M104" s="156"/>
      <c r="N104" s="161" t="str">
        <f t="shared" si="4"/>
        <v>PASS</v>
      </c>
      <c r="O104" s="156"/>
      <c r="P104" s="1"/>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row>
    <row r="105" spans="1:96" x14ac:dyDescent="0.2">
      <c r="A105" s="57"/>
      <c r="B105" s="160" t="s">
        <v>76</v>
      </c>
      <c r="C105" s="156"/>
      <c r="D105" s="156"/>
      <c r="E105" s="156"/>
      <c r="F105" s="156"/>
      <c r="G105" s="156"/>
      <c r="H105" s="162">
        <f>--(OR(inp_view="P&amp;L",inp_view="Cash Flow",inp_view="Balance Sheet"))</f>
        <v>1</v>
      </c>
      <c r="I105" s="156"/>
      <c r="J105" s="162">
        <f>1</f>
        <v>1</v>
      </c>
      <c r="K105" s="156"/>
      <c r="L105" s="157">
        <f t="shared" si="2"/>
        <v>0</v>
      </c>
      <c r="M105" s="156"/>
      <c r="N105" s="161" t="str">
        <f t="shared" si="4"/>
        <v>PASS</v>
      </c>
      <c r="O105" s="156"/>
      <c r="P105" s="1"/>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row>
    <row r="106" spans="1:96" x14ac:dyDescent="0.2">
      <c r="A106" s="57"/>
      <c r="B106" s="160" t="s">
        <v>77</v>
      </c>
      <c r="C106" s="156"/>
      <c r="D106" s="156"/>
      <c r="E106" s="156"/>
      <c r="F106" s="156"/>
      <c r="G106" s="156"/>
      <c r="H106" s="162">
        <f>--(calc_bs_ar_m12&gt;=0)</f>
        <v>1</v>
      </c>
      <c r="I106" s="156"/>
      <c r="J106" s="162">
        <f>1</f>
        <v>1</v>
      </c>
      <c r="K106" s="156"/>
      <c r="L106" s="157">
        <f t="shared" si="2"/>
        <v>0</v>
      </c>
      <c r="M106" s="156"/>
      <c r="N106" s="161" t="str">
        <f t="shared" si="4"/>
        <v>PASS</v>
      </c>
      <c r="O106" s="156"/>
      <c r="P106" s="1"/>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row>
    <row r="107" spans="1:96" x14ac:dyDescent="0.2">
      <c r="A107" s="57"/>
      <c r="B107" s="160" t="s">
        <v>78</v>
      </c>
      <c r="C107" s="156"/>
      <c r="D107" s="156"/>
      <c r="E107" s="156"/>
      <c r="F107" s="156"/>
      <c r="G107" s="156"/>
      <c r="H107" s="162">
        <f>--(calc_bs_ap_m12&gt;=0)</f>
        <v>1</v>
      </c>
      <c r="I107" s="156"/>
      <c r="J107" s="162">
        <f>1</f>
        <v>1</v>
      </c>
      <c r="K107" s="156"/>
      <c r="L107" s="157">
        <f t="shared" si="2"/>
        <v>0</v>
      </c>
      <c r="M107" s="156"/>
      <c r="N107" s="161" t="str">
        <f t="shared" si="4"/>
        <v>PASS</v>
      </c>
      <c r="O107" s="156"/>
      <c r="P107" s="1"/>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row>
    <row r="108" spans="1:96" x14ac:dyDescent="0.2">
      <c r="A108" s="57"/>
      <c r="B108" s="160" t="s">
        <v>79</v>
      </c>
      <c r="C108" s="156"/>
      <c r="D108" s="156"/>
      <c r="E108" s="156"/>
      <c r="F108" s="156"/>
      <c r="G108" s="156"/>
      <c r="H108" s="162">
        <f ca="1">--(calc_bs_debt_m1&gt;=0)</f>
        <v>1</v>
      </c>
      <c r="I108" s="156"/>
      <c r="J108" s="162">
        <f>1</f>
        <v>1</v>
      </c>
      <c r="K108" s="156"/>
      <c r="L108" s="157">
        <f t="shared" ca="1" si="2"/>
        <v>0</v>
      </c>
      <c r="M108" s="156"/>
      <c r="N108" s="161" t="str">
        <f t="shared" ca="1" si="4"/>
        <v>PASS</v>
      </c>
      <c r="O108" s="156"/>
      <c r="P108" s="1"/>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row>
    <row r="109" spans="1:96" x14ac:dyDescent="0.2">
      <c r="A109" s="57"/>
      <c r="B109" s="160" t="s">
        <v>80</v>
      </c>
      <c r="C109" s="156"/>
      <c r="D109" s="156"/>
      <c r="E109" s="156"/>
      <c r="F109" s="156"/>
      <c r="G109" s="156"/>
      <c r="H109" s="162">
        <f ca="1">--(calc_bs_debt_m6&gt;=0)</f>
        <v>1</v>
      </c>
      <c r="I109" s="156"/>
      <c r="J109" s="162">
        <f>1</f>
        <v>1</v>
      </c>
      <c r="K109" s="156"/>
      <c r="L109" s="157">
        <f t="shared" ca="1" si="2"/>
        <v>0</v>
      </c>
      <c r="M109" s="156"/>
      <c r="N109" s="161" t="str">
        <f t="shared" ca="1" si="4"/>
        <v>PASS</v>
      </c>
      <c r="O109" s="156"/>
      <c r="P109" s="1"/>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row>
    <row r="110" spans="1:96" x14ac:dyDescent="0.2">
      <c r="A110" s="57"/>
      <c r="B110" s="160" t="s">
        <v>81</v>
      </c>
      <c r="C110" s="156"/>
      <c r="D110" s="156"/>
      <c r="E110" s="156"/>
      <c r="F110" s="156"/>
      <c r="G110" s="156"/>
      <c r="H110" s="162">
        <f ca="1">--(calc_bs_debt_m12&gt;=0)</f>
        <v>1</v>
      </c>
      <c r="I110" s="156"/>
      <c r="J110" s="162">
        <f>1</f>
        <v>1</v>
      </c>
      <c r="K110" s="156"/>
      <c r="L110" s="157">
        <f t="shared" ca="1" si="2"/>
        <v>0</v>
      </c>
      <c r="M110" s="156"/>
      <c r="N110" s="161" t="str">
        <f t="shared" ca="1" si="4"/>
        <v>PASS</v>
      </c>
      <c r="O110" s="156"/>
      <c r="P110" s="1"/>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row>
    <row r="111" spans="1:96" x14ac:dyDescent="0.2">
      <c r="A111" s="57"/>
      <c r="B111" s="1"/>
      <c r="C111" s="1"/>
      <c r="D111" s="1"/>
      <c r="E111" s="1"/>
      <c r="F111" s="1"/>
      <c r="G111" s="1"/>
      <c r="H111" s="1"/>
      <c r="I111" s="1"/>
      <c r="J111" s="1"/>
      <c r="K111" s="1"/>
      <c r="L111" s="1"/>
      <c r="M111" s="1"/>
      <c r="N111" s="1"/>
      <c r="O111" s="1"/>
      <c r="P111" s="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row>
    <row r="112" spans="1:96" ht="22" customHeight="1" x14ac:dyDescent="0.2">
      <c r="A112" s="57"/>
      <c r="B112" s="3" t="s">
        <v>82</v>
      </c>
      <c r="C112" s="57"/>
      <c r="D112" s="57"/>
      <c r="E112" s="57"/>
      <c r="F112" s="57"/>
      <c r="G112" s="57"/>
      <c r="H112" s="57"/>
      <c r="I112" s="57"/>
      <c r="J112" s="57"/>
      <c r="K112" s="57"/>
      <c r="L112" s="57"/>
      <c r="M112" s="57"/>
      <c r="N112" s="57"/>
      <c r="O112" s="2" t="s">
        <v>83</v>
      </c>
      <c r="P112" s="57"/>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row>
    <row r="113" spans="1:96" x14ac:dyDescent="0.2">
      <c r="A113" s="1"/>
      <c r="B113" s="1"/>
      <c r="C113" s="1"/>
      <c r="D113" s="1"/>
      <c r="E113" s="1"/>
      <c r="F113" s="1"/>
      <c r="G113" s="1"/>
      <c r="H113" s="1"/>
      <c r="I113" s="1"/>
      <c r="J113" s="1"/>
      <c r="K113" s="1"/>
      <c r="L113" s="1"/>
      <c r="M113" s="1"/>
      <c r="N113" s="1"/>
      <c r="O113" s="1"/>
      <c r="P113" s="1"/>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row>
    <row r="114" spans="1:96" x14ac:dyDescent="0.2">
      <c r="A114" s="1"/>
      <c r="B114" s="1"/>
      <c r="C114" s="1"/>
      <c r="D114" s="1"/>
      <c r="E114" s="1"/>
      <c r="F114" s="1"/>
      <c r="G114" s="1"/>
      <c r="H114" s="1"/>
      <c r="I114" s="1"/>
      <c r="J114" s="1"/>
      <c r="K114" s="1"/>
      <c r="L114" s="1"/>
      <c r="M114" s="1"/>
      <c r="N114" s="1"/>
      <c r="O114" s="1"/>
      <c r="P114" s="1"/>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row>
    <row r="115" spans="1:96" x14ac:dyDescent="0.2">
      <c r="A115" s="1"/>
      <c r="B115" s="1"/>
      <c r="C115" s="1"/>
      <c r="D115" s="1"/>
      <c r="E115" s="1"/>
      <c r="F115" s="1"/>
      <c r="G115" s="1"/>
      <c r="H115" s="1"/>
      <c r="I115" s="1"/>
      <c r="J115" s="1"/>
      <c r="K115" s="1"/>
      <c r="L115" s="1"/>
      <c r="M115" s="1"/>
      <c r="N115" s="1"/>
      <c r="O115" s="1"/>
      <c r="P115" s="1"/>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row>
    <row r="116" spans="1:96" x14ac:dyDescent="0.2">
      <c r="A116" s="1"/>
      <c r="B116" s="1"/>
      <c r="C116" s="1"/>
      <c r="D116" s="1"/>
      <c r="E116" s="1"/>
      <c r="F116" s="1"/>
      <c r="G116" s="1"/>
      <c r="H116" s="1"/>
      <c r="I116" s="1"/>
      <c r="J116" s="1"/>
      <c r="K116" s="1"/>
      <c r="L116" s="1"/>
      <c r="M116" s="1"/>
      <c r="N116" s="1"/>
      <c r="O116" s="1"/>
      <c r="P116" s="1"/>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row>
    <row r="117" spans="1:96" x14ac:dyDescent="0.2">
      <c r="A117" s="1"/>
      <c r="B117" s="1"/>
      <c r="C117" s="1"/>
      <c r="D117" s="1"/>
      <c r="E117" s="1"/>
      <c r="F117" s="1"/>
      <c r="G117" s="1"/>
      <c r="H117" s="1"/>
      <c r="I117" s="1"/>
      <c r="J117" s="1"/>
      <c r="K117" s="1"/>
      <c r="L117" s="1"/>
      <c r="M117" s="1"/>
      <c r="N117" s="1"/>
      <c r="O117" s="1"/>
      <c r="P117" s="1"/>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row>
    <row r="118" spans="1:96" x14ac:dyDescent="0.2">
      <c r="A118" s="1"/>
      <c r="B118" s="1"/>
      <c r="C118" s="1"/>
      <c r="D118" s="1"/>
      <c r="E118" s="1"/>
      <c r="F118" s="1"/>
      <c r="G118" s="1"/>
      <c r="H118" s="1"/>
      <c r="I118" s="1"/>
      <c r="J118" s="1"/>
      <c r="K118" s="1"/>
      <c r="L118" s="1"/>
      <c r="M118" s="1"/>
      <c r="N118" s="1"/>
      <c r="O118" s="1"/>
      <c r="P118" s="1"/>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row>
    <row r="119" spans="1:96" x14ac:dyDescent="0.2">
      <c r="A119" s="1"/>
      <c r="B119" s="1"/>
      <c r="C119" s="1"/>
      <c r="D119" s="1"/>
      <c r="E119" s="1"/>
      <c r="F119" s="1"/>
      <c r="G119" s="1"/>
      <c r="H119" s="1"/>
      <c r="I119" s="1"/>
      <c r="J119" s="1"/>
      <c r="K119" s="1"/>
      <c r="L119" s="1"/>
      <c r="M119" s="1"/>
      <c r="N119" s="1"/>
      <c r="O119" s="1"/>
      <c r="P119" s="1"/>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row>
    <row r="120" spans="1:96" x14ac:dyDescent="0.2">
      <c r="A120" s="1"/>
      <c r="B120" s="1"/>
      <c r="C120" s="1"/>
      <c r="D120" s="1"/>
      <c r="E120" s="1"/>
      <c r="F120" s="1"/>
      <c r="G120" s="1"/>
      <c r="H120" s="1"/>
      <c r="I120" s="1"/>
      <c r="J120" s="1"/>
      <c r="K120" s="1"/>
      <c r="L120" s="1"/>
      <c r="M120" s="1"/>
      <c r="N120" s="1"/>
      <c r="O120" s="1"/>
      <c r="P120" s="1"/>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row>
    <row r="121" spans="1:96" x14ac:dyDescent="0.2">
      <c r="A121" s="1"/>
      <c r="B121" s="1"/>
      <c r="C121" s="1"/>
      <c r="D121" s="1"/>
      <c r="E121" s="1"/>
      <c r="F121" s="1"/>
      <c r="G121" s="1"/>
      <c r="H121" s="1"/>
      <c r="I121" s="1"/>
      <c r="J121" s="1"/>
      <c r="K121" s="1"/>
      <c r="L121" s="1"/>
      <c r="M121" s="1"/>
      <c r="N121" s="1"/>
      <c r="O121" s="1"/>
      <c r="P121" s="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row>
    <row r="122" spans="1:96" x14ac:dyDescent="0.2">
      <c r="A122" s="1"/>
      <c r="B122" s="1"/>
      <c r="C122" s="1"/>
      <c r="D122" s="1"/>
      <c r="E122" s="1"/>
      <c r="F122" s="1"/>
      <c r="G122" s="1"/>
      <c r="H122" s="1"/>
      <c r="I122" s="1"/>
      <c r="J122" s="1"/>
      <c r="K122" s="1"/>
      <c r="L122" s="1"/>
      <c r="M122" s="1"/>
      <c r="N122" s="1"/>
      <c r="O122" s="1"/>
      <c r="P122" s="1"/>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row>
    <row r="123" spans="1:96" x14ac:dyDescent="0.2">
      <c r="A123" s="1"/>
      <c r="B123" s="1"/>
      <c r="C123" s="1"/>
      <c r="D123" s="1"/>
      <c r="E123" s="1"/>
      <c r="F123" s="1"/>
      <c r="G123" s="1"/>
      <c r="H123" s="1"/>
      <c r="I123" s="1"/>
      <c r="J123" s="1"/>
      <c r="K123" s="1"/>
      <c r="L123" s="1"/>
      <c r="M123" s="1"/>
      <c r="N123" s="1"/>
      <c r="O123" s="1"/>
      <c r="P123" s="1"/>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row>
    <row r="124" spans="1:96" x14ac:dyDescent="0.2">
      <c r="A124" s="1"/>
      <c r="B124" s="1"/>
      <c r="C124" s="1"/>
      <c r="D124" s="1"/>
      <c r="E124" s="1"/>
      <c r="F124" s="1"/>
      <c r="G124" s="1"/>
      <c r="H124" s="1"/>
      <c r="I124" s="1"/>
      <c r="J124" s="1"/>
      <c r="K124" s="1"/>
      <c r="L124" s="1"/>
      <c r="M124" s="1"/>
      <c r="N124" s="1"/>
      <c r="O124" s="1"/>
      <c r="P124" s="1"/>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row>
    <row r="125" spans="1:96" x14ac:dyDescent="0.2">
      <c r="A125" s="1"/>
      <c r="B125" s="1"/>
      <c r="C125" s="1"/>
      <c r="D125" s="1"/>
      <c r="E125" s="1"/>
      <c r="F125" s="1"/>
      <c r="G125" s="1"/>
      <c r="H125" s="1"/>
      <c r="I125" s="1"/>
      <c r="J125" s="1"/>
      <c r="K125" s="1"/>
      <c r="L125" s="1"/>
      <c r="M125" s="1"/>
      <c r="N125" s="1"/>
      <c r="O125" s="1"/>
      <c r="P125" s="1"/>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row>
    <row r="126" spans="1:96" x14ac:dyDescent="0.2">
      <c r="A126" s="1"/>
      <c r="B126" s="1"/>
      <c r="C126" s="1"/>
      <c r="D126" s="1"/>
      <c r="E126" s="1"/>
      <c r="F126" s="1"/>
      <c r="G126" s="1"/>
      <c r="H126" s="1"/>
      <c r="I126" s="1"/>
      <c r="J126" s="1"/>
      <c r="K126" s="1"/>
      <c r="L126" s="1"/>
      <c r="M126" s="1"/>
      <c r="N126" s="1"/>
      <c r="O126" s="1"/>
      <c r="P126" s="1"/>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row>
    <row r="127" spans="1:96" x14ac:dyDescent="0.2">
      <c r="A127" s="1"/>
      <c r="B127" s="1"/>
      <c r="C127" s="1"/>
      <c r="D127" s="1"/>
      <c r="E127" s="1"/>
      <c r="F127" s="1"/>
      <c r="G127" s="1"/>
      <c r="H127" s="1"/>
      <c r="I127" s="1"/>
      <c r="J127" s="1"/>
      <c r="K127" s="1"/>
      <c r="L127" s="1"/>
      <c r="M127" s="1"/>
      <c r="N127" s="1"/>
      <c r="O127" s="1"/>
      <c r="P127" s="1"/>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row>
    <row r="128" spans="1:96" x14ac:dyDescent="0.2">
      <c r="A128" s="1"/>
      <c r="B128" s="1"/>
      <c r="C128" s="1"/>
      <c r="D128" s="1"/>
      <c r="E128" s="1"/>
      <c r="F128" s="1"/>
      <c r="G128" s="1"/>
      <c r="H128" s="1"/>
      <c r="I128" s="1"/>
      <c r="J128" s="1"/>
      <c r="K128" s="1"/>
      <c r="L128" s="1"/>
      <c r="M128" s="1"/>
      <c r="N128" s="1"/>
      <c r="O128" s="1"/>
      <c r="P128" s="1"/>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row>
    <row r="129" spans="1:96" x14ac:dyDescent="0.2">
      <c r="A129" s="1"/>
      <c r="B129" s="1"/>
      <c r="C129" s="1"/>
      <c r="D129" s="1"/>
      <c r="E129" s="1"/>
      <c r="F129" s="1"/>
      <c r="G129" s="1"/>
      <c r="H129" s="1"/>
      <c r="I129" s="1"/>
      <c r="J129" s="1"/>
      <c r="K129" s="1"/>
      <c r="L129" s="1"/>
      <c r="M129" s="1"/>
      <c r="N129" s="1"/>
      <c r="O129" s="1"/>
      <c r="P129" s="1"/>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row>
    <row r="130" spans="1:96" x14ac:dyDescent="0.2">
      <c r="A130" s="1"/>
      <c r="B130" s="1"/>
      <c r="C130" s="1"/>
      <c r="D130" s="1"/>
      <c r="E130" s="1"/>
      <c r="F130" s="1"/>
      <c r="G130" s="1"/>
      <c r="H130" s="1"/>
      <c r="I130" s="1"/>
      <c r="J130" s="1"/>
      <c r="K130" s="1"/>
      <c r="L130" s="1"/>
      <c r="M130" s="1"/>
      <c r="N130" s="1"/>
      <c r="O130" s="1"/>
      <c r="P130" s="1"/>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row>
    <row r="131" spans="1:96" x14ac:dyDescent="0.2">
      <c r="A131" s="1"/>
      <c r="B131" s="1"/>
      <c r="C131" s="1"/>
      <c r="D131" s="1"/>
      <c r="E131" s="1"/>
      <c r="F131" s="1"/>
      <c r="G131" s="1"/>
      <c r="H131" s="1"/>
      <c r="I131" s="1"/>
      <c r="J131" s="1"/>
      <c r="K131" s="1"/>
      <c r="L131" s="1"/>
      <c r="M131" s="1"/>
      <c r="N131" s="1"/>
      <c r="O131" s="1"/>
      <c r="P131" s="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row>
    <row r="132" spans="1:96" x14ac:dyDescent="0.2">
      <c r="A132" s="1"/>
      <c r="B132" s="1"/>
      <c r="C132" s="1"/>
      <c r="D132" s="1"/>
      <c r="E132" s="1"/>
      <c r="F132" s="1"/>
      <c r="G132" s="1"/>
      <c r="H132" s="1"/>
      <c r="I132" s="1"/>
      <c r="J132" s="1"/>
      <c r="K132" s="1"/>
      <c r="L132" s="1"/>
      <c r="M132" s="1"/>
      <c r="N132" s="1"/>
      <c r="O132" s="1"/>
      <c r="P132" s="1"/>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row>
    <row r="133" spans="1:96" x14ac:dyDescent="0.2">
      <c r="A133" s="1"/>
      <c r="B133" s="1"/>
      <c r="C133" s="1"/>
      <c r="D133" s="1"/>
      <c r="E133" s="1"/>
      <c r="F133" s="1"/>
      <c r="G133" s="1"/>
      <c r="H133" s="1"/>
      <c r="I133" s="1"/>
      <c r="J133" s="1"/>
      <c r="K133" s="1"/>
      <c r="L133" s="1"/>
      <c r="M133" s="1"/>
      <c r="N133" s="1"/>
      <c r="O133" s="1"/>
      <c r="P133" s="1"/>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row>
    <row r="134" spans="1:96" x14ac:dyDescent="0.2">
      <c r="A134" s="1"/>
      <c r="B134" s="1"/>
      <c r="C134" s="1"/>
      <c r="D134" s="1"/>
      <c r="E134" s="1"/>
      <c r="F134" s="1"/>
      <c r="G134" s="1"/>
      <c r="H134" s="1"/>
      <c r="I134" s="1"/>
      <c r="J134" s="1"/>
      <c r="K134" s="1"/>
      <c r="L134" s="1"/>
      <c r="M134" s="1"/>
      <c r="N134" s="1"/>
      <c r="O134" s="1"/>
      <c r="P134" s="1"/>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row>
    <row r="135" spans="1:96" x14ac:dyDescent="0.2">
      <c r="A135" s="1"/>
      <c r="B135" s="1"/>
      <c r="C135" s="1"/>
      <c r="D135" s="1"/>
      <c r="E135" s="1"/>
      <c r="F135" s="1"/>
      <c r="G135" s="1"/>
      <c r="H135" s="1"/>
      <c r="I135" s="1"/>
      <c r="J135" s="1"/>
      <c r="K135" s="1"/>
      <c r="L135" s="1"/>
      <c r="M135" s="1"/>
      <c r="N135" s="1"/>
      <c r="O135" s="1"/>
      <c r="P135" s="1"/>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row>
    <row r="136" spans="1:96" x14ac:dyDescent="0.2">
      <c r="A136" s="1"/>
      <c r="B136" s="1"/>
      <c r="C136" s="1"/>
      <c r="D136" s="1"/>
      <c r="E136" s="1"/>
      <c r="F136" s="1"/>
      <c r="G136" s="1"/>
      <c r="H136" s="1"/>
      <c r="I136" s="1"/>
      <c r="J136" s="1"/>
      <c r="K136" s="1"/>
      <c r="L136" s="1"/>
      <c r="M136" s="1"/>
      <c r="N136" s="1"/>
      <c r="O136" s="1"/>
      <c r="P136" s="1"/>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row>
    <row r="137" spans="1:96" x14ac:dyDescent="0.2">
      <c r="A137" s="1"/>
      <c r="B137" s="1"/>
      <c r="C137" s="1"/>
      <c r="D137" s="1"/>
      <c r="E137" s="1"/>
      <c r="F137" s="1"/>
      <c r="G137" s="1"/>
      <c r="H137" s="1"/>
      <c r="I137" s="1"/>
      <c r="J137" s="1"/>
      <c r="K137" s="1"/>
      <c r="L137" s="1"/>
      <c r="M137" s="1"/>
      <c r="N137" s="1"/>
      <c r="O137" s="1"/>
      <c r="P137" s="1"/>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row>
    <row r="138" spans="1:96" x14ac:dyDescent="0.2">
      <c r="A138" s="1"/>
      <c r="B138" s="1"/>
      <c r="C138" s="1"/>
      <c r="D138" s="1"/>
      <c r="E138" s="1"/>
      <c r="F138" s="1"/>
      <c r="G138" s="1"/>
      <c r="H138" s="1"/>
      <c r="I138" s="1"/>
      <c r="J138" s="1"/>
      <c r="K138" s="1"/>
      <c r="L138" s="1"/>
      <c r="M138" s="1"/>
      <c r="N138" s="1"/>
      <c r="O138" s="1"/>
      <c r="P138" s="1"/>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row>
    <row r="139" spans="1:96" x14ac:dyDescent="0.2">
      <c r="A139" s="1"/>
      <c r="B139" s="1"/>
      <c r="C139" s="1"/>
      <c r="D139" s="1"/>
      <c r="E139" s="1"/>
      <c r="F139" s="1"/>
      <c r="G139" s="1"/>
      <c r="H139" s="1"/>
      <c r="I139" s="1"/>
      <c r="J139" s="1"/>
      <c r="K139" s="1"/>
      <c r="L139" s="1"/>
      <c r="M139" s="1"/>
      <c r="N139" s="1"/>
      <c r="O139" s="1"/>
      <c r="P139" s="1"/>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row>
    <row r="140" spans="1:96" x14ac:dyDescent="0.2">
      <c r="A140" s="1"/>
      <c r="B140" s="1"/>
      <c r="C140" s="1"/>
      <c r="D140" s="1"/>
      <c r="E140" s="1"/>
      <c r="F140" s="1"/>
      <c r="G140" s="1"/>
      <c r="H140" s="1"/>
      <c r="I140" s="1"/>
      <c r="J140" s="1"/>
      <c r="K140" s="1"/>
      <c r="L140" s="1"/>
      <c r="M140" s="1"/>
      <c r="N140" s="1"/>
      <c r="O140" s="1"/>
      <c r="P140" s="1"/>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row>
    <row r="141" spans="1:96" x14ac:dyDescent="0.2">
      <c r="A141" s="1"/>
      <c r="B141" s="1"/>
      <c r="C141" s="1"/>
      <c r="D141" s="1"/>
      <c r="E141" s="1"/>
      <c r="F141" s="1"/>
      <c r="G141" s="1"/>
      <c r="H141" s="1"/>
      <c r="I141" s="1"/>
      <c r="J141" s="1"/>
      <c r="K141" s="1"/>
      <c r="L141" s="1"/>
      <c r="M141" s="1"/>
      <c r="N141" s="1"/>
      <c r="O141" s="1"/>
      <c r="P141" s="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row>
    <row r="142" spans="1:96" x14ac:dyDescent="0.2">
      <c r="A142" s="1"/>
      <c r="B142" s="1"/>
      <c r="C142" s="1"/>
      <c r="D142" s="1"/>
      <c r="E142" s="1"/>
      <c r="F142" s="1"/>
      <c r="G142" s="1"/>
      <c r="H142" s="1"/>
      <c r="I142" s="1"/>
      <c r="J142" s="1"/>
      <c r="K142" s="1"/>
      <c r="L142" s="1"/>
      <c r="M142" s="1"/>
      <c r="N142" s="1"/>
      <c r="O142" s="1"/>
      <c r="P142" s="1"/>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row>
    <row r="143" spans="1:96" x14ac:dyDescent="0.2">
      <c r="A143" s="1"/>
      <c r="B143" s="1"/>
      <c r="C143" s="1"/>
      <c r="D143" s="1"/>
      <c r="E143" s="1"/>
      <c r="F143" s="1"/>
      <c r="G143" s="1"/>
      <c r="H143" s="1"/>
      <c r="I143" s="1"/>
      <c r="J143" s="1"/>
      <c r="K143" s="1"/>
      <c r="L143" s="1"/>
      <c r="M143" s="1"/>
      <c r="N143" s="1"/>
      <c r="O143" s="1"/>
      <c r="P143" s="1"/>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row>
    <row r="144" spans="1:96" x14ac:dyDescent="0.2">
      <c r="A144" s="1"/>
      <c r="B144" s="1"/>
      <c r="C144" s="1"/>
      <c r="D144" s="1"/>
      <c r="E144" s="1"/>
      <c r="F144" s="1"/>
      <c r="G144" s="1"/>
      <c r="H144" s="1"/>
      <c r="I144" s="1"/>
      <c r="J144" s="1"/>
      <c r="K144" s="1"/>
      <c r="L144" s="1"/>
      <c r="M144" s="1"/>
      <c r="N144" s="1"/>
      <c r="O144" s="1"/>
      <c r="P144" s="1"/>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row>
    <row r="145" spans="1:96" x14ac:dyDescent="0.2">
      <c r="A145" s="1"/>
      <c r="B145" s="1"/>
      <c r="C145" s="1"/>
      <c r="D145" s="1"/>
      <c r="E145" s="1"/>
      <c r="F145" s="1"/>
      <c r="G145" s="1"/>
      <c r="H145" s="1"/>
      <c r="I145" s="1"/>
      <c r="J145" s="1"/>
      <c r="K145" s="1"/>
      <c r="L145" s="1"/>
      <c r="M145" s="1"/>
      <c r="N145" s="1"/>
      <c r="O145" s="1"/>
      <c r="P145" s="1"/>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row>
    <row r="146" spans="1:96" x14ac:dyDescent="0.2">
      <c r="A146" s="1"/>
      <c r="B146" s="1"/>
      <c r="C146" s="1"/>
      <c r="D146" s="1"/>
      <c r="E146" s="1"/>
      <c r="F146" s="1"/>
      <c r="G146" s="1"/>
      <c r="H146" s="1"/>
      <c r="I146" s="1"/>
      <c r="J146" s="1"/>
      <c r="K146" s="1"/>
      <c r="L146" s="1"/>
      <c r="M146" s="1"/>
      <c r="N146" s="1"/>
      <c r="O146" s="1"/>
      <c r="P146" s="1"/>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row>
    <row r="147" spans="1:96" x14ac:dyDescent="0.2">
      <c r="A147" s="1"/>
      <c r="B147" s="1"/>
      <c r="C147" s="1"/>
      <c r="D147" s="1"/>
      <c r="E147" s="1"/>
      <c r="F147" s="1"/>
      <c r="G147" s="1"/>
      <c r="H147" s="1"/>
      <c r="I147" s="1"/>
      <c r="J147" s="1"/>
      <c r="K147" s="1"/>
      <c r="L147" s="1"/>
      <c r="M147" s="1"/>
      <c r="N147" s="1"/>
      <c r="O147" s="1"/>
      <c r="P147" s="1"/>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row>
    <row r="148" spans="1:96" x14ac:dyDescent="0.2">
      <c r="A148" s="1"/>
      <c r="B148" s="1"/>
      <c r="C148" s="1"/>
      <c r="D148" s="1"/>
      <c r="E148" s="1"/>
      <c r="F148" s="1"/>
      <c r="G148" s="1"/>
      <c r="H148" s="1"/>
      <c r="I148" s="1"/>
      <c r="J148" s="1"/>
      <c r="K148" s="1"/>
      <c r="L148" s="1"/>
      <c r="M148" s="1"/>
      <c r="N148" s="1"/>
      <c r="O148" s="1"/>
      <c r="P148" s="1"/>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row>
    <row r="149" spans="1:96" x14ac:dyDescent="0.2">
      <c r="A149" s="1"/>
      <c r="B149" s="1"/>
      <c r="C149" s="1"/>
      <c r="D149" s="1"/>
      <c r="E149" s="1"/>
      <c r="F149" s="1"/>
      <c r="G149" s="1"/>
      <c r="H149" s="1"/>
      <c r="I149" s="1"/>
      <c r="J149" s="1"/>
      <c r="K149" s="1"/>
      <c r="L149" s="1"/>
      <c r="M149" s="1"/>
      <c r="N149" s="1"/>
      <c r="O149" s="1"/>
      <c r="P149" s="1"/>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row>
    <row r="150" spans="1:96" x14ac:dyDescent="0.2">
      <c r="A150" s="1"/>
      <c r="B150" s="1"/>
      <c r="C150" s="1"/>
      <c r="D150" s="1"/>
      <c r="E150" s="1"/>
      <c r="F150" s="1"/>
      <c r="G150" s="1"/>
      <c r="H150" s="1"/>
      <c r="I150" s="1"/>
      <c r="J150" s="1"/>
      <c r="K150" s="1"/>
      <c r="L150" s="1"/>
      <c r="M150" s="1"/>
      <c r="N150" s="1"/>
      <c r="O150" s="1"/>
      <c r="P150" s="1"/>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row>
    <row r="151" spans="1:96" x14ac:dyDescent="0.2">
      <c r="A151" s="1"/>
      <c r="B151" s="1"/>
      <c r="C151" s="1"/>
      <c r="D151" s="1"/>
      <c r="E151" s="1"/>
      <c r="F151" s="1"/>
      <c r="G151" s="1"/>
      <c r="H151" s="1"/>
      <c r="I151" s="1"/>
      <c r="J151" s="1"/>
      <c r="K151" s="1"/>
      <c r="L151" s="1"/>
      <c r="M151" s="1"/>
      <c r="N151" s="1"/>
      <c r="O151" s="1"/>
      <c r="P151" s="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row>
    <row r="152" spans="1:96" x14ac:dyDescent="0.2">
      <c r="A152" s="1"/>
      <c r="B152" s="1"/>
      <c r="C152" s="1"/>
      <c r="D152" s="1"/>
      <c r="E152" s="1"/>
      <c r="F152" s="1"/>
      <c r="G152" s="1"/>
      <c r="H152" s="1"/>
      <c r="I152" s="1"/>
      <c r="J152" s="1"/>
      <c r="K152" s="1"/>
      <c r="L152" s="1"/>
      <c r="M152" s="1"/>
      <c r="N152" s="1"/>
      <c r="O152" s="1"/>
      <c r="P152" s="1"/>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row>
    <row r="153" spans="1:96" x14ac:dyDescent="0.2">
      <c r="A153" s="1"/>
      <c r="B153" s="1"/>
      <c r="C153" s="1"/>
      <c r="D153" s="1"/>
      <c r="E153" s="1"/>
      <c r="F153" s="1"/>
      <c r="G153" s="1"/>
      <c r="H153" s="1"/>
      <c r="I153" s="1"/>
      <c r="J153" s="1"/>
      <c r="K153" s="1"/>
      <c r="L153" s="1"/>
      <c r="M153" s="1"/>
      <c r="N153" s="1"/>
      <c r="O153" s="1"/>
      <c r="P153" s="1"/>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row>
    <row r="154" spans="1:96" x14ac:dyDescent="0.2">
      <c r="A154" s="1"/>
      <c r="B154" s="1"/>
      <c r="C154" s="1"/>
      <c r="D154" s="1"/>
      <c r="E154" s="1"/>
      <c r="F154" s="1"/>
      <c r="G154" s="1"/>
      <c r="H154" s="1"/>
      <c r="I154" s="1"/>
      <c r="J154" s="1"/>
      <c r="K154" s="1"/>
      <c r="L154" s="1"/>
      <c r="M154" s="1"/>
      <c r="N154" s="1"/>
      <c r="O154" s="1"/>
      <c r="P154" s="1"/>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row>
    <row r="155" spans="1:96" x14ac:dyDescent="0.2">
      <c r="A155" s="1"/>
      <c r="B155" s="1"/>
      <c r="C155" s="1"/>
      <c r="D155" s="1"/>
      <c r="E155" s="1"/>
      <c r="F155" s="1"/>
      <c r="G155" s="1"/>
      <c r="H155" s="1"/>
      <c r="I155" s="1"/>
      <c r="J155" s="1"/>
      <c r="K155" s="1"/>
      <c r="L155" s="1"/>
      <c r="M155" s="1"/>
      <c r="N155" s="1"/>
      <c r="O155" s="1"/>
      <c r="P155" s="1"/>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row>
    <row r="156" spans="1:96" x14ac:dyDescent="0.2">
      <c r="A156" s="1"/>
      <c r="B156" s="1"/>
      <c r="C156" s="1"/>
      <c r="D156" s="1"/>
      <c r="E156" s="1"/>
      <c r="F156" s="1"/>
      <c r="G156" s="1"/>
      <c r="H156" s="1"/>
      <c r="I156" s="1"/>
      <c r="J156" s="1"/>
      <c r="K156" s="1"/>
      <c r="L156" s="1"/>
      <c r="M156" s="1"/>
      <c r="N156" s="1"/>
      <c r="O156" s="1"/>
      <c r="P156" s="1"/>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row>
    <row r="157" spans="1:96" x14ac:dyDescent="0.2">
      <c r="A157" s="1"/>
      <c r="B157" s="1"/>
      <c r="C157" s="1"/>
      <c r="D157" s="1"/>
      <c r="E157" s="1"/>
      <c r="F157" s="1"/>
      <c r="G157" s="1"/>
      <c r="H157" s="1"/>
      <c r="I157" s="1"/>
      <c r="J157" s="1"/>
      <c r="K157" s="1"/>
      <c r="L157" s="1"/>
      <c r="M157" s="1"/>
      <c r="N157" s="1"/>
      <c r="O157" s="1"/>
      <c r="P157" s="1"/>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row>
    <row r="158" spans="1:96" x14ac:dyDescent="0.2">
      <c r="A158" s="1"/>
      <c r="B158" s="1"/>
      <c r="C158" s="1"/>
      <c r="D158" s="1"/>
      <c r="E158" s="1"/>
      <c r="F158" s="1"/>
      <c r="G158" s="1"/>
      <c r="H158" s="1"/>
      <c r="I158" s="1"/>
      <c r="J158" s="1"/>
      <c r="K158" s="1"/>
      <c r="L158" s="1"/>
      <c r="M158" s="1"/>
      <c r="N158" s="1"/>
      <c r="O158" s="1"/>
      <c r="P158" s="1"/>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row>
    <row r="159" spans="1:96" x14ac:dyDescent="0.2">
      <c r="A159" s="1"/>
      <c r="B159" s="1"/>
      <c r="C159" s="1"/>
      <c r="D159" s="1"/>
      <c r="E159" s="1"/>
      <c r="F159" s="1"/>
      <c r="G159" s="1"/>
      <c r="H159" s="1"/>
      <c r="I159" s="1"/>
      <c r="J159" s="1"/>
      <c r="K159" s="1"/>
      <c r="L159" s="1"/>
      <c r="M159" s="1"/>
      <c r="N159" s="1"/>
      <c r="O159" s="1"/>
      <c r="P159" s="1"/>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row>
    <row r="160" spans="1:96" x14ac:dyDescent="0.2">
      <c r="A160" s="1"/>
      <c r="B160" s="1"/>
      <c r="C160" s="1"/>
      <c r="D160" s="1"/>
      <c r="E160" s="1"/>
      <c r="F160" s="1"/>
      <c r="G160" s="1"/>
      <c r="H160" s="1"/>
      <c r="I160" s="1"/>
      <c r="J160" s="1"/>
      <c r="K160" s="1"/>
      <c r="L160" s="1"/>
      <c r="M160" s="1"/>
      <c r="N160" s="1"/>
      <c r="O160" s="1"/>
      <c r="P160" s="1"/>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row>
    <row r="161" spans="1:96" x14ac:dyDescent="0.2">
      <c r="A161" s="1"/>
      <c r="B161" s="1"/>
      <c r="C161" s="1"/>
      <c r="D161" s="1"/>
      <c r="E161" s="1"/>
      <c r="F161" s="1"/>
      <c r="G161" s="1"/>
      <c r="H161" s="1"/>
      <c r="I161" s="1"/>
      <c r="J161" s="1"/>
      <c r="K161" s="1"/>
      <c r="L161" s="1"/>
      <c r="M161" s="1"/>
      <c r="N161" s="1"/>
      <c r="O161" s="1"/>
      <c r="P161" s="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row>
    <row r="162" spans="1:96" x14ac:dyDescent="0.2">
      <c r="A162" s="1"/>
      <c r="B162" s="1"/>
      <c r="C162" s="1"/>
      <c r="D162" s="1"/>
      <c r="E162" s="1"/>
      <c r="F162" s="1"/>
      <c r="G162" s="1"/>
      <c r="H162" s="1"/>
      <c r="I162" s="1"/>
      <c r="J162" s="1"/>
      <c r="K162" s="1"/>
      <c r="L162" s="1"/>
      <c r="M162" s="1"/>
      <c r="N162" s="1"/>
      <c r="O162" s="1"/>
      <c r="P162" s="1"/>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row>
    <row r="163" spans="1:96" x14ac:dyDescent="0.2">
      <c r="A163" s="1"/>
      <c r="B163" s="1"/>
      <c r="C163" s="1"/>
      <c r="D163" s="1"/>
      <c r="E163" s="1"/>
      <c r="F163" s="1"/>
      <c r="G163" s="1"/>
      <c r="H163" s="1"/>
      <c r="I163" s="1"/>
      <c r="J163" s="1"/>
      <c r="K163" s="1"/>
      <c r="L163" s="1"/>
      <c r="M163" s="1"/>
      <c r="N163" s="1"/>
      <c r="O163" s="1"/>
      <c r="P163" s="1"/>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row>
    <row r="164" spans="1:96" x14ac:dyDescent="0.2">
      <c r="A164" s="1"/>
      <c r="B164" s="1"/>
      <c r="C164" s="1"/>
      <c r="D164" s="1"/>
      <c r="E164" s="1"/>
      <c r="F164" s="1"/>
      <c r="G164" s="1"/>
      <c r="H164" s="1"/>
      <c r="I164" s="1"/>
      <c r="J164" s="1"/>
      <c r="K164" s="1"/>
      <c r="L164" s="1"/>
      <c r="M164" s="1"/>
      <c r="N164" s="1"/>
      <c r="O164" s="1"/>
      <c r="P164" s="1"/>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row>
    <row r="165" spans="1:96" x14ac:dyDescent="0.2">
      <c r="A165" s="1"/>
      <c r="B165" s="1"/>
      <c r="C165" s="1"/>
      <c r="D165" s="1"/>
      <c r="E165" s="1"/>
      <c r="F165" s="1"/>
      <c r="G165" s="1"/>
      <c r="H165" s="1"/>
      <c r="I165" s="1"/>
      <c r="J165" s="1"/>
      <c r="K165" s="1"/>
      <c r="L165" s="1"/>
      <c r="M165" s="1"/>
      <c r="N165" s="1"/>
      <c r="O165" s="1"/>
      <c r="P165" s="1"/>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row>
    <row r="166" spans="1:96" x14ac:dyDescent="0.2">
      <c r="A166" s="1"/>
      <c r="B166" s="1"/>
      <c r="C166" s="1"/>
      <c r="D166" s="1"/>
      <c r="E166" s="1"/>
      <c r="F166" s="1"/>
      <c r="G166" s="1"/>
      <c r="H166" s="1"/>
      <c r="I166" s="1"/>
      <c r="J166" s="1"/>
      <c r="K166" s="1"/>
      <c r="L166" s="1"/>
      <c r="M166" s="1"/>
      <c r="N166" s="1"/>
      <c r="O166" s="1"/>
      <c r="P166" s="1"/>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row>
    <row r="167" spans="1:96" x14ac:dyDescent="0.2">
      <c r="A167" s="1"/>
      <c r="B167" s="1"/>
      <c r="C167" s="1"/>
      <c r="D167" s="1"/>
      <c r="E167" s="1"/>
      <c r="F167" s="1"/>
      <c r="G167" s="1"/>
      <c r="H167" s="1"/>
      <c r="I167" s="1"/>
      <c r="J167" s="1"/>
      <c r="K167" s="1"/>
      <c r="L167" s="1"/>
      <c r="M167" s="1"/>
      <c r="N167" s="1"/>
      <c r="O167" s="1"/>
      <c r="P167" s="1"/>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row>
    <row r="168" spans="1:96" x14ac:dyDescent="0.2">
      <c r="A168" s="1"/>
      <c r="B168" s="1"/>
      <c r="C168" s="1"/>
      <c r="D168" s="1"/>
      <c r="E168" s="1"/>
      <c r="F168" s="1"/>
      <c r="G168" s="1"/>
      <c r="H168" s="1"/>
      <c r="I168" s="1"/>
      <c r="J168" s="1"/>
      <c r="K168" s="1"/>
      <c r="L168" s="1"/>
      <c r="M168" s="1"/>
      <c r="N168" s="1"/>
      <c r="O168" s="1"/>
      <c r="P168" s="1"/>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row>
    <row r="169" spans="1:96" x14ac:dyDescent="0.2">
      <c r="A169" s="1"/>
      <c r="B169" s="1"/>
      <c r="C169" s="1"/>
      <c r="D169" s="1"/>
      <c r="E169" s="1"/>
      <c r="F169" s="1"/>
      <c r="G169" s="1"/>
      <c r="H169" s="1"/>
      <c r="I169" s="1"/>
      <c r="J169" s="1"/>
      <c r="K169" s="1"/>
      <c r="L169" s="1"/>
      <c r="M169" s="1"/>
      <c r="N169" s="1"/>
      <c r="O169" s="1"/>
      <c r="P169" s="1"/>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row>
    <row r="170" spans="1:96" x14ac:dyDescent="0.2">
      <c r="A170" s="1"/>
      <c r="B170" s="1"/>
      <c r="C170" s="1"/>
      <c r="D170" s="1"/>
      <c r="E170" s="1"/>
      <c r="F170" s="1"/>
      <c r="G170" s="1"/>
      <c r="H170" s="1"/>
      <c r="I170" s="1"/>
      <c r="J170" s="1"/>
      <c r="K170" s="1"/>
      <c r="L170" s="1"/>
      <c r="M170" s="1"/>
      <c r="N170" s="1"/>
      <c r="O170" s="1"/>
      <c r="P170" s="1"/>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row>
    <row r="171" spans="1:96" x14ac:dyDescent="0.2">
      <c r="A171" s="1"/>
      <c r="B171" s="1"/>
      <c r="C171" s="1"/>
      <c r="D171" s="1"/>
      <c r="E171" s="1"/>
      <c r="F171" s="1"/>
      <c r="G171" s="1"/>
      <c r="H171" s="1"/>
      <c r="I171" s="1"/>
      <c r="J171" s="1"/>
      <c r="K171" s="1"/>
      <c r="L171" s="1"/>
      <c r="M171" s="1"/>
      <c r="N171" s="1"/>
      <c r="O171" s="1"/>
      <c r="P171" s="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row>
    <row r="172" spans="1:96" x14ac:dyDescent="0.2">
      <c r="A172" s="1"/>
      <c r="B172" s="1"/>
      <c r="C172" s="1"/>
      <c r="D172" s="1"/>
      <c r="E172" s="1"/>
      <c r="F172" s="1"/>
      <c r="G172" s="1"/>
      <c r="H172" s="1"/>
      <c r="I172" s="1"/>
      <c r="J172" s="1"/>
      <c r="K172" s="1"/>
      <c r="L172" s="1"/>
      <c r="M172" s="1"/>
      <c r="N172" s="1"/>
      <c r="O172" s="1"/>
      <c r="P172" s="1"/>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row>
    <row r="173" spans="1:96" x14ac:dyDescent="0.2">
      <c r="A173" s="1"/>
      <c r="B173" s="1"/>
      <c r="C173" s="1"/>
      <c r="D173" s="1"/>
      <c r="E173" s="1"/>
      <c r="F173" s="1"/>
      <c r="G173" s="1"/>
      <c r="H173" s="1"/>
      <c r="I173" s="1"/>
      <c r="J173" s="1"/>
      <c r="K173" s="1"/>
      <c r="L173" s="1"/>
      <c r="M173" s="1"/>
      <c r="N173" s="1"/>
      <c r="O173" s="1"/>
      <c r="P173" s="1"/>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row>
    <row r="174" spans="1:96" x14ac:dyDescent="0.2">
      <c r="A174" s="1"/>
      <c r="B174" s="1"/>
      <c r="C174" s="1"/>
      <c r="D174" s="1"/>
      <c r="E174" s="1"/>
      <c r="F174" s="1"/>
      <c r="G174" s="1"/>
      <c r="H174" s="1"/>
      <c r="I174" s="1"/>
      <c r="J174" s="1"/>
      <c r="K174" s="1"/>
      <c r="L174" s="1"/>
      <c r="M174" s="1"/>
      <c r="N174" s="1"/>
      <c r="O174" s="1"/>
      <c r="P174" s="1"/>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row>
    <row r="175" spans="1:96" x14ac:dyDescent="0.2">
      <c r="A175" s="1"/>
      <c r="B175" s="1"/>
      <c r="C175" s="1"/>
      <c r="D175" s="1"/>
      <c r="E175" s="1"/>
      <c r="F175" s="1"/>
      <c r="G175" s="1"/>
      <c r="H175" s="1"/>
      <c r="I175" s="1"/>
      <c r="J175" s="1"/>
      <c r="K175" s="1"/>
      <c r="L175" s="1"/>
      <c r="M175" s="1"/>
      <c r="N175" s="1"/>
      <c r="O175" s="1"/>
      <c r="P175" s="1"/>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row>
    <row r="176" spans="1:96" x14ac:dyDescent="0.2">
      <c r="A176" s="1"/>
      <c r="B176" s="1"/>
      <c r="C176" s="1"/>
      <c r="D176" s="1"/>
      <c r="E176" s="1"/>
      <c r="F176" s="1"/>
      <c r="G176" s="1"/>
      <c r="H176" s="1"/>
      <c r="I176" s="1"/>
      <c r="J176" s="1"/>
      <c r="K176" s="1"/>
      <c r="L176" s="1"/>
      <c r="M176" s="1"/>
      <c r="N176" s="1"/>
      <c r="O176" s="1"/>
      <c r="P176" s="1"/>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row>
    <row r="177" spans="1:96" x14ac:dyDescent="0.2">
      <c r="A177" s="1"/>
      <c r="B177" s="1"/>
      <c r="C177" s="1"/>
      <c r="D177" s="1"/>
      <c r="E177" s="1"/>
      <c r="F177" s="1"/>
      <c r="G177" s="1"/>
      <c r="H177" s="1"/>
      <c r="I177" s="1"/>
      <c r="J177" s="1"/>
      <c r="K177" s="1"/>
      <c r="L177" s="1"/>
      <c r="M177" s="1"/>
      <c r="N177" s="1"/>
      <c r="O177" s="1"/>
      <c r="P177" s="1"/>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row>
    <row r="178" spans="1:96" x14ac:dyDescent="0.2">
      <c r="A178" s="1"/>
      <c r="B178" s="1"/>
      <c r="C178" s="1"/>
      <c r="D178" s="1"/>
      <c r="E178" s="1"/>
      <c r="F178" s="1"/>
      <c r="G178" s="1"/>
      <c r="H178" s="1"/>
      <c r="I178" s="1"/>
      <c r="J178" s="1"/>
      <c r="K178" s="1"/>
      <c r="L178" s="1"/>
      <c r="M178" s="1"/>
      <c r="N178" s="1"/>
      <c r="O178" s="1"/>
      <c r="P178" s="1"/>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row>
    <row r="179" spans="1:96" x14ac:dyDescent="0.2">
      <c r="A179" s="1"/>
      <c r="B179" s="1"/>
      <c r="C179" s="1"/>
      <c r="D179" s="1"/>
      <c r="E179" s="1"/>
      <c r="F179" s="1"/>
      <c r="G179" s="1"/>
      <c r="H179" s="1"/>
      <c r="I179" s="1"/>
      <c r="J179" s="1"/>
      <c r="K179" s="1"/>
      <c r="L179" s="1"/>
      <c r="M179" s="1"/>
      <c r="N179" s="1"/>
      <c r="O179" s="1"/>
      <c r="P179" s="1"/>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row>
    <row r="180" spans="1:96" x14ac:dyDescent="0.2">
      <c r="A180" s="1"/>
      <c r="B180" s="1"/>
      <c r="C180" s="1"/>
      <c r="D180" s="1"/>
      <c r="E180" s="1"/>
      <c r="F180" s="1"/>
      <c r="G180" s="1"/>
      <c r="H180" s="1"/>
      <c r="I180" s="1"/>
      <c r="J180" s="1"/>
      <c r="K180" s="1"/>
      <c r="L180" s="1"/>
      <c r="M180" s="1"/>
      <c r="N180" s="1"/>
      <c r="O180" s="1"/>
      <c r="P180" s="1"/>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row>
    <row r="181" spans="1:96" x14ac:dyDescent="0.2">
      <c r="A181" s="1"/>
      <c r="B181" s="1"/>
      <c r="C181" s="1"/>
      <c r="D181" s="1"/>
      <c r="E181" s="1"/>
      <c r="F181" s="1"/>
      <c r="G181" s="1"/>
      <c r="H181" s="1"/>
      <c r="I181" s="1"/>
      <c r="J181" s="1"/>
      <c r="K181" s="1"/>
      <c r="L181" s="1"/>
      <c r="M181" s="1"/>
      <c r="N181" s="1"/>
      <c r="O181" s="1"/>
      <c r="P181" s="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row>
    <row r="182" spans="1:96" x14ac:dyDescent="0.2">
      <c r="A182" s="1"/>
      <c r="B182" s="1"/>
      <c r="C182" s="1"/>
      <c r="D182" s="1"/>
      <c r="E182" s="1"/>
      <c r="F182" s="1"/>
      <c r="G182" s="1"/>
      <c r="H182" s="1"/>
      <c r="I182" s="1"/>
      <c r="J182" s="1"/>
      <c r="K182" s="1"/>
      <c r="L182" s="1"/>
      <c r="M182" s="1"/>
      <c r="N182" s="1"/>
      <c r="O182" s="1"/>
      <c r="P182" s="1"/>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row>
    <row r="183" spans="1:96" x14ac:dyDescent="0.2">
      <c r="A183" s="1"/>
      <c r="B183" s="1"/>
      <c r="C183" s="1"/>
      <c r="D183" s="1"/>
      <c r="E183" s="1"/>
      <c r="F183" s="1"/>
      <c r="G183" s="1"/>
      <c r="H183" s="1"/>
      <c r="I183" s="1"/>
      <c r="J183" s="1"/>
      <c r="K183" s="1"/>
      <c r="L183" s="1"/>
      <c r="M183" s="1"/>
      <c r="N183" s="1"/>
      <c r="O183" s="1"/>
      <c r="P183" s="1"/>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row>
    <row r="184" spans="1:96" x14ac:dyDescent="0.2">
      <c r="A184" s="1"/>
      <c r="B184" s="1"/>
      <c r="C184" s="1"/>
      <c r="D184" s="1"/>
      <c r="E184" s="1"/>
      <c r="F184" s="1"/>
      <c r="G184" s="1"/>
      <c r="H184" s="1"/>
      <c r="I184" s="1"/>
      <c r="J184" s="1"/>
      <c r="K184" s="1"/>
      <c r="L184" s="1"/>
      <c r="M184" s="1"/>
      <c r="N184" s="1"/>
      <c r="O184" s="1"/>
      <c r="P184" s="1"/>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row>
    <row r="185" spans="1:96" x14ac:dyDescent="0.2">
      <c r="A185" s="1"/>
      <c r="B185" s="1"/>
      <c r="C185" s="1"/>
      <c r="D185" s="1"/>
      <c r="E185" s="1"/>
      <c r="F185" s="1"/>
      <c r="G185" s="1"/>
      <c r="H185" s="1"/>
      <c r="I185" s="1"/>
      <c r="J185" s="1"/>
      <c r="K185" s="1"/>
      <c r="L185" s="1"/>
      <c r="M185" s="1"/>
      <c r="N185" s="1"/>
      <c r="O185" s="1"/>
      <c r="P185" s="1"/>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row>
    <row r="186" spans="1:96" x14ac:dyDescent="0.2">
      <c r="A186" s="1"/>
      <c r="B186" s="1"/>
      <c r="C186" s="1"/>
      <c r="D186" s="1"/>
      <c r="E186" s="1"/>
      <c r="F186" s="1"/>
      <c r="G186" s="1"/>
      <c r="H186" s="1"/>
      <c r="I186" s="1"/>
      <c r="J186" s="1"/>
      <c r="K186" s="1"/>
      <c r="L186" s="1"/>
      <c r="M186" s="1"/>
      <c r="N186" s="1"/>
      <c r="O186" s="1"/>
      <c r="P186" s="1"/>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row>
    <row r="187" spans="1:96" x14ac:dyDescent="0.2">
      <c r="A187" s="1"/>
      <c r="B187" s="1"/>
      <c r="C187" s="1"/>
      <c r="D187" s="1"/>
      <c r="E187" s="1"/>
      <c r="F187" s="1"/>
      <c r="G187" s="1"/>
      <c r="H187" s="1"/>
      <c r="I187" s="1"/>
      <c r="J187" s="1"/>
      <c r="K187" s="1"/>
      <c r="L187" s="1"/>
      <c r="M187" s="1"/>
      <c r="N187" s="1"/>
      <c r="O187" s="1"/>
      <c r="P187" s="1"/>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row>
    <row r="188" spans="1:96" x14ac:dyDescent="0.2">
      <c r="A188" s="1"/>
      <c r="B188" s="1"/>
      <c r="C188" s="1"/>
      <c r="D188" s="1"/>
      <c r="E188" s="1"/>
      <c r="F188" s="1"/>
      <c r="G188" s="1"/>
      <c r="H188" s="1"/>
      <c r="I188" s="1"/>
      <c r="J188" s="1"/>
      <c r="K188" s="1"/>
      <c r="L188" s="1"/>
      <c r="M188" s="1"/>
      <c r="N188" s="1"/>
      <c r="O188" s="1"/>
      <c r="P188" s="1"/>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row>
    <row r="189" spans="1:96" x14ac:dyDescent="0.2">
      <c r="A189" s="1"/>
      <c r="B189" s="1"/>
      <c r="C189" s="1"/>
      <c r="D189" s="1"/>
      <c r="E189" s="1"/>
      <c r="F189" s="1"/>
      <c r="G189" s="1"/>
      <c r="H189" s="1"/>
      <c r="I189" s="1"/>
      <c r="J189" s="1"/>
      <c r="K189" s="1"/>
      <c r="L189" s="1"/>
      <c r="M189" s="1"/>
      <c r="N189" s="1"/>
      <c r="O189" s="1"/>
      <c r="P189" s="1"/>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row>
    <row r="190" spans="1:96" x14ac:dyDescent="0.2">
      <c r="A190" s="1"/>
      <c r="B190" s="1"/>
      <c r="C190" s="1"/>
      <c r="D190" s="1"/>
      <c r="E190" s="1"/>
      <c r="F190" s="1"/>
      <c r="G190" s="1"/>
      <c r="H190" s="1"/>
      <c r="I190" s="1"/>
      <c r="J190" s="1"/>
      <c r="K190" s="1"/>
      <c r="L190" s="1"/>
      <c r="M190" s="1"/>
      <c r="N190" s="1"/>
      <c r="O190" s="1"/>
      <c r="P190" s="1"/>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row>
    <row r="191" spans="1:96" x14ac:dyDescent="0.2">
      <c r="A191" s="1" t="s">
        <v>691</v>
      </c>
      <c r="B191" s="1">
        <f>CHOOSE(MATCH(inp_scenario,{"Base","Downside","Upside"},0),scn_lag_base,scn_lag_downside,scn_lag_upside)</f>
        <v>0</v>
      </c>
      <c r="C191" s="1"/>
      <c r="D191" s="1"/>
      <c r="E191" s="1"/>
      <c r="F191" s="1"/>
      <c r="G191" s="1"/>
      <c r="H191" s="1"/>
      <c r="I191" s="1"/>
      <c r="J191" s="1"/>
      <c r="K191" s="1"/>
      <c r="L191" s="1"/>
      <c r="M191" s="1"/>
      <c r="N191" s="1"/>
      <c r="O191" s="1"/>
      <c r="P191" s="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row>
    <row r="192" spans="1:96" x14ac:dyDescent="0.2">
      <c r="A192" s="1"/>
      <c r="B192" s="1"/>
      <c r="C192" s="1"/>
      <c r="D192" s="1"/>
      <c r="E192" s="1"/>
      <c r="F192" s="1"/>
      <c r="G192" s="1"/>
      <c r="H192" s="1"/>
      <c r="I192" s="1"/>
      <c r="J192" s="1"/>
      <c r="K192" s="1"/>
      <c r="L192" s="1"/>
      <c r="M192" s="1"/>
      <c r="N192" s="1"/>
      <c r="O192" s="1"/>
      <c r="P192" s="1"/>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row>
    <row r="193" spans="1:96" x14ac:dyDescent="0.2">
      <c r="A193" s="1"/>
      <c r="B193" s="1"/>
      <c r="C193" s="1"/>
      <c r="D193" s="1"/>
      <c r="E193" s="1"/>
      <c r="F193" s="1"/>
      <c r="G193" s="1"/>
      <c r="H193" s="1"/>
      <c r="I193" s="1"/>
      <c r="J193" s="1"/>
      <c r="K193" s="1"/>
      <c r="L193" s="1"/>
      <c r="M193" s="1"/>
      <c r="N193" s="1"/>
      <c r="O193" s="1"/>
      <c r="P193" s="1"/>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row>
    <row r="194" spans="1:96" x14ac:dyDescent="0.2">
      <c r="A194" s="1"/>
      <c r="B194" s="1"/>
      <c r="C194" s="1"/>
      <c r="D194" s="1"/>
      <c r="E194" s="1"/>
      <c r="F194" s="1"/>
      <c r="G194" s="1"/>
      <c r="H194" s="1"/>
      <c r="I194" s="1"/>
      <c r="J194" s="1"/>
      <c r="K194" s="1"/>
      <c r="L194" s="1"/>
      <c r="M194" s="1"/>
      <c r="N194" s="1"/>
      <c r="O194" s="1"/>
      <c r="P194" s="1"/>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row>
    <row r="195" spans="1:96" x14ac:dyDescent="0.2">
      <c r="A195" s="48" t="s">
        <v>84</v>
      </c>
      <c r="B195" s="49">
        <f>CHOOSE(MATCH(inp_scenario,{"Base","Downside","Upside"},0),scn_rev_base,scn_rev_downside,scn_rev_upside)</f>
        <v>1</v>
      </c>
      <c r="C195" s="49">
        <f>CHOOSE(MATCH(inp_scenario,{"Base","Downside","Upside"},0),scn_rev_base,scn_rev_downside,scn_rev_upside)</f>
        <v>1</v>
      </c>
      <c r="D195" s="49">
        <f>CHOOSE(MATCH(inp_scenario,{"Base","Downside","Upside"},0),scn_rev_base,scn_rev_downside,scn_rev_upside)</f>
        <v>1</v>
      </c>
      <c r="E195" s="49">
        <f>CHOOSE(MATCH(inp_scenario,{"Base","Downside","Upside"},0),scn_rev_base,scn_rev_downside,scn_rev_upside)</f>
        <v>1</v>
      </c>
      <c r="F195" s="49">
        <f>CHOOSE(MATCH(inp_scenario,{"Base","Downside","Upside"},0),scn_rev_base,scn_rev_downside,scn_rev_upside)</f>
        <v>1</v>
      </c>
      <c r="G195" s="49">
        <f>CHOOSE(MATCH(inp_scenario,{"Base","Downside","Upside"},0),scn_rev_base,scn_rev_downside,scn_rev_upside)</f>
        <v>1</v>
      </c>
      <c r="H195" s="49">
        <f>CHOOSE(MATCH(inp_scenario,{"Base","Downside","Upside"},0),scn_rev_base,scn_rev_downside,scn_rev_upside)</f>
        <v>1</v>
      </c>
      <c r="I195" s="49">
        <f>CHOOSE(MATCH(inp_scenario,{"Base","Downside","Upside"},0),scn_rev_base,scn_rev_downside,scn_rev_upside)</f>
        <v>1</v>
      </c>
      <c r="J195" s="49">
        <f>CHOOSE(MATCH(inp_scenario,{"Base","Downside","Upside"},0),scn_rev_base,scn_rev_downside,scn_rev_upside)</f>
        <v>1</v>
      </c>
      <c r="K195" s="49">
        <f>CHOOSE(MATCH(inp_scenario,{"Base","Downside","Upside"},0),scn_rev_base,scn_rev_downside,scn_rev_upside)</f>
        <v>1</v>
      </c>
      <c r="L195" s="49">
        <f>CHOOSE(MATCH(inp_scenario,{"Base","Downside","Upside"},0),scn_rev_base,scn_rev_downside,scn_rev_upside)</f>
        <v>1</v>
      </c>
      <c r="M195" s="49">
        <f>CHOOSE(MATCH(inp_scenario,{"Base","Downside","Upside"},0),scn_rev_base,scn_rev_downside,scn_rev_upside)</f>
        <v>1</v>
      </c>
      <c r="N195" s="50">
        <f>AVERAGE(B195:M195)</f>
        <v>1</v>
      </c>
      <c r="O195" s="1"/>
      <c r="P195" s="1"/>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row>
    <row r="196" spans="1:96" x14ac:dyDescent="0.2">
      <c r="A196" s="48" t="s">
        <v>85</v>
      </c>
      <c r="B196" s="49">
        <f>CHOOSE(MATCH(inp_scenario,{"Base","Downside","Upside"},0),scn_util_base,scn_util_downside,scn_util_upside)</f>
        <v>1</v>
      </c>
      <c r="C196" s="49">
        <f>CHOOSE(MATCH(inp_scenario,{"Base","Downside","Upside"},0),scn_util_base,scn_util_downside,scn_util_upside)</f>
        <v>1</v>
      </c>
      <c r="D196" s="49">
        <f>CHOOSE(MATCH(inp_scenario,{"Base","Downside","Upside"},0),scn_util_base,scn_util_downside,scn_util_upside)</f>
        <v>1</v>
      </c>
      <c r="E196" s="49">
        <f>CHOOSE(MATCH(inp_scenario,{"Base","Downside","Upside"},0),scn_util_base,scn_util_downside,scn_util_upside)</f>
        <v>1</v>
      </c>
      <c r="F196" s="49">
        <f>CHOOSE(MATCH(inp_scenario,{"Base","Downside","Upside"},0),scn_util_base,scn_util_downside,scn_util_upside)</f>
        <v>1</v>
      </c>
      <c r="G196" s="49">
        <f>CHOOSE(MATCH(inp_scenario,{"Base","Downside","Upside"},0),scn_util_base,scn_util_downside,scn_util_upside)</f>
        <v>1</v>
      </c>
      <c r="H196" s="49">
        <f>CHOOSE(MATCH(inp_scenario,{"Base","Downside","Upside"},0),scn_util_base,scn_util_downside,scn_util_upside)</f>
        <v>1</v>
      </c>
      <c r="I196" s="49">
        <f>CHOOSE(MATCH(inp_scenario,{"Base","Downside","Upside"},0),scn_util_base,scn_util_downside,scn_util_upside)</f>
        <v>1</v>
      </c>
      <c r="J196" s="49">
        <f>CHOOSE(MATCH(inp_scenario,{"Base","Downside","Upside"},0),scn_util_base,scn_util_downside,scn_util_upside)</f>
        <v>1</v>
      </c>
      <c r="K196" s="49">
        <f>CHOOSE(MATCH(inp_scenario,{"Base","Downside","Upside"},0),scn_util_base,scn_util_downside,scn_util_upside)</f>
        <v>1</v>
      </c>
      <c r="L196" s="49">
        <f>CHOOSE(MATCH(inp_scenario,{"Base","Downside","Upside"},0),scn_util_base,scn_util_downside,scn_util_upside)</f>
        <v>1</v>
      </c>
      <c r="M196" s="49">
        <f>CHOOSE(MATCH(inp_scenario,{"Base","Downside","Upside"},0),scn_util_base,scn_util_downside,scn_util_upside)</f>
        <v>1</v>
      </c>
      <c r="N196" s="50">
        <f>AVERAGE(B196:M196)</f>
        <v>1</v>
      </c>
      <c r="O196" s="1"/>
      <c r="P196" s="1"/>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row>
    <row r="197" spans="1:96" x14ac:dyDescent="0.2">
      <c r="A197" s="48" t="s">
        <v>86</v>
      </c>
      <c r="B197" s="49">
        <f>CHOOSE(MATCH(inp_scenario,{"Base","Downside","Upside"},0),scn_cost_base,scn_cost_downside,scn_cost_upside)</f>
        <v>1</v>
      </c>
      <c r="C197" s="49">
        <f>CHOOSE(MATCH(inp_scenario,{"Base","Downside","Upside"},0),scn_cost_base,scn_cost_downside,scn_cost_upside)</f>
        <v>1</v>
      </c>
      <c r="D197" s="49">
        <f>CHOOSE(MATCH(inp_scenario,{"Base","Downside","Upside"},0),scn_cost_base,scn_cost_downside,scn_cost_upside)</f>
        <v>1</v>
      </c>
      <c r="E197" s="49">
        <f>CHOOSE(MATCH(inp_scenario,{"Base","Downside","Upside"},0),scn_cost_base,scn_cost_downside,scn_cost_upside)</f>
        <v>1</v>
      </c>
      <c r="F197" s="49">
        <f>CHOOSE(MATCH(inp_scenario,{"Base","Downside","Upside"},0),scn_cost_base,scn_cost_downside,scn_cost_upside)</f>
        <v>1</v>
      </c>
      <c r="G197" s="49">
        <f>CHOOSE(MATCH(inp_scenario,{"Base","Downside","Upside"},0),scn_cost_base,scn_cost_downside,scn_cost_upside)</f>
        <v>1</v>
      </c>
      <c r="H197" s="49">
        <f>CHOOSE(MATCH(inp_scenario,{"Base","Downside","Upside"},0),scn_cost_base,scn_cost_downside,scn_cost_upside)</f>
        <v>1</v>
      </c>
      <c r="I197" s="49">
        <f>CHOOSE(MATCH(inp_scenario,{"Base","Downside","Upside"},0),scn_cost_base,scn_cost_downside,scn_cost_upside)</f>
        <v>1</v>
      </c>
      <c r="J197" s="49">
        <f>CHOOSE(MATCH(inp_scenario,{"Base","Downside","Upside"},0),scn_cost_base,scn_cost_downside,scn_cost_upside)</f>
        <v>1</v>
      </c>
      <c r="K197" s="49">
        <f>CHOOSE(MATCH(inp_scenario,{"Base","Downside","Upside"},0),scn_cost_base,scn_cost_downside,scn_cost_upside)</f>
        <v>1</v>
      </c>
      <c r="L197" s="49">
        <f>CHOOSE(MATCH(inp_scenario,{"Base","Downside","Upside"},0),scn_cost_base,scn_cost_downside,scn_cost_upside)</f>
        <v>1</v>
      </c>
      <c r="M197" s="49">
        <f>CHOOSE(MATCH(inp_scenario,{"Base","Downside","Upside"},0),scn_cost_base,scn_cost_downside,scn_cost_upside)</f>
        <v>1</v>
      </c>
      <c r="N197" s="50">
        <f>AVERAGE(B197:M197)</f>
        <v>1</v>
      </c>
      <c r="O197" s="1"/>
      <c r="P197" s="1"/>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row>
    <row r="198" spans="1:96" x14ac:dyDescent="0.2">
      <c r="A198" s="48" t="s">
        <v>87</v>
      </c>
      <c r="B198" s="49">
        <f>calc_scn_rev_m1*INDEX(active_sl1_m1m12,1)</f>
        <v>80402.25</v>
      </c>
      <c r="C198" s="49">
        <f>calc_scn_rev_m2*INDEX(active_sl1_m1m12,2)</f>
        <v>73410.75</v>
      </c>
      <c r="D198" s="49">
        <f>calc_scn_rev_m3*INDEX(active_sl1_m1m12,3)</f>
        <v>76906.5</v>
      </c>
      <c r="E198" s="49">
        <f>calc_scn_rev_m4*INDEX(active_sl1_m1m12,4)</f>
        <v>76906.5</v>
      </c>
      <c r="F198" s="49">
        <f>calc_scn_rev_m5*INDEX(active_sl1_m1m12,5)</f>
        <v>69915</v>
      </c>
      <c r="G198" s="49">
        <f>calc_scn_rev_m6*INDEX(active_sl1_m1m12,6)</f>
        <v>73410.75</v>
      </c>
      <c r="H198" s="49">
        <f>calc_scn_rev_m7*INDEX(active_sl1_m1m12,7)</f>
        <v>69915</v>
      </c>
      <c r="I198" s="49">
        <f>calc_scn_rev_m8*INDEX(active_sl1_m1m12,8)</f>
        <v>69915</v>
      </c>
      <c r="J198" s="49">
        <f>calc_scn_rev_m9*INDEX(active_sl1_m1m12,9)</f>
        <v>76906.5</v>
      </c>
      <c r="K198" s="49">
        <f>calc_scn_rev_m10*INDEX(active_sl1_m1m12,10)</f>
        <v>66419.25</v>
      </c>
      <c r="L198" s="49">
        <f>calc_scn_rev_m11*INDEX(active_sl1_m1m12,11)</f>
        <v>73410.75</v>
      </c>
      <c r="M198" s="49">
        <f>calc_scn_rev_m12*INDEX(active_sl1_m1m12,12)</f>
        <v>73410.75</v>
      </c>
      <c r="N198" s="50">
        <f t="shared" ref="N198:N210" si="5">SUM(B198:M198)</f>
        <v>880929</v>
      </c>
      <c r="O198" s="1"/>
      <c r="P198" s="1"/>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row>
    <row r="199" spans="1:96" x14ac:dyDescent="0.2">
      <c r="A199" s="48" t="s">
        <v>88</v>
      </c>
      <c r="B199" s="49">
        <f>calc_scn_rev_m1*INDEX(active_sl2_m1m12,1)</f>
        <v>96669</v>
      </c>
      <c r="C199" s="49">
        <f>calc_scn_rev_m2*INDEX(active_sl2_m1m12,2)</f>
        <v>88263</v>
      </c>
      <c r="D199" s="49">
        <f>calc_scn_rev_m3*INDEX(active_sl2_m1m12,3)</f>
        <v>111878.25</v>
      </c>
      <c r="E199" s="49">
        <f>calc_scn_rev_m4*INDEX(active_sl2_m1m12,4)</f>
        <v>115788.75</v>
      </c>
      <c r="F199" s="49">
        <f>calc_scn_rev_m5*INDEX(active_sl2_m1m12,5)</f>
        <v>101529.75</v>
      </c>
      <c r="G199" s="49">
        <f>calc_scn_rev_m6*INDEX(active_sl2_m1m12,6)</f>
        <v>108659.25</v>
      </c>
      <c r="H199" s="49">
        <f>calc_scn_rev_m7*INDEX(active_sl2_m1m12,7)</f>
        <v>103485</v>
      </c>
      <c r="I199" s="49">
        <f>calc_scn_rev_m8*INDEX(active_sl2_m1m12,8)</f>
        <v>103485</v>
      </c>
      <c r="J199" s="49">
        <f>calc_scn_rev_m9*INDEX(active_sl2_m1m12,9)</f>
        <v>111878.25</v>
      </c>
      <c r="K199" s="49">
        <f>calc_scn_rev_m10*INDEX(active_sl2_m1m12,10)</f>
        <v>101237.25</v>
      </c>
      <c r="L199" s="49">
        <f>calc_scn_rev_m11*INDEX(active_sl2_m1m12,11)</f>
        <v>107688</v>
      </c>
      <c r="M199" s="49">
        <f>calc_scn_rev_m12*INDEX(active_sl2_m1m12,12)</f>
        <v>109630.5</v>
      </c>
      <c r="N199" s="50">
        <f t="shared" si="5"/>
        <v>1260192</v>
      </c>
      <c r="O199" s="1"/>
      <c r="P199" s="1"/>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row>
    <row r="200" spans="1:96" x14ac:dyDescent="0.2">
      <c r="A200" s="48" t="s">
        <v>89</v>
      </c>
      <c r="B200" s="49">
        <f>calc_scn_rev_m1*INDEX(active_sl3_m1m12,1)</f>
        <v>27324.000000000004</v>
      </c>
      <c r="C200" s="49">
        <f>calc_scn_rev_m2*INDEX(active_sl3_m1m12,2)</f>
        <v>24948</v>
      </c>
      <c r="D200" s="49">
        <f>calc_scn_rev_m3*INDEX(active_sl3_m1m12,3)</f>
        <v>26136</v>
      </c>
      <c r="E200" s="49">
        <f>calc_scn_rev_m4*INDEX(active_sl3_m1m12,4)</f>
        <v>26136</v>
      </c>
      <c r="F200" s="49">
        <f>calc_scn_rev_m5*INDEX(active_sl3_m1m12,5)</f>
        <v>23760</v>
      </c>
      <c r="G200" s="49">
        <f>calc_scn_rev_m6*INDEX(active_sl3_m1m12,6)</f>
        <v>24948</v>
      </c>
      <c r="H200" s="49">
        <f>calc_scn_rev_m7*INDEX(active_sl3_m1m12,7)</f>
        <v>23760</v>
      </c>
      <c r="I200" s="49">
        <f>calc_scn_rev_m8*INDEX(active_sl3_m1m12,8)</f>
        <v>23760</v>
      </c>
      <c r="J200" s="49">
        <f>calc_scn_rev_m9*INDEX(active_sl3_m1m12,9)</f>
        <v>26136</v>
      </c>
      <c r="K200" s="49">
        <f>calc_scn_rev_m10*INDEX(active_sl3_m1m12,10)</f>
        <v>22572.000000000004</v>
      </c>
      <c r="L200" s="49">
        <f>calc_scn_rev_m11*INDEX(active_sl3_m1m12,11)</f>
        <v>24948</v>
      </c>
      <c r="M200" s="49">
        <f>calc_scn_rev_m12*INDEX(active_sl3_m1m12,12)</f>
        <v>24948</v>
      </c>
      <c r="N200" s="50">
        <f t="shared" si="5"/>
        <v>299376</v>
      </c>
      <c r="O200" s="1"/>
      <c r="P200" s="1"/>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row>
    <row r="201" spans="1:96" x14ac:dyDescent="0.2">
      <c r="A201" s="48" t="s">
        <v>90</v>
      </c>
      <c r="B201" s="49">
        <f>calc_scn_rev_m1*INDEX(active_sl4_m1m12,1)</f>
        <v>0</v>
      </c>
      <c r="C201" s="49">
        <f>calc_scn_rev_m2*INDEX(active_sl4_m1m12,2)</f>
        <v>0</v>
      </c>
      <c r="D201" s="49">
        <f>calc_scn_rev_m3*INDEX(active_sl4_m1m12,3)</f>
        <v>0</v>
      </c>
      <c r="E201" s="49">
        <f>calc_scn_rev_m4*INDEX(active_sl4_m1m12,4)</f>
        <v>0</v>
      </c>
      <c r="F201" s="49">
        <f>calc_scn_rev_m5*INDEX(active_sl4_m1m12,5)</f>
        <v>0</v>
      </c>
      <c r="G201" s="49">
        <f>calc_scn_rev_m6*INDEX(active_sl4_m1m12,6)</f>
        <v>0</v>
      </c>
      <c r="H201" s="49">
        <f>calc_scn_rev_m7*INDEX(active_sl4_m1m12,7)</f>
        <v>0</v>
      </c>
      <c r="I201" s="49">
        <f>calc_scn_rev_m8*INDEX(active_sl4_m1m12,8)</f>
        <v>0</v>
      </c>
      <c r="J201" s="49">
        <f>calc_scn_rev_m9*INDEX(active_sl4_m1m12,9)</f>
        <v>0</v>
      </c>
      <c r="K201" s="49">
        <f>calc_scn_rev_m10*INDEX(active_sl4_m1m12,10)</f>
        <v>0</v>
      </c>
      <c r="L201" s="49">
        <f>calc_scn_rev_m11*INDEX(active_sl4_m1m12,11)</f>
        <v>0</v>
      </c>
      <c r="M201" s="49">
        <f>calc_scn_rev_m12*INDEX(active_sl4_m1m12,12)</f>
        <v>0</v>
      </c>
      <c r="N201" s="50">
        <f t="shared" si="5"/>
        <v>0</v>
      </c>
      <c r="O201" s="1"/>
      <c r="P201" s="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row>
    <row r="202" spans="1:96" x14ac:dyDescent="0.2">
      <c r="A202" s="48" t="s">
        <v>91</v>
      </c>
      <c r="B202" s="49">
        <f>calc_scn_rev_m1*INDEX(active_sl5_m1m12,1)</f>
        <v>0</v>
      </c>
      <c r="C202" s="49">
        <f>calc_scn_rev_m2*INDEX(active_sl5_m1m12,2)</f>
        <v>0</v>
      </c>
      <c r="D202" s="49">
        <f>calc_scn_rev_m3*INDEX(active_sl5_m1m12,3)</f>
        <v>0</v>
      </c>
      <c r="E202" s="49">
        <f>calc_scn_rev_m4*INDEX(active_sl5_m1m12,4)</f>
        <v>0</v>
      </c>
      <c r="F202" s="49">
        <f>calc_scn_rev_m5*INDEX(active_sl5_m1m12,5)</f>
        <v>0</v>
      </c>
      <c r="G202" s="49">
        <f>calc_scn_rev_m6*INDEX(active_sl5_m1m12,6)</f>
        <v>0</v>
      </c>
      <c r="H202" s="49">
        <f>calc_scn_rev_m7*INDEX(active_sl5_m1m12,7)</f>
        <v>0</v>
      </c>
      <c r="I202" s="49">
        <f>calc_scn_rev_m8*INDEX(active_sl5_m1m12,8)</f>
        <v>0</v>
      </c>
      <c r="J202" s="49">
        <f>calc_scn_rev_m9*INDEX(active_sl5_m1m12,9)</f>
        <v>0</v>
      </c>
      <c r="K202" s="49">
        <f>calc_scn_rev_m10*INDEX(active_sl5_m1m12,10)</f>
        <v>0</v>
      </c>
      <c r="L202" s="49">
        <f>calc_scn_rev_m11*INDEX(active_sl5_m1m12,11)</f>
        <v>0</v>
      </c>
      <c r="M202" s="49">
        <f>calc_scn_rev_m12*INDEX(active_sl5_m1m12,12)</f>
        <v>0</v>
      </c>
      <c r="N202" s="50">
        <f t="shared" si="5"/>
        <v>0</v>
      </c>
      <c r="O202" s="1"/>
      <c r="P202" s="1"/>
    </row>
    <row r="203" spans="1:96" x14ac:dyDescent="0.2">
      <c r="A203" s="48" t="s">
        <v>92</v>
      </c>
      <c r="B203" s="49">
        <f>calc_rev_sl1_m1+calc_rev_sl2_m1+calc_rev_sl3_m1+calc_rev_sl4_m1+calc_rev_sl5_m1</f>
        <v>204395.25</v>
      </c>
      <c r="C203" s="49">
        <f>calc_rev_sl1_m2+calc_rev_sl2_m2+calc_rev_sl3_m2+calc_rev_sl4_m2+calc_rev_sl5_m2</f>
        <v>186621.75</v>
      </c>
      <c r="D203" s="49">
        <f>calc_rev_sl1_m3+calc_rev_sl2_m3+calc_rev_sl3_m3+calc_rev_sl4_m3+calc_rev_sl5_m3</f>
        <v>214920.75</v>
      </c>
      <c r="E203" s="49">
        <f>calc_rev_sl1_m4+calc_rev_sl2_m4+calc_rev_sl3_m4+calc_rev_sl4_m4+calc_rev_sl5_m4</f>
        <v>218831.25</v>
      </c>
      <c r="F203" s="49">
        <f>calc_rev_sl1_m5+calc_rev_sl2_m5+calc_rev_sl3_m5+calc_rev_sl4_m5+calc_rev_sl5_m5</f>
        <v>195204.75</v>
      </c>
      <c r="G203" s="49">
        <f>calc_rev_sl1_m6+calc_rev_sl2_m6+calc_rev_sl3_m6+calc_rev_sl4_m6+calc_rev_sl5_m6</f>
        <v>207018</v>
      </c>
      <c r="H203" s="49">
        <f>calc_rev_sl1_m7+calc_rev_sl2_m7+calc_rev_sl3_m7+calc_rev_sl4_m7+calc_rev_sl5_m7</f>
        <v>197160</v>
      </c>
      <c r="I203" s="49">
        <f>calc_rev_sl1_m8+calc_rev_sl2_m8+calc_rev_sl3_m8+calc_rev_sl4_m8+calc_rev_sl5_m8</f>
        <v>197160</v>
      </c>
      <c r="J203" s="49">
        <f>calc_rev_sl1_m9+calc_rev_sl2_m9+calc_rev_sl3_m9+calc_rev_sl4_m9+calc_rev_sl5_m9</f>
        <v>214920.75</v>
      </c>
      <c r="K203" s="49">
        <f>calc_rev_sl1_m10+calc_rev_sl2_m10+calc_rev_sl3_m10+calc_rev_sl4_m10+calc_rev_sl5_m10</f>
        <v>190228.5</v>
      </c>
      <c r="L203" s="49">
        <f>calc_rev_sl1_m11+calc_rev_sl2_m11+calc_rev_sl3_m11+calc_rev_sl4_m11+calc_rev_sl5_m11</f>
        <v>206046.75</v>
      </c>
      <c r="M203" s="49">
        <f>calc_rev_sl1_m12+calc_rev_sl2_m12+calc_rev_sl3_m12+calc_rev_sl4_m12+calc_rev_sl5_m12</f>
        <v>207989.25</v>
      </c>
      <c r="N203" s="50">
        <f t="shared" si="5"/>
        <v>2440497</v>
      </c>
      <c r="O203" s="1"/>
      <c r="P203" s="1"/>
    </row>
    <row r="204" spans="1:96" x14ac:dyDescent="0.2">
      <c r="A204" s="48" t="s">
        <v>93</v>
      </c>
      <c r="B204" s="49">
        <f>INDEX(active_delivery_payroll_m1m12,1)*calc_scn_cost_m1</f>
        <v>95293.75</v>
      </c>
      <c r="C204" s="49">
        <f>INDEX(active_delivery_payroll_m1m12,2)*calc_scn_cost_m2</f>
        <v>95293.75</v>
      </c>
      <c r="D204" s="49">
        <f>INDEX(active_delivery_payroll_m1m12,3)*calc_scn_cost_m3</f>
        <v>105168.75</v>
      </c>
      <c r="E204" s="49">
        <f>INDEX(active_delivery_payroll_m1m12,4)*calc_scn_cost_m4</f>
        <v>105168.75</v>
      </c>
      <c r="F204" s="49">
        <f>INDEX(active_delivery_payroll_m1m12,5)*calc_scn_cost_m5</f>
        <v>105168.75</v>
      </c>
      <c r="G204" s="49">
        <f>INDEX(active_delivery_payroll_m1m12,6)*calc_scn_cost_m6</f>
        <v>105168.75</v>
      </c>
      <c r="H204" s="49">
        <f>INDEX(active_delivery_payroll_m1m12,7)*calc_scn_cost_m7</f>
        <v>105168.75</v>
      </c>
      <c r="I204" s="49">
        <f>INDEX(active_delivery_payroll_m1m12,8)*calc_scn_cost_m8</f>
        <v>105168.75</v>
      </c>
      <c r="J204" s="49">
        <f>INDEX(active_delivery_payroll_m1m12,9)*calc_scn_cost_m9</f>
        <v>105168.75</v>
      </c>
      <c r="K204" s="49">
        <f>INDEX(active_delivery_payroll_m1m12,10)*calc_scn_cost_m10</f>
        <v>105168.75</v>
      </c>
      <c r="L204" s="49">
        <f>INDEX(active_delivery_payroll_m1m12,11)*calc_scn_cost_m11</f>
        <v>105168.75</v>
      </c>
      <c r="M204" s="49">
        <f>INDEX(active_delivery_payroll_m1m12,12)*calc_scn_cost_m12</f>
        <v>105168.75</v>
      </c>
      <c r="N204" s="50">
        <f t="shared" si="5"/>
        <v>1242275</v>
      </c>
      <c r="O204" s="1"/>
      <c r="P204" s="1"/>
    </row>
    <row r="205" spans="1:96" x14ac:dyDescent="0.2">
      <c r="A205" s="48" t="s">
        <v>94</v>
      </c>
      <c r="B205" s="49">
        <f>_xlfn.SINGLE(INDEX(inp_dc_contractors_m1m12,1))*calc_scn_cost_m1</f>
        <v>14000</v>
      </c>
      <c r="C205" s="49">
        <f>_xlfn.SINGLE(INDEX(inp_dc_contractors_m1m12,2))*calc_scn_cost_m2</f>
        <v>14000</v>
      </c>
      <c r="D205" s="49">
        <f>_xlfn.SINGLE(INDEX(inp_dc_contractors_m1m12,3))*calc_scn_cost_m3</f>
        <v>14000</v>
      </c>
      <c r="E205" s="49">
        <f>_xlfn.SINGLE(INDEX(inp_dc_contractors_m1m12,4))*calc_scn_cost_m4</f>
        <v>14000</v>
      </c>
      <c r="F205" s="49">
        <f>_xlfn.SINGLE(INDEX(inp_dc_contractors_m1m12,5))*calc_scn_cost_m5</f>
        <v>14000</v>
      </c>
      <c r="G205" s="49">
        <f>_xlfn.SINGLE(INDEX(inp_dc_contractors_m1m12,6))*calc_scn_cost_m6</f>
        <v>14000</v>
      </c>
      <c r="H205" s="49">
        <f>_xlfn.SINGLE(INDEX(inp_dc_contractors_m1m12,7))*calc_scn_cost_m7</f>
        <v>14000</v>
      </c>
      <c r="I205" s="49">
        <f>_xlfn.SINGLE(INDEX(inp_dc_contractors_m1m12,8))*calc_scn_cost_m8</f>
        <v>14000</v>
      </c>
      <c r="J205" s="49">
        <f>_xlfn.SINGLE(INDEX(inp_dc_contractors_m1m12,9))*calc_scn_cost_m9</f>
        <v>14000</v>
      </c>
      <c r="K205" s="49">
        <f>_xlfn.SINGLE(INDEX(inp_dc_contractors_m1m12,10))*calc_scn_cost_m10</f>
        <v>14000</v>
      </c>
      <c r="L205" s="49">
        <f>_xlfn.SINGLE(INDEX(inp_dc_contractors_m1m12,11))*calc_scn_cost_m11</f>
        <v>14000</v>
      </c>
      <c r="M205" s="49">
        <f>_xlfn.SINGLE(INDEX(inp_dc_contractors_m1m12,12))*calc_scn_cost_m12</f>
        <v>14000</v>
      </c>
      <c r="N205" s="50">
        <f t="shared" si="5"/>
        <v>168000</v>
      </c>
      <c r="O205" s="1"/>
      <c r="P205" s="1"/>
    </row>
    <row r="206" spans="1:96" x14ac:dyDescent="0.2">
      <c r="A206" s="48" t="s">
        <v>95</v>
      </c>
      <c r="B206" s="49">
        <f>_xlfn.SINGLE(INDEX(inp_dc_tools_m1m12,1))*calc_scn_cost_m1</f>
        <v>0</v>
      </c>
      <c r="C206" s="49">
        <f>_xlfn.SINGLE(INDEX(inp_dc_tools_m1m12,2))*calc_scn_cost_m2</f>
        <v>0</v>
      </c>
      <c r="D206" s="49">
        <f>_xlfn.SINGLE(INDEX(inp_dc_tools_m1m12,3))*calc_scn_cost_m3</f>
        <v>0</v>
      </c>
      <c r="E206" s="49">
        <f>_xlfn.SINGLE(INDEX(inp_dc_tools_m1m12,4))*calc_scn_cost_m4</f>
        <v>0</v>
      </c>
      <c r="F206" s="49">
        <f>_xlfn.SINGLE(INDEX(inp_dc_tools_m1m12,5))*calc_scn_cost_m5</f>
        <v>0</v>
      </c>
      <c r="G206" s="49">
        <f>_xlfn.SINGLE(INDEX(inp_dc_tools_m1m12,6))*calc_scn_cost_m6</f>
        <v>0</v>
      </c>
      <c r="H206" s="49">
        <f>_xlfn.SINGLE(INDEX(inp_dc_tools_m1m12,7))*calc_scn_cost_m7</f>
        <v>0</v>
      </c>
      <c r="I206" s="49">
        <f>_xlfn.SINGLE(INDEX(inp_dc_tools_m1m12,8))*calc_scn_cost_m8</f>
        <v>0</v>
      </c>
      <c r="J206" s="49">
        <f>_xlfn.SINGLE(INDEX(inp_dc_tools_m1m12,9))*calc_scn_cost_m9</f>
        <v>0</v>
      </c>
      <c r="K206" s="49">
        <f>_xlfn.SINGLE(INDEX(inp_dc_tools_m1m12,10))*calc_scn_cost_m10</f>
        <v>0</v>
      </c>
      <c r="L206" s="49">
        <f>_xlfn.SINGLE(INDEX(inp_dc_tools_m1m12,11))*calc_scn_cost_m11</f>
        <v>0</v>
      </c>
      <c r="M206" s="49">
        <f>_xlfn.SINGLE(INDEX(inp_dc_tools_m1m12,12))*calc_scn_cost_m12</f>
        <v>0</v>
      </c>
      <c r="N206" s="50">
        <f t="shared" si="5"/>
        <v>0</v>
      </c>
      <c r="O206" s="1"/>
      <c r="P206" s="1"/>
    </row>
    <row r="207" spans="1:96" x14ac:dyDescent="0.2">
      <c r="A207" s="48" t="s">
        <v>96</v>
      </c>
      <c r="B207" s="49">
        <f>_xlfn.SINGLE(INDEX(inp_dc_passthrough_m1m12,1))*calc_scn_cost_m1</f>
        <v>0</v>
      </c>
      <c r="C207" s="49">
        <f>_xlfn.SINGLE(INDEX(inp_dc_passthrough_m1m12,2))*calc_scn_cost_m2</f>
        <v>0</v>
      </c>
      <c r="D207" s="49">
        <f>_xlfn.SINGLE(INDEX(inp_dc_passthrough_m1m12,3))*calc_scn_cost_m3</f>
        <v>0</v>
      </c>
      <c r="E207" s="49">
        <f>_xlfn.SINGLE(INDEX(inp_dc_passthrough_m1m12,4))*calc_scn_cost_m4</f>
        <v>0</v>
      </c>
      <c r="F207" s="49">
        <f>_xlfn.SINGLE(INDEX(inp_dc_passthrough_m1m12,5))*calc_scn_cost_m5</f>
        <v>0</v>
      </c>
      <c r="G207" s="49">
        <f>_xlfn.SINGLE(INDEX(inp_dc_passthrough_m1m12,6))*calc_scn_cost_m6</f>
        <v>0</v>
      </c>
      <c r="H207" s="49">
        <f>_xlfn.SINGLE(INDEX(inp_dc_passthrough_m1m12,7))*calc_scn_cost_m7</f>
        <v>0</v>
      </c>
      <c r="I207" s="49">
        <f>_xlfn.SINGLE(INDEX(inp_dc_passthrough_m1m12,8))*calc_scn_cost_m8</f>
        <v>0</v>
      </c>
      <c r="J207" s="49">
        <f>_xlfn.SINGLE(INDEX(inp_dc_passthrough_m1m12,9))*calc_scn_cost_m9</f>
        <v>0</v>
      </c>
      <c r="K207" s="49">
        <f>_xlfn.SINGLE(INDEX(inp_dc_passthrough_m1m12,10))*calc_scn_cost_m10</f>
        <v>0</v>
      </c>
      <c r="L207" s="49">
        <f>_xlfn.SINGLE(INDEX(inp_dc_passthrough_m1m12,11))*calc_scn_cost_m11</f>
        <v>0</v>
      </c>
      <c r="M207" s="49">
        <f>_xlfn.SINGLE(INDEX(inp_dc_passthrough_m1m12,12))*calc_scn_cost_m12</f>
        <v>0</v>
      </c>
      <c r="N207" s="50">
        <f t="shared" si="5"/>
        <v>0</v>
      </c>
      <c r="O207" s="1"/>
      <c r="P207" s="1"/>
    </row>
    <row r="208" spans="1:96" x14ac:dyDescent="0.2">
      <c r="A208" s="48" t="s">
        <v>97</v>
      </c>
      <c r="B208" s="49">
        <f>_xlfn.SINGLE(INDEX(inp_dc_other_dc_m1m12,1))*calc_scn_cost_m1</f>
        <v>0</v>
      </c>
      <c r="C208" s="49">
        <f>_xlfn.SINGLE(INDEX(inp_dc_other_dc_m1m12,2))*calc_scn_cost_m2</f>
        <v>0</v>
      </c>
      <c r="D208" s="49">
        <f>_xlfn.SINGLE(INDEX(inp_dc_other_dc_m1m12,3))*calc_scn_cost_m3</f>
        <v>0</v>
      </c>
      <c r="E208" s="49">
        <f>_xlfn.SINGLE(INDEX(inp_dc_other_dc_m1m12,4))*calc_scn_cost_m4</f>
        <v>0</v>
      </c>
      <c r="F208" s="49">
        <f>_xlfn.SINGLE(INDEX(inp_dc_other_dc_m1m12,5))*calc_scn_cost_m5</f>
        <v>0</v>
      </c>
      <c r="G208" s="49">
        <f>_xlfn.SINGLE(INDEX(inp_dc_other_dc_m1m12,6))*calc_scn_cost_m6</f>
        <v>0</v>
      </c>
      <c r="H208" s="49">
        <f>_xlfn.SINGLE(INDEX(inp_dc_other_dc_m1m12,7))*calc_scn_cost_m7</f>
        <v>0</v>
      </c>
      <c r="I208" s="49">
        <f>_xlfn.SINGLE(INDEX(inp_dc_other_dc_m1m12,8))*calc_scn_cost_m8</f>
        <v>0</v>
      </c>
      <c r="J208" s="49">
        <f>_xlfn.SINGLE(INDEX(inp_dc_other_dc_m1m12,9))*calc_scn_cost_m9</f>
        <v>0</v>
      </c>
      <c r="K208" s="49">
        <f>_xlfn.SINGLE(INDEX(inp_dc_other_dc_m1m12,10))*calc_scn_cost_m10</f>
        <v>0</v>
      </c>
      <c r="L208" s="49">
        <f>_xlfn.SINGLE(INDEX(inp_dc_other_dc_m1m12,11))*calc_scn_cost_m11</f>
        <v>0</v>
      </c>
      <c r="M208" s="49">
        <f>_xlfn.SINGLE(INDEX(inp_dc_other_dc_m1m12,12))*calc_scn_cost_m12</f>
        <v>0</v>
      </c>
      <c r="N208" s="50">
        <f t="shared" si="5"/>
        <v>0</v>
      </c>
      <c r="O208" s="1"/>
      <c r="P208" s="1"/>
    </row>
    <row r="209" spans="1:16" x14ac:dyDescent="0.2">
      <c r="A209" s="48" t="s">
        <v>98</v>
      </c>
      <c r="B209" s="49">
        <f>calc_dc_payroll_m1+calc_dc_contractors_m1+calc_dc_tools_m1+calc_dc_passthrough_m1+calc_dc_other_dc_m1</f>
        <v>109293.75</v>
      </c>
      <c r="C209" s="49">
        <f>calc_dc_payroll_m2+calc_dc_contractors_m2+calc_dc_tools_m2+calc_dc_passthrough_m2+calc_dc_other_dc_m2</f>
        <v>109293.75</v>
      </c>
      <c r="D209" s="49">
        <f>calc_dc_payroll_m3+calc_dc_contractors_m3+calc_dc_tools_m3+calc_dc_passthrough_m3+calc_dc_other_dc_m3</f>
        <v>119168.75</v>
      </c>
      <c r="E209" s="49">
        <f>calc_dc_payroll_m4+calc_dc_contractors_m4+calc_dc_tools_m4+calc_dc_passthrough_m4+calc_dc_other_dc_m4</f>
        <v>119168.75</v>
      </c>
      <c r="F209" s="49">
        <f>calc_dc_payroll_m5+calc_dc_contractors_m5+calc_dc_tools_m5+calc_dc_passthrough_m5+calc_dc_other_dc_m5</f>
        <v>119168.75</v>
      </c>
      <c r="G209" s="49">
        <f>calc_dc_payroll_m6+calc_dc_contractors_m6+calc_dc_tools_m6+calc_dc_passthrough_m6+calc_dc_other_dc_m6</f>
        <v>119168.75</v>
      </c>
      <c r="H209" s="49">
        <f>calc_dc_payroll_m7+calc_dc_contractors_m7+calc_dc_tools_m7+calc_dc_passthrough_m7+calc_dc_other_dc_m7</f>
        <v>119168.75</v>
      </c>
      <c r="I209" s="49">
        <f>calc_dc_payroll_m8+calc_dc_contractors_m8+calc_dc_tools_m8+calc_dc_passthrough_m8+calc_dc_other_dc_m8</f>
        <v>119168.75</v>
      </c>
      <c r="J209" s="49">
        <f>calc_dc_payroll_m9+calc_dc_contractors_m9+calc_dc_tools_m9+calc_dc_passthrough_m9+calc_dc_other_dc_m9</f>
        <v>119168.75</v>
      </c>
      <c r="K209" s="49">
        <f>calc_dc_payroll_m10+calc_dc_contractors_m10+calc_dc_tools_m10+calc_dc_passthrough_m10+calc_dc_other_dc_m10</f>
        <v>119168.75</v>
      </c>
      <c r="L209" s="49">
        <f>calc_dc_payroll_m11+calc_dc_contractors_m11+calc_dc_tools_m11+calc_dc_passthrough_m11+calc_dc_other_dc_m11</f>
        <v>119168.75</v>
      </c>
      <c r="M209" s="49">
        <f>calc_dc_payroll_m12+calc_dc_contractors_m12+calc_dc_tools_m12+calc_dc_passthrough_m12+calc_dc_other_dc_m12</f>
        <v>119168.75</v>
      </c>
      <c r="N209" s="50">
        <f t="shared" si="5"/>
        <v>1410275</v>
      </c>
      <c r="O209" s="1"/>
      <c r="P209" s="1"/>
    </row>
    <row r="210" spans="1:16" x14ac:dyDescent="0.2">
      <c r="A210" s="48" t="s">
        <v>31</v>
      </c>
      <c r="B210" s="49">
        <f>calc_rev_total_m1-calc_dc_total_m1</f>
        <v>95101.5</v>
      </c>
      <c r="C210" s="49">
        <f>calc_rev_total_m2-calc_dc_total_m2</f>
        <v>77328</v>
      </c>
      <c r="D210" s="49">
        <f>calc_rev_total_m3-calc_dc_total_m3</f>
        <v>95752</v>
      </c>
      <c r="E210" s="49">
        <f>calc_rev_total_m4-calc_dc_total_m4</f>
        <v>99662.5</v>
      </c>
      <c r="F210" s="49">
        <f>calc_rev_total_m5-calc_dc_total_m5</f>
        <v>76036</v>
      </c>
      <c r="G210" s="49">
        <f>calc_rev_total_m6-calc_dc_total_m6</f>
        <v>87849.25</v>
      </c>
      <c r="H210" s="49">
        <f>calc_rev_total_m7-calc_dc_total_m7</f>
        <v>77991.25</v>
      </c>
      <c r="I210" s="49">
        <f>calc_rev_total_m8-calc_dc_total_m8</f>
        <v>77991.25</v>
      </c>
      <c r="J210" s="49">
        <f>calc_rev_total_m9-calc_dc_total_m9</f>
        <v>95752</v>
      </c>
      <c r="K210" s="49">
        <f>calc_rev_total_m10-calc_dc_total_m10</f>
        <v>71059.75</v>
      </c>
      <c r="L210" s="49">
        <f>calc_rev_total_m11-calc_dc_total_m11</f>
        <v>86878</v>
      </c>
      <c r="M210" s="49">
        <f>calc_rev_total_m12-calc_dc_total_m12</f>
        <v>88820.5</v>
      </c>
      <c r="N210" s="50">
        <f t="shared" si="5"/>
        <v>1030222</v>
      </c>
      <c r="O210" s="1"/>
      <c r="P210" s="1"/>
    </row>
    <row r="211" spans="1:16" x14ac:dyDescent="0.2">
      <c r="A211" s="48" t="s">
        <v>99</v>
      </c>
      <c r="B211" s="51">
        <f>IFERROR(calc_gp_m1/calc_rev_total_m1,0)</f>
        <v>0.46528233899760391</v>
      </c>
      <c r="C211" s="51">
        <f>IFERROR(calc_gp_m2/calc_rev_total_m2,0)</f>
        <v>0.41435684747356616</v>
      </c>
      <c r="D211" s="51">
        <f>IFERROR(calc_gp_m3/calc_rev_total_m3,0)</f>
        <v>0.44552236114940041</v>
      </c>
      <c r="E211" s="51">
        <f>IFERROR(calc_gp_m4/calc_rev_total_m4,0)</f>
        <v>0.45543083997372402</v>
      </c>
      <c r="F211" s="51">
        <f>IFERROR(calc_gp_m5/calc_rev_total_m5,0)</f>
        <v>0.38951920995774947</v>
      </c>
      <c r="G211" s="51">
        <f>IFERROR(calc_gp_m6/calc_rev_total_m6,0)</f>
        <v>0.42435561158933038</v>
      </c>
      <c r="H211" s="51">
        <f>IFERROR(calc_gp_m7/calc_rev_total_m7,0)</f>
        <v>0.39557339216879689</v>
      </c>
      <c r="I211" s="51">
        <f>IFERROR(calc_gp_m8/calc_rev_total_m8,0)</f>
        <v>0.39557339216879689</v>
      </c>
      <c r="J211" s="51">
        <f>IFERROR(calc_gp_m9/calc_rev_total_m9,0)</f>
        <v>0.44552236114940041</v>
      </c>
      <c r="K211" s="51">
        <f>IFERROR(calc_gp_m10/calc_rev_total_m10,0)</f>
        <v>0.3735494418554528</v>
      </c>
      <c r="L211" s="51">
        <f>IFERROR(calc_gp_m11/calc_rev_total_m11,0)</f>
        <v>0.42164217586542863</v>
      </c>
      <c r="M211" s="51">
        <f>IFERROR(calc_gp_m12/calc_rev_total_m12,0)</f>
        <v>0.42704370538381192</v>
      </c>
      <c r="N211" s="52">
        <f>IFERROR(calc_gp_ann/calc_rev_total_ann,0)</f>
        <v>0.42213614685861117</v>
      </c>
      <c r="O211" s="1"/>
      <c r="P211" s="1"/>
    </row>
    <row r="212" spans="1:16" x14ac:dyDescent="0.2">
      <c r="A212" s="48" t="s">
        <v>100</v>
      </c>
      <c r="B212" s="49">
        <f>INDEX(active_overhead_payroll_m1m12,1)*calc_scn_cost_m1</f>
        <v>7406.25</v>
      </c>
      <c r="C212" s="49">
        <f>INDEX(active_overhead_payroll_m1m12,2)*calc_scn_cost_m2</f>
        <v>7406.25</v>
      </c>
      <c r="D212" s="49">
        <f>INDEX(active_overhead_payroll_m1m12,3)*calc_scn_cost_m3</f>
        <v>7406.25</v>
      </c>
      <c r="E212" s="49">
        <f>INDEX(active_overhead_payroll_m1m12,4)*calc_scn_cost_m4</f>
        <v>7406.25</v>
      </c>
      <c r="F212" s="49">
        <f>INDEX(active_overhead_payroll_m1m12,5)*calc_scn_cost_m5</f>
        <v>7406.25</v>
      </c>
      <c r="G212" s="49">
        <f>INDEX(active_overhead_payroll_m1m12,6)*calc_scn_cost_m6</f>
        <v>7406.25</v>
      </c>
      <c r="H212" s="49">
        <f>INDEX(active_overhead_payroll_m1m12,7)*calc_scn_cost_m7</f>
        <v>7406.25</v>
      </c>
      <c r="I212" s="49">
        <f>INDEX(active_overhead_payroll_m1m12,8)*calc_scn_cost_m8</f>
        <v>7406.25</v>
      </c>
      <c r="J212" s="49">
        <f>INDEX(active_overhead_payroll_m1m12,9)*calc_scn_cost_m9</f>
        <v>7406.25</v>
      </c>
      <c r="K212" s="49">
        <f>INDEX(active_overhead_payroll_m1m12,10)*calc_scn_cost_m10</f>
        <v>7406.25</v>
      </c>
      <c r="L212" s="49">
        <f>INDEX(active_overhead_payroll_m1m12,11)*calc_scn_cost_m11</f>
        <v>7406.25</v>
      </c>
      <c r="M212" s="49">
        <f>INDEX(active_overhead_payroll_m1m12,12)*calc_scn_cost_m12</f>
        <v>7406.25</v>
      </c>
      <c r="N212" s="50">
        <f t="shared" ref="N212:N224" si="6">SUM(B212:M212)</f>
        <v>88875</v>
      </c>
      <c r="O212" s="1"/>
      <c r="P212" s="1"/>
    </row>
    <row r="213" spans="1:16" x14ac:dyDescent="0.2">
      <c r="A213" s="48" t="s">
        <v>101</v>
      </c>
      <c r="B213" s="49">
        <f>INDEX(active_ox_rent_m1m12,1)*calc_scn_cost_m1</f>
        <v>11000</v>
      </c>
      <c r="C213" s="49">
        <f>INDEX(active_ox_rent_m1m12,2)*calc_scn_cost_m2</f>
        <v>11000</v>
      </c>
      <c r="D213" s="49">
        <f>INDEX(active_ox_rent_m1m12,3)*calc_scn_cost_m3</f>
        <v>11000</v>
      </c>
      <c r="E213" s="49">
        <f>INDEX(active_ox_rent_m1m12,4)*calc_scn_cost_m4</f>
        <v>11000</v>
      </c>
      <c r="F213" s="49">
        <f>INDEX(active_ox_rent_m1m12,5)*calc_scn_cost_m5</f>
        <v>11000</v>
      </c>
      <c r="G213" s="49">
        <f>INDEX(active_ox_rent_m1m12,6)*calc_scn_cost_m6</f>
        <v>11000</v>
      </c>
      <c r="H213" s="49">
        <f>INDEX(active_ox_rent_m1m12,7)*calc_scn_cost_m7</f>
        <v>11000</v>
      </c>
      <c r="I213" s="49">
        <f>INDEX(active_ox_rent_m1m12,8)*calc_scn_cost_m8</f>
        <v>11000</v>
      </c>
      <c r="J213" s="49">
        <f>INDEX(active_ox_rent_m1m12,9)*calc_scn_cost_m9</f>
        <v>11000</v>
      </c>
      <c r="K213" s="49">
        <f>INDEX(active_ox_rent_m1m12,10)*calc_scn_cost_m10</f>
        <v>11000</v>
      </c>
      <c r="L213" s="49">
        <f>INDEX(active_ox_rent_m1m12,11)*calc_scn_cost_m11</f>
        <v>11000</v>
      </c>
      <c r="M213" s="49">
        <f>INDEX(active_ox_rent_m1m12,12)*calc_scn_cost_m12</f>
        <v>11000</v>
      </c>
      <c r="N213" s="50">
        <f t="shared" si="6"/>
        <v>132000</v>
      </c>
      <c r="O213" s="1"/>
      <c r="P213" s="1"/>
    </row>
    <row r="214" spans="1:16" x14ac:dyDescent="0.2">
      <c r="A214" s="48" t="s">
        <v>102</v>
      </c>
      <c r="B214" s="49">
        <f>INDEX(active_ox_software_m1m12,1)*calc_scn_cost_m1</f>
        <v>6500</v>
      </c>
      <c r="C214" s="49">
        <f>INDEX(active_ox_software_m1m12,2)*calc_scn_cost_m2</f>
        <v>6500</v>
      </c>
      <c r="D214" s="49">
        <f>INDEX(active_ox_software_m1m12,3)*calc_scn_cost_m3</f>
        <v>6500</v>
      </c>
      <c r="E214" s="49">
        <f>INDEX(active_ox_software_m1m12,4)*calc_scn_cost_m4</f>
        <v>6500</v>
      </c>
      <c r="F214" s="49">
        <f>INDEX(active_ox_software_m1m12,5)*calc_scn_cost_m5</f>
        <v>6500</v>
      </c>
      <c r="G214" s="49">
        <f>INDEX(active_ox_software_m1m12,6)*calc_scn_cost_m6</f>
        <v>6500</v>
      </c>
      <c r="H214" s="49">
        <f>INDEX(active_ox_software_m1m12,7)*calc_scn_cost_m7</f>
        <v>6500</v>
      </c>
      <c r="I214" s="49">
        <f>INDEX(active_ox_software_m1m12,8)*calc_scn_cost_m8</f>
        <v>6500</v>
      </c>
      <c r="J214" s="49">
        <f>INDEX(active_ox_software_m1m12,9)*calc_scn_cost_m9</f>
        <v>6500</v>
      </c>
      <c r="K214" s="49">
        <f>INDEX(active_ox_software_m1m12,10)*calc_scn_cost_m10</f>
        <v>6500</v>
      </c>
      <c r="L214" s="49">
        <f>INDEX(active_ox_software_m1m12,11)*calc_scn_cost_m11</f>
        <v>6500</v>
      </c>
      <c r="M214" s="49">
        <f>INDEX(active_ox_software_m1m12,12)*calc_scn_cost_m12</f>
        <v>6500</v>
      </c>
      <c r="N214" s="50">
        <f t="shared" si="6"/>
        <v>78000</v>
      </c>
      <c r="O214" s="1"/>
      <c r="P214" s="1"/>
    </row>
    <row r="215" spans="1:16" x14ac:dyDescent="0.2">
      <c r="A215" s="48" t="s">
        <v>103</v>
      </c>
      <c r="B215" s="49">
        <f>INDEX(active_ox_sales_mktg_m1m12,1)*calc_scn_cost_m1</f>
        <v>8000</v>
      </c>
      <c r="C215" s="49">
        <f>INDEX(active_ox_sales_mktg_m1m12,2)*calc_scn_cost_m2</f>
        <v>8000</v>
      </c>
      <c r="D215" s="49">
        <f>INDEX(active_ox_sales_mktg_m1m12,3)*calc_scn_cost_m3</f>
        <v>8000</v>
      </c>
      <c r="E215" s="49">
        <f>INDEX(active_ox_sales_mktg_m1m12,4)*calc_scn_cost_m4</f>
        <v>8000</v>
      </c>
      <c r="F215" s="49">
        <f>INDEX(active_ox_sales_mktg_m1m12,5)*calc_scn_cost_m5</f>
        <v>8000</v>
      </c>
      <c r="G215" s="49">
        <f>INDEX(active_ox_sales_mktg_m1m12,6)*calc_scn_cost_m6</f>
        <v>8000</v>
      </c>
      <c r="H215" s="49">
        <f>INDEX(active_ox_sales_mktg_m1m12,7)*calc_scn_cost_m7</f>
        <v>8000</v>
      </c>
      <c r="I215" s="49">
        <f>INDEX(active_ox_sales_mktg_m1m12,8)*calc_scn_cost_m8</f>
        <v>8000</v>
      </c>
      <c r="J215" s="49">
        <f>INDEX(active_ox_sales_mktg_m1m12,9)*calc_scn_cost_m9</f>
        <v>8000</v>
      </c>
      <c r="K215" s="49">
        <f>INDEX(active_ox_sales_mktg_m1m12,10)*calc_scn_cost_m10</f>
        <v>8000</v>
      </c>
      <c r="L215" s="49">
        <f>INDEX(active_ox_sales_mktg_m1m12,11)*calc_scn_cost_m11</f>
        <v>8000</v>
      </c>
      <c r="M215" s="49">
        <f>INDEX(active_ox_sales_mktg_m1m12,12)*calc_scn_cost_m12</f>
        <v>8000</v>
      </c>
      <c r="N215" s="50">
        <f t="shared" si="6"/>
        <v>96000</v>
      </c>
      <c r="O215" s="1"/>
      <c r="P215" s="1"/>
    </row>
    <row r="216" spans="1:16" x14ac:dyDescent="0.2">
      <c r="A216" s="48" t="s">
        <v>104</v>
      </c>
      <c r="B216" s="49">
        <f>INDEX(active_ox_prof_fees_m1m12,1)*calc_scn_cost_m1</f>
        <v>0</v>
      </c>
      <c r="C216" s="49">
        <f>INDEX(active_ox_prof_fees_m1m12,2)*calc_scn_cost_m2</f>
        <v>0</v>
      </c>
      <c r="D216" s="49">
        <f>INDEX(active_ox_prof_fees_m1m12,3)*calc_scn_cost_m3</f>
        <v>12000</v>
      </c>
      <c r="E216" s="49">
        <f>INDEX(active_ox_prof_fees_m1m12,4)*calc_scn_cost_m4</f>
        <v>0</v>
      </c>
      <c r="F216" s="49">
        <f>INDEX(active_ox_prof_fees_m1m12,5)*calc_scn_cost_m5</f>
        <v>0</v>
      </c>
      <c r="G216" s="49">
        <f>INDEX(active_ox_prof_fees_m1m12,6)*calc_scn_cost_m6</f>
        <v>12000</v>
      </c>
      <c r="H216" s="49">
        <f>INDEX(active_ox_prof_fees_m1m12,7)*calc_scn_cost_m7</f>
        <v>0</v>
      </c>
      <c r="I216" s="49">
        <f>INDEX(active_ox_prof_fees_m1m12,8)*calc_scn_cost_m8</f>
        <v>0</v>
      </c>
      <c r="J216" s="49">
        <f>INDEX(active_ox_prof_fees_m1m12,9)*calc_scn_cost_m9</f>
        <v>12000</v>
      </c>
      <c r="K216" s="49">
        <f>INDEX(active_ox_prof_fees_m1m12,10)*calc_scn_cost_m10</f>
        <v>0</v>
      </c>
      <c r="L216" s="49">
        <f>INDEX(active_ox_prof_fees_m1m12,11)*calc_scn_cost_m11</f>
        <v>0</v>
      </c>
      <c r="M216" s="49">
        <f>INDEX(active_ox_prof_fees_m1m12,12)*calc_scn_cost_m12</f>
        <v>12000</v>
      </c>
      <c r="N216" s="50">
        <f t="shared" si="6"/>
        <v>48000</v>
      </c>
      <c r="O216" s="1"/>
      <c r="P216" s="1"/>
    </row>
    <row r="217" spans="1:16" x14ac:dyDescent="0.2">
      <c r="A217" s="48" t="s">
        <v>105</v>
      </c>
      <c r="B217" s="49">
        <f>INDEX(active_ox_insurance_m1m12,1)*calc_scn_cost_m1</f>
        <v>30000</v>
      </c>
      <c r="C217" s="49">
        <f>INDEX(active_ox_insurance_m1m12,2)*calc_scn_cost_m2</f>
        <v>0</v>
      </c>
      <c r="D217" s="49">
        <f>INDEX(active_ox_insurance_m1m12,3)*calc_scn_cost_m3</f>
        <v>0</v>
      </c>
      <c r="E217" s="49">
        <f>INDEX(active_ox_insurance_m1m12,4)*calc_scn_cost_m4</f>
        <v>0</v>
      </c>
      <c r="F217" s="49">
        <f>INDEX(active_ox_insurance_m1m12,5)*calc_scn_cost_m5</f>
        <v>0</v>
      </c>
      <c r="G217" s="49">
        <f>INDEX(active_ox_insurance_m1m12,6)*calc_scn_cost_m6</f>
        <v>0</v>
      </c>
      <c r="H217" s="49">
        <f>INDEX(active_ox_insurance_m1m12,7)*calc_scn_cost_m7</f>
        <v>0</v>
      </c>
      <c r="I217" s="49">
        <f>INDEX(active_ox_insurance_m1m12,8)*calc_scn_cost_m8</f>
        <v>0</v>
      </c>
      <c r="J217" s="49">
        <f>INDEX(active_ox_insurance_m1m12,9)*calc_scn_cost_m9</f>
        <v>0</v>
      </c>
      <c r="K217" s="49">
        <f>INDEX(active_ox_insurance_m1m12,10)*calc_scn_cost_m10</f>
        <v>0</v>
      </c>
      <c r="L217" s="49">
        <f>INDEX(active_ox_insurance_m1m12,11)*calc_scn_cost_m11</f>
        <v>0</v>
      </c>
      <c r="M217" s="49">
        <f>INDEX(active_ox_insurance_m1m12,12)*calc_scn_cost_m12</f>
        <v>0</v>
      </c>
      <c r="N217" s="50">
        <f t="shared" si="6"/>
        <v>30000</v>
      </c>
      <c r="O217" s="1"/>
      <c r="P217" s="1"/>
    </row>
    <row r="218" spans="1:16" x14ac:dyDescent="0.2">
      <c r="A218" s="48" t="s">
        <v>106</v>
      </c>
      <c r="B218" s="49">
        <f>INDEX(active_ox_travel_m1m12,1)*calc_scn_cost_m1</f>
        <v>3000</v>
      </c>
      <c r="C218" s="49">
        <f>INDEX(active_ox_travel_m1m12,2)*calc_scn_cost_m2</f>
        <v>3000</v>
      </c>
      <c r="D218" s="49">
        <f>INDEX(active_ox_travel_m1m12,3)*calc_scn_cost_m3</f>
        <v>3000</v>
      </c>
      <c r="E218" s="49">
        <f>INDEX(active_ox_travel_m1m12,4)*calc_scn_cost_m4</f>
        <v>3000</v>
      </c>
      <c r="F218" s="49">
        <f>INDEX(active_ox_travel_m1m12,5)*calc_scn_cost_m5</f>
        <v>3000</v>
      </c>
      <c r="G218" s="49">
        <f>INDEX(active_ox_travel_m1m12,6)*calc_scn_cost_m6</f>
        <v>3000</v>
      </c>
      <c r="H218" s="49">
        <f>INDEX(active_ox_travel_m1m12,7)*calc_scn_cost_m7</f>
        <v>3000</v>
      </c>
      <c r="I218" s="49">
        <f>INDEX(active_ox_travel_m1m12,8)*calc_scn_cost_m8</f>
        <v>3000</v>
      </c>
      <c r="J218" s="49">
        <f>INDEX(active_ox_travel_m1m12,9)*calc_scn_cost_m9</f>
        <v>3000</v>
      </c>
      <c r="K218" s="49">
        <f>INDEX(active_ox_travel_m1m12,10)*calc_scn_cost_m10</f>
        <v>3000</v>
      </c>
      <c r="L218" s="49">
        <f>INDEX(active_ox_travel_m1m12,11)*calc_scn_cost_m11</f>
        <v>3000</v>
      </c>
      <c r="M218" s="49">
        <f>INDEX(active_ox_travel_m1m12,12)*calc_scn_cost_m12</f>
        <v>3000</v>
      </c>
      <c r="N218" s="50">
        <f t="shared" si="6"/>
        <v>36000</v>
      </c>
      <c r="O218" s="1"/>
      <c r="P218" s="1"/>
    </row>
    <row r="219" spans="1:16" x14ac:dyDescent="0.2">
      <c r="A219" s="48" t="s">
        <v>107</v>
      </c>
      <c r="B219" s="49">
        <f>INDEX(active_ox_comms_m1m12,1)*calc_scn_cost_m1</f>
        <v>2000</v>
      </c>
      <c r="C219" s="49">
        <f>INDEX(active_ox_comms_m1m12,2)*calc_scn_cost_m2</f>
        <v>2000</v>
      </c>
      <c r="D219" s="49">
        <f>INDEX(active_ox_comms_m1m12,3)*calc_scn_cost_m3</f>
        <v>2000</v>
      </c>
      <c r="E219" s="49">
        <f>INDEX(active_ox_comms_m1m12,4)*calc_scn_cost_m4</f>
        <v>2000</v>
      </c>
      <c r="F219" s="49">
        <f>INDEX(active_ox_comms_m1m12,5)*calc_scn_cost_m5</f>
        <v>2000</v>
      </c>
      <c r="G219" s="49">
        <f>INDEX(active_ox_comms_m1m12,6)*calc_scn_cost_m6</f>
        <v>2000</v>
      </c>
      <c r="H219" s="49">
        <f>INDEX(active_ox_comms_m1m12,7)*calc_scn_cost_m7</f>
        <v>2000</v>
      </c>
      <c r="I219" s="49">
        <f>INDEX(active_ox_comms_m1m12,8)*calc_scn_cost_m8</f>
        <v>2000</v>
      </c>
      <c r="J219" s="49">
        <f>INDEX(active_ox_comms_m1m12,9)*calc_scn_cost_m9</f>
        <v>2000</v>
      </c>
      <c r="K219" s="49">
        <f>INDEX(active_ox_comms_m1m12,10)*calc_scn_cost_m10</f>
        <v>2000</v>
      </c>
      <c r="L219" s="49">
        <f>INDEX(active_ox_comms_m1m12,11)*calc_scn_cost_m11</f>
        <v>2000</v>
      </c>
      <c r="M219" s="49">
        <f>INDEX(active_ox_comms_m1m12,12)*calc_scn_cost_m12</f>
        <v>2000</v>
      </c>
      <c r="N219" s="50">
        <f t="shared" si="6"/>
        <v>24000</v>
      </c>
      <c r="O219" s="1"/>
      <c r="P219" s="1"/>
    </row>
    <row r="220" spans="1:16" x14ac:dyDescent="0.2">
      <c r="A220" s="48" t="s">
        <v>108</v>
      </c>
      <c r="B220" s="49">
        <f>INDEX(active_ox_other_ox_m1m12,1)*calc_scn_cost_m1</f>
        <v>2500</v>
      </c>
      <c r="C220" s="49">
        <f>INDEX(active_ox_other_ox_m1m12,2)*calc_scn_cost_m2</f>
        <v>2500</v>
      </c>
      <c r="D220" s="49">
        <f>INDEX(active_ox_other_ox_m1m12,3)*calc_scn_cost_m3</f>
        <v>2500</v>
      </c>
      <c r="E220" s="49">
        <f>INDEX(active_ox_other_ox_m1m12,4)*calc_scn_cost_m4</f>
        <v>2500</v>
      </c>
      <c r="F220" s="49">
        <f>INDEX(active_ox_other_ox_m1m12,5)*calc_scn_cost_m5</f>
        <v>2500</v>
      </c>
      <c r="G220" s="49">
        <f>INDEX(active_ox_other_ox_m1m12,6)*calc_scn_cost_m6</f>
        <v>2500</v>
      </c>
      <c r="H220" s="49">
        <f>INDEX(active_ox_other_ox_m1m12,7)*calc_scn_cost_m7</f>
        <v>2500</v>
      </c>
      <c r="I220" s="49">
        <f>INDEX(active_ox_other_ox_m1m12,8)*calc_scn_cost_m8</f>
        <v>2500</v>
      </c>
      <c r="J220" s="49">
        <f>INDEX(active_ox_other_ox_m1m12,9)*calc_scn_cost_m9</f>
        <v>2500</v>
      </c>
      <c r="K220" s="49">
        <f>INDEX(active_ox_other_ox_m1m12,10)*calc_scn_cost_m10</f>
        <v>2500</v>
      </c>
      <c r="L220" s="49">
        <f>INDEX(active_ox_other_ox_m1m12,11)*calc_scn_cost_m11</f>
        <v>2500</v>
      </c>
      <c r="M220" s="49">
        <f>INDEX(active_ox_other_ox_m1m12,12)*calc_scn_cost_m12</f>
        <v>2500</v>
      </c>
      <c r="N220" s="50">
        <f t="shared" si="6"/>
        <v>30000</v>
      </c>
      <c r="O220" s="1"/>
      <c r="P220" s="1"/>
    </row>
    <row r="221" spans="1:16" x14ac:dyDescent="0.2">
      <c r="A221" s="48" t="s">
        <v>109</v>
      </c>
      <c r="B221" s="49">
        <f>calc_rev_total_m1*inp_ox_commission_pct</f>
        <v>0</v>
      </c>
      <c r="C221" s="49">
        <f>calc_rev_total_m2*inp_ox_commission_pct</f>
        <v>0</v>
      </c>
      <c r="D221" s="49">
        <f>calc_rev_total_m3*inp_ox_commission_pct</f>
        <v>0</v>
      </c>
      <c r="E221" s="49">
        <f>calc_rev_total_m4*inp_ox_commission_pct</f>
        <v>0</v>
      </c>
      <c r="F221" s="49">
        <f>calc_rev_total_m5*inp_ox_commission_pct</f>
        <v>0</v>
      </c>
      <c r="G221" s="49">
        <f>calc_rev_total_m6*inp_ox_commission_pct</f>
        <v>0</v>
      </c>
      <c r="H221" s="49">
        <f>calc_rev_total_m7*inp_ox_commission_pct</f>
        <v>0</v>
      </c>
      <c r="I221" s="49">
        <f>calc_rev_total_m8*inp_ox_commission_pct</f>
        <v>0</v>
      </c>
      <c r="J221" s="49">
        <f>calc_rev_total_m9*inp_ox_commission_pct</f>
        <v>0</v>
      </c>
      <c r="K221" s="49">
        <f>calc_rev_total_m10*inp_ox_commission_pct</f>
        <v>0</v>
      </c>
      <c r="L221" s="49">
        <f>calc_rev_total_m11*inp_ox_commission_pct</f>
        <v>0</v>
      </c>
      <c r="M221" s="49">
        <f>calc_rev_total_m12*inp_ox_commission_pct</f>
        <v>0</v>
      </c>
      <c r="N221" s="50">
        <f t="shared" si="6"/>
        <v>0</v>
      </c>
      <c r="O221" s="1"/>
      <c r="P221" s="1"/>
    </row>
    <row r="222" spans="1:16" x14ac:dyDescent="0.2">
      <c r="A222" s="48" t="s">
        <v>110</v>
      </c>
      <c r="B222" s="49">
        <f>calc_ox_insurance_m1+calc_ox_travel_m1+calc_ox_comms_m1+calc_ox_other_ox_m1+calc_ox_commission_m1</f>
        <v>37500</v>
      </c>
      <c r="C222" s="49">
        <f>calc_ox_insurance_m2+calc_ox_travel_m2+calc_ox_comms_m2+calc_ox_other_ox_m2+calc_ox_commission_m2</f>
        <v>7500</v>
      </c>
      <c r="D222" s="49">
        <f>calc_ox_insurance_m3+calc_ox_travel_m3+calc_ox_comms_m3+calc_ox_other_ox_m3+calc_ox_commission_m3</f>
        <v>7500</v>
      </c>
      <c r="E222" s="49">
        <f>calc_ox_insurance_m4+calc_ox_travel_m4+calc_ox_comms_m4+calc_ox_other_ox_m4+calc_ox_commission_m4</f>
        <v>7500</v>
      </c>
      <c r="F222" s="49">
        <f>calc_ox_insurance_m5+calc_ox_travel_m5+calc_ox_comms_m5+calc_ox_other_ox_m5+calc_ox_commission_m5</f>
        <v>7500</v>
      </c>
      <c r="G222" s="49">
        <f>calc_ox_insurance_m6+calc_ox_travel_m6+calc_ox_comms_m6+calc_ox_other_ox_m6+calc_ox_commission_m6</f>
        <v>7500</v>
      </c>
      <c r="H222" s="49">
        <f>calc_ox_insurance_m7+calc_ox_travel_m7+calc_ox_comms_m7+calc_ox_other_ox_m7+calc_ox_commission_m7</f>
        <v>7500</v>
      </c>
      <c r="I222" s="49">
        <f>calc_ox_insurance_m8+calc_ox_travel_m8+calc_ox_comms_m8+calc_ox_other_ox_m8+calc_ox_commission_m8</f>
        <v>7500</v>
      </c>
      <c r="J222" s="49">
        <f>calc_ox_insurance_m9+calc_ox_travel_m9+calc_ox_comms_m9+calc_ox_other_ox_m9+calc_ox_commission_m9</f>
        <v>7500</v>
      </c>
      <c r="K222" s="49">
        <f>calc_ox_insurance_m10+calc_ox_travel_m10+calc_ox_comms_m10+calc_ox_other_ox_m10+calc_ox_commission_m10</f>
        <v>7500</v>
      </c>
      <c r="L222" s="49">
        <f>calc_ox_insurance_m11+calc_ox_travel_m11+calc_ox_comms_m11+calc_ox_other_ox_m11+calc_ox_commission_m11</f>
        <v>7500</v>
      </c>
      <c r="M222" s="49">
        <f>calc_ox_insurance_m12+calc_ox_travel_m12+calc_ox_comms_m12+calc_ox_other_ox_m12+calc_ox_commission_m12</f>
        <v>7500</v>
      </c>
      <c r="N222" s="50">
        <f t="shared" si="6"/>
        <v>120000</v>
      </c>
      <c r="O222" s="1"/>
      <c r="P222" s="1"/>
    </row>
    <row r="223" spans="1:16" x14ac:dyDescent="0.2">
      <c r="A223" s="48" t="s">
        <v>111</v>
      </c>
      <c r="B223" s="49">
        <f>calc_ox_payroll_m1+calc_ox_rent_m1+calc_ox_software_m1+calc_ox_sales_mktg_m1+calc_ox_prof_fees_m1+calc_ox_other_bundle_m1</f>
        <v>70406.25</v>
      </c>
      <c r="C223" s="49">
        <f>calc_ox_payroll_m2+calc_ox_rent_m2+calc_ox_software_m2+calc_ox_sales_mktg_m2+calc_ox_prof_fees_m2+calc_ox_other_bundle_m2</f>
        <v>40406.25</v>
      </c>
      <c r="D223" s="49">
        <f>calc_ox_payroll_m3+calc_ox_rent_m3+calc_ox_software_m3+calc_ox_sales_mktg_m3+calc_ox_prof_fees_m3+calc_ox_other_bundle_m3</f>
        <v>52406.25</v>
      </c>
      <c r="E223" s="49">
        <f>calc_ox_payroll_m4+calc_ox_rent_m4+calc_ox_software_m4+calc_ox_sales_mktg_m4+calc_ox_prof_fees_m4+calc_ox_other_bundle_m4</f>
        <v>40406.25</v>
      </c>
      <c r="F223" s="49">
        <f>calc_ox_payroll_m5+calc_ox_rent_m5+calc_ox_software_m5+calc_ox_sales_mktg_m5+calc_ox_prof_fees_m5+calc_ox_other_bundle_m5</f>
        <v>40406.25</v>
      </c>
      <c r="G223" s="49">
        <f>calc_ox_payroll_m6+calc_ox_rent_m6+calc_ox_software_m6+calc_ox_sales_mktg_m6+calc_ox_prof_fees_m6+calc_ox_other_bundle_m6</f>
        <v>52406.25</v>
      </c>
      <c r="H223" s="49">
        <f>calc_ox_payroll_m7+calc_ox_rent_m7+calc_ox_software_m7+calc_ox_sales_mktg_m7+calc_ox_prof_fees_m7+calc_ox_other_bundle_m7</f>
        <v>40406.25</v>
      </c>
      <c r="I223" s="49">
        <f>calc_ox_payroll_m8+calc_ox_rent_m8+calc_ox_software_m8+calc_ox_sales_mktg_m8+calc_ox_prof_fees_m8+calc_ox_other_bundle_m8</f>
        <v>40406.25</v>
      </c>
      <c r="J223" s="49">
        <f>calc_ox_payroll_m9+calc_ox_rent_m9+calc_ox_software_m9+calc_ox_sales_mktg_m9+calc_ox_prof_fees_m9+calc_ox_other_bundle_m9</f>
        <v>52406.25</v>
      </c>
      <c r="K223" s="49">
        <f>calc_ox_payroll_m10+calc_ox_rent_m10+calc_ox_software_m10+calc_ox_sales_mktg_m10+calc_ox_prof_fees_m10+calc_ox_other_bundle_m10</f>
        <v>40406.25</v>
      </c>
      <c r="L223" s="49">
        <f>calc_ox_payroll_m11+calc_ox_rent_m11+calc_ox_software_m11+calc_ox_sales_mktg_m11+calc_ox_prof_fees_m11+calc_ox_other_bundle_m11</f>
        <v>40406.25</v>
      </c>
      <c r="M223" s="49">
        <f>calc_ox_payroll_m12+calc_ox_rent_m12+calc_ox_software_m12+calc_ox_sales_mktg_m12+calc_ox_prof_fees_m12+calc_ox_other_bundle_m12</f>
        <v>52406.25</v>
      </c>
      <c r="N223" s="50">
        <f t="shared" si="6"/>
        <v>562875</v>
      </c>
      <c r="O223" s="1"/>
      <c r="P223" s="1"/>
    </row>
    <row r="224" spans="1:16" x14ac:dyDescent="0.2">
      <c r="A224" s="48" t="s">
        <v>33</v>
      </c>
      <c r="B224" s="49">
        <f>calc_gp_m1-calc_ox_total_m1</f>
        <v>24695.25</v>
      </c>
      <c r="C224" s="49">
        <f>calc_gp_m2-calc_ox_total_m2</f>
        <v>36921.75</v>
      </c>
      <c r="D224" s="49">
        <f>calc_gp_m3-calc_ox_total_m3</f>
        <v>43345.75</v>
      </c>
      <c r="E224" s="49">
        <f>calc_gp_m4-calc_ox_total_m4</f>
        <v>59256.25</v>
      </c>
      <c r="F224" s="49">
        <f>calc_gp_m5-calc_ox_total_m5</f>
        <v>35629.75</v>
      </c>
      <c r="G224" s="49">
        <f>calc_gp_m6-calc_ox_total_m6</f>
        <v>35443</v>
      </c>
      <c r="H224" s="49">
        <f>calc_gp_m7-calc_ox_total_m7</f>
        <v>37585</v>
      </c>
      <c r="I224" s="49">
        <f>calc_gp_m8-calc_ox_total_m8</f>
        <v>37585</v>
      </c>
      <c r="J224" s="49">
        <f>calc_gp_m9-calc_ox_total_m9</f>
        <v>43345.75</v>
      </c>
      <c r="K224" s="49">
        <f>calc_gp_m10-calc_ox_total_m10</f>
        <v>30653.5</v>
      </c>
      <c r="L224" s="49">
        <f>calc_gp_m11-calc_ox_total_m11</f>
        <v>46471.75</v>
      </c>
      <c r="M224" s="49">
        <f>calc_gp_m12-calc_ox_total_m12</f>
        <v>36414.25</v>
      </c>
      <c r="N224" s="50">
        <f t="shared" si="6"/>
        <v>467347</v>
      </c>
      <c r="O224" s="1"/>
      <c r="P224" s="1"/>
    </row>
    <row r="225" spans="1:16" x14ac:dyDescent="0.2">
      <c r="A225" s="48" t="s">
        <v>10</v>
      </c>
      <c r="B225" s="51">
        <f>IFERROR(calc_ebitda_m1/calc_rev_total_m1,0)</f>
        <v>0.12082105626231529</v>
      </c>
      <c r="C225" s="51">
        <f>IFERROR(calc_ebitda_m2/calc_rev_total_m2,0)</f>
        <v>0.19784269518424299</v>
      </c>
      <c r="D225" s="51">
        <f>IFERROR(calc_ebitda_m3/calc_rev_total_m3,0)</f>
        <v>0.20168248063530395</v>
      </c>
      <c r="E225" s="51">
        <f>IFERROR(calc_ebitda_m4/calc_rev_total_m4,0)</f>
        <v>0.2707851369491332</v>
      </c>
      <c r="F225" s="51">
        <f>IFERROR(calc_ebitda_m5/calc_rev_total_m5,0)</f>
        <v>0.18252501540049615</v>
      </c>
      <c r="G225" s="51">
        <f>IFERROR(calc_ebitda_m6/calc_rev_total_m6,0)</f>
        <v>0.17120733462790674</v>
      </c>
      <c r="H225" s="51">
        <f>IFERROR(calc_ebitda_m7/calc_rev_total_m7,0)</f>
        <v>0.19063197403124366</v>
      </c>
      <c r="I225" s="51">
        <f>IFERROR(calc_ebitda_m8/calc_rev_total_m8,0)</f>
        <v>0.19063197403124366</v>
      </c>
      <c r="J225" s="51">
        <f>IFERROR(calc_ebitda_m9/calc_rev_total_m9,0)</f>
        <v>0.20168248063530395</v>
      </c>
      <c r="K225" s="51">
        <f>IFERROR(calc_ebitda_m10/calc_rev_total_m10,0)</f>
        <v>0.16114041797101905</v>
      </c>
      <c r="L225" s="51">
        <f>IFERROR(calc_ebitda_m11/calc_rev_total_m11,0)</f>
        <v>0.22553983501317054</v>
      </c>
      <c r="M225" s="51">
        <f>IFERROR(calc_ebitda_m12/calc_rev_total_m12,0)</f>
        <v>0.17507755809494963</v>
      </c>
      <c r="N225" s="52">
        <f>IFERROR(calc_ebitda_ann/calc_rev_total_ann,0)</f>
        <v>0.1914966500675887</v>
      </c>
      <c r="O225" s="1"/>
      <c r="P225" s="1"/>
    </row>
    <row r="226" spans="1:16" x14ac:dyDescent="0.2">
      <c r="A226" s="48" t="s">
        <v>112</v>
      </c>
      <c r="B226" s="49">
        <f t="shared" ref="B226:M226" si="7">inp_da_existing/12</f>
        <v>5833.333333333333</v>
      </c>
      <c r="C226" s="49">
        <f t="shared" si="7"/>
        <v>5833.333333333333</v>
      </c>
      <c r="D226" s="49">
        <f t="shared" si="7"/>
        <v>5833.333333333333</v>
      </c>
      <c r="E226" s="49">
        <f t="shared" si="7"/>
        <v>5833.333333333333</v>
      </c>
      <c r="F226" s="49">
        <f t="shared" si="7"/>
        <v>5833.333333333333</v>
      </c>
      <c r="G226" s="49">
        <f t="shared" si="7"/>
        <v>5833.333333333333</v>
      </c>
      <c r="H226" s="49">
        <f t="shared" si="7"/>
        <v>5833.333333333333</v>
      </c>
      <c r="I226" s="49">
        <f t="shared" si="7"/>
        <v>5833.333333333333</v>
      </c>
      <c r="J226" s="49">
        <f t="shared" si="7"/>
        <v>5833.333333333333</v>
      </c>
      <c r="K226" s="49">
        <f t="shared" si="7"/>
        <v>5833.333333333333</v>
      </c>
      <c r="L226" s="49">
        <f t="shared" si="7"/>
        <v>5833.333333333333</v>
      </c>
      <c r="M226" s="49">
        <f t="shared" si="7"/>
        <v>5833.333333333333</v>
      </c>
      <c r="N226" s="50">
        <f>SUM(B226:M226)</f>
        <v>70000.000000000015</v>
      </c>
      <c r="O226" s="1"/>
      <c r="P226" s="1"/>
    </row>
    <row r="227" spans="1:16" x14ac:dyDescent="0.2">
      <c r="A227" s="48" t="s">
        <v>113</v>
      </c>
      <c r="B227" s="49">
        <f>(inp_open_debt)*inp_int_rate/12</f>
        <v>2225</v>
      </c>
      <c r="C227" s="49">
        <f ca="1">(inp_open_debt+SUM(OFFSET(inp_debt_draw_m1m12,0,0,1,1))-SUM(OFFSET(inp_debt_repay_m1m12,0,0,1,1)))*inp_int_rate/12</f>
        <v>1780</v>
      </c>
      <c r="D227" s="49">
        <f ca="1">(inp_open_debt+SUM(OFFSET(inp_debt_draw_m1m12,0,0,1,2))-SUM(OFFSET(inp_debt_repay_m1m12,0,0,1,2)))*inp_int_rate/12</f>
        <v>1780</v>
      </c>
      <c r="E227" s="49">
        <f ca="1">(inp_open_debt+SUM(OFFSET(inp_debt_draw_m1m12,0,0,1,3))-SUM(OFFSET(inp_debt_repay_m1m12,0,0,1,3)))*inp_int_rate/12</f>
        <v>1780</v>
      </c>
      <c r="F227" s="49">
        <f ca="1">(inp_open_debt+SUM(OFFSET(inp_debt_draw_m1m12,0,0,1,4))-SUM(OFFSET(inp_debt_repay_m1m12,0,0,1,4)))*inp_int_rate/12</f>
        <v>1780</v>
      </c>
      <c r="G227" s="49">
        <f ca="1">(inp_open_debt+SUM(OFFSET(inp_debt_draw_m1m12,0,0,1,5))-SUM(OFFSET(inp_debt_repay_m1m12,0,0,1,5)))*inp_int_rate/12</f>
        <v>1780</v>
      </c>
      <c r="H227" s="49">
        <f ca="1">(inp_open_debt+SUM(OFFSET(inp_debt_draw_m1m12,0,0,1,6))-SUM(OFFSET(inp_debt_repay_m1m12,0,0,1,6)))*inp_int_rate/12</f>
        <v>1780</v>
      </c>
      <c r="I227" s="49">
        <f ca="1">(inp_open_debt+SUM(OFFSET(inp_debt_draw_m1m12,0,0,1,7))-SUM(OFFSET(inp_debt_repay_m1m12,0,0,1,7)))*inp_int_rate/12</f>
        <v>1780</v>
      </c>
      <c r="J227" s="49">
        <f ca="1">(inp_open_debt+SUM(OFFSET(inp_debt_draw_m1m12,0,0,1,8))-SUM(OFFSET(inp_debt_repay_m1m12,0,0,1,8)))*inp_int_rate/12</f>
        <v>1780</v>
      </c>
      <c r="K227" s="49">
        <f ca="1">(inp_open_debt+SUM(OFFSET(inp_debt_draw_m1m12,0,0,1,9))-SUM(OFFSET(inp_debt_repay_m1m12,0,0,1,9)))*inp_int_rate/12</f>
        <v>1780</v>
      </c>
      <c r="L227" s="49">
        <f ca="1">(inp_open_debt+SUM(OFFSET(inp_debt_draw_m1m12,0,0,1,10))-SUM(OFFSET(inp_debt_repay_m1m12,0,0,1,10)))*inp_int_rate/12</f>
        <v>1780</v>
      </c>
      <c r="M227" s="49">
        <f ca="1">(inp_open_debt+SUM(OFFSET(inp_debt_draw_m1m12,0,0,1,11))-SUM(OFFSET(inp_debt_repay_m1m12,0,0,1,11)))*inp_int_rate/12</f>
        <v>1780</v>
      </c>
      <c r="N227" s="50">
        <f ca="1">SUM(B227:M227)</f>
        <v>21805</v>
      </c>
      <c r="O227" s="1"/>
      <c r="P227" s="1"/>
    </row>
    <row r="228" spans="1:16" x14ac:dyDescent="0.2">
      <c r="A228" s="48" t="s">
        <v>114</v>
      </c>
      <c r="B228" s="49">
        <f>MAX(0,(calc_ebitda_m1-calc_da_m1-calc_interest_m1)*inp_tax_rate)</f>
        <v>4159.229166666667</v>
      </c>
      <c r="C228" s="49">
        <f ca="1">MAX(0,(calc_ebitda_m2-calc_da_m2-calc_interest_m2)*inp_tax_rate)</f>
        <v>7327.104166666667</v>
      </c>
      <c r="D228" s="49">
        <f ca="1">MAX(0,(calc_ebitda_m3-calc_da_m3-calc_interest_m3)*inp_tax_rate)</f>
        <v>8933.1041666666661</v>
      </c>
      <c r="E228" s="49">
        <f ca="1">MAX(0,(calc_ebitda_m4-calc_da_m4-calc_interest_m4)*inp_tax_rate)</f>
        <v>12910.729166666666</v>
      </c>
      <c r="F228" s="49">
        <f ca="1">MAX(0,(calc_ebitda_m5-calc_da_m5-calc_interest_m5)*inp_tax_rate)</f>
        <v>7004.104166666667</v>
      </c>
      <c r="G228" s="49">
        <f ca="1">MAX(0,(calc_ebitda_m6-calc_da_m6-calc_interest_m6)*inp_tax_rate)</f>
        <v>6957.416666666667</v>
      </c>
      <c r="H228" s="49">
        <f ca="1">MAX(0,(calc_ebitda_m7-calc_da_m7-calc_interest_m7)*inp_tax_rate)</f>
        <v>7492.916666666667</v>
      </c>
      <c r="I228" s="49">
        <f ca="1">MAX(0,(calc_ebitda_m8-calc_da_m8-calc_interest_m8)*inp_tax_rate)</f>
        <v>7492.916666666667</v>
      </c>
      <c r="J228" s="49">
        <f ca="1">MAX(0,(calc_ebitda_m9-calc_da_m9-calc_interest_m9)*inp_tax_rate)</f>
        <v>8933.1041666666661</v>
      </c>
      <c r="K228" s="49">
        <f ca="1">MAX(0,(calc_ebitda_m10-calc_da_m10-calc_interest_m10)*inp_tax_rate)</f>
        <v>5760.041666666667</v>
      </c>
      <c r="L228" s="49">
        <f ca="1">MAX(0,(calc_ebitda_m11-calc_da_m11-calc_interest_m11)*inp_tax_rate)</f>
        <v>9714.6041666666661</v>
      </c>
      <c r="M228" s="49">
        <f ca="1">MAX(0,(calc_ebitda_m12-calc_da_m12-calc_interest_m12)*inp_tax_rate)</f>
        <v>7200.229166666667</v>
      </c>
      <c r="N228" s="50">
        <f ca="1">SUM(B228:M228)</f>
        <v>93885.5</v>
      </c>
      <c r="O228" s="1"/>
      <c r="P228" s="1"/>
    </row>
    <row r="229" spans="1:16" x14ac:dyDescent="0.2">
      <c r="A229" s="48" t="s">
        <v>34</v>
      </c>
      <c r="B229" s="49">
        <f>calc_ebitda_m1-calc_da_m1-calc_interest_m1-calc_tax_m1</f>
        <v>12477.6875</v>
      </c>
      <c r="C229" s="49">
        <f ca="1">calc_ebitda_m2-calc_da_m2-calc_interest_m2-calc_tax_m2</f>
        <v>21981.3125</v>
      </c>
      <c r="D229" s="49">
        <f ca="1">calc_ebitda_m3-calc_da_m3-calc_interest_m3-calc_tax_m3</f>
        <v>26799.3125</v>
      </c>
      <c r="E229" s="49">
        <f ca="1">calc_ebitda_m4-calc_da_m4-calc_interest_m4-calc_tax_m4</f>
        <v>38732.1875</v>
      </c>
      <c r="F229" s="49">
        <f ca="1">calc_ebitda_m5-calc_da_m5-calc_interest_m5-calc_tax_m5</f>
        <v>21012.3125</v>
      </c>
      <c r="G229" s="49">
        <f ca="1">calc_ebitda_m6-calc_da_m6-calc_interest_m6-calc_tax_m6</f>
        <v>20872.25</v>
      </c>
      <c r="H229" s="49">
        <f ca="1">calc_ebitda_m7-calc_da_m7-calc_interest_m7-calc_tax_m7</f>
        <v>22478.75</v>
      </c>
      <c r="I229" s="49">
        <f ca="1">calc_ebitda_m8-calc_da_m8-calc_interest_m8-calc_tax_m8</f>
        <v>22478.75</v>
      </c>
      <c r="J229" s="49">
        <f ca="1">calc_ebitda_m9-calc_da_m9-calc_interest_m9-calc_tax_m9</f>
        <v>26799.3125</v>
      </c>
      <c r="K229" s="49">
        <f ca="1">calc_ebitda_m10-calc_da_m10-calc_interest_m10-calc_tax_m10</f>
        <v>17280.125</v>
      </c>
      <c r="L229" s="49">
        <f ca="1">calc_ebitda_m11-calc_da_m11-calc_interest_m11-calc_tax_m11</f>
        <v>29143.8125</v>
      </c>
      <c r="M229" s="49">
        <f ca="1">calc_ebitda_m12-calc_da_m12-calc_interest_m12-calc_tax_m12</f>
        <v>21600.6875</v>
      </c>
      <c r="N229" s="50">
        <f ca="1">SUM(B229:M229)</f>
        <v>281656.5</v>
      </c>
      <c r="O229" s="1"/>
      <c r="P229" s="1"/>
    </row>
    <row r="230" spans="1:16" x14ac:dyDescent="0.2">
      <c r="A230" s="48" t="s">
        <v>115</v>
      </c>
      <c r="B230" s="51">
        <f>IFERROR(calc_net_profit_m1/calc_rev_total_m1,0)</f>
        <v>6.1046856519415202E-2</v>
      </c>
      <c r="C230" s="51">
        <f ca="1">IFERROR(calc_net_profit_m2/calc_rev_total_m2,0)</f>
        <v>0.11778537335546366</v>
      </c>
      <c r="D230" s="51">
        <f ca="1">IFERROR(calc_net_profit_m3/calc_rev_total_m3,0)</f>
        <v>0.12469392787806668</v>
      </c>
      <c r="E230" s="51">
        <f ca="1">IFERROR(calc_net_profit_m4/calc_rev_total_m4,0)</f>
        <v>0.17699568731613971</v>
      </c>
      <c r="F230" s="51">
        <f ca="1">IFERROR(calc_net_profit_m5/calc_rev_total_m5,0)</f>
        <v>0.10764242417256752</v>
      </c>
      <c r="G230" s="51">
        <f ca="1">IFERROR(calc_net_profit_m6/calc_rev_total_m6,0)</f>
        <v>0.1008233583553121</v>
      </c>
      <c r="H230" s="51">
        <f ca="1">IFERROR(calc_net_profit_m7/calc_rev_total_m7,0)</f>
        <v>0.11401273077703387</v>
      </c>
      <c r="I230" s="51">
        <f ca="1">IFERROR(calc_net_profit_m8/calc_rev_total_m8,0)</f>
        <v>0.11401273077703387</v>
      </c>
      <c r="J230" s="51">
        <f ca="1">IFERROR(calc_net_profit_m9/calc_rev_total_m9,0)</f>
        <v>0.12469392787806668</v>
      </c>
      <c r="K230" s="51">
        <f ca="1">IFERROR(calc_net_profit_m10/calc_rev_total_m10,0)</f>
        <v>9.0838780729491114E-2</v>
      </c>
      <c r="L230" s="51">
        <f ca="1">IFERROR(calc_net_profit_m11/calc_rev_total_m11,0)</f>
        <v>0.14144271870340105</v>
      </c>
      <c r="M230" s="51">
        <f ca="1">IFERROR(calc_net_profit_m12/calc_rev_total_m12,0)</f>
        <v>0.10385482663166486</v>
      </c>
      <c r="N230" s="52">
        <f ca="1">IFERROR(calc_net_profit_ann/calc_rev_total_ann,0)</f>
        <v>0.11540948421571508</v>
      </c>
      <c r="O230" s="1"/>
      <c r="P230" s="1"/>
    </row>
    <row r="231" spans="1:16" x14ac:dyDescent="0.2">
      <c r="A231" s="48" t="s">
        <v>116</v>
      </c>
      <c r="B231" s="53">
        <f>INDEX(active_fte_m1m12,1)</f>
        <v>9</v>
      </c>
      <c r="C231" s="53">
        <f>INDEX(active_fte_m1m12,2)</f>
        <v>9</v>
      </c>
      <c r="D231" s="53">
        <f>INDEX(active_fte_m1m12,3)</f>
        <v>10</v>
      </c>
      <c r="E231" s="53">
        <f>INDEX(active_fte_m1m12,4)</f>
        <v>10</v>
      </c>
      <c r="F231" s="53">
        <f>INDEX(active_fte_m1m12,5)</f>
        <v>10</v>
      </c>
      <c r="G231" s="53">
        <f>INDEX(active_fte_m1m12,6)</f>
        <v>10</v>
      </c>
      <c r="H231" s="53">
        <f>INDEX(active_fte_m1m12,7)</f>
        <v>10</v>
      </c>
      <c r="I231" s="53">
        <f>INDEX(active_fte_m1m12,8)</f>
        <v>10</v>
      </c>
      <c r="J231" s="53">
        <f>INDEX(active_fte_m1m12,9)</f>
        <v>10</v>
      </c>
      <c r="K231" s="53">
        <f>INDEX(active_fte_m1m12,10)</f>
        <v>10</v>
      </c>
      <c r="L231" s="53">
        <f>INDEX(active_fte_m1m12,11)</f>
        <v>10</v>
      </c>
      <c r="M231" s="53">
        <f>INDEX(active_fte_m1m12,12)</f>
        <v>10</v>
      </c>
      <c r="N231" s="54">
        <f>M231</f>
        <v>10</v>
      </c>
      <c r="O231" s="1"/>
      <c r="P231" s="1"/>
    </row>
    <row r="232" spans="1:16" x14ac:dyDescent="0.2">
      <c r="A232" s="48" t="s">
        <v>117</v>
      </c>
      <c r="B232" s="49">
        <f>MAX(0,calc_rev_total_m1*(inp_dso+calc_scn_lag*30)/30)</f>
        <v>306592.875</v>
      </c>
      <c r="C232" s="49">
        <f>MAX(0,calc_rev_total_m2*(inp_dso+calc_scn_lag*30)/30)</f>
        <v>279932.625</v>
      </c>
      <c r="D232" s="49">
        <f>MAX(0,calc_rev_total_m3*(inp_dso+calc_scn_lag*30)/30)</f>
        <v>322381.125</v>
      </c>
      <c r="E232" s="49">
        <f>MAX(0,calc_rev_total_m4*(inp_dso+calc_scn_lag*30)/30)</f>
        <v>328246.875</v>
      </c>
      <c r="F232" s="49">
        <f>MAX(0,calc_rev_total_m5*(inp_dso+calc_scn_lag*30)/30)</f>
        <v>292807.125</v>
      </c>
      <c r="G232" s="49">
        <f>MAX(0,calc_rev_total_m6*(inp_dso+calc_scn_lag*30)/30)</f>
        <v>310527</v>
      </c>
      <c r="H232" s="49">
        <f>MAX(0,calc_rev_total_m7*(inp_dso+calc_scn_lag*30)/30)</f>
        <v>295740</v>
      </c>
      <c r="I232" s="49">
        <f>MAX(0,calc_rev_total_m8*(inp_dso+calc_scn_lag*30)/30)</f>
        <v>295740</v>
      </c>
      <c r="J232" s="49">
        <f>MAX(0,calc_rev_total_m9*(inp_dso+calc_scn_lag*30)/30)</f>
        <v>322381.125</v>
      </c>
      <c r="K232" s="49">
        <f>MAX(0,calc_rev_total_m10*(inp_dso+calc_scn_lag*30)/30)</f>
        <v>285342.75</v>
      </c>
      <c r="L232" s="49">
        <f>MAX(0,calc_rev_total_m11*(inp_dso+calc_scn_lag*30)/30)</f>
        <v>309070.125</v>
      </c>
      <c r="M232" s="49">
        <f>MAX(0,calc_rev_total_m12*(inp_dso+calc_scn_lag*30)/30)</f>
        <v>311983.875</v>
      </c>
      <c r="N232" s="50">
        <f>M232</f>
        <v>311983.875</v>
      </c>
      <c r="O232" s="1"/>
      <c r="P232" s="1"/>
    </row>
    <row r="233" spans="1:16" x14ac:dyDescent="0.2">
      <c r="A233" s="48" t="s">
        <v>118</v>
      </c>
      <c r="B233" s="49">
        <f>MAX(0,calc_dc_total_m1*inp_dpo/30)</f>
        <v>109293.75</v>
      </c>
      <c r="C233" s="49">
        <f>MAX(0,calc_dc_total_m2*inp_dpo/30)</f>
        <v>109293.75</v>
      </c>
      <c r="D233" s="49">
        <f>MAX(0,calc_dc_total_m3*inp_dpo/30)</f>
        <v>119168.75</v>
      </c>
      <c r="E233" s="49">
        <f>MAX(0,calc_dc_total_m4*inp_dpo/30)</f>
        <v>119168.75</v>
      </c>
      <c r="F233" s="49">
        <f>MAX(0,calc_dc_total_m5*inp_dpo/30)</f>
        <v>119168.75</v>
      </c>
      <c r="G233" s="49">
        <f>MAX(0,calc_dc_total_m6*inp_dpo/30)</f>
        <v>119168.75</v>
      </c>
      <c r="H233" s="49">
        <f>MAX(0,calc_dc_total_m7*inp_dpo/30)</f>
        <v>119168.75</v>
      </c>
      <c r="I233" s="49">
        <f>MAX(0,calc_dc_total_m8*inp_dpo/30)</f>
        <v>119168.75</v>
      </c>
      <c r="J233" s="49">
        <f>MAX(0,calc_dc_total_m9*inp_dpo/30)</f>
        <v>119168.75</v>
      </c>
      <c r="K233" s="49">
        <f>MAX(0,calc_dc_total_m10*inp_dpo/30)</f>
        <v>119168.75</v>
      </c>
      <c r="L233" s="49">
        <f>MAX(0,calc_dc_total_m11*inp_dpo/30)</f>
        <v>119168.75</v>
      </c>
      <c r="M233" s="49">
        <f>MAX(0,calc_dc_total_m12*inp_dpo/30)</f>
        <v>119168.75</v>
      </c>
      <c r="N233" s="50">
        <f>M233</f>
        <v>119168.75</v>
      </c>
      <c r="O233" s="1"/>
      <c r="P233" s="1"/>
    </row>
    <row r="234" spans="1:16" x14ac:dyDescent="0.2">
      <c r="A234" s="48" t="s">
        <v>119</v>
      </c>
      <c r="B234" s="49">
        <f>-(calc_bs_ar_m1-inp_open_ar)</f>
        <v>63407.125</v>
      </c>
      <c r="C234" s="49">
        <f>-(calc_bs_ar_m2-calc_bs_ar_m1)</f>
        <v>26660.25</v>
      </c>
      <c r="D234" s="49">
        <f>-(calc_bs_ar_m3-calc_bs_ar_m2)</f>
        <v>-42448.5</v>
      </c>
      <c r="E234" s="49">
        <f>-(calc_bs_ar_m4-calc_bs_ar_m3)</f>
        <v>-5865.75</v>
      </c>
      <c r="F234" s="49">
        <f>-(calc_bs_ar_m5-calc_bs_ar_m4)</f>
        <v>35439.75</v>
      </c>
      <c r="G234" s="49">
        <f>-(calc_bs_ar_m6-calc_bs_ar_m5)</f>
        <v>-17719.875</v>
      </c>
      <c r="H234" s="49">
        <f>-(calc_bs_ar_m7-calc_bs_ar_m6)</f>
        <v>14787</v>
      </c>
      <c r="I234" s="49">
        <f>-(calc_bs_ar_m8-calc_bs_ar_m7)</f>
        <v>0</v>
      </c>
      <c r="J234" s="49">
        <f>-(calc_bs_ar_m9-calc_bs_ar_m8)</f>
        <v>-26641.125</v>
      </c>
      <c r="K234" s="49">
        <f>-(calc_bs_ar_m10-calc_bs_ar_m9)</f>
        <v>37038.375</v>
      </c>
      <c r="L234" s="49">
        <f>-(calc_bs_ar_m11-calc_bs_ar_m10)</f>
        <v>-23727.375</v>
      </c>
      <c r="M234" s="49">
        <f>-(calc_bs_ar_m12-calc_bs_ar_m11)</f>
        <v>-2913.75</v>
      </c>
      <c r="N234" s="50">
        <f t="shared" ref="N234:N245" si="8">SUM(B234:M234)</f>
        <v>58016.125</v>
      </c>
      <c r="O234" s="1"/>
      <c r="P234" s="1"/>
    </row>
    <row r="235" spans="1:16" x14ac:dyDescent="0.2">
      <c r="A235" s="48" t="s">
        <v>120</v>
      </c>
      <c r="B235" s="49">
        <f>(calc_bs_ap_m1-inp_open_ap)</f>
        <v>-10706.25</v>
      </c>
      <c r="C235" s="49">
        <f>(calc_bs_ap_m2-calc_bs_ap_m1)</f>
        <v>0</v>
      </c>
      <c r="D235" s="49">
        <f>(calc_bs_ap_m3-calc_bs_ap_m2)</f>
        <v>9875</v>
      </c>
      <c r="E235" s="49">
        <f>(calc_bs_ap_m4-calc_bs_ap_m3)</f>
        <v>0</v>
      </c>
      <c r="F235" s="49">
        <f>(calc_bs_ap_m5-calc_bs_ap_m4)</f>
        <v>0</v>
      </c>
      <c r="G235" s="49">
        <f>(calc_bs_ap_m6-calc_bs_ap_m5)</f>
        <v>0</v>
      </c>
      <c r="H235" s="49">
        <f>(calc_bs_ap_m7-calc_bs_ap_m6)</f>
        <v>0</v>
      </c>
      <c r="I235" s="49">
        <f>(calc_bs_ap_m8-calc_bs_ap_m7)</f>
        <v>0</v>
      </c>
      <c r="J235" s="49">
        <f>(calc_bs_ap_m9-calc_bs_ap_m8)</f>
        <v>0</v>
      </c>
      <c r="K235" s="49">
        <f>(calc_bs_ap_m10-calc_bs_ap_m9)</f>
        <v>0</v>
      </c>
      <c r="L235" s="49">
        <f>(calc_bs_ap_m11-calc_bs_ap_m10)</f>
        <v>0</v>
      </c>
      <c r="M235" s="49">
        <f>(calc_bs_ap_m12-calc_bs_ap_m11)</f>
        <v>0</v>
      </c>
      <c r="N235" s="50">
        <f t="shared" si="8"/>
        <v>-831.25</v>
      </c>
      <c r="O235" s="1"/>
      <c r="P235" s="1"/>
    </row>
    <row r="236" spans="1:16" x14ac:dyDescent="0.2">
      <c r="A236" s="48" t="s">
        <v>121</v>
      </c>
      <c r="B236" s="49">
        <f>-calc_tax_m1</f>
        <v>-4159.229166666667</v>
      </c>
      <c r="C236" s="49">
        <f ca="1">-calc_tax_m2</f>
        <v>-7327.104166666667</v>
      </c>
      <c r="D236" s="49">
        <f ca="1">-calc_tax_m3</f>
        <v>-8933.1041666666661</v>
      </c>
      <c r="E236" s="49">
        <f ca="1">-calc_tax_m4</f>
        <v>-12910.729166666666</v>
      </c>
      <c r="F236" s="49">
        <f ca="1">-calc_tax_m5</f>
        <v>-7004.104166666667</v>
      </c>
      <c r="G236" s="49">
        <f ca="1">-calc_tax_m6</f>
        <v>-6957.416666666667</v>
      </c>
      <c r="H236" s="49">
        <f ca="1">-calc_tax_m7</f>
        <v>-7492.916666666667</v>
      </c>
      <c r="I236" s="49">
        <f ca="1">-calc_tax_m8</f>
        <v>-7492.916666666667</v>
      </c>
      <c r="J236" s="49">
        <f ca="1">-calc_tax_m9</f>
        <v>-8933.1041666666661</v>
      </c>
      <c r="K236" s="49">
        <f ca="1">-calc_tax_m10</f>
        <v>-5760.041666666667</v>
      </c>
      <c r="L236" s="49">
        <f ca="1">-calc_tax_m11</f>
        <v>-9714.6041666666661</v>
      </c>
      <c r="M236" s="49">
        <f ca="1">-calc_tax_m12</f>
        <v>-7200.229166666667</v>
      </c>
      <c r="N236" s="50">
        <f t="shared" ca="1" si="8"/>
        <v>-93885.5</v>
      </c>
      <c r="O236" s="1"/>
      <c r="P236" s="1"/>
    </row>
    <row r="237" spans="1:16" x14ac:dyDescent="0.2">
      <c r="A237" s="48" t="s">
        <v>122</v>
      </c>
      <c r="B237" s="49">
        <f>calc_ebitda_m1+calc_delta_ar_neg_m1+calc_delta_ap_pos_m1+calc_tax_paid_neg_m1+calc_interest_neg_m1</f>
        <v>71011.895833333328</v>
      </c>
      <c r="C237" s="49">
        <f ca="1">calc_ebitda_m2+calc_delta_ar_neg_m2+calc_delta_ap_pos_m2+calc_tax_paid_neg_m2+calc_interest_neg_m2</f>
        <v>54474.895833333336</v>
      </c>
      <c r="D237" s="49">
        <f ca="1">calc_ebitda_m3+calc_delta_ar_neg_m3+calc_delta_ap_pos_m3+calc_tax_paid_neg_m3+calc_interest_neg_m3</f>
        <v>59.14583333333394</v>
      </c>
      <c r="E237" s="49">
        <f ca="1">calc_ebitda_m4+calc_delta_ar_neg_m4+calc_delta_ap_pos_m4+calc_tax_paid_neg_m4+calc_interest_neg_m4</f>
        <v>38699.770833333336</v>
      </c>
      <c r="F237" s="49">
        <f ca="1">calc_ebitda_m5+calc_delta_ar_neg_m5+calc_delta_ap_pos_m5+calc_tax_paid_neg_m5+calc_interest_neg_m5</f>
        <v>62285.395833333336</v>
      </c>
      <c r="G237" s="49">
        <f ca="1">calc_ebitda_m6+calc_delta_ar_neg_m6+calc_delta_ap_pos_m6+calc_tax_paid_neg_m6+calc_interest_neg_m6</f>
        <v>8985.7083333333321</v>
      </c>
      <c r="H237" s="49">
        <f ca="1">calc_ebitda_m7+calc_delta_ar_neg_m7+calc_delta_ap_pos_m7+calc_tax_paid_neg_m7+calc_interest_neg_m7</f>
        <v>43099.083333333336</v>
      </c>
      <c r="I237" s="49">
        <f ca="1">calc_ebitda_m8+calc_delta_ar_neg_m8+calc_delta_ap_pos_m8+calc_tax_paid_neg_m8+calc_interest_neg_m8</f>
        <v>28312.083333333332</v>
      </c>
      <c r="J237" s="49">
        <f ca="1">calc_ebitda_m9+calc_delta_ar_neg_m9+calc_delta_ap_pos_m9+calc_tax_paid_neg_m9+calc_interest_neg_m9</f>
        <v>5991.5208333333339</v>
      </c>
      <c r="K237" s="49">
        <f ca="1">calc_ebitda_m10+calc_delta_ar_neg_m10+calc_delta_ap_pos_m10+calc_tax_paid_neg_m10+calc_interest_neg_m10</f>
        <v>60151.833333333336</v>
      </c>
      <c r="L237" s="49">
        <f ca="1">calc_ebitda_m11+calc_delta_ar_neg_m11+calc_delta_ap_pos_m11+calc_tax_paid_neg_m11+calc_interest_neg_m11</f>
        <v>11249.770833333334</v>
      </c>
      <c r="M237" s="49">
        <f ca="1">calc_ebitda_m12+calc_delta_ar_neg_m12+calc_delta_ap_pos_m12+calc_tax_paid_neg_m12+calc_interest_neg_m12</f>
        <v>24520.270833333332</v>
      </c>
      <c r="N237" s="50">
        <f t="shared" ca="1" si="8"/>
        <v>408841.37499999988</v>
      </c>
      <c r="O237" s="1"/>
      <c r="P237" s="1"/>
    </row>
    <row r="238" spans="1:16" x14ac:dyDescent="0.2">
      <c r="A238" s="48" t="s">
        <v>123</v>
      </c>
      <c r="B238" s="49">
        <f>-_xlfn.SINGLE(INDEX(inp_capex_m1m12,1))</f>
        <v>0</v>
      </c>
      <c r="C238" s="49">
        <f>-_xlfn.SINGLE(INDEX(inp_capex_m1m12,2))</f>
        <v>0</v>
      </c>
      <c r="D238" s="49">
        <f>-_xlfn.SINGLE(INDEX(inp_capex_m1m12,3))</f>
        <v>0</v>
      </c>
      <c r="E238" s="49">
        <f>-_xlfn.SINGLE(INDEX(inp_capex_m1m12,4))</f>
        <v>0</v>
      </c>
      <c r="F238" s="49">
        <f>-_xlfn.SINGLE(INDEX(inp_capex_m1m12,5))</f>
        <v>0</v>
      </c>
      <c r="G238" s="49">
        <f>-_xlfn.SINGLE(INDEX(inp_capex_m1m12,6))</f>
        <v>0</v>
      </c>
      <c r="H238" s="49">
        <f>-_xlfn.SINGLE(INDEX(inp_capex_m1m12,7))</f>
        <v>0</v>
      </c>
      <c r="I238" s="49">
        <f>-_xlfn.SINGLE(INDEX(inp_capex_m1m12,8))</f>
        <v>0</v>
      </c>
      <c r="J238" s="49">
        <f>-_xlfn.SINGLE(INDEX(inp_capex_m1m12,9))</f>
        <v>0</v>
      </c>
      <c r="K238" s="49">
        <f>-_xlfn.SINGLE(INDEX(inp_capex_m1m12,10))</f>
        <v>0</v>
      </c>
      <c r="L238" s="49">
        <f>-_xlfn.SINGLE(INDEX(inp_capex_m1m12,11))</f>
        <v>0</v>
      </c>
      <c r="M238" s="49">
        <f>-_xlfn.SINGLE(INDEX(inp_capex_m1m12,12))</f>
        <v>0</v>
      </c>
      <c r="N238" s="50">
        <f t="shared" si="8"/>
        <v>0</v>
      </c>
      <c r="O238" s="1"/>
      <c r="P238" s="1"/>
    </row>
    <row r="239" spans="1:16" x14ac:dyDescent="0.2">
      <c r="A239" s="48" t="s">
        <v>124</v>
      </c>
      <c r="B239" s="49">
        <f>calc_capex_neg_m1</f>
        <v>0</v>
      </c>
      <c r="C239" s="49">
        <f>calc_capex_neg_m2</f>
        <v>0</v>
      </c>
      <c r="D239" s="49">
        <f>calc_capex_neg_m3</f>
        <v>0</v>
      </c>
      <c r="E239" s="49">
        <f>calc_capex_neg_m4</f>
        <v>0</v>
      </c>
      <c r="F239" s="49">
        <f>calc_capex_neg_m5</f>
        <v>0</v>
      </c>
      <c r="G239" s="49">
        <f>calc_capex_neg_m6</f>
        <v>0</v>
      </c>
      <c r="H239" s="49">
        <f>calc_capex_neg_m7</f>
        <v>0</v>
      </c>
      <c r="I239" s="49">
        <f>calc_capex_neg_m8</f>
        <v>0</v>
      </c>
      <c r="J239" s="49">
        <f>calc_capex_neg_m9</f>
        <v>0</v>
      </c>
      <c r="K239" s="49">
        <f>calc_capex_neg_m10</f>
        <v>0</v>
      </c>
      <c r="L239" s="49">
        <f>calc_capex_neg_m11</f>
        <v>0</v>
      </c>
      <c r="M239" s="49">
        <f>calc_capex_neg_m12</f>
        <v>0</v>
      </c>
      <c r="N239" s="50">
        <f t="shared" si="8"/>
        <v>0</v>
      </c>
      <c r="O239" s="1"/>
      <c r="P239" s="1"/>
    </row>
    <row r="240" spans="1:16" x14ac:dyDescent="0.2">
      <c r="A240" s="48" t="s">
        <v>125</v>
      </c>
      <c r="B240" s="49">
        <f>_xlfn.SINGLE(INDEX(inp_debt_draw_m1m12,1))</f>
        <v>0</v>
      </c>
      <c r="C240" s="49">
        <f>_xlfn.SINGLE(INDEX(inp_debt_draw_m1m12,2))</f>
        <v>0</v>
      </c>
      <c r="D240" s="49">
        <f>_xlfn.SINGLE(INDEX(inp_debt_draw_m1m12,3))</f>
        <v>0</v>
      </c>
      <c r="E240" s="49">
        <f>_xlfn.SINGLE(INDEX(inp_debt_draw_m1m12,4))</f>
        <v>0</v>
      </c>
      <c r="F240" s="49">
        <f>_xlfn.SINGLE(INDEX(inp_debt_draw_m1m12,5))</f>
        <v>0</v>
      </c>
      <c r="G240" s="49">
        <f>_xlfn.SINGLE(INDEX(inp_debt_draw_m1m12,6))</f>
        <v>0</v>
      </c>
      <c r="H240" s="49">
        <f>_xlfn.SINGLE(INDEX(inp_debt_draw_m1m12,7))</f>
        <v>0</v>
      </c>
      <c r="I240" s="49">
        <f>_xlfn.SINGLE(INDEX(inp_debt_draw_m1m12,8))</f>
        <v>0</v>
      </c>
      <c r="J240" s="49">
        <f>_xlfn.SINGLE(INDEX(inp_debt_draw_m1m12,9))</f>
        <v>0</v>
      </c>
      <c r="K240" s="49">
        <f>_xlfn.SINGLE(INDEX(inp_debt_draw_m1m12,10))</f>
        <v>0</v>
      </c>
      <c r="L240" s="49">
        <f>_xlfn.SINGLE(INDEX(inp_debt_draw_m1m12,11))</f>
        <v>0</v>
      </c>
      <c r="M240" s="49">
        <f>_xlfn.SINGLE(INDEX(inp_debt_draw_m1m12,12))</f>
        <v>0</v>
      </c>
      <c r="N240" s="50">
        <f t="shared" si="8"/>
        <v>0</v>
      </c>
      <c r="O240" s="1"/>
      <c r="P240" s="1"/>
    </row>
    <row r="241" spans="1:16" x14ac:dyDescent="0.2">
      <c r="A241" s="48" t="s">
        <v>126</v>
      </c>
      <c r="B241" s="49">
        <f>-_xlfn.SINGLE(INDEX(inp_debt_repay_m1m12,1))</f>
        <v>-60000</v>
      </c>
      <c r="C241" s="49">
        <f>-_xlfn.SINGLE(INDEX(inp_debt_repay_m1m12,2))</f>
        <v>0</v>
      </c>
      <c r="D241" s="49">
        <f>-_xlfn.SINGLE(INDEX(inp_debt_repay_m1m12,3))</f>
        <v>0</v>
      </c>
      <c r="E241" s="49">
        <f>-_xlfn.SINGLE(INDEX(inp_debt_repay_m1m12,4))</f>
        <v>0</v>
      </c>
      <c r="F241" s="49">
        <f>-_xlfn.SINGLE(INDEX(inp_debt_repay_m1m12,5))</f>
        <v>0</v>
      </c>
      <c r="G241" s="49">
        <f>-_xlfn.SINGLE(INDEX(inp_debt_repay_m1m12,6))</f>
        <v>0</v>
      </c>
      <c r="H241" s="49">
        <f>-_xlfn.SINGLE(INDEX(inp_debt_repay_m1m12,7))</f>
        <v>0</v>
      </c>
      <c r="I241" s="49">
        <f>-_xlfn.SINGLE(INDEX(inp_debt_repay_m1m12,8))</f>
        <v>0</v>
      </c>
      <c r="J241" s="49">
        <f>-_xlfn.SINGLE(INDEX(inp_debt_repay_m1m12,9))</f>
        <v>0</v>
      </c>
      <c r="K241" s="49">
        <f>-_xlfn.SINGLE(INDEX(inp_debt_repay_m1m12,10))</f>
        <v>0</v>
      </c>
      <c r="L241" s="49">
        <f>-_xlfn.SINGLE(INDEX(inp_debt_repay_m1m12,11))</f>
        <v>0</v>
      </c>
      <c r="M241" s="49">
        <f>-_xlfn.SINGLE(INDEX(inp_debt_repay_m1m12,12))</f>
        <v>0</v>
      </c>
      <c r="N241" s="50">
        <f t="shared" si="8"/>
        <v>-60000</v>
      </c>
      <c r="O241" s="1"/>
      <c r="P241" s="1"/>
    </row>
    <row r="242" spans="1:16" x14ac:dyDescent="0.2">
      <c r="A242" s="48" t="s">
        <v>127</v>
      </c>
      <c r="B242" s="49">
        <f>-_xlfn.SINGLE(INDEX(inp_dist_m1m12,1))</f>
        <v>0</v>
      </c>
      <c r="C242" s="49">
        <f>-_xlfn.SINGLE(INDEX(inp_dist_m1m12,2))</f>
        <v>0</v>
      </c>
      <c r="D242" s="49">
        <f>-_xlfn.SINGLE(INDEX(inp_dist_m1m12,3))</f>
        <v>0</v>
      </c>
      <c r="E242" s="49">
        <f>-_xlfn.SINGLE(INDEX(inp_dist_m1m12,4))</f>
        <v>0</v>
      </c>
      <c r="F242" s="49">
        <f>-_xlfn.SINGLE(INDEX(inp_dist_m1m12,5))</f>
        <v>0</v>
      </c>
      <c r="G242" s="49">
        <f>-_xlfn.SINGLE(INDEX(inp_dist_m1m12,6))</f>
        <v>0</v>
      </c>
      <c r="H242" s="49">
        <f>-_xlfn.SINGLE(INDEX(inp_dist_m1m12,7))</f>
        <v>0</v>
      </c>
      <c r="I242" s="49">
        <f>-_xlfn.SINGLE(INDEX(inp_dist_m1m12,8))</f>
        <v>0</v>
      </c>
      <c r="J242" s="49">
        <f>-_xlfn.SINGLE(INDEX(inp_dist_m1m12,9))</f>
        <v>0</v>
      </c>
      <c r="K242" s="49">
        <f>-_xlfn.SINGLE(INDEX(inp_dist_m1m12,10))</f>
        <v>0</v>
      </c>
      <c r="L242" s="49">
        <f>-_xlfn.SINGLE(INDEX(inp_dist_m1m12,11))</f>
        <v>0</v>
      </c>
      <c r="M242" s="49">
        <f>-_xlfn.SINGLE(INDEX(inp_dist_m1m12,12))</f>
        <v>0</v>
      </c>
      <c r="N242" s="50">
        <f t="shared" si="8"/>
        <v>0</v>
      </c>
      <c r="O242" s="1"/>
      <c r="P242" s="1"/>
    </row>
    <row r="243" spans="1:16" x14ac:dyDescent="0.2">
      <c r="A243" s="48" t="s">
        <v>128</v>
      </c>
      <c r="B243" s="49">
        <f>-calc_interest_m1</f>
        <v>-2225</v>
      </c>
      <c r="C243" s="49">
        <f ca="1">-calc_interest_m2</f>
        <v>-1780</v>
      </c>
      <c r="D243" s="49">
        <f ca="1">-calc_interest_m3</f>
        <v>-1780</v>
      </c>
      <c r="E243" s="49">
        <f ca="1">-calc_interest_m4</f>
        <v>-1780</v>
      </c>
      <c r="F243" s="49">
        <f ca="1">-calc_interest_m5</f>
        <v>-1780</v>
      </c>
      <c r="G243" s="49">
        <f ca="1">-calc_interest_m6</f>
        <v>-1780</v>
      </c>
      <c r="H243" s="49">
        <f ca="1">-calc_interest_m7</f>
        <v>-1780</v>
      </c>
      <c r="I243" s="49">
        <f ca="1">-calc_interest_m8</f>
        <v>-1780</v>
      </c>
      <c r="J243" s="49">
        <f ca="1">-calc_interest_m9</f>
        <v>-1780</v>
      </c>
      <c r="K243" s="49">
        <f ca="1">-calc_interest_m10</f>
        <v>-1780</v>
      </c>
      <c r="L243" s="49">
        <f ca="1">-calc_interest_m11</f>
        <v>-1780</v>
      </c>
      <c r="M243" s="49">
        <f ca="1">-calc_interest_m12</f>
        <v>-1780</v>
      </c>
      <c r="N243" s="50">
        <f t="shared" ca="1" si="8"/>
        <v>-21805</v>
      </c>
      <c r="O243" s="1"/>
      <c r="P243" s="1"/>
    </row>
    <row r="244" spans="1:16" x14ac:dyDescent="0.2">
      <c r="A244" s="48" t="s">
        <v>129</v>
      </c>
      <c r="B244" s="49">
        <f>calc_debt_draw_m1+calc_debt_repay_neg_m1+calc_dist_neg_m1</f>
        <v>-60000</v>
      </c>
      <c r="C244" s="49">
        <f>calc_debt_draw_m2+calc_debt_repay_neg_m2+calc_dist_neg_m2</f>
        <v>0</v>
      </c>
      <c r="D244" s="49">
        <f>calc_debt_draw_m3+calc_debt_repay_neg_m3+calc_dist_neg_m3</f>
        <v>0</v>
      </c>
      <c r="E244" s="49">
        <f>calc_debt_draw_m4+calc_debt_repay_neg_m4+calc_dist_neg_m4</f>
        <v>0</v>
      </c>
      <c r="F244" s="49">
        <f>calc_debt_draw_m5+calc_debt_repay_neg_m5+calc_dist_neg_m5</f>
        <v>0</v>
      </c>
      <c r="G244" s="49">
        <f>calc_debt_draw_m6+calc_debt_repay_neg_m6+calc_dist_neg_m6</f>
        <v>0</v>
      </c>
      <c r="H244" s="49">
        <f>calc_debt_draw_m7+calc_debt_repay_neg_m7+calc_dist_neg_m7</f>
        <v>0</v>
      </c>
      <c r="I244" s="49">
        <f>calc_debt_draw_m8+calc_debt_repay_neg_m8+calc_dist_neg_m8</f>
        <v>0</v>
      </c>
      <c r="J244" s="49">
        <f>calc_debt_draw_m9+calc_debt_repay_neg_m9+calc_dist_neg_m9</f>
        <v>0</v>
      </c>
      <c r="K244" s="49">
        <f>calc_debt_draw_m10+calc_debt_repay_neg_m10+calc_dist_neg_m10</f>
        <v>0</v>
      </c>
      <c r="L244" s="49">
        <f>calc_debt_draw_m11+calc_debt_repay_neg_m11+calc_dist_neg_m11</f>
        <v>0</v>
      </c>
      <c r="M244" s="49">
        <f>calc_debt_draw_m12+calc_debt_repay_neg_m12+calc_dist_neg_m12</f>
        <v>0</v>
      </c>
      <c r="N244" s="50">
        <f t="shared" si="8"/>
        <v>-60000</v>
      </c>
      <c r="O244" s="1"/>
      <c r="P244" s="1"/>
    </row>
    <row r="245" spans="1:16" x14ac:dyDescent="0.2">
      <c r="A245" s="48" t="s">
        <v>130</v>
      </c>
      <c r="B245" s="49">
        <f>calc_op_cf_m1+calc_inv_cf_m1+calc_fin_cf_m1</f>
        <v>11011.895833333328</v>
      </c>
      <c r="C245" s="49">
        <f ca="1">calc_op_cf_m2+calc_inv_cf_m2+calc_fin_cf_m2</f>
        <v>54474.895833333336</v>
      </c>
      <c r="D245" s="49">
        <f ca="1">calc_op_cf_m3+calc_inv_cf_m3+calc_fin_cf_m3</f>
        <v>59.14583333333394</v>
      </c>
      <c r="E245" s="49">
        <f ca="1">calc_op_cf_m4+calc_inv_cf_m4+calc_fin_cf_m4</f>
        <v>38699.770833333336</v>
      </c>
      <c r="F245" s="49">
        <f ca="1">calc_op_cf_m5+calc_inv_cf_m5+calc_fin_cf_m5</f>
        <v>62285.395833333336</v>
      </c>
      <c r="G245" s="49">
        <f ca="1">calc_op_cf_m6+calc_inv_cf_m6+calc_fin_cf_m6</f>
        <v>8985.7083333333321</v>
      </c>
      <c r="H245" s="49">
        <f ca="1">calc_op_cf_m7+calc_inv_cf_m7+calc_fin_cf_m7</f>
        <v>43099.083333333336</v>
      </c>
      <c r="I245" s="49">
        <f ca="1">calc_op_cf_m8+calc_inv_cf_m8+calc_fin_cf_m8</f>
        <v>28312.083333333332</v>
      </c>
      <c r="J245" s="49">
        <f ca="1">calc_op_cf_m9+calc_inv_cf_m9+calc_fin_cf_m9</f>
        <v>5991.5208333333339</v>
      </c>
      <c r="K245" s="49">
        <f ca="1">calc_op_cf_m10+calc_inv_cf_m10+calc_fin_cf_m10</f>
        <v>60151.833333333336</v>
      </c>
      <c r="L245" s="49">
        <f ca="1">calc_op_cf_m11+calc_inv_cf_m11+calc_fin_cf_m11</f>
        <v>11249.770833333334</v>
      </c>
      <c r="M245" s="49">
        <f ca="1">calc_op_cf_m12+calc_inv_cf_m12+calc_fin_cf_m12</f>
        <v>24520.270833333332</v>
      </c>
      <c r="N245" s="50">
        <f t="shared" ca="1" si="8"/>
        <v>348841.375</v>
      </c>
      <c r="O245" s="1"/>
      <c r="P245" s="1"/>
    </row>
    <row r="246" spans="1:16" x14ac:dyDescent="0.2">
      <c r="A246" s="48" t="s">
        <v>131</v>
      </c>
      <c r="B246" s="49">
        <f>inp_open_cash</f>
        <v>420000</v>
      </c>
      <c r="C246" s="49">
        <f>calc_close_cash_m1</f>
        <v>431011.89583333331</v>
      </c>
      <c r="D246" s="49">
        <f ca="1">calc_close_cash_m2</f>
        <v>485486.79166666663</v>
      </c>
      <c r="E246" s="49">
        <f ca="1">calc_close_cash_m3</f>
        <v>485545.93749999994</v>
      </c>
      <c r="F246" s="49">
        <f ca="1">calc_close_cash_m4</f>
        <v>524245.70833333326</v>
      </c>
      <c r="G246" s="49">
        <f ca="1">calc_close_cash_m5</f>
        <v>586531.10416666663</v>
      </c>
      <c r="H246" s="49">
        <f ca="1">calc_close_cash_m6</f>
        <v>595516.8125</v>
      </c>
      <c r="I246" s="49">
        <f ca="1">calc_close_cash_m7</f>
        <v>638615.89583333337</v>
      </c>
      <c r="J246" s="49">
        <f ca="1">calc_close_cash_m8</f>
        <v>666927.97916666674</v>
      </c>
      <c r="K246" s="49">
        <f ca="1">calc_close_cash_m9</f>
        <v>672919.50000000012</v>
      </c>
      <c r="L246" s="49">
        <f ca="1">calc_close_cash_m10</f>
        <v>733071.33333333349</v>
      </c>
      <c r="M246" s="49">
        <f ca="1">calc_close_cash_m11</f>
        <v>744321.10416666686</v>
      </c>
      <c r="N246" s="50">
        <f>B246</f>
        <v>420000</v>
      </c>
      <c r="O246" s="1"/>
      <c r="P246" s="1"/>
    </row>
    <row r="247" spans="1:16" x14ac:dyDescent="0.2">
      <c r="A247" s="48" t="s">
        <v>132</v>
      </c>
      <c r="B247" s="49">
        <f>calc_open_cash_m1+calc_net_change_m1</f>
        <v>431011.89583333331</v>
      </c>
      <c r="C247" s="49">
        <f ca="1">calc_open_cash_m2+calc_net_change_m2</f>
        <v>485486.79166666663</v>
      </c>
      <c r="D247" s="49">
        <f ca="1">calc_open_cash_m3+calc_net_change_m3</f>
        <v>485545.93749999994</v>
      </c>
      <c r="E247" s="49">
        <f ca="1">calc_open_cash_m4+calc_net_change_m4</f>
        <v>524245.70833333326</v>
      </c>
      <c r="F247" s="49">
        <f ca="1">calc_open_cash_m5+calc_net_change_m5</f>
        <v>586531.10416666663</v>
      </c>
      <c r="G247" s="49">
        <f ca="1">calc_open_cash_m6+calc_net_change_m6</f>
        <v>595516.8125</v>
      </c>
      <c r="H247" s="49">
        <f ca="1">calc_open_cash_m7+calc_net_change_m7</f>
        <v>638615.89583333337</v>
      </c>
      <c r="I247" s="49">
        <f ca="1">calc_open_cash_m8+calc_net_change_m8</f>
        <v>666927.97916666674</v>
      </c>
      <c r="J247" s="49">
        <f ca="1">calc_open_cash_m9+calc_net_change_m9</f>
        <v>672919.50000000012</v>
      </c>
      <c r="K247" s="49">
        <f ca="1">calc_open_cash_m10+calc_net_change_m10</f>
        <v>733071.33333333349</v>
      </c>
      <c r="L247" s="49">
        <f ca="1">calc_open_cash_m11+calc_net_change_m11</f>
        <v>744321.10416666686</v>
      </c>
      <c r="M247" s="49">
        <f ca="1">calc_open_cash_m12+calc_net_change_m12</f>
        <v>768841.37500000023</v>
      </c>
      <c r="N247" s="50">
        <f t="shared" ref="N247:N262" ca="1" si="9">M247</f>
        <v>768841.37500000023</v>
      </c>
      <c r="O247" s="1"/>
      <c r="P247" s="1"/>
    </row>
    <row r="248" spans="1:16" x14ac:dyDescent="0.2">
      <c r="A248" s="48" t="s">
        <v>133</v>
      </c>
      <c r="B248" s="49">
        <f>(calc_close_cash_m1&lt;inp_min_buffer)*1</f>
        <v>0</v>
      </c>
      <c r="C248" s="49">
        <f ca="1">(calc_close_cash_m1&lt;inp_min_buffer)*1+(calc_close_cash_m2&lt;inp_min_buffer)*1</f>
        <v>0</v>
      </c>
      <c r="D248" s="49">
        <f ca="1">(calc_close_cash_m1&lt;inp_min_buffer)*1+(calc_close_cash_m2&lt;inp_min_buffer)*1+(calc_close_cash_m3&lt;inp_min_buffer)*1</f>
        <v>0</v>
      </c>
      <c r="E248" s="49">
        <f ca="1">(calc_close_cash_m1&lt;inp_min_buffer)*1+(calc_close_cash_m2&lt;inp_min_buffer)*1+(calc_close_cash_m3&lt;inp_min_buffer)*1+(calc_close_cash_m4&lt;inp_min_buffer)*1</f>
        <v>0</v>
      </c>
      <c r="F248" s="49">
        <f ca="1">(calc_close_cash_m1&lt;inp_min_buffer)*1+(calc_close_cash_m2&lt;inp_min_buffer)*1+(calc_close_cash_m3&lt;inp_min_buffer)*1+(calc_close_cash_m4&lt;inp_min_buffer)*1+(calc_close_cash_m5&lt;inp_min_buffer)*1</f>
        <v>0</v>
      </c>
      <c r="G248" s="49">
        <f ca="1">(calc_close_cash_m1&lt;inp_min_buffer)*1+(calc_close_cash_m2&lt;inp_min_buffer)*1+(calc_close_cash_m3&lt;inp_min_buffer)*1+(calc_close_cash_m4&lt;inp_min_buffer)*1+(calc_close_cash_m5&lt;inp_min_buffer)*1+(calc_close_cash_m6&lt;inp_min_buffer)*1</f>
        <v>0</v>
      </c>
      <c r="H248" s="49">
        <f ca="1">(calc_close_cash_m1&lt;inp_min_buffer)*1+(calc_close_cash_m2&lt;inp_min_buffer)*1+(calc_close_cash_m3&lt;inp_min_buffer)*1+(calc_close_cash_m4&lt;inp_min_buffer)*1+(calc_close_cash_m5&lt;inp_min_buffer)*1+(calc_close_cash_m6&lt;inp_min_buffer)*1+(calc_close_cash_m7&lt;inp_min_buffer)*1</f>
        <v>0</v>
      </c>
      <c r="I248" s="49">
        <f ca="1">(calc_close_cash_m1&lt;inp_min_buffer)*1+(calc_close_cash_m2&lt;inp_min_buffer)*1+(calc_close_cash_m3&lt;inp_min_buffer)*1+(calc_close_cash_m4&lt;inp_min_buffer)*1+(calc_close_cash_m5&lt;inp_min_buffer)*1+(calc_close_cash_m6&lt;inp_min_buffer)*1+(calc_close_cash_m7&lt;inp_min_buffer)*1+(calc_close_cash_m8&lt;inp_min_buffer)*1</f>
        <v>0</v>
      </c>
      <c r="J248" s="49">
        <f ca="1">(calc_close_cash_m1&lt;inp_min_buffer)*1+(calc_close_cash_m2&lt;inp_min_buffer)*1+(calc_close_cash_m3&lt;inp_min_buffer)*1+(calc_close_cash_m4&lt;inp_min_buffer)*1+(calc_close_cash_m5&lt;inp_min_buffer)*1+(calc_close_cash_m6&lt;inp_min_buffer)*1+(calc_close_cash_m7&lt;inp_min_buffer)*1+(calc_close_cash_m8&lt;inp_min_buffer)*1+(calc_close_cash_m9&lt;inp_min_buffer)*1</f>
        <v>0</v>
      </c>
      <c r="K248" s="49">
        <f ca="1">(calc_close_cash_m1&lt;inp_min_buffer)*1+(calc_close_cash_m2&lt;inp_min_buffer)*1+(calc_close_cash_m3&lt;inp_min_buffer)*1+(calc_close_cash_m4&lt;inp_min_buffer)*1+(calc_close_cash_m5&lt;inp_min_buffer)*1+(calc_close_cash_m6&lt;inp_min_buffer)*1+(calc_close_cash_m7&lt;inp_min_buffer)*1+(calc_close_cash_m8&lt;inp_min_buffer)*1+(calc_close_cash_m9&lt;inp_min_buffer)*1+(calc_close_cash_m10&lt;inp_min_buffer)*1</f>
        <v>0</v>
      </c>
      <c r="L248" s="49">
        <f ca="1">(calc_close_cash_m1&lt;inp_min_buffer)*1+(calc_close_cash_m2&lt;inp_min_buffer)*1+(calc_close_cash_m3&lt;inp_min_buffer)*1+(calc_close_cash_m4&lt;inp_min_buffer)*1+(calc_close_cash_m5&lt;inp_min_buffer)*1+(calc_close_cash_m6&lt;inp_min_buffer)*1+(calc_close_cash_m7&lt;inp_min_buffer)*1+(calc_close_cash_m8&lt;inp_min_buffer)*1+(calc_close_cash_m9&lt;inp_min_buffer)*1+(calc_close_cash_m10&lt;inp_min_buffer)*1+(calc_close_cash_m11&lt;inp_min_buffer)*1</f>
        <v>0</v>
      </c>
      <c r="M248" s="49">
        <f ca="1">(calc_close_cash_m1&lt;inp_min_buffer)*1+(calc_close_cash_m2&lt;inp_min_buffer)*1+(calc_close_cash_m3&lt;inp_min_buffer)*1+(calc_close_cash_m4&lt;inp_min_buffer)*1+(calc_close_cash_m5&lt;inp_min_buffer)*1+(calc_close_cash_m6&lt;inp_min_buffer)*1+(calc_close_cash_m7&lt;inp_min_buffer)*1+(calc_close_cash_m8&lt;inp_min_buffer)*1+(calc_close_cash_m9&lt;inp_min_buffer)*1+(calc_close_cash_m10&lt;inp_min_buffer)*1+(calc_close_cash_m11&lt;inp_min_buffer)*1+(calc_close_cash_m12&lt;inp_min_buffer)*1</f>
        <v>0</v>
      </c>
      <c r="N248" s="50">
        <f t="shared" ca="1" si="9"/>
        <v>0</v>
      </c>
      <c r="O248" s="1"/>
      <c r="P248" s="1"/>
    </row>
    <row r="249" spans="1:16" x14ac:dyDescent="0.2">
      <c r="A249" s="48" t="s">
        <v>134</v>
      </c>
      <c r="B249" s="49">
        <f>calc_close_cash_m1</f>
        <v>431011.89583333331</v>
      </c>
      <c r="C249" s="49">
        <f ca="1">calc_close_cash_m2</f>
        <v>485486.79166666663</v>
      </c>
      <c r="D249" s="49">
        <f ca="1">calc_close_cash_m3</f>
        <v>485545.93749999994</v>
      </c>
      <c r="E249" s="49">
        <f ca="1">calc_close_cash_m4</f>
        <v>524245.70833333326</v>
      </c>
      <c r="F249" s="49">
        <f ca="1">calc_close_cash_m5</f>
        <v>586531.10416666663</v>
      </c>
      <c r="G249" s="49">
        <f ca="1">calc_close_cash_m6</f>
        <v>595516.8125</v>
      </c>
      <c r="H249" s="49">
        <f ca="1">calc_close_cash_m7</f>
        <v>638615.89583333337</v>
      </c>
      <c r="I249" s="49">
        <f ca="1">calc_close_cash_m8</f>
        <v>666927.97916666674</v>
      </c>
      <c r="J249" s="49">
        <f ca="1">calc_close_cash_m9</f>
        <v>672919.50000000012</v>
      </c>
      <c r="K249" s="49">
        <f ca="1">calc_close_cash_m10</f>
        <v>733071.33333333349</v>
      </c>
      <c r="L249" s="49">
        <f ca="1">calc_close_cash_m11</f>
        <v>744321.10416666686</v>
      </c>
      <c r="M249" s="49">
        <f ca="1">calc_close_cash_m12</f>
        <v>768841.37500000023</v>
      </c>
      <c r="N249" s="50">
        <f t="shared" ca="1" si="9"/>
        <v>768841.37500000023</v>
      </c>
      <c r="O249" s="1"/>
      <c r="P249" s="1"/>
    </row>
    <row r="250" spans="1:16" x14ac:dyDescent="0.2">
      <c r="A250" s="48" t="s">
        <v>135</v>
      </c>
      <c r="B250" s="49">
        <f t="shared" ref="B250:M250" si="10">inp_other_ca</f>
        <v>0</v>
      </c>
      <c r="C250" s="49">
        <f t="shared" si="10"/>
        <v>0</v>
      </c>
      <c r="D250" s="49">
        <f t="shared" si="10"/>
        <v>0</v>
      </c>
      <c r="E250" s="49">
        <f t="shared" si="10"/>
        <v>0</v>
      </c>
      <c r="F250" s="49">
        <f t="shared" si="10"/>
        <v>0</v>
      </c>
      <c r="G250" s="49">
        <f t="shared" si="10"/>
        <v>0</v>
      </c>
      <c r="H250" s="49">
        <f t="shared" si="10"/>
        <v>0</v>
      </c>
      <c r="I250" s="49">
        <f t="shared" si="10"/>
        <v>0</v>
      </c>
      <c r="J250" s="49">
        <f t="shared" si="10"/>
        <v>0</v>
      </c>
      <c r="K250" s="49">
        <f t="shared" si="10"/>
        <v>0</v>
      </c>
      <c r="L250" s="49">
        <f t="shared" si="10"/>
        <v>0</v>
      </c>
      <c r="M250" s="49">
        <f t="shared" si="10"/>
        <v>0</v>
      </c>
      <c r="N250" s="50">
        <f t="shared" si="9"/>
        <v>0</v>
      </c>
      <c r="O250" s="1"/>
      <c r="P250" s="1"/>
    </row>
    <row r="251" spans="1:16" x14ac:dyDescent="0.2">
      <c r="A251" s="48" t="s">
        <v>136</v>
      </c>
      <c r="B251" s="49">
        <f>calc_bs_cash_m1+calc_bs_ar_m1+calc_bs_other_ca_m1</f>
        <v>737604.77083333326</v>
      </c>
      <c r="C251" s="49">
        <f ca="1">calc_bs_cash_m2+calc_bs_ar_m2+calc_bs_other_ca_m2</f>
        <v>765419.41666666663</v>
      </c>
      <c r="D251" s="49">
        <f ca="1">calc_bs_cash_m3+calc_bs_ar_m3+calc_bs_other_ca_m3</f>
        <v>807927.0625</v>
      </c>
      <c r="E251" s="49">
        <f ca="1">calc_bs_cash_m4+calc_bs_ar_m4+calc_bs_other_ca_m4</f>
        <v>852492.58333333326</v>
      </c>
      <c r="F251" s="49">
        <f ca="1">calc_bs_cash_m5+calc_bs_ar_m5+calc_bs_other_ca_m5</f>
        <v>879338.22916666663</v>
      </c>
      <c r="G251" s="49">
        <f ca="1">calc_bs_cash_m6+calc_bs_ar_m6+calc_bs_other_ca_m6</f>
        <v>906043.8125</v>
      </c>
      <c r="H251" s="49">
        <f ca="1">calc_bs_cash_m7+calc_bs_ar_m7+calc_bs_other_ca_m7</f>
        <v>934355.89583333337</v>
      </c>
      <c r="I251" s="49">
        <f ca="1">calc_bs_cash_m8+calc_bs_ar_m8+calc_bs_other_ca_m8</f>
        <v>962667.97916666674</v>
      </c>
      <c r="J251" s="49">
        <f ca="1">calc_bs_cash_m9+calc_bs_ar_m9+calc_bs_other_ca_m9</f>
        <v>995300.62500000012</v>
      </c>
      <c r="K251" s="49">
        <f ca="1">calc_bs_cash_m10+calc_bs_ar_m10+calc_bs_other_ca_m10</f>
        <v>1018414.0833333335</v>
      </c>
      <c r="L251" s="49">
        <f ca="1">calc_bs_cash_m11+calc_bs_ar_m11+calc_bs_other_ca_m11</f>
        <v>1053391.229166667</v>
      </c>
      <c r="M251" s="49">
        <f ca="1">calc_bs_cash_m12+calc_bs_ar_m12+calc_bs_other_ca_m12</f>
        <v>1080825.2500000002</v>
      </c>
      <c r="N251" s="50">
        <f t="shared" ca="1" si="9"/>
        <v>1080825.2500000002</v>
      </c>
      <c r="O251" s="1"/>
      <c r="P251" s="1"/>
    </row>
    <row r="252" spans="1:16" x14ac:dyDescent="0.2">
      <c r="A252" s="48" t="s">
        <v>137</v>
      </c>
      <c r="B252" s="49">
        <f ca="1">inp_open_fa+SUM(OFFSET(inp_capex_m1m12,0,0,1,1))</f>
        <v>180000</v>
      </c>
      <c r="C252" s="49">
        <f ca="1">inp_open_fa+SUM(OFFSET(inp_capex_m1m12,0,0,1,2))</f>
        <v>180000</v>
      </c>
      <c r="D252" s="49">
        <f ca="1">inp_open_fa+SUM(OFFSET(inp_capex_m1m12,0,0,1,3))</f>
        <v>180000</v>
      </c>
      <c r="E252" s="49">
        <f ca="1">inp_open_fa+SUM(OFFSET(inp_capex_m1m12,0,0,1,4))</f>
        <v>180000</v>
      </c>
      <c r="F252" s="49">
        <f ca="1">inp_open_fa+SUM(OFFSET(inp_capex_m1m12,0,0,1,5))</f>
        <v>180000</v>
      </c>
      <c r="G252" s="49">
        <f ca="1">inp_open_fa+SUM(OFFSET(inp_capex_m1m12,0,0,1,6))</f>
        <v>180000</v>
      </c>
      <c r="H252" s="49">
        <f ca="1">inp_open_fa+SUM(OFFSET(inp_capex_m1m12,0,0,1,7))</f>
        <v>180000</v>
      </c>
      <c r="I252" s="49">
        <f ca="1">inp_open_fa+SUM(OFFSET(inp_capex_m1m12,0,0,1,8))</f>
        <v>180000</v>
      </c>
      <c r="J252" s="49">
        <f ca="1">inp_open_fa+SUM(OFFSET(inp_capex_m1m12,0,0,1,9))</f>
        <v>180000</v>
      </c>
      <c r="K252" s="49">
        <f ca="1">inp_open_fa+SUM(OFFSET(inp_capex_m1m12,0,0,1,10))</f>
        <v>180000</v>
      </c>
      <c r="L252" s="49">
        <f ca="1">inp_open_fa+SUM(OFFSET(inp_capex_m1m12,0,0,1,11))</f>
        <v>180000</v>
      </c>
      <c r="M252" s="49">
        <f ca="1">inp_open_fa+SUM(OFFSET(inp_capex_m1m12,0,0,1,12))</f>
        <v>180000</v>
      </c>
      <c r="N252" s="50">
        <f t="shared" ca="1" si="9"/>
        <v>180000</v>
      </c>
      <c r="O252" s="1"/>
      <c r="P252" s="1"/>
    </row>
    <row r="253" spans="1:16" x14ac:dyDescent="0.2">
      <c r="A253" s="48" t="s">
        <v>138</v>
      </c>
      <c r="B253" s="49">
        <f>-(calc_da_m1*1)</f>
        <v>-5833.333333333333</v>
      </c>
      <c r="C253" s="49">
        <f>-(calc_da_m1*2)</f>
        <v>-11666.666666666666</v>
      </c>
      <c r="D253" s="49">
        <f>-(calc_da_m1*3)</f>
        <v>-17500</v>
      </c>
      <c r="E253" s="49">
        <f>-(calc_da_m1*4)</f>
        <v>-23333.333333333332</v>
      </c>
      <c r="F253" s="49">
        <f>-(calc_da_m1*5)</f>
        <v>-29166.666666666664</v>
      </c>
      <c r="G253" s="49">
        <f>-(calc_da_m1*6)</f>
        <v>-35000</v>
      </c>
      <c r="H253" s="49">
        <f>-(calc_da_m1*7)</f>
        <v>-40833.333333333328</v>
      </c>
      <c r="I253" s="49">
        <f>-(calc_da_m1*8)</f>
        <v>-46666.666666666664</v>
      </c>
      <c r="J253" s="49">
        <f>-(calc_da_m1*9)</f>
        <v>-52500</v>
      </c>
      <c r="K253" s="49">
        <f>-(calc_da_m1*10)</f>
        <v>-58333.333333333328</v>
      </c>
      <c r="L253" s="49">
        <f>-(calc_da_m1*11)</f>
        <v>-64166.666666666664</v>
      </c>
      <c r="M253" s="49">
        <f>-(calc_da_m1*12)</f>
        <v>-70000</v>
      </c>
      <c r="N253" s="50">
        <f t="shared" si="9"/>
        <v>-70000</v>
      </c>
      <c r="O253" s="1"/>
      <c r="P253" s="1"/>
    </row>
    <row r="254" spans="1:16" x14ac:dyDescent="0.2">
      <c r="A254" s="48" t="s">
        <v>139</v>
      </c>
      <c r="B254" s="49">
        <f ca="1">calc_bs_ppe_cost_m1+calc_bs_acc_da_neg_m1</f>
        <v>174166.66666666666</v>
      </c>
      <c r="C254" s="49">
        <f ca="1">calc_bs_ppe_cost_m2+calc_bs_acc_da_neg_m2</f>
        <v>168333.33333333334</v>
      </c>
      <c r="D254" s="49">
        <f ca="1">calc_bs_ppe_cost_m3+calc_bs_acc_da_neg_m3</f>
        <v>162500</v>
      </c>
      <c r="E254" s="49">
        <f ca="1">calc_bs_ppe_cost_m4+calc_bs_acc_da_neg_m4</f>
        <v>156666.66666666666</v>
      </c>
      <c r="F254" s="49">
        <f ca="1">calc_bs_ppe_cost_m5+calc_bs_acc_da_neg_m5</f>
        <v>150833.33333333334</v>
      </c>
      <c r="G254" s="49">
        <f ca="1">calc_bs_ppe_cost_m6+calc_bs_acc_da_neg_m6</f>
        <v>145000</v>
      </c>
      <c r="H254" s="49">
        <f ca="1">calc_bs_ppe_cost_m7+calc_bs_acc_da_neg_m7</f>
        <v>139166.66666666669</v>
      </c>
      <c r="I254" s="49">
        <f ca="1">calc_bs_ppe_cost_m8+calc_bs_acc_da_neg_m8</f>
        <v>133333.33333333334</v>
      </c>
      <c r="J254" s="49">
        <f ca="1">calc_bs_ppe_cost_m9+calc_bs_acc_da_neg_m9</f>
        <v>127500</v>
      </c>
      <c r="K254" s="49">
        <f ca="1">calc_bs_ppe_cost_m10+calc_bs_acc_da_neg_m10</f>
        <v>121666.66666666667</v>
      </c>
      <c r="L254" s="49">
        <f ca="1">calc_bs_ppe_cost_m11+calc_bs_acc_da_neg_m11</f>
        <v>115833.33333333334</v>
      </c>
      <c r="M254" s="49">
        <f ca="1">calc_bs_ppe_cost_m12+calc_bs_acc_da_neg_m12</f>
        <v>110000</v>
      </c>
      <c r="N254" s="50">
        <f t="shared" ca="1" si="9"/>
        <v>110000</v>
      </c>
      <c r="O254" s="1"/>
      <c r="P254" s="1"/>
    </row>
    <row r="255" spans="1:16" x14ac:dyDescent="0.2">
      <c r="A255" s="48" t="s">
        <v>140</v>
      </c>
      <c r="B255" s="49">
        <f ca="1">calc_bs_total_ca_m1+calc_bs_net_fa_m1</f>
        <v>911771.43749999988</v>
      </c>
      <c r="C255" s="49">
        <f ca="1">calc_bs_total_ca_m2+calc_bs_net_fa_m2</f>
        <v>933752.75</v>
      </c>
      <c r="D255" s="49">
        <f ca="1">calc_bs_total_ca_m3+calc_bs_net_fa_m3</f>
        <v>970427.0625</v>
      </c>
      <c r="E255" s="49">
        <f ca="1">calc_bs_total_ca_m4+calc_bs_net_fa_m4</f>
        <v>1009159.2499999999</v>
      </c>
      <c r="F255" s="49">
        <f ca="1">calc_bs_total_ca_m5+calc_bs_net_fa_m5</f>
        <v>1030171.5625</v>
      </c>
      <c r="G255" s="49">
        <f ca="1">calc_bs_total_ca_m6+calc_bs_net_fa_m6</f>
        <v>1051043.8125</v>
      </c>
      <c r="H255" s="49">
        <f ca="1">calc_bs_total_ca_m7+calc_bs_net_fa_m7</f>
        <v>1073522.5625</v>
      </c>
      <c r="I255" s="49">
        <f ca="1">calc_bs_total_ca_m8+calc_bs_net_fa_m8</f>
        <v>1096001.3125</v>
      </c>
      <c r="J255" s="49">
        <f ca="1">calc_bs_total_ca_m9+calc_bs_net_fa_m9</f>
        <v>1122800.625</v>
      </c>
      <c r="K255" s="49">
        <f ca="1">calc_bs_total_ca_m10+calc_bs_net_fa_m10</f>
        <v>1140080.7500000002</v>
      </c>
      <c r="L255" s="49">
        <f ca="1">calc_bs_total_ca_m11+calc_bs_net_fa_m11</f>
        <v>1169224.5625000002</v>
      </c>
      <c r="M255" s="49">
        <f ca="1">calc_bs_total_ca_m12+calc_bs_net_fa_m12</f>
        <v>1190825.2500000002</v>
      </c>
      <c r="N255" s="50">
        <f t="shared" ca="1" si="9"/>
        <v>1190825.2500000002</v>
      </c>
      <c r="O255" s="1"/>
      <c r="P255" s="1"/>
    </row>
    <row r="256" spans="1:16" x14ac:dyDescent="0.2">
      <c r="A256" s="48" t="s">
        <v>141</v>
      </c>
      <c r="B256" s="49">
        <f>0</f>
        <v>0</v>
      </c>
      <c r="C256" s="49">
        <f>0</f>
        <v>0</v>
      </c>
      <c r="D256" s="49">
        <f>0</f>
        <v>0</v>
      </c>
      <c r="E256" s="49">
        <f>0</f>
        <v>0</v>
      </c>
      <c r="F256" s="49">
        <f>0</f>
        <v>0</v>
      </c>
      <c r="G256" s="49">
        <f>0</f>
        <v>0</v>
      </c>
      <c r="H256" s="49">
        <f>0</f>
        <v>0</v>
      </c>
      <c r="I256" s="49">
        <f>0</f>
        <v>0</v>
      </c>
      <c r="J256" s="49">
        <f>0</f>
        <v>0</v>
      </c>
      <c r="K256" s="49">
        <f>0</f>
        <v>0</v>
      </c>
      <c r="L256" s="49">
        <f>0</f>
        <v>0</v>
      </c>
      <c r="M256" s="49">
        <f>0</f>
        <v>0</v>
      </c>
      <c r="N256" s="50">
        <f t="shared" si="9"/>
        <v>0</v>
      </c>
      <c r="O256" s="1"/>
      <c r="P256" s="1"/>
    </row>
    <row r="257" spans="1:16" x14ac:dyDescent="0.2">
      <c r="A257" s="48" t="s">
        <v>142</v>
      </c>
      <c r="B257" s="49">
        <f ca="1">inp_open_debt+SUM(OFFSET(inp_debt_draw_m1m12,0,0,1,1))-SUM(OFFSET(inp_debt_repay_m1m12,0,0,1,1))</f>
        <v>240000</v>
      </c>
      <c r="C257" s="49">
        <f ca="1">inp_open_debt+SUM(OFFSET(inp_debt_draw_m1m12,0,0,1,2))-SUM(OFFSET(inp_debt_repay_m1m12,0,0,1,2))</f>
        <v>240000</v>
      </c>
      <c r="D257" s="49">
        <f ca="1">inp_open_debt+SUM(OFFSET(inp_debt_draw_m1m12,0,0,1,3))-SUM(OFFSET(inp_debt_repay_m1m12,0,0,1,3))</f>
        <v>240000</v>
      </c>
      <c r="E257" s="49">
        <f ca="1">inp_open_debt+SUM(OFFSET(inp_debt_draw_m1m12,0,0,1,4))-SUM(OFFSET(inp_debt_repay_m1m12,0,0,1,4))</f>
        <v>240000</v>
      </c>
      <c r="F257" s="49">
        <f ca="1">inp_open_debt+SUM(OFFSET(inp_debt_draw_m1m12,0,0,1,5))-SUM(OFFSET(inp_debt_repay_m1m12,0,0,1,5))</f>
        <v>240000</v>
      </c>
      <c r="G257" s="49">
        <f ca="1">inp_open_debt+SUM(OFFSET(inp_debt_draw_m1m12,0,0,1,6))-SUM(OFFSET(inp_debt_repay_m1m12,0,0,1,6))</f>
        <v>240000</v>
      </c>
      <c r="H257" s="49">
        <f ca="1">inp_open_debt+SUM(OFFSET(inp_debt_draw_m1m12,0,0,1,7))-SUM(OFFSET(inp_debt_repay_m1m12,0,0,1,7))</f>
        <v>240000</v>
      </c>
      <c r="I257" s="49">
        <f ca="1">inp_open_debt+SUM(OFFSET(inp_debt_draw_m1m12,0,0,1,8))-SUM(OFFSET(inp_debt_repay_m1m12,0,0,1,8))</f>
        <v>240000</v>
      </c>
      <c r="J257" s="49">
        <f ca="1">inp_open_debt+SUM(OFFSET(inp_debt_draw_m1m12,0,0,1,9))-SUM(OFFSET(inp_debt_repay_m1m12,0,0,1,9))</f>
        <v>240000</v>
      </c>
      <c r="K257" s="49">
        <f ca="1">inp_open_debt+SUM(OFFSET(inp_debt_draw_m1m12,0,0,1,10))-SUM(OFFSET(inp_debt_repay_m1m12,0,0,1,10))</f>
        <v>240000</v>
      </c>
      <c r="L257" s="49">
        <f ca="1">inp_open_debt+SUM(OFFSET(inp_debt_draw_m1m12,0,0,1,11))-SUM(OFFSET(inp_debt_repay_m1m12,0,0,1,11))</f>
        <v>240000</v>
      </c>
      <c r="M257" s="49">
        <f ca="1">inp_open_debt+SUM(OFFSET(inp_debt_draw_m1m12,0,0,1,12))-SUM(OFFSET(inp_debt_repay_m1m12,0,0,1,12))</f>
        <v>240000</v>
      </c>
      <c r="N257" s="50">
        <f t="shared" ca="1" si="9"/>
        <v>240000</v>
      </c>
      <c r="O257" s="1"/>
      <c r="P257" s="1"/>
    </row>
    <row r="258" spans="1:16" x14ac:dyDescent="0.2">
      <c r="A258" s="48" t="s">
        <v>143</v>
      </c>
      <c r="B258" s="49">
        <f ca="1">calc_bs_ap_m1+calc_bs_debt_m1+calc_bs_tax_pay_m1</f>
        <v>349293.75</v>
      </c>
      <c r="C258" s="49">
        <f ca="1">calc_bs_ap_m2+calc_bs_debt_m2+calc_bs_tax_pay_m2</f>
        <v>349293.75</v>
      </c>
      <c r="D258" s="49">
        <f ca="1">calc_bs_ap_m3+calc_bs_debt_m3+calc_bs_tax_pay_m3</f>
        <v>359168.75</v>
      </c>
      <c r="E258" s="49">
        <f ca="1">calc_bs_ap_m4+calc_bs_debt_m4+calc_bs_tax_pay_m4</f>
        <v>359168.75</v>
      </c>
      <c r="F258" s="49">
        <f ca="1">calc_bs_ap_m5+calc_bs_debt_m5+calc_bs_tax_pay_m5</f>
        <v>359168.75</v>
      </c>
      <c r="G258" s="49">
        <f ca="1">calc_bs_ap_m6+calc_bs_debt_m6+calc_bs_tax_pay_m6</f>
        <v>359168.75</v>
      </c>
      <c r="H258" s="49">
        <f ca="1">calc_bs_ap_m7+calc_bs_debt_m7+calc_bs_tax_pay_m7</f>
        <v>359168.75</v>
      </c>
      <c r="I258" s="49">
        <f ca="1">calc_bs_ap_m8+calc_bs_debt_m8+calc_bs_tax_pay_m8</f>
        <v>359168.75</v>
      </c>
      <c r="J258" s="49">
        <f ca="1">calc_bs_ap_m9+calc_bs_debt_m9+calc_bs_tax_pay_m9</f>
        <v>359168.75</v>
      </c>
      <c r="K258" s="49">
        <f ca="1">calc_bs_ap_m10+calc_bs_debt_m10+calc_bs_tax_pay_m10</f>
        <v>359168.75</v>
      </c>
      <c r="L258" s="49">
        <f ca="1">calc_bs_ap_m11+calc_bs_debt_m11+calc_bs_tax_pay_m11</f>
        <v>359168.75</v>
      </c>
      <c r="M258" s="49">
        <f ca="1">calc_bs_ap_m12+calc_bs_debt_m12+calc_bs_tax_pay_m12</f>
        <v>359168.75</v>
      </c>
      <c r="N258" s="50">
        <f t="shared" ca="1" si="9"/>
        <v>359168.75</v>
      </c>
      <c r="O258" s="1"/>
      <c r="P258" s="1"/>
    </row>
    <row r="259" spans="1:16" x14ac:dyDescent="0.2">
      <c r="A259" s="48" t="s">
        <v>144</v>
      </c>
      <c r="B259" s="49">
        <f ca="1">IF(inp_open_equity&lt;&gt;"",inp_open_equity,calc_bs_total_assets_m1-calc_bs_total_liab_m1-calc_bs_ret_earn_m1)</f>
        <v>549999.99999999988</v>
      </c>
      <c r="C259" s="49">
        <f ca="1">$B$259</f>
        <v>549999.99999999988</v>
      </c>
      <c r="D259" s="49">
        <f t="shared" ref="D259:N259" ca="1" si="11">$B$259</f>
        <v>549999.99999999988</v>
      </c>
      <c r="E259" s="49">
        <f t="shared" ca="1" si="11"/>
        <v>549999.99999999988</v>
      </c>
      <c r="F259" s="49">
        <f t="shared" ca="1" si="11"/>
        <v>549999.99999999988</v>
      </c>
      <c r="G259" s="49">
        <f t="shared" ca="1" si="11"/>
        <v>549999.99999999988</v>
      </c>
      <c r="H259" s="49">
        <f t="shared" ca="1" si="11"/>
        <v>549999.99999999988</v>
      </c>
      <c r="I259" s="49">
        <f t="shared" ca="1" si="11"/>
        <v>549999.99999999988</v>
      </c>
      <c r="J259" s="49">
        <f t="shared" ca="1" si="11"/>
        <v>549999.99999999988</v>
      </c>
      <c r="K259" s="49">
        <f t="shared" ca="1" si="11"/>
        <v>549999.99999999988</v>
      </c>
      <c r="L259" s="49">
        <f t="shared" ca="1" si="11"/>
        <v>549999.99999999988</v>
      </c>
      <c r="M259" s="49">
        <f t="shared" ca="1" si="11"/>
        <v>549999.99999999988</v>
      </c>
      <c r="N259" s="49">
        <f t="shared" ca="1" si="11"/>
        <v>549999.99999999988</v>
      </c>
      <c r="O259" s="1"/>
      <c r="P259" s="1"/>
    </row>
    <row r="260" spans="1:16" x14ac:dyDescent="0.2">
      <c r="A260" s="48" t="s">
        <v>145</v>
      </c>
      <c r="B260" s="49">
        <f ca="1">SUM(OFFSET(calc_net_profit_m1,0,0,1,1))-SUM(OFFSET(inp_dist_m1m12,0,0,1,1))</f>
        <v>12477.6875</v>
      </c>
      <c r="C260" s="49">
        <f ca="1">SUM(OFFSET(calc_net_profit_m1,0,0,1,2))-SUM(OFFSET(inp_dist_m1m12,0,0,1,2))</f>
        <v>34459</v>
      </c>
      <c r="D260" s="49">
        <f ca="1">SUM(OFFSET(calc_net_profit_m1,0,0,1,3))-SUM(OFFSET(inp_dist_m1m12,0,0,1,3))</f>
        <v>61258.3125</v>
      </c>
      <c r="E260" s="49">
        <f ca="1">SUM(OFFSET(calc_net_profit_m1,0,0,1,4))-SUM(OFFSET(inp_dist_m1m12,0,0,1,4))</f>
        <v>99990.5</v>
      </c>
      <c r="F260" s="49">
        <f ca="1">SUM(OFFSET(calc_net_profit_m1,0,0,1,5))-SUM(OFFSET(inp_dist_m1m12,0,0,1,5))</f>
        <v>121002.8125</v>
      </c>
      <c r="G260" s="49">
        <f ca="1">SUM(OFFSET(calc_net_profit_m1,0,0,1,6))-SUM(OFFSET(inp_dist_m1m12,0,0,1,6))</f>
        <v>141875.0625</v>
      </c>
      <c r="H260" s="49">
        <f ca="1">SUM(OFFSET(calc_net_profit_m1,0,0,1,7))-SUM(OFFSET(inp_dist_m1m12,0,0,1,7))</f>
        <v>164353.8125</v>
      </c>
      <c r="I260" s="49">
        <f ca="1">SUM(OFFSET(calc_net_profit_m1,0,0,1,8))-SUM(OFFSET(inp_dist_m1m12,0,0,1,8))</f>
        <v>186832.5625</v>
      </c>
      <c r="J260" s="49">
        <f ca="1">SUM(OFFSET(calc_net_profit_m1,0,0,1,9))-SUM(OFFSET(inp_dist_m1m12,0,0,1,9))</f>
        <v>213631.875</v>
      </c>
      <c r="K260" s="49">
        <f ca="1">SUM(OFFSET(calc_net_profit_m1,0,0,1,10))-SUM(OFFSET(inp_dist_m1m12,0,0,1,10))</f>
        <v>230912</v>
      </c>
      <c r="L260" s="49">
        <f ca="1">SUM(OFFSET(calc_net_profit_m1,0,0,1,11))-SUM(OFFSET(inp_dist_m1m12,0,0,1,11))</f>
        <v>260055.8125</v>
      </c>
      <c r="M260" s="49">
        <f ca="1">SUM(OFFSET(calc_net_profit_m1,0,0,1,12))-SUM(OFFSET(inp_dist_m1m12,0,0,1,12))</f>
        <v>281656.5</v>
      </c>
      <c r="N260" s="50">
        <f t="shared" ca="1" si="9"/>
        <v>281656.5</v>
      </c>
      <c r="O260" s="1"/>
      <c r="P260" s="1"/>
    </row>
    <row r="261" spans="1:16" x14ac:dyDescent="0.2">
      <c r="A261" s="48" t="s">
        <v>146</v>
      </c>
      <c r="B261" s="49">
        <f ca="1">calc_bs_paid_in_m1+calc_bs_ret_earn_m1+calc_bs_total_liab_m1</f>
        <v>911771.43749999988</v>
      </c>
      <c r="C261" s="49">
        <f ca="1">calc_bs_paid_in_m2+calc_bs_ret_earn_m2+calc_bs_total_liab_m2</f>
        <v>933752.74999999988</v>
      </c>
      <c r="D261" s="49">
        <f ca="1">calc_bs_paid_in_m3+calc_bs_ret_earn_m3+calc_bs_total_liab_m3</f>
        <v>970427.06249999988</v>
      </c>
      <c r="E261" s="49">
        <f ca="1">calc_bs_paid_in_m4+calc_bs_ret_earn_m4+calc_bs_total_liab_m4</f>
        <v>1009159.2499999999</v>
      </c>
      <c r="F261" s="49">
        <f ca="1">calc_bs_paid_in_m5+calc_bs_ret_earn_m5+calc_bs_total_liab_m5</f>
        <v>1030171.5624999999</v>
      </c>
      <c r="G261" s="49">
        <f ca="1">calc_bs_paid_in_m6+calc_bs_ret_earn_m6+calc_bs_total_liab_m6</f>
        <v>1051043.8125</v>
      </c>
      <c r="H261" s="49">
        <f ca="1">calc_bs_paid_in_m7+calc_bs_ret_earn_m7+calc_bs_total_liab_m7</f>
        <v>1073522.5625</v>
      </c>
      <c r="I261" s="49">
        <f ca="1">calc_bs_paid_in_m8+calc_bs_ret_earn_m8+calc_bs_total_liab_m8</f>
        <v>1096001.3125</v>
      </c>
      <c r="J261" s="49">
        <f ca="1">calc_bs_paid_in_m9+calc_bs_ret_earn_m9+calc_bs_total_liab_m9</f>
        <v>1122800.625</v>
      </c>
      <c r="K261" s="49">
        <f ca="1">calc_bs_paid_in_m10+calc_bs_ret_earn_m10+calc_bs_total_liab_m10</f>
        <v>1140080.75</v>
      </c>
      <c r="L261" s="49">
        <f ca="1">calc_bs_paid_in_m11+calc_bs_ret_earn_m11+calc_bs_total_liab_m11</f>
        <v>1169224.5625</v>
      </c>
      <c r="M261" s="49">
        <f ca="1">calc_bs_paid_in_m12+calc_bs_ret_earn_m12+calc_bs_total_liab_m12</f>
        <v>1190825.25</v>
      </c>
      <c r="N261" s="50">
        <f t="shared" ca="1" si="9"/>
        <v>1190825.25</v>
      </c>
      <c r="O261" s="1"/>
      <c r="P261" s="1"/>
    </row>
    <row r="262" spans="1:16" x14ac:dyDescent="0.2">
      <c r="A262" s="48" t="s">
        <v>147</v>
      </c>
      <c r="B262" s="49">
        <f ca="1">calc_bs_total_assets_m1-calc_bs_total_le_m1</f>
        <v>0</v>
      </c>
      <c r="C262" s="49">
        <f ca="1">calc_bs_total_assets_m2-calc_bs_total_le_m2</f>
        <v>0</v>
      </c>
      <c r="D262" s="49">
        <f ca="1">calc_bs_total_assets_m3-calc_bs_total_le_m3</f>
        <v>0</v>
      </c>
      <c r="E262" s="49">
        <f ca="1">calc_bs_total_assets_m4-calc_bs_total_le_m4</f>
        <v>0</v>
      </c>
      <c r="F262" s="49">
        <f ca="1">calc_bs_total_assets_m5-calc_bs_total_le_m5</f>
        <v>0</v>
      </c>
      <c r="G262" s="49">
        <f ca="1">calc_bs_total_assets_m6-calc_bs_total_le_m6</f>
        <v>0</v>
      </c>
      <c r="H262" s="49">
        <f ca="1">calc_bs_total_assets_m7-calc_bs_total_le_m7</f>
        <v>0</v>
      </c>
      <c r="I262" s="49">
        <f ca="1">calc_bs_total_assets_m8-calc_bs_total_le_m8</f>
        <v>0</v>
      </c>
      <c r="J262" s="49">
        <f ca="1">calc_bs_total_assets_m9-calc_bs_total_le_m9</f>
        <v>0</v>
      </c>
      <c r="K262" s="49">
        <f ca="1">calc_bs_total_assets_m10-calc_bs_total_le_m10</f>
        <v>0</v>
      </c>
      <c r="L262" s="49">
        <f ca="1">calc_bs_total_assets_m11-calc_bs_total_le_m11</f>
        <v>0</v>
      </c>
      <c r="M262" s="49">
        <f ca="1">calc_bs_total_assets_m12-calc_bs_total_le_m12</f>
        <v>0</v>
      </c>
      <c r="N262" s="50">
        <f t="shared" ca="1" si="9"/>
        <v>0</v>
      </c>
      <c r="O262" s="1"/>
      <c r="P262" s="1"/>
    </row>
    <row r="263" spans="1:16" x14ac:dyDescent="0.2">
      <c r="A263" s="48" t="s">
        <v>148</v>
      </c>
      <c r="B263" s="49">
        <f>scn_rev_base*(SUM(active_sl1_m1m12)+SUM(active_sl2_m1m12)+SUM(active_sl3_m1m12)+SUM(active_sl4_m1m12)+SUM(active_sl5_m1m12))</f>
        <v>2440497</v>
      </c>
      <c r="C263" s="1"/>
      <c r="D263" s="1"/>
      <c r="E263" s="1"/>
      <c r="F263" s="1"/>
      <c r="G263" s="1"/>
      <c r="H263" s="1"/>
      <c r="I263" s="1"/>
      <c r="J263" s="1"/>
      <c r="K263" s="1"/>
      <c r="L263" s="1"/>
      <c r="M263" s="1"/>
      <c r="N263" s="1"/>
      <c r="O263" s="1"/>
      <c r="P263" s="1"/>
    </row>
    <row r="264" spans="1:16" x14ac:dyDescent="0.2">
      <c r="A264" s="48" t="s">
        <v>149</v>
      </c>
      <c r="B264" s="49">
        <f>scn_rev_base*(SUM(active_sl1_m1m12)+SUM(active_sl2_m1m12)+SUM(active_sl3_m1m12)+SUM(active_sl4_m1m12)+SUM(active_sl5_m1m12))-scn_cost_base*(SUM(active_delivery_payroll_m1m12)+SUM(inp_dc_contractors_m1m12)+SUM(inp_dc_tools_m1m12)+SUM(inp_dc_passthrough_m1m12)+SUM(inp_dc_other_dc_m1m12))-scn_cost_base*(SUM(active_overhead_payroll_m1m12)+SUM(active_ox_rent_m1m12)+SUM(active_ox_software_m1m12)+SUM(active_ox_sales_mktg_m1m12)+SUM(active_ox_prof_fees_m1m12)+SUM(active_ox_insurance_m1m12)+SUM(active_ox_travel_m1m12)+SUM(active_ox_comms_m1m12)+SUM(active_ox_other_ox_m1m12))-scn_rev_base*(SUM(active_sl1_m1m12)+SUM(active_sl2_m1m12)+SUM(active_sl3_m1m12)+SUM(active_sl4_m1m12)+SUM(active_sl5_m1m12))*inp_ox_commission_pct</f>
        <v>467347</v>
      </c>
      <c r="C264" s="1"/>
      <c r="D264" s="1"/>
      <c r="E264" s="1"/>
      <c r="F264" s="1"/>
      <c r="G264" s="1"/>
      <c r="H264" s="1"/>
      <c r="I264" s="1"/>
      <c r="J264" s="1"/>
      <c r="K264" s="1"/>
      <c r="L264" s="1"/>
      <c r="M264" s="1"/>
      <c r="N264" s="1"/>
      <c r="O264" s="1"/>
      <c r="P264" s="1"/>
    </row>
    <row r="265" spans="1:16" x14ac:dyDescent="0.2">
      <c r="A265" s="48" t="s">
        <v>150</v>
      </c>
      <c r="B265" s="49">
        <f>inp_open_cash+calc_scn_ebitda_base-inp_da_existing-MAX(0,(calc_scn_ebitda_base-inp_da_existing-(inp_open_debt*inp_int_rate))*inp_tax_rate)-SUM(inp_capex_m1m12)-SUM(inp_debt_repay_m1m12)+SUM(inp_debt_draw_m1m12)-SUM(inp_dist_m1m12)-(inp_open_debt*inp_int_rate)</f>
        <v>637985.25</v>
      </c>
      <c r="C265" s="1"/>
      <c r="D265" s="1"/>
      <c r="E265" s="1"/>
      <c r="F265" s="1"/>
      <c r="G265" s="1"/>
      <c r="H265" s="1"/>
      <c r="I265" s="1"/>
      <c r="J265" s="1"/>
      <c r="K265" s="1"/>
      <c r="L265" s="1"/>
      <c r="M265" s="1"/>
      <c r="N265" s="1"/>
      <c r="O265" s="1"/>
      <c r="P265" s="1"/>
    </row>
    <row r="266" spans="1:16" x14ac:dyDescent="0.2">
      <c r="A266" s="48" t="s">
        <v>151</v>
      </c>
      <c r="B266" s="49">
        <f>scn_rev_downside*(SUM(active_sl1_m1m12)+SUM(active_sl2_m1m12)+SUM(active_sl3_m1m12)+SUM(active_sl4_m1m12)+SUM(active_sl5_m1m12))</f>
        <v>2074422.45</v>
      </c>
      <c r="C266" s="1"/>
      <c r="D266" s="1"/>
      <c r="E266" s="1"/>
      <c r="F266" s="1"/>
      <c r="G266" s="1"/>
      <c r="H266" s="1"/>
      <c r="I266" s="1"/>
      <c r="J266" s="1"/>
      <c r="K266" s="1"/>
      <c r="L266" s="1"/>
      <c r="M266" s="1"/>
      <c r="N266" s="1"/>
      <c r="O266" s="1"/>
      <c r="P266" s="1"/>
    </row>
    <row r="267" spans="1:16" x14ac:dyDescent="0.2">
      <c r="A267" s="48" t="s">
        <v>152</v>
      </c>
      <c r="B267" s="49">
        <f>scn_rev_downside*(SUM(active_sl1_m1m12)+SUM(active_sl2_m1m12)+SUM(active_sl3_m1m12)+SUM(active_sl4_m1m12)+SUM(active_sl5_m1m12))-scn_cost_downside*(SUM(active_delivery_payroll_m1m12)+SUM(inp_dc_contractors_m1m12)+SUM(inp_dc_tools_m1m12)+SUM(inp_dc_passthrough_m1m12)+SUM(inp_dc_other_dc_m1m12))-scn_cost_downside*(SUM(active_overhead_payroll_m1m12)+SUM(active_ox_rent_m1m12)+SUM(active_ox_software_m1m12)+SUM(active_ox_sales_mktg_m1m12)+SUM(active_ox_prof_fees_m1m12)+SUM(active_ox_insurance_m1m12)+SUM(active_ox_travel_m1m12)+SUM(active_ox_comms_m1m12)+SUM(active_ox_other_ox_m1m12))-scn_rev_downside*(SUM(active_sl1_m1m12)+SUM(active_sl2_m1m12)+SUM(active_sl3_m1m12)+SUM(active_sl4_m1m12)+SUM(active_sl5_m1m12))*inp_ox_commission_pct</f>
        <v>2614.9499999999534</v>
      </c>
      <c r="C267" s="1"/>
      <c r="D267" s="1"/>
      <c r="E267" s="1"/>
      <c r="F267" s="1"/>
      <c r="G267" s="1"/>
      <c r="H267" s="1"/>
      <c r="I267" s="1"/>
      <c r="J267" s="1"/>
      <c r="K267" s="1"/>
      <c r="L267" s="1"/>
      <c r="M267" s="1"/>
      <c r="N267" s="1"/>
      <c r="O267" s="1"/>
      <c r="P267" s="1"/>
    </row>
    <row r="268" spans="1:16" x14ac:dyDescent="0.2">
      <c r="A268" s="48" t="s">
        <v>153</v>
      </c>
      <c r="B268" s="49">
        <f>inp_open_cash+calc_scn_ebitda_downside-inp_da_existing-MAX(0,(calc_scn_ebitda_downside-inp_da_existing-(inp_open_debt*inp_int_rate))*inp_tax_rate)-SUM(inp_capex_m1m12)-SUM(inp_debt_repay_m1m12)+SUM(inp_debt_draw_m1m12)-SUM(inp_dist_m1m12)-(inp_open_debt*inp_int_rate)</f>
        <v>265914.94999999995</v>
      </c>
      <c r="C268" s="1"/>
      <c r="D268" s="1"/>
      <c r="E268" s="1"/>
      <c r="F268" s="1"/>
      <c r="G268" s="1"/>
      <c r="H268" s="1"/>
      <c r="I268" s="1"/>
      <c r="J268" s="1"/>
      <c r="K268" s="1"/>
      <c r="L268" s="1"/>
      <c r="M268" s="1"/>
      <c r="N268" s="1"/>
      <c r="O268" s="1"/>
      <c r="P268" s="1"/>
    </row>
    <row r="269" spans="1:16" x14ac:dyDescent="0.2">
      <c r="A269" s="48" t="s">
        <v>154</v>
      </c>
      <c r="B269" s="49">
        <f>scn_rev_upside*(SUM(active_sl1_m1m12)+SUM(active_sl2_m1m12)+SUM(active_sl3_m1m12)+SUM(active_sl4_m1m12)+SUM(active_sl5_m1m12))</f>
        <v>2684546.7</v>
      </c>
      <c r="C269" s="1"/>
      <c r="D269" s="1"/>
      <c r="E269" s="1"/>
      <c r="F269" s="1"/>
      <c r="G269" s="1"/>
      <c r="H269" s="1"/>
      <c r="I269" s="1"/>
      <c r="J269" s="1"/>
      <c r="K269" s="1"/>
      <c r="L269" s="1"/>
      <c r="M269" s="1"/>
      <c r="N269" s="1"/>
      <c r="O269" s="1"/>
      <c r="P269" s="1"/>
    </row>
    <row r="270" spans="1:16" x14ac:dyDescent="0.2">
      <c r="A270" s="48" t="s">
        <v>155</v>
      </c>
      <c r="B270" s="49">
        <f>scn_rev_upside*(SUM(active_sl1_m1m12)+SUM(active_sl2_m1m12)+SUM(active_sl3_m1m12)+SUM(active_sl4_m1m12)+SUM(active_sl5_m1m12))-scn_cost_upside*(SUM(active_delivery_payroll_m1m12)+SUM(inp_dc_contractors_m1m12)+SUM(inp_dc_tools_m1m12)+SUM(inp_dc_passthrough_m1m12)+SUM(inp_dc_other_dc_m1m12))-scn_cost_upside*(SUM(active_overhead_payroll_m1m12)+SUM(active_ox_rent_m1m12)+SUM(active_ox_software_m1m12)+SUM(active_ox_sales_mktg_m1m12)+SUM(active_ox_prof_fees_m1m12)+SUM(active_ox_insurance_m1m12)+SUM(active_ox_travel_m1m12)+SUM(active_ox_comms_m1m12)+SUM(active_ox_other_ox_m1m12))-scn_rev_upside*(SUM(active_sl1_m1m12)+SUM(active_sl2_m1m12)+SUM(active_sl3_m1m12)+SUM(active_sl4_m1m12)+SUM(active_sl5_m1m12))*inp_ox_commission_pct</f>
        <v>750859.70000000019</v>
      </c>
      <c r="C270" s="1"/>
      <c r="D270" s="1"/>
      <c r="E270" s="1"/>
      <c r="F270" s="1"/>
      <c r="G270" s="1"/>
      <c r="H270" s="1"/>
      <c r="I270" s="1"/>
      <c r="J270" s="1"/>
      <c r="K270" s="1"/>
      <c r="L270" s="1"/>
      <c r="M270" s="1"/>
      <c r="N270" s="1"/>
      <c r="O270" s="1"/>
      <c r="P270" s="1"/>
    </row>
    <row r="271" spans="1:16" x14ac:dyDescent="0.2">
      <c r="A271" s="48" t="s">
        <v>156</v>
      </c>
      <c r="B271" s="49">
        <f>inp_open_cash+calc_scn_ebitda_upside-inp_da_existing-MAX(0,(calc_scn_ebitda_upside-inp_da_existing-(inp_open_debt*inp_int_rate))*inp_tax_rate)-SUM(inp_capex_m1m12)-SUM(inp_debt_repay_m1m12)+SUM(inp_debt_draw_m1m12)-SUM(inp_dist_m1m12)-(inp_open_debt*inp_int_rate)</f>
        <v>850619.77500000014</v>
      </c>
      <c r="C271" s="1"/>
      <c r="D271" s="1"/>
      <c r="E271" s="1"/>
      <c r="F271" s="1"/>
      <c r="G271" s="1"/>
      <c r="H271" s="1"/>
      <c r="I271" s="1"/>
      <c r="J271" s="1"/>
      <c r="K271" s="1"/>
      <c r="L271" s="1"/>
      <c r="M271" s="1"/>
      <c r="N271" s="1"/>
      <c r="O271" s="1"/>
      <c r="P271" s="1"/>
    </row>
    <row r="272" spans="1:16" x14ac:dyDescent="0.2">
      <c r="A272" s="55" t="s">
        <v>157</v>
      </c>
      <c r="B272" s="53">
        <f>MAX(active_fte_m1m12)</f>
        <v>10</v>
      </c>
      <c r="C272" s="1"/>
      <c r="D272" s="1"/>
      <c r="E272" s="1"/>
      <c r="F272" s="1"/>
      <c r="G272" s="1"/>
      <c r="H272" s="1"/>
      <c r="I272" s="1"/>
      <c r="J272" s="1"/>
      <c r="K272" s="1"/>
      <c r="L272" s="1"/>
      <c r="M272" s="1"/>
      <c r="N272" s="1"/>
      <c r="O272" s="1"/>
      <c r="P272" s="1"/>
    </row>
    <row r="273" spans="1:16" x14ac:dyDescent="0.2">
      <c r="A273" s="55" t="s">
        <v>158</v>
      </c>
      <c r="B273" s="56">
        <f ca="1">MATCH(MIN('Sample Plan'!$B$247:'Sample Plan'!$M$247),'Sample Plan'!$B$247:'Sample Plan'!$M$247,0)</f>
        <v>1</v>
      </c>
      <c r="C273" s="1"/>
      <c r="D273" s="1"/>
      <c r="E273" s="1"/>
      <c r="F273" s="1"/>
      <c r="G273" s="1"/>
      <c r="H273" s="1"/>
      <c r="I273" s="1"/>
      <c r="J273" s="1"/>
      <c r="K273" s="1"/>
      <c r="L273" s="1"/>
      <c r="M273" s="1"/>
      <c r="N273" s="1"/>
      <c r="O273" s="1"/>
      <c r="P273" s="1"/>
    </row>
    <row r="274" spans="1:16" x14ac:dyDescent="0.2">
      <c r="A274" s="55" t="s">
        <v>159</v>
      </c>
      <c r="B274" s="49">
        <f ca="1">MIN('Sample Plan'!$B$247:'Sample Plan'!$M$247)</f>
        <v>431011.89583333331</v>
      </c>
      <c r="C274" s="1"/>
      <c r="D274" s="1"/>
      <c r="E274" s="1"/>
      <c r="F274" s="1"/>
      <c r="G274" s="1"/>
      <c r="H274" s="1"/>
      <c r="I274" s="1"/>
      <c r="J274" s="1"/>
      <c r="K274" s="1"/>
      <c r="L274" s="1"/>
      <c r="M274" s="1"/>
      <c r="N274" s="1"/>
      <c r="O274" s="1"/>
      <c r="P274" s="1"/>
    </row>
    <row r="275" spans="1:16" x14ac:dyDescent="0.2">
      <c r="A275" s="55" t="s">
        <v>160</v>
      </c>
      <c r="B275" s="49">
        <f>IFERROR(calc_rev_total_ann/calc_peak_fte,0)</f>
        <v>244049.7</v>
      </c>
      <c r="C275" s="1"/>
      <c r="D275" s="1"/>
      <c r="E275" s="1"/>
      <c r="F275" s="1"/>
      <c r="G275" s="1"/>
      <c r="H275" s="1"/>
      <c r="I275" s="1"/>
      <c r="J275" s="1"/>
      <c r="K275" s="1"/>
      <c r="L275" s="1"/>
      <c r="M275" s="1"/>
      <c r="N275" s="1"/>
      <c r="O275" s="1"/>
      <c r="P275" s="1"/>
    </row>
    <row r="276" spans="1:16" x14ac:dyDescent="0.2">
      <c r="A276" s="55" t="s">
        <v>161</v>
      </c>
      <c r="B276" s="51">
        <f>IFERROR(calc_ebitda_ann/calc_rev_total_ann,0)</f>
        <v>0.1914966500675887</v>
      </c>
      <c r="C276" s="1"/>
      <c r="D276" s="1"/>
      <c r="E276" s="1"/>
      <c r="F276" s="1"/>
      <c r="G276" s="1"/>
      <c r="H276" s="1"/>
      <c r="I276" s="1"/>
      <c r="J276" s="1"/>
      <c r="K276" s="1"/>
      <c r="L276" s="1"/>
      <c r="M276" s="1"/>
      <c r="N276" s="1"/>
      <c r="O276" s="1"/>
      <c r="P276" s="1"/>
    </row>
    <row r="277" spans="1:16" x14ac:dyDescent="0.2">
      <c r="A277" s="55" t="s">
        <v>162</v>
      </c>
      <c r="B277" s="51">
        <f>IFERROR(calc_gp_ann/calc_rev_total_ann,0)</f>
        <v>0.42213614685861117</v>
      </c>
      <c r="C277" s="1"/>
      <c r="D277" s="1"/>
      <c r="E277" s="1"/>
      <c r="F277" s="1"/>
      <c r="G277" s="1"/>
      <c r="H277" s="1"/>
      <c r="I277" s="1"/>
      <c r="J277" s="1"/>
      <c r="K277" s="1"/>
      <c r="L277" s="1"/>
      <c r="M277" s="1"/>
      <c r="N277" s="1"/>
      <c r="O277" s="1"/>
      <c r="P277" s="1"/>
    </row>
    <row r="278" spans="1:16" x14ac:dyDescent="0.2">
      <c r="A278" s="55" t="s">
        <v>163</v>
      </c>
      <c r="B278" s="51">
        <f>IF(inp_build_method="Capacity",capacity_weighted_util,IFERROR(calc_roster_weighted_util,0))</f>
        <v>0</v>
      </c>
      <c r="C278" s="1"/>
      <c r="D278" s="1"/>
      <c r="E278" s="1"/>
      <c r="F278" s="1"/>
      <c r="G278" s="1"/>
      <c r="H278" s="1"/>
      <c r="I278" s="1"/>
      <c r="J278" s="1"/>
      <c r="K278" s="1"/>
      <c r="L278" s="1"/>
      <c r="M278" s="1"/>
      <c r="N278" s="1"/>
      <c r="O278" s="1"/>
      <c r="P278" s="1"/>
    </row>
    <row r="279" spans="1:16" ht="15" customHeight="1" x14ac:dyDescent="0.2">
      <c r="A279" s="55" t="s">
        <v>164</v>
      </c>
      <c r="B279" s="49"/>
      <c r="C279" s="1"/>
      <c r="D279" s="1"/>
      <c r="E279" s="1"/>
      <c r="F279" s="1"/>
      <c r="G279" s="1"/>
      <c r="H279" s="1"/>
      <c r="I279" s="1"/>
      <c r="J279" s="1"/>
      <c r="K279" s="1"/>
      <c r="L279" s="1"/>
      <c r="M279" s="1"/>
      <c r="N279" s="1"/>
      <c r="O279" s="1"/>
      <c r="P279" s="1"/>
    </row>
    <row r="280" spans="1:16" ht="15" customHeight="1" x14ac:dyDescent="0.2">
      <c r="A280" s="55" t="s">
        <v>165</v>
      </c>
      <c r="B280" s="51"/>
      <c r="C280" s="1"/>
      <c r="D280" s="1"/>
      <c r="E280" s="1"/>
      <c r="F280" s="1"/>
      <c r="G280" s="1"/>
      <c r="H280" s="1"/>
      <c r="I280" s="1"/>
      <c r="J280" s="1"/>
      <c r="K280" s="1"/>
      <c r="L280" s="1"/>
      <c r="M280" s="1"/>
      <c r="N280" s="1"/>
      <c r="O280" s="1"/>
      <c r="P280" s="1"/>
    </row>
    <row r="281" spans="1:16" ht="15" customHeight="1" x14ac:dyDescent="0.2">
      <c r="A281" s="55" t="s">
        <v>166</v>
      </c>
      <c r="B281" s="51"/>
      <c r="C281" s="1"/>
      <c r="D281" s="1"/>
      <c r="E281" s="1"/>
      <c r="F281" s="1"/>
      <c r="G281" s="1"/>
      <c r="H281" s="1"/>
      <c r="I281" s="1"/>
      <c r="J281" s="1"/>
      <c r="K281" s="1"/>
      <c r="L281" s="1"/>
      <c r="M281" s="1"/>
      <c r="N281" s="1"/>
      <c r="O281" s="1"/>
      <c r="P281" s="1"/>
    </row>
    <row r="282" spans="1:16" ht="15" customHeight="1" x14ac:dyDescent="0.2">
      <c r="A282" s="55" t="s">
        <v>167</v>
      </c>
      <c r="B282" s="51"/>
      <c r="C282" s="1"/>
      <c r="D282" s="1"/>
      <c r="E282" s="1"/>
      <c r="F282" s="1"/>
      <c r="G282" s="1"/>
      <c r="H282" s="1"/>
      <c r="I282" s="1"/>
      <c r="J282" s="1"/>
      <c r="K282" s="1"/>
      <c r="L282" s="1"/>
      <c r="M282" s="1"/>
      <c r="N282" s="1"/>
      <c r="O282" s="1"/>
      <c r="P282" s="1"/>
    </row>
  </sheetData>
  <mergeCells count="251">
    <mergeCell ref="C2:I2"/>
    <mergeCell ref="B3:I3"/>
    <mergeCell ref="B4:I4"/>
    <mergeCell ref="B5:I5"/>
    <mergeCell ref="C7:D7"/>
    <mergeCell ref="E7:F7"/>
    <mergeCell ref="G7:H7"/>
    <mergeCell ref="I7:J7"/>
    <mergeCell ref="B11:I11"/>
    <mergeCell ref="J11:O11"/>
    <mergeCell ref="E12:H12"/>
    <mergeCell ref="I12:L12"/>
    <mergeCell ref="M12:P12"/>
    <mergeCell ref="E13:H13"/>
    <mergeCell ref="I13:L13"/>
    <mergeCell ref="M13:P13"/>
    <mergeCell ref="K7:L7"/>
    <mergeCell ref="M7:N7"/>
    <mergeCell ref="C8:D8"/>
    <mergeCell ref="E8:F8"/>
    <mergeCell ref="G8:H8"/>
    <mergeCell ref="I8:J8"/>
    <mergeCell ref="K8:L8"/>
    <mergeCell ref="M8:N8"/>
    <mergeCell ref="B17:I17"/>
    <mergeCell ref="J17:O17"/>
    <mergeCell ref="B52:I52"/>
    <mergeCell ref="J52:O52"/>
    <mergeCell ref="E54:G54"/>
    <mergeCell ref="H54:J54"/>
    <mergeCell ref="K54:M54"/>
    <mergeCell ref="N54:O54"/>
    <mergeCell ref="E14:H14"/>
    <mergeCell ref="I14:L14"/>
    <mergeCell ref="M14:P14"/>
    <mergeCell ref="E15:H15"/>
    <mergeCell ref="I15:L15"/>
    <mergeCell ref="M15:P15"/>
    <mergeCell ref="E57:G57"/>
    <mergeCell ref="H57:J57"/>
    <mergeCell ref="K57:M57"/>
    <mergeCell ref="N57:O57"/>
    <mergeCell ref="E58:G58"/>
    <mergeCell ref="H58:J58"/>
    <mergeCell ref="K58:M58"/>
    <mergeCell ref="N58:O58"/>
    <mergeCell ref="E55:G55"/>
    <mergeCell ref="H55:J55"/>
    <mergeCell ref="K55:M55"/>
    <mergeCell ref="N55:O55"/>
    <mergeCell ref="E56:G56"/>
    <mergeCell ref="H56:J56"/>
    <mergeCell ref="K56:M56"/>
    <mergeCell ref="N56:O56"/>
    <mergeCell ref="B69:I69"/>
    <mergeCell ref="J69:O69"/>
    <mergeCell ref="E70:G70"/>
    <mergeCell ref="H70:J70"/>
    <mergeCell ref="K70:O70"/>
    <mergeCell ref="B73:H73"/>
    <mergeCell ref="I73:K73"/>
    <mergeCell ref="L73:O73"/>
    <mergeCell ref="E59:G59"/>
    <mergeCell ref="H59:J59"/>
    <mergeCell ref="K59:M59"/>
    <mergeCell ref="N59:O59"/>
    <mergeCell ref="E60:G60"/>
    <mergeCell ref="H60:J60"/>
    <mergeCell ref="K60:M60"/>
    <mergeCell ref="N60:O60"/>
    <mergeCell ref="B72:I72"/>
    <mergeCell ref="B75:G75"/>
    <mergeCell ref="H75:I75"/>
    <mergeCell ref="J75:K75"/>
    <mergeCell ref="L75:M75"/>
    <mergeCell ref="N75:O75"/>
    <mergeCell ref="B76:G76"/>
    <mergeCell ref="H76:I76"/>
    <mergeCell ref="J76:K76"/>
    <mergeCell ref="L76:M76"/>
    <mergeCell ref="N76:O76"/>
    <mergeCell ref="B77:G77"/>
    <mergeCell ref="H77:I77"/>
    <mergeCell ref="J77:K77"/>
    <mergeCell ref="L77:M77"/>
    <mergeCell ref="N77:O77"/>
    <mergeCell ref="B78:G78"/>
    <mergeCell ref="H78:I78"/>
    <mergeCell ref="J78:K78"/>
    <mergeCell ref="L78:M78"/>
    <mergeCell ref="N78:O78"/>
    <mergeCell ref="B79:G79"/>
    <mergeCell ref="H79:I79"/>
    <mergeCell ref="J79:K79"/>
    <mergeCell ref="L79:M79"/>
    <mergeCell ref="N79:O79"/>
    <mergeCell ref="B80:G80"/>
    <mergeCell ref="H80:I80"/>
    <mergeCell ref="J80:K80"/>
    <mergeCell ref="L80:M80"/>
    <mergeCell ref="N80:O80"/>
    <mergeCell ref="B81:G81"/>
    <mergeCell ref="H81:I81"/>
    <mergeCell ref="J81:K81"/>
    <mergeCell ref="L81:M81"/>
    <mergeCell ref="N81:O81"/>
    <mergeCell ref="B82:G82"/>
    <mergeCell ref="H82:I82"/>
    <mergeCell ref="J82:K82"/>
    <mergeCell ref="L82:M82"/>
    <mergeCell ref="N82:O82"/>
    <mergeCell ref="B83:G83"/>
    <mergeCell ref="H83:I83"/>
    <mergeCell ref="J83:K83"/>
    <mergeCell ref="L83:M83"/>
    <mergeCell ref="N83:O83"/>
    <mergeCell ref="B84:G84"/>
    <mergeCell ref="H84:I84"/>
    <mergeCell ref="J84:K84"/>
    <mergeCell ref="L84:M84"/>
    <mergeCell ref="N84:O84"/>
    <mergeCell ref="B85:G85"/>
    <mergeCell ref="H85:I85"/>
    <mergeCell ref="J85:K85"/>
    <mergeCell ref="L85:M85"/>
    <mergeCell ref="N85:O85"/>
    <mergeCell ref="B86:G86"/>
    <mergeCell ref="H86:I86"/>
    <mergeCell ref="J86:K86"/>
    <mergeCell ref="L86:M86"/>
    <mergeCell ref="N86:O86"/>
    <mergeCell ref="B87:G87"/>
    <mergeCell ref="H87:I87"/>
    <mergeCell ref="J87:K87"/>
    <mergeCell ref="L87:M87"/>
    <mergeCell ref="N87:O87"/>
    <mergeCell ref="B88:G88"/>
    <mergeCell ref="H88:I88"/>
    <mergeCell ref="J88:K88"/>
    <mergeCell ref="L88:M88"/>
    <mergeCell ref="N88:O88"/>
    <mergeCell ref="B89:G89"/>
    <mergeCell ref="H89:I89"/>
    <mergeCell ref="J89:K89"/>
    <mergeCell ref="L89:M89"/>
    <mergeCell ref="N89:O89"/>
    <mergeCell ref="B90:G90"/>
    <mergeCell ref="H90:I90"/>
    <mergeCell ref="J90:K90"/>
    <mergeCell ref="L90:M90"/>
    <mergeCell ref="N90:O90"/>
    <mergeCell ref="B91:G91"/>
    <mergeCell ref="H91:I91"/>
    <mergeCell ref="J91:K91"/>
    <mergeCell ref="L91:M91"/>
    <mergeCell ref="N91:O91"/>
    <mergeCell ref="B92:G92"/>
    <mergeCell ref="H92:I92"/>
    <mergeCell ref="J92:K92"/>
    <mergeCell ref="L92:M92"/>
    <mergeCell ref="N92:O92"/>
    <mergeCell ref="B93:G93"/>
    <mergeCell ref="H93:I93"/>
    <mergeCell ref="J93:K93"/>
    <mergeCell ref="L93:M93"/>
    <mergeCell ref="N93:O93"/>
    <mergeCell ref="B94:G94"/>
    <mergeCell ref="H94:I94"/>
    <mergeCell ref="J94:K94"/>
    <mergeCell ref="L94:M94"/>
    <mergeCell ref="N94:O94"/>
    <mergeCell ref="B95:G95"/>
    <mergeCell ref="H95:I95"/>
    <mergeCell ref="J95:K95"/>
    <mergeCell ref="L95:M95"/>
    <mergeCell ref="N95:O95"/>
    <mergeCell ref="B96:G96"/>
    <mergeCell ref="H96:I96"/>
    <mergeCell ref="J96:K96"/>
    <mergeCell ref="L96:M96"/>
    <mergeCell ref="N96:O96"/>
    <mergeCell ref="B97:G97"/>
    <mergeCell ref="H97:I97"/>
    <mergeCell ref="J97:K97"/>
    <mergeCell ref="L97:M97"/>
    <mergeCell ref="N97:O97"/>
    <mergeCell ref="B98:G98"/>
    <mergeCell ref="H98:I98"/>
    <mergeCell ref="J98:K98"/>
    <mergeCell ref="L98:M98"/>
    <mergeCell ref="N98:O98"/>
    <mergeCell ref="B99:G99"/>
    <mergeCell ref="H99:I99"/>
    <mergeCell ref="J99:K99"/>
    <mergeCell ref="L99:M99"/>
    <mergeCell ref="N99:O99"/>
    <mergeCell ref="B100:G100"/>
    <mergeCell ref="H100:I100"/>
    <mergeCell ref="J100:K100"/>
    <mergeCell ref="L100:M100"/>
    <mergeCell ref="N100:O100"/>
    <mergeCell ref="B101:G101"/>
    <mergeCell ref="H101:I101"/>
    <mergeCell ref="J101:K101"/>
    <mergeCell ref="L101:M101"/>
    <mergeCell ref="N101:O101"/>
    <mergeCell ref="B102:G102"/>
    <mergeCell ref="H102:I102"/>
    <mergeCell ref="J102:K102"/>
    <mergeCell ref="L102:M102"/>
    <mergeCell ref="N102:O102"/>
    <mergeCell ref="B103:G103"/>
    <mergeCell ref="H103:I103"/>
    <mergeCell ref="J103:K103"/>
    <mergeCell ref="L103:M103"/>
    <mergeCell ref="N103:O103"/>
    <mergeCell ref="B104:G104"/>
    <mergeCell ref="H104:I104"/>
    <mergeCell ref="J104:K104"/>
    <mergeCell ref="L104:M104"/>
    <mergeCell ref="N104:O104"/>
    <mergeCell ref="B105:G105"/>
    <mergeCell ref="H105:I105"/>
    <mergeCell ref="J105:K105"/>
    <mergeCell ref="L105:M105"/>
    <mergeCell ref="N105:O105"/>
    <mergeCell ref="B106:G106"/>
    <mergeCell ref="H106:I106"/>
    <mergeCell ref="J106:K106"/>
    <mergeCell ref="L106:M106"/>
    <mergeCell ref="N106:O106"/>
    <mergeCell ref="B107:G107"/>
    <mergeCell ref="H107:I107"/>
    <mergeCell ref="J107:K107"/>
    <mergeCell ref="L107:M107"/>
    <mergeCell ref="N107:O107"/>
    <mergeCell ref="B108:G108"/>
    <mergeCell ref="H108:I108"/>
    <mergeCell ref="J108:K108"/>
    <mergeCell ref="L108:M108"/>
    <mergeCell ref="N108:O108"/>
    <mergeCell ref="B109:G109"/>
    <mergeCell ref="H109:I109"/>
    <mergeCell ref="J109:K109"/>
    <mergeCell ref="L109:M109"/>
    <mergeCell ref="N109:O109"/>
    <mergeCell ref="B110:G110"/>
    <mergeCell ref="H110:I110"/>
    <mergeCell ref="J110:K110"/>
    <mergeCell ref="L110:M110"/>
    <mergeCell ref="N110:O110"/>
  </mergeCells>
  <conditionalFormatting sqref="K54:M54">
    <cfRule type="expression" dxfId="26" priority="1">
      <formula>K54&gt;0</formula>
    </cfRule>
    <cfRule type="expression" dxfId="25" priority="2">
      <formula>K54&lt;0</formula>
    </cfRule>
  </conditionalFormatting>
  <conditionalFormatting sqref="K55:M55">
    <cfRule type="expression" dxfId="24" priority="3">
      <formula>K55&lt;0</formula>
    </cfRule>
    <cfRule type="expression" dxfId="23" priority="4">
      <formula>K55&gt;0</formula>
    </cfRule>
  </conditionalFormatting>
  <conditionalFormatting sqref="K56:M56">
    <cfRule type="expression" dxfId="22" priority="5">
      <formula>K56&gt;0</formula>
    </cfRule>
    <cfRule type="expression" dxfId="21" priority="6">
      <formula>K56&lt;0</formula>
    </cfRule>
  </conditionalFormatting>
  <conditionalFormatting sqref="K57:M57">
    <cfRule type="expression" dxfId="20" priority="7">
      <formula>K57&lt;0</formula>
    </cfRule>
    <cfRule type="expression" dxfId="19" priority="8">
      <formula>K57&gt;0</formula>
    </cfRule>
  </conditionalFormatting>
  <conditionalFormatting sqref="K58:M60">
    <cfRule type="expression" dxfId="18" priority="9">
      <formula>K58&gt;0</formula>
    </cfRule>
    <cfRule type="expression" dxfId="17" priority="10">
      <formula>K58&lt;0</formula>
    </cfRule>
  </conditionalFormatting>
  <conditionalFormatting sqref="K70:O70">
    <cfRule type="expression" dxfId="16" priority="13">
      <formula>ISNUMBER(SEARCH("OVER",K70))</formula>
    </cfRule>
    <cfRule type="expression" dxfId="15" priority="14">
      <formula>ISNUMBER(SEARCH("WITHIN",K70))</formula>
    </cfRule>
  </conditionalFormatting>
  <conditionalFormatting sqref="L2">
    <cfRule type="expression" dxfId="14" priority="17">
      <formula>$L$2="Base"</formula>
    </cfRule>
    <cfRule type="expression" dxfId="13" priority="18">
      <formula>$L$2="Downside"</formula>
    </cfRule>
    <cfRule type="expression" dxfId="12" priority="19">
      <formula>$L$2="Upside"</formula>
    </cfRule>
  </conditionalFormatting>
  <conditionalFormatting sqref="L73 N75:O110">
    <cfRule type="expression" dxfId="11" priority="15">
      <formula>L73="PASS"</formula>
    </cfRule>
    <cfRule type="expression" dxfId="10" priority="16">
      <formula>L73="FAIL"</formula>
    </cfRule>
  </conditionalFormatting>
  <conditionalFormatting sqref="O64:O67">
    <cfRule type="expression" dxfId="9" priority="11">
      <formula>F64&gt;=I64</formula>
    </cfRule>
    <cfRule type="expression" dxfId="8" priority="12">
      <formula>F64&lt;I64</formula>
    </cfRule>
  </conditionalFormatting>
  <dataValidations count="2">
    <dataValidation type="list" allowBlank="1" showInputMessage="1" showErrorMessage="1" sqref="L2" xr:uid="{A20822CB-DBFB-5644-8F45-34B013C784E2}">
      <formula1>"Base,Downside,Upside"</formula1>
    </dataValidation>
    <dataValidation type="list" allowBlank="1" showInputMessage="1" showErrorMessage="1" sqref="L3" xr:uid="{EDECB255-80FB-2742-BE6C-C56D5F7D47E6}">
      <formula1>"P&amp;L,Cash Flow,Balance Sheet"</formula1>
    </dataValidation>
  </dataValidations>
  <hyperlinks>
    <hyperlink ref="B72" r:id="rId1" tooltip="Book a fit call · Infraxus" xr:uid="{4CF48189-F5A2-E940-A835-BD58AC2B0F86}"/>
  </hyperlinks>
  <printOptions horizontalCentered="1"/>
  <pageMargins left="0.4" right="0.4" top="0.5" bottom="0.5" header="0.3" footer="0.3"/>
  <pageSetup fitToHeight="0" orientation="landscape"/>
  <rowBreaks count="1" manualBreakCount="1">
    <brk id="5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F45AA-D65B-2641-88AA-EA4E7831589B}">
  <sheetPr>
    <tabColor rgb="FF8896B3"/>
    <pageSetUpPr fitToPage="1"/>
  </sheetPr>
  <dimension ref="A1:BJ400"/>
  <sheetViews>
    <sheetView showGridLines="0" zoomScale="140" zoomScaleNormal="140" workbookViewId="0">
      <pane ySplit="6" topLeftCell="A7" activePane="bottomLeft" state="frozen"/>
      <selection activeCell="CV20" sqref="CV20"/>
      <selection pane="bottomLeft" activeCell="BG10" sqref="BG10"/>
    </sheetView>
  </sheetViews>
  <sheetFormatPr baseColWidth="10" defaultColWidth="8.83203125" defaultRowHeight="15" outlineLevelRow="1" outlineLevelCol="1" x14ac:dyDescent="0.2"/>
  <cols>
    <col min="1" max="1" width="3" style="42" customWidth="1"/>
    <col min="2" max="2" width="38.33203125" style="42" customWidth="1"/>
    <col min="3" max="3" width="24.5" style="42" bestFit="1" customWidth="1"/>
    <col min="4" max="14" width="11" style="42" customWidth="1"/>
    <col min="15" max="15" width="25.6640625" style="42" bestFit="1" customWidth="1"/>
    <col min="16" max="16" width="3.33203125" style="42" customWidth="1"/>
    <col min="17" max="17" width="2.6640625" style="42" customWidth="1"/>
    <col min="18" max="53" width="8.83203125" style="42" hidden="1" customWidth="1" outlineLevel="1"/>
    <col min="54" max="58" width="0" style="42" hidden="1" customWidth="1" outlineLevel="1"/>
    <col min="59" max="59" width="8.83203125" style="42" collapsed="1"/>
    <col min="60" max="16384" width="8.83203125" style="42"/>
  </cols>
  <sheetData>
    <row r="1" spans="1:62" ht="8" customHeight="1" x14ac:dyDescent="0.2">
      <c r="A1" s="121"/>
      <c r="B1" s="121"/>
      <c r="C1" s="121"/>
      <c r="D1" s="121"/>
      <c r="E1" s="121"/>
      <c r="F1" s="121"/>
      <c r="G1" s="121"/>
      <c r="H1" s="121"/>
      <c r="I1" s="121"/>
      <c r="J1" s="121"/>
      <c r="K1" s="121"/>
      <c r="L1" s="121"/>
      <c r="M1" s="121"/>
      <c r="N1" s="121"/>
      <c r="O1" s="121"/>
      <c r="P1" s="121"/>
      <c r="S1"/>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1:62" ht="30" customHeight="1" x14ac:dyDescent="0.3">
      <c r="A2" s="121"/>
      <c r="B2" s="67"/>
      <c r="C2" s="154" t="s">
        <v>0</v>
      </c>
      <c r="D2" s="67"/>
      <c r="E2" s="67"/>
      <c r="F2" s="67"/>
      <c r="G2" s="67"/>
      <c r="H2" s="67"/>
      <c r="I2" s="67"/>
      <c r="J2" s="67"/>
      <c r="K2" s="67"/>
      <c r="L2" s="67"/>
      <c r="M2" s="67"/>
      <c r="N2" s="67"/>
      <c r="O2" s="121"/>
      <c r="P2" s="121"/>
      <c r="R2" s="98" t="s">
        <v>678</v>
      </c>
      <c r="S2"/>
      <c r="T2"/>
      <c r="U2"/>
      <c r="V2"/>
      <c r="W2"/>
      <c r="X2"/>
      <c r="Y2"/>
      <c r="Z2"/>
      <c r="AA2"/>
      <c r="AB2"/>
      <c r="AC2"/>
      <c r="AD2"/>
      <c r="AE2"/>
      <c r="AF2"/>
      <c r="AG2"/>
      <c r="AH2"/>
      <c r="AI2"/>
      <c r="AJ2"/>
      <c r="AK2"/>
      <c r="AL2"/>
      <c r="AM2"/>
      <c r="AN2"/>
      <c r="AO2"/>
      <c r="AP2"/>
      <c r="AQ2"/>
      <c r="AR2"/>
      <c r="AS2"/>
      <c r="AT2"/>
      <c r="AU2"/>
      <c r="AV2"/>
      <c r="AW2"/>
      <c r="AX2"/>
      <c r="AY2"/>
      <c r="AZ2"/>
      <c r="BA2"/>
      <c r="BB2"/>
      <c r="BC2"/>
      <c r="BD2"/>
      <c r="BE2"/>
      <c r="BF2"/>
      <c r="BJ2" s="120"/>
    </row>
    <row r="3" spans="1:62" ht="22" customHeight="1" x14ac:dyDescent="0.2">
      <c r="A3" s="121"/>
      <c r="B3" s="201" t="s">
        <v>692</v>
      </c>
      <c r="C3" s="202"/>
      <c r="D3" s="202"/>
      <c r="E3" s="202"/>
      <c r="F3" s="202"/>
      <c r="G3" s="202"/>
      <c r="H3" s="202"/>
      <c r="I3" s="202"/>
      <c r="J3" s="202"/>
      <c r="K3" s="202"/>
      <c r="L3" s="202"/>
      <c r="M3" s="202"/>
      <c r="N3" s="202"/>
      <c r="O3" s="121"/>
      <c r="P3" s="121"/>
      <c r="S3"/>
      <c r="T3"/>
      <c r="U3"/>
      <c r="V3"/>
      <c r="W3"/>
      <c r="X3"/>
      <c r="Y3"/>
      <c r="Z3"/>
      <c r="AA3"/>
      <c r="AB3"/>
      <c r="AC3"/>
      <c r="AD3"/>
      <c r="AE3"/>
      <c r="AF3"/>
      <c r="AG3"/>
      <c r="AH3"/>
      <c r="AI3"/>
      <c r="AJ3"/>
      <c r="AK3"/>
      <c r="AL3"/>
      <c r="AM3"/>
      <c r="AN3"/>
      <c r="AO3"/>
      <c r="AP3"/>
      <c r="AQ3"/>
      <c r="AR3"/>
      <c r="AS3"/>
      <c r="AT3"/>
      <c r="AU3"/>
      <c r="AV3"/>
      <c r="AW3"/>
      <c r="AX3"/>
      <c r="AY3"/>
      <c r="AZ3"/>
      <c r="BA3"/>
      <c r="BB3"/>
      <c r="BC3"/>
      <c r="BD3"/>
      <c r="BE3"/>
      <c r="BF3"/>
      <c r="BJ3" s="120"/>
    </row>
    <row r="4" spans="1:62" ht="10" customHeight="1" x14ac:dyDescent="0.2">
      <c r="A4" s="121"/>
      <c r="B4" s="121"/>
      <c r="C4" s="121"/>
      <c r="D4" s="121"/>
      <c r="E4" s="121"/>
      <c r="F4" s="121"/>
      <c r="G4" s="121"/>
      <c r="H4" s="121"/>
      <c r="I4" s="121"/>
      <c r="J4" s="121"/>
      <c r="K4" s="121"/>
      <c r="L4" s="121"/>
      <c r="M4" s="121"/>
      <c r="N4" s="121"/>
      <c r="O4" s="121"/>
      <c r="P4" s="121"/>
      <c r="R4" s="42" t="s">
        <v>617</v>
      </c>
      <c r="S4">
        <f>MATCH(inp_region,{"AU";"NZ";"US"},0)</f>
        <v>1</v>
      </c>
      <c r="T4"/>
      <c r="U4"/>
      <c r="V4"/>
      <c r="W4"/>
      <c r="X4"/>
      <c r="Y4"/>
      <c r="Z4"/>
      <c r="AA4"/>
      <c r="AB4"/>
      <c r="AC4"/>
      <c r="AD4"/>
      <c r="AE4"/>
      <c r="AF4"/>
      <c r="AG4"/>
      <c r="AH4"/>
      <c r="AI4"/>
      <c r="AJ4"/>
      <c r="AK4"/>
      <c r="AL4"/>
      <c r="AM4"/>
      <c r="AN4"/>
      <c r="AO4"/>
      <c r="AP4"/>
      <c r="AQ4"/>
      <c r="AR4"/>
      <c r="AS4"/>
      <c r="AT4"/>
      <c r="AU4"/>
      <c r="AV4"/>
      <c r="AW4"/>
      <c r="AX4"/>
      <c r="AY4"/>
      <c r="AZ4"/>
      <c r="BA4"/>
      <c r="BB4"/>
      <c r="BC4"/>
      <c r="BD4"/>
      <c r="BE4"/>
      <c r="BF4"/>
      <c r="BJ4" s="65"/>
    </row>
    <row r="5" spans="1:62" ht="22" customHeight="1" x14ac:dyDescent="0.2">
      <c r="A5" s="121"/>
      <c r="B5" s="118" t="s">
        <v>5</v>
      </c>
      <c r="C5" s="122">
        <v>123</v>
      </c>
      <c r="D5" s="119" t="s">
        <v>6</v>
      </c>
      <c r="E5" s="123">
        <v>123</v>
      </c>
      <c r="F5" s="119" t="s">
        <v>7</v>
      </c>
      <c r="G5" s="124">
        <v>123</v>
      </c>
      <c r="H5" s="119" t="s">
        <v>544</v>
      </c>
      <c r="I5" s="125">
        <v>123</v>
      </c>
      <c r="J5" s="119" t="s">
        <v>545</v>
      </c>
      <c r="K5" s="126">
        <v>123</v>
      </c>
      <c r="L5" s="119" t="s">
        <v>522</v>
      </c>
      <c r="M5" s="121"/>
      <c r="N5" s="121"/>
      <c r="O5" s="121"/>
      <c r="P5" s="121"/>
      <c r="R5" s="42" t="s">
        <v>618</v>
      </c>
      <c r="S5">
        <f>CHOOSE(S4,ref_au_fy_start,ref_nz_fy_start,ref_us_fy_start)</f>
        <v>7</v>
      </c>
      <c r="T5"/>
      <c r="U5"/>
      <c r="V5"/>
      <c r="W5"/>
      <c r="X5"/>
      <c r="Y5"/>
      <c r="Z5"/>
      <c r="AA5"/>
      <c r="AB5"/>
      <c r="AC5"/>
      <c r="AD5"/>
      <c r="AE5"/>
      <c r="AF5"/>
      <c r="AG5"/>
      <c r="AH5"/>
      <c r="AI5"/>
      <c r="AJ5"/>
      <c r="AK5"/>
      <c r="AL5"/>
      <c r="AM5"/>
      <c r="AN5"/>
      <c r="AO5"/>
      <c r="AP5"/>
      <c r="AQ5"/>
      <c r="AR5"/>
      <c r="AS5"/>
      <c r="AT5"/>
      <c r="AU5"/>
      <c r="AV5"/>
      <c r="AW5"/>
      <c r="AX5"/>
      <c r="AY5"/>
      <c r="AZ5"/>
      <c r="BA5"/>
      <c r="BB5"/>
      <c r="BC5"/>
      <c r="BD5"/>
      <c r="BE5"/>
      <c r="BF5"/>
      <c r="BJ5" s="65"/>
    </row>
    <row r="6" spans="1:62" ht="8" customHeight="1" x14ac:dyDescent="0.2">
      <c r="A6" s="121"/>
      <c r="B6" s="121"/>
      <c r="C6" s="121"/>
      <c r="D6" s="121"/>
      <c r="E6" s="121"/>
      <c r="F6" s="121"/>
      <c r="G6" s="121"/>
      <c r="H6" s="121"/>
      <c r="I6" s="121"/>
      <c r="J6" s="121"/>
      <c r="K6" s="121"/>
      <c r="L6" s="121"/>
      <c r="M6" s="121"/>
      <c r="N6" s="121"/>
      <c r="O6" s="121"/>
      <c r="P6" s="121"/>
      <c r="R6" s="42" t="s">
        <v>619</v>
      </c>
      <c r="S6">
        <f>CHOOSE(S4,ref_au_oncost_total,ref_nz_oncost_total,ref_us_oncost_total)</f>
        <v>0.185</v>
      </c>
      <c r="T6"/>
      <c r="U6"/>
      <c r="V6"/>
      <c r="W6"/>
      <c r="X6"/>
      <c r="Y6"/>
      <c r="Z6"/>
      <c r="AA6"/>
      <c r="AB6"/>
      <c r="AC6"/>
      <c r="AD6"/>
      <c r="AE6"/>
      <c r="AF6"/>
      <c r="AG6"/>
      <c r="AH6"/>
      <c r="AI6"/>
      <c r="AJ6"/>
      <c r="AK6"/>
      <c r="AL6"/>
      <c r="AM6"/>
      <c r="AN6"/>
      <c r="AO6"/>
      <c r="AP6"/>
      <c r="AQ6"/>
      <c r="AR6"/>
      <c r="AS6"/>
      <c r="AT6"/>
      <c r="AU6"/>
      <c r="AV6"/>
      <c r="AW6"/>
      <c r="AX6"/>
      <c r="AY6"/>
      <c r="AZ6"/>
      <c r="BA6"/>
      <c r="BB6"/>
      <c r="BC6"/>
      <c r="BD6"/>
      <c r="BE6"/>
      <c r="BF6"/>
      <c r="BJ6" s="65"/>
    </row>
    <row r="7" spans="1:62" x14ac:dyDescent="0.2">
      <c r="A7" s="121"/>
      <c r="B7" s="190" t="s">
        <v>524</v>
      </c>
      <c r="C7" s="190"/>
      <c r="D7" s="190"/>
      <c r="E7" s="190"/>
      <c r="F7" s="190"/>
      <c r="G7" s="190"/>
      <c r="H7" s="190"/>
      <c r="I7" s="190"/>
      <c r="J7" s="190"/>
      <c r="K7" s="190"/>
      <c r="L7" s="190"/>
      <c r="M7" s="190"/>
      <c r="N7" s="190"/>
      <c r="O7" s="121"/>
      <c r="P7" s="121"/>
      <c r="S7"/>
      <c r="T7"/>
      <c r="U7"/>
      <c r="V7"/>
      <c r="W7"/>
      <c r="X7"/>
      <c r="Y7"/>
      <c r="Z7"/>
      <c r="AA7"/>
      <c r="AB7"/>
      <c r="AC7"/>
      <c r="AD7"/>
      <c r="AE7"/>
      <c r="AF7"/>
      <c r="AG7"/>
      <c r="AH7"/>
      <c r="AI7"/>
      <c r="AJ7"/>
      <c r="AK7"/>
      <c r="AL7"/>
      <c r="AM7"/>
      <c r="AN7"/>
      <c r="AO7"/>
      <c r="AP7"/>
      <c r="AQ7"/>
      <c r="AR7"/>
      <c r="AS7"/>
      <c r="AT7"/>
      <c r="AU7"/>
      <c r="AV7"/>
      <c r="AW7"/>
      <c r="AX7"/>
      <c r="AY7"/>
      <c r="AZ7"/>
      <c r="BA7"/>
      <c r="BB7"/>
      <c r="BC7"/>
      <c r="BD7"/>
      <c r="BE7"/>
      <c r="BF7"/>
      <c r="BJ7" s="65"/>
    </row>
    <row r="8" spans="1:62" x14ac:dyDescent="0.2">
      <c r="A8" s="121"/>
      <c r="B8" s="68" t="s">
        <v>546</v>
      </c>
      <c r="C8" s="99" t="s">
        <v>217</v>
      </c>
      <c r="D8" s="66"/>
      <c r="E8" s="66"/>
      <c r="F8" s="66"/>
      <c r="G8" s="66"/>
      <c r="H8" s="66"/>
      <c r="I8" s="66"/>
      <c r="J8" s="66"/>
      <c r="K8" s="66"/>
      <c r="L8" s="66"/>
      <c r="M8" s="66"/>
      <c r="N8" s="66"/>
      <c r="O8" s="66"/>
      <c r="P8" s="121"/>
      <c r="R8" s="42" t="s">
        <v>690</v>
      </c>
      <c r="S8">
        <f>CHOOSE(MATCH(inp_scenario,{"Base","Downside","Upside"},0),scn_util_base,scn_util_downside,scn_util_upside)</f>
        <v>1</v>
      </c>
      <c r="T8"/>
      <c r="U8"/>
      <c r="V8"/>
      <c r="W8"/>
      <c r="X8"/>
      <c r="Y8"/>
      <c r="Z8"/>
      <c r="AA8"/>
      <c r="AB8"/>
      <c r="AC8"/>
      <c r="AD8"/>
      <c r="AE8"/>
      <c r="AF8"/>
      <c r="AG8"/>
      <c r="AH8"/>
      <c r="AI8"/>
      <c r="AJ8"/>
      <c r="AK8"/>
      <c r="AL8"/>
      <c r="AM8"/>
      <c r="AN8"/>
      <c r="AO8"/>
      <c r="AP8"/>
      <c r="AQ8"/>
      <c r="AR8"/>
      <c r="AS8"/>
      <c r="AT8"/>
      <c r="AU8"/>
      <c r="AV8"/>
      <c r="AW8"/>
      <c r="AX8"/>
      <c r="AY8"/>
      <c r="AZ8"/>
      <c r="BA8"/>
      <c r="BB8"/>
      <c r="BC8"/>
      <c r="BD8"/>
      <c r="BE8"/>
      <c r="BF8"/>
    </row>
    <row r="9" spans="1:62" x14ac:dyDescent="0.2">
      <c r="A9" s="121"/>
      <c r="B9" s="68" t="s">
        <v>218</v>
      </c>
      <c r="C9" s="99" t="s">
        <v>659</v>
      </c>
      <c r="D9" s="66"/>
      <c r="E9" s="66"/>
      <c r="F9" s="66"/>
      <c r="G9" s="66"/>
      <c r="H9" s="66"/>
      <c r="I9" s="66"/>
      <c r="J9" s="66"/>
      <c r="K9" s="66"/>
      <c r="L9" s="66"/>
      <c r="M9" s="66"/>
      <c r="N9" s="66"/>
      <c r="O9" s="66"/>
      <c r="P9" s="121"/>
      <c r="S9"/>
      <c r="T9"/>
      <c r="U9"/>
      <c r="V9"/>
      <c r="W9"/>
      <c r="X9"/>
      <c r="Y9"/>
      <c r="Z9"/>
      <c r="AA9"/>
      <c r="AB9"/>
      <c r="AC9"/>
      <c r="AD9"/>
      <c r="AE9"/>
      <c r="AF9"/>
      <c r="AG9"/>
      <c r="AH9"/>
      <c r="AI9"/>
      <c r="AJ9"/>
      <c r="AK9"/>
      <c r="AL9"/>
      <c r="AM9"/>
      <c r="AN9"/>
      <c r="AO9"/>
      <c r="AP9"/>
      <c r="AQ9"/>
      <c r="AR9"/>
      <c r="AS9"/>
      <c r="AT9"/>
      <c r="AU9"/>
      <c r="AV9"/>
      <c r="AW9"/>
      <c r="AX9"/>
      <c r="AY9"/>
      <c r="AZ9"/>
      <c r="BA9"/>
      <c r="BB9"/>
      <c r="BC9"/>
      <c r="BD9"/>
      <c r="BE9"/>
      <c r="BF9"/>
    </row>
    <row r="10" spans="1:62" x14ac:dyDescent="0.2">
      <c r="A10" s="121"/>
      <c r="B10" s="68" t="s">
        <v>219</v>
      </c>
      <c r="C10" s="99" t="s">
        <v>220</v>
      </c>
      <c r="D10" s="66"/>
      <c r="E10" s="66"/>
      <c r="F10" s="66"/>
      <c r="G10" s="66"/>
      <c r="H10" s="66"/>
      <c r="I10" s="66"/>
      <c r="J10" s="66"/>
      <c r="K10" s="66"/>
      <c r="L10" s="66"/>
      <c r="M10" s="66"/>
      <c r="N10" s="66"/>
      <c r="O10" s="66"/>
      <c r="P10" s="121"/>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row>
    <row r="11" spans="1:62" x14ac:dyDescent="0.2">
      <c r="A11" s="121"/>
      <c r="B11" s="68" t="s">
        <v>221</v>
      </c>
      <c r="C11" s="101">
        <v>3000000</v>
      </c>
      <c r="D11" s="66"/>
      <c r="E11" s="66"/>
      <c r="F11" s="66"/>
      <c r="G11" s="66"/>
      <c r="H11" s="66"/>
      <c r="I11" s="66"/>
      <c r="J11" s="66"/>
      <c r="K11" s="66"/>
      <c r="L11" s="66"/>
      <c r="M11" s="66"/>
      <c r="N11" s="66"/>
      <c r="O11" s="66"/>
      <c r="P11" s="12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row>
    <row r="12" spans="1:62" x14ac:dyDescent="0.2">
      <c r="A12" s="121"/>
      <c r="B12" s="68" t="s">
        <v>222</v>
      </c>
      <c r="C12" s="101">
        <v>430000</v>
      </c>
      <c r="D12" s="66"/>
      <c r="E12" s="66"/>
      <c r="F12" s="66"/>
      <c r="G12" s="66"/>
      <c r="H12" s="66"/>
      <c r="I12" s="66"/>
      <c r="J12" s="66"/>
      <c r="K12" s="66"/>
      <c r="L12" s="66"/>
      <c r="M12" s="66"/>
      <c r="N12" s="66"/>
      <c r="O12" s="66"/>
      <c r="P12" s="121"/>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row>
    <row r="13" spans="1:62" x14ac:dyDescent="0.2">
      <c r="A13" s="121"/>
      <c r="B13" s="68" t="s">
        <v>223</v>
      </c>
      <c r="C13" s="101">
        <v>420000</v>
      </c>
      <c r="D13" s="66"/>
      <c r="E13" s="66"/>
      <c r="F13" s="66"/>
      <c r="G13" s="66"/>
      <c r="H13" s="66"/>
      <c r="I13" s="66"/>
      <c r="J13" s="66"/>
      <c r="K13" s="66"/>
      <c r="L13" s="66"/>
      <c r="M13" s="66"/>
      <c r="N13" s="66"/>
      <c r="O13" s="66"/>
      <c r="P13" s="121"/>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row>
    <row r="14" spans="1:62" x14ac:dyDescent="0.2">
      <c r="A14" s="121"/>
      <c r="B14" s="68" t="s">
        <v>224</v>
      </c>
      <c r="C14" s="100">
        <v>250000</v>
      </c>
      <c r="D14" s="66"/>
      <c r="E14" s="66"/>
      <c r="F14" s="66"/>
      <c r="G14" s="66"/>
      <c r="H14" s="66"/>
      <c r="I14" s="66"/>
      <c r="J14" s="66"/>
      <c r="K14" s="66"/>
      <c r="L14" s="66"/>
      <c r="M14" s="66"/>
      <c r="N14" s="66"/>
      <c r="O14" s="66"/>
      <c r="P14" s="121"/>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row>
    <row r="15" spans="1:62" x14ac:dyDescent="0.2">
      <c r="A15" s="121"/>
      <c r="B15" s="66"/>
      <c r="C15" s="66"/>
      <c r="D15" s="66"/>
      <c r="E15" s="66"/>
      <c r="F15" s="66"/>
      <c r="G15" s="66"/>
      <c r="H15" s="66"/>
      <c r="I15" s="66"/>
      <c r="J15" s="66"/>
      <c r="K15" s="66"/>
      <c r="L15" s="66"/>
      <c r="M15" s="66"/>
      <c r="N15" s="66"/>
      <c r="O15" s="66"/>
      <c r="P15" s="121"/>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row>
    <row r="16" spans="1:62" x14ac:dyDescent="0.2">
      <c r="A16" s="121"/>
      <c r="B16" s="190" t="s">
        <v>547</v>
      </c>
      <c r="C16" s="190"/>
      <c r="D16" s="190"/>
      <c r="E16" s="190"/>
      <c r="F16" s="190"/>
      <c r="G16" s="190"/>
      <c r="H16" s="190"/>
      <c r="I16" s="190"/>
      <c r="J16" s="190"/>
      <c r="K16" s="190"/>
      <c r="L16" s="190"/>
      <c r="M16" s="190"/>
      <c r="N16" s="190"/>
      <c r="O16" s="66"/>
      <c r="P16" s="121"/>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row>
    <row r="17" spans="1:58" x14ac:dyDescent="0.2">
      <c r="A17" s="121"/>
      <c r="B17" s="66"/>
      <c r="C17" s="66"/>
      <c r="D17" s="66"/>
      <c r="E17" s="66"/>
      <c r="F17" s="66"/>
      <c r="G17" s="66"/>
      <c r="H17" s="66"/>
      <c r="I17" s="66"/>
      <c r="J17" s="66"/>
      <c r="K17" s="66"/>
      <c r="L17" s="66"/>
      <c r="M17" s="66"/>
      <c r="N17" s="66"/>
      <c r="O17" s="66"/>
      <c r="P17" s="121"/>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row>
    <row r="18" spans="1:58" ht="17" thickBot="1" x14ac:dyDescent="0.25">
      <c r="A18" s="121"/>
      <c r="B18" s="69" t="s">
        <v>548</v>
      </c>
      <c r="C18" s="70" t="s">
        <v>521</v>
      </c>
      <c r="D18" s="66"/>
      <c r="E18" s="192" t="s">
        <v>679</v>
      </c>
      <c r="F18" s="200"/>
      <c r="G18" s="200"/>
      <c r="H18" s="200"/>
      <c r="I18" s="200"/>
      <c r="J18" s="200"/>
      <c r="K18" s="200"/>
      <c r="L18" s="200"/>
      <c r="M18" s="200"/>
      <c r="N18" s="200"/>
      <c r="O18" s="66"/>
      <c r="P18" s="121"/>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row>
    <row r="19" spans="1:58" x14ac:dyDescent="0.2">
      <c r="A19" s="121"/>
      <c r="B19" s="66"/>
      <c r="C19" s="66"/>
      <c r="D19" s="66"/>
      <c r="E19" s="192" t="s">
        <v>680</v>
      </c>
      <c r="F19" s="193"/>
      <c r="G19" s="193"/>
      <c r="H19" s="193"/>
      <c r="I19" s="193"/>
      <c r="J19" s="193"/>
      <c r="K19" s="193"/>
      <c r="L19" s="193"/>
      <c r="M19" s="193"/>
      <c r="N19" s="193"/>
      <c r="O19" s="66"/>
      <c r="P19" s="121"/>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row>
    <row r="20" spans="1:58" x14ac:dyDescent="0.2">
      <c r="A20" s="121"/>
      <c r="B20" s="191" t="s">
        <v>549</v>
      </c>
      <c r="C20" s="191"/>
      <c r="D20" s="191"/>
      <c r="E20" s="191"/>
      <c r="F20" s="191"/>
      <c r="G20" s="191"/>
      <c r="H20" s="191"/>
      <c r="I20" s="191"/>
      <c r="J20" s="191"/>
      <c r="K20" s="191"/>
      <c r="L20" s="191"/>
      <c r="M20" s="191"/>
      <c r="N20" s="191"/>
      <c r="O20" s="66"/>
      <c r="P20" s="121"/>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row>
    <row r="21" spans="1:58" x14ac:dyDescent="0.2">
      <c r="A21" s="121"/>
      <c r="B21" s="66"/>
      <c r="C21" s="66"/>
      <c r="D21" s="66"/>
      <c r="E21" s="66"/>
      <c r="F21" s="66"/>
      <c r="G21" s="66"/>
      <c r="H21" s="66"/>
      <c r="I21" s="66"/>
      <c r="J21" s="66"/>
      <c r="K21" s="66"/>
      <c r="L21" s="66"/>
      <c r="M21" s="66"/>
      <c r="N21" s="66"/>
      <c r="O21" s="66"/>
      <c r="P21" s="1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row>
    <row r="22" spans="1:58" x14ac:dyDescent="0.2">
      <c r="A22" s="121"/>
      <c r="B22" s="190" t="s">
        <v>550</v>
      </c>
      <c r="C22" s="190"/>
      <c r="D22" s="190"/>
      <c r="E22" s="190"/>
      <c r="F22" s="190"/>
      <c r="G22" s="190"/>
      <c r="H22" s="190"/>
      <c r="I22" s="190"/>
      <c r="J22" s="190"/>
      <c r="K22" s="190"/>
      <c r="L22" s="190"/>
      <c r="M22" s="190"/>
      <c r="N22" s="190"/>
      <c r="O22" s="66"/>
      <c r="P22" s="121"/>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row>
    <row r="23" spans="1:58" x14ac:dyDescent="0.2">
      <c r="A23" s="121"/>
      <c r="B23" s="66"/>
      <c r="C23" s="71" t="s">
        <v>2</v>
      </c>
      <c r="D23" s="71" t="s">
        <v>16</v>
      </c>
      <c r="E23" s="71" t="s">
        <v>17</v>
      </c>
      <c r="F23" s="66"/>
      <c r="G23" s="66"/>
      <c r="H23" s="66"/>
      <c r="I23" s="66"/>
      <c r="J23" s="66"/>
      <c r="K23" s="66"/>
      <c r="L23" s="66"/>
      <c r="M23" s="66"/>
      <c r="N23" s="66"/>
      <c r="O23" s="66"/>
      <c r="P23" s="121"/>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row>
    <row r="24" spans="1:58" x14ac:dyDescent="0.2">
      <c r="A24" s="121"/>
      <c r="B24" s="68" t="s">
        <v>226</v>
      </c>
      <c r="C24" s="105">
        <v>1</v>
      </c>
      <c r="D24" s="105">
        <v>0.85</v>
      </c>
      <c r="E24" s="105">
        <v>1.1000000000000001</v>
      </c>
      <c r="F24" s="191" t="s">
        <v>553</v>
      </c>
      <c r="G24" s="191"/>
      <c r="H24" s="191"/>
      <c r="I24" s="191"/>
      <c r="J24" s="191"/>
      <c r="K24" s="191"/>
      <c r="L24" s="191"/>
      <c r="M24" s="191"/>
      <c r="N24" s="191"/>
      <c r="O24" s="66"/>
      <c r="P24" s="121"/>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row>
    <row r="25" spans="1:58" x14ac:dyDescent="0.2">
      <c r="A25" s="121"/>
      <c r="B25" s="68" t="s">
        <v>551</v>
      </c>
      <c r="C25" s="105">
        <v>1</v>
      </c>
      <c r="D25" s="105">
        <v>0.85</v>
      </c>
      <c r="E25" s="105">
        <v>1.05</v>
      </c>
      <c r="F25" s="66"/>
      <c r="G25" s="66"/>
      <c r="H25" s="66"/>
      <c r="I25" s="66"/>
      <c r="J25" s="66"/>
      <c r="K25" s="66"/>
      <c r="L25" s="66"/>
      <c r="M25" s="66"/>
      <c r="N25" s="66"/>
      <c r="O25" s="66"/>
      <c r="P25" s="121"/>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row>
    <row r="26" spans="1:58" x14ac:dyDescent="0.2">
      <c r="A26" s="121"/>
      <c r="B26" s="68" t="s">
        <v>227</v>
      </c>
      <c r="C26" s="105">
        <v>1</v>
      </c>
      <c r="D26" s="105">
        <v>1.05</v>
      </c>
      <c r="E26" s="105">
        <v>0.98</v>
      </c>
      <c r="F26" s="66"/>
      <c r="G26" s="66"/>
      <c r="H26" s="66"/>
      <c r="I26" s="66"/>
      <c r="J26" s="66"/>
      <c r="K26" s="66"/>
      <c r="L26" s="66"/>
      <c r="M26" s="66"/>
      <c r="N26" s="66"/>
      <c r="O26" s="66"/>
      <c r="P26" s="121"/>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row>
    <row r="27" spans="1:58" x14ac:dyDescent="0.2">
      <c r="A27" s="121"/>
      <c r="B27" s="68" t="s">
        <v>552</v>
      </c>
      <c r="C27" s="106">
        <v>0</v>
      </c>
      <c r="D27" s="106">
        <v>0.5</v>
      </c>
      <c r="E27" s="106">
        <v>-0.25</v>
      </c>
      <c r="F27" s="66"/>
      <c r="G27" s="66"/>
      <c r="H27" s="66"/>
      <c r="I27" s="66"/>
      <c r="J27" s="66"/>
      <c r="K27" s="66"/>
      <c r="L27" s="66"/>
      <c r="M27" s="66"/>
      <c r="N27" s="66"/>
      <c r="O27" s="66"/>
      <c r="P27" s="121"/>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row>
    <row r="28" spans="1:58" x14ac:dyDescent="0.2">
      <c r="A28" s="121"/>
      <c r="B28" s="66"/>
      <c r="C28" s="66"/>
      <c r="D28" s="66"/>
      <c r="E28" s="66"/>
      <c r="F28" s="66"/>
      <c r="G28" s="66"/>
      <c r="H28" s="66"/>
      <c r="I28" s="66"/>
      <c r="J28" s="66"/>
      <c r="K28" s="66"/>
      <c r="L28" s="66"/>
      <c r="M28" s="66"/>
      <c r="N28" s="66"/>
      <c r="O28" s="66"/>
      <c r="P28" s="121"/>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row>
    <row r="29" spans="1:58" x14ac:dyDescent="0.2">
      <c r="A29" s="121"/>
      <c r="B29" s="190" t="s">
        <v>681</v>
      </c>
      <c r="C29" s="190"/>
      <c r="D29" s="190"/>
      <c r="E29" s="190"/>
      <c r="F29" s="190"/>
      <c r="G29" s="190"/>
      <c r="H29" s="190"/>
      <c r="I29" s="190"/>
      <c r="J29" s="190"/>
      <c r="K29" s="190"/>
      <c r="L29" s="190"/>
      <c r="M29" s="190"/>
      <c r="N29" s="190"/>
      <c r="O29" s="66"/>
      <c r="P29" s="121"/>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row>
    <row r="30" spans="1:58" x14ac:dyDescent="0.2">
      <c r="A30" s="121"/>
      <c r="B30" s="72"/>
      <c r="C30" s="73" t="s">
        <v>217</v>
      </c>
      <c r="D30" s="73" t="s">
        <v>230</v>
      </c>
      <c r="E30" s="74" t="s">
        <v>231</v>
      </c>
      <c r="F30" s="66"/>
      <c r="G30" s="66"/>
      <c r="H30" s="66"/>
      <c r="I30" s="66"/>
      <c r="J30" s="66"/>
      <c r="K30" s="66"/>
      <c r="L30" s="66"/>
      <c r="M30" s="66"/>
      <c r="N30" s="66"/>
      <c r="O30" s="66"/>
      <c r="P30" s="121"/>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row>
    <row r="31" spans="1:58" x14ac:dyDescent="0.2">
      <c r="A31" s="121"/>
      <c r="B31" s="75" t="s">
        <v>554</v>
      </c>
      <c r="C31" s="76">
        <v>7</v>
      </c>
      <c r="D31" s="76">
        <v>4</v>
      </c>
      <c r="E31" s="77">
        <v>1</v>
      </c>
      <c r="F31" s="66"/>
      <c r="G31" s="66"/>
      <c r="H31" s="66"/>
      <c r="I31" s="66"/>
      <c r="J31" s="66"/>
      <c r="K31" s="66"/>
      <c r="L31" s="66"/>
      <c r="M31" s="66"/>
      <c r="N31" s="66"/>
      <c r="O31" s="66"/>
      <c r="P31" s="12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row>
    <row r="32" spans="1:58" x14ac:dyDescent="0.2">
      <c r="A32" s="121"/>
      <c r="B32" s="75" t="s">
        <v>555</v>
      </c>
      <c r="C32" s="78">
        <v>0.12</v>
      </c>
      <c r="D32" s="78">
        <v>3.5000000000000003E-2</v>
      </c>
      <c r="E32" s="79">
        <v>7.6499999999999999E-2</v>
      </c>
      <c r="F32" s="66"/>
      <c r="G32" s="66"/>
      <c r="H32" s="66"/>
      <c r="I32" s="66"/>
      <c r="J32" s="66"/>
      <c r="K32" s="66"/>
      <c r="L32" s="66"/>
      <c r="M32" s="66"/>
      <c r="N32" s="66"/>
      <c r="O32" s="66"/>
      <c r="P32" s="121"/>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row>
    <row r="33" spans="1:58" x14ac:dyDescent="0.2">
      <c r="A33" s="121"/>
      <c r="B33" s="75" t="s">
        <v>228</v>
      </c>
      <c r="C33" s="78">
        <v>0.05</v>
      </c>
      <c r="D33" s="78">
        <v>0</v>
      </c>
      <c r="E33" s="79">
        <v>1.8499999999999999E-2</v>
      </c>
      <c r="F33" s="66"/>
      <c r="G33" s="66"/>
      <c r="H33" s="66"/>
      <c r="I33" s="66"/>
      <c r="J33" s="66"/>
      <c r="K33" s="66"/>
      <c r="L33" s="66"/>
      <c r="M33" s="66"/>
      <c r="N33" s="66"/>
      <c r="O33" s="66"/>
      <c r="P33" s="121"/>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row>
    <row r="34" spans="1:58" x14ac:dyDescent="0.2">
      <c r="A34" s="121"/>
      <c r="B34" s="75" t="s">
        <v>229</v>
      </c>
      <c r="C34" s="78">
        <v>1.4999999999999999E-2</v>
      </c>
      <c r="D34" s="78">
        <v>0.01</v>
      </c>
      <c r="E34" s="79">
        <v>0.01</v>
      </c>
      <c r="F34" s="66"/>
      <c r="G34" s="66"/>
      <c r="H34" s="66"/>
      <c r="I34" s="66"/>
      <c r="J34" s="66"/>
      <c r="K34" s="66"/>
      <c r="L34" s="66"/>
      <c r="M34" s="66"/>
      <c r="N34" s="66"/>
      <c r="O34" s="66"/>
      <c r="P34" s="121"/>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row>
    <row r="35" spans="1:58" x14ac:dyDescent="0.2">
      <c r="A35" s="121"/>
      <c r="B35" s="75" t="s">
        <v>556</v>
      </c>
      <c r="C35" s="78">
        <v>0.1</v>
      </c>
      <c r="D35" s="78">
        <v>0.15</v>
      </c>
      <c r="E35" s="79">
        <v>0</v>
      </c>
      <c r="F35" s="66"/>
      <c r="G35" s="66"/>
      <c r="H35" s="66"/>
      <c r="I35" s="66"/>
      <c r="J35" s="66"/>
      <c r="K35" s="66"/>
      <c r="L35" s="66"/>
      <c r="M35" s="66"/>
      <c r="N35" s="66"/>
      <c r="O35" s="66"/>
      <c r="P35" s="121"/>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row>
    <row r="36" spans="1:58" x14ac:dyDescent="0.2">
      <c r="A36" s="121"/>
      <c r="B36" s="80" t="s">
        <v>557</v>
      </c>
      <c r="C36" s="81">
        <v>0.185</v>
      </c>
      <c r="D36" s="81">
        <v>4.4999999999999998E-2</v>
      </c>
      <c r="E36" s="82">
        <v>0.105</v>
      </c>
      <c r="F36" s="66"/>
      <c r="G36" s="66"/>
      <c r="H36" s="66"/>
      <c r="I36" s="66"/>
      <c r="J36" s="66"/>
      <c r="K36" s="66"/>
      <c r="L36" s="66"/>
      <c r="M36" s="66"/>
      <c r="N36" s="66"/>
      <c r="O36" s="66"/>
      <c r="P36" s="121"/>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row>
    <row r="37" spans="1:58" x14ac:dyDescent="0.2">
      <c r="A37" s="121"/>
      <c r="B37" s="66"/>
      <c r="C37" s="66"/>
      <c r="D37" s="66"/>
      <c r="E37" s="66"/>
      <c r="F37" s="66"/>
      <c r="G37" s="66"/>
      <c r="H37" s="66"/>
      <c r="I37" s="66"/>
      <c r="J37" s="66"/>
      <c r="K37" s="66"/>
      <c r="L37" s="66"/>
      <c r="M37" s="66"/>
      <c r="N37" s="66"/>
      <c r="O37" s="66"/>
      <c r="P37" s="121"/>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row>
    <row r="38" spans="1:58" x14ac:dyDescent="0.2">
      <c r="A38" s="121"/>
      <c r="B38" s="188" t="s">
        <v>558</v>
      </c>
      <c r="C38" s="188"/>
      <c r="D38" s="188"/>
      <c r="E38" s="188"/>
      <c r="F38" s="188"/>
      <c r="G38" s="188"/>
      <c r="H38" s="188"/>
      <c r="I38" s="188"/>
      <c r="J38" s="188"/>
      <c r="K38" s="188"/>
      <c r="L38" s="188"/>
      <c r="M38" s="188"/>
      <c r="N38" s="188"/>
      <c r="O38" s="66"/>
      <c r="P38" s="121"/>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row>
    <row r="39" spans="1:58" x14ac:dyDescent="0.2">
      <c r="A39" s="121"/>
      <c r="B39" s="66"/>
      <c r="C39" s="66"/>
      <c r="D39" s="66"/>
      <c r="E39" s="66"/>
      <c r="F39" s="66"/>
      <c r="G39" s="66"/>
      <c r="H39" s="66"/>
      <c r="I39" s="66"/>
      <c r="J39" s="66"/>
      <c r="K39" s="66"/>
      <c r="L39" s="66"/>
      <c r="M39" s="66"/>
      <c r="N39" s="66"/>
      <c r="O39" s="66"/>
      <c r="P39" s="121"/>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row>
    <row r="40" spans="1:58" x14ac:dyDescent="0.2">
      <c r="A40" s="121"/>
      <c r="B40" s="190" t="s">
        <v>542</v>
      </c>
      <c r="C40" s="190"/>
      <c r="D40" s="190"/>
      <c r="E40" s="190"/>
      <c r="F40" s="190"/>
      <c r="G40" s="190"/>
      <c r="H40" s="190"/>
      <c r="I40" s="190"/>
      <c r="J40" s="190"/>
      <c r="K40" s="190"/>
      <c r="L40" s="190"/>
      <c r="M40" s="190"/>
      <c r="N40" s="190"/>
      <c r="O40" s="66"/>
      <c r="P40" s="121"/>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row>
    <row r="41" spans="1:58" x14ac:dyDescent="0.2">
      <c r="A41" s="121"/>
      <c r="B41" s="68" t="s">
        <v>559</v>
      </c>
      <c r="C41" s="102">
        <v>45</v>
      </c>
      <c r="D41" s="66"/>
      <c r="E41" s="66"/>
      <c r="F41" s="66"/>
      <c r="G41" s="66"/>
      <c r="H41" s="66"/>
      <c r="I41" s="66"/>
      <c r="J41" s="66"/>
      <c r="K41" s="66"/>
      <c r="L41" s="66"/>
      <c r="M41" s="66"/>
      <c r="N41" s="66"/>
      <c r="O41" s="66"/>
      <c r="P41" s="12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row>
    <row r="42" spans="1:58" x14ac:dyDescent="0.2">
      <c r="A42" s="121"/>
      <c r="B42" s="68" t="s">
        <v>560</v>
      </c>
      <c r="C42" s="102">
        <v>30</v>
      </c>
      <c r="D42" s="66"/>
      <c r="E42" s="66"/>
      <c r="F42" s="66"/>
      <c r="G42" s="66"/>
      <c r="H42" s="66"/>
      <c r="I42" s="66"/>
      <c r="J42" s="66"/>
      <c r="K42" s="66"/>
      <c r="L42" s="66"/>
      <c r="M42" s="66"/>
      <c r="N42" s="66"/>
      <c r="O42" s="66"/>
      <c r="P42" s="121"/>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row>
    <row r="43" spans="1:58" x14ac:dyDescent="0.2">
      <c r="A43" s="121"/>
      <c r="B43" s="68" t="s">
        <v>235</v>
      </c>
      <c r="C43" s="101">
        <v>370000</v>
      </c>
      <c r="D43" s="66"/>
      <c r="E43" s="66"/>
      <c r="F43" s="66"/>
      <c r="G43" s="66"/>
      <c r="H43" s="66"/>
      <c r="I43" s="66"/>
      <c r="J43" s="66"/>
      <c r="K43" s="66"/>
      <c r="L43" s="66"/>
      <c r="M43" s="66"/>
      <c r="N43" s="66"/>
      <c r="O43" s="66"/>
      <c r="P43" s="121"/>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row>
    <row r="44" spans="1:58" x14ac:dyDescent="0.2">
      <c r="A44" s="121"/>
      <c r="B44" s="68" t="s">
        <v>236</v>
      </c>
      <c r="C44" s="101">
        <v>120000</v>
      </c>
      <c r="D44" s="66"/>
      <c r="E44" s="66"/>
      <c r="F44" s="66"/>
      <c r="G44" s="66"/>
      <c r="H44" s="66"/>
      <c r="I44" s="66"/>
      <c r="J44" s="66"/>
      <c r="K44" s="66"/>
      <c r="L44" s="66"/>
      <c r="M44" s="66"/>
      <c r="N44" s="66"/>
      <c r="O44" s="66"/>
      <c r="P44" s="121"/>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row>
    <row r="45" spans="1:58" x14ac:dyDescent="0.2">
      <c r="A45" s="121"/>
      <c r="B45" s="68" t="s">
        <v>237</v>
      </c>
      <c r="C45" s="101">
        <v>180000</v>
      </c>
      <c r="D45" s="66"/>
      <c r="E45" s="66"/>
      <c r="F45" s="66"/>
      <c r="G45" s="66"/>
      <c r="H45" s="66"/>
      <c r="I45" s="66"/>
      <c r="J45" s="66"/>
      <c r="K45" s="66"/>
      <c r="L45" s="66"/>
      <c r="M45" s="66"/>
      <c r="N45" s="66"/>
      <c r="O45" s="66"/>
      <c r="P45" s="121"/>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row>
    <row r="46" spans="1:58" x14ac:dyDescent="0.2">
      <c r="A46" s="121"/>
      <c r="B46" s="68" t="s">
        <v>561</v>
      </c>
      <c r="C46" s="101">
        <v>300000</v>
      </c>
      <c r="D46" s="66"/>
      <c r="E46" s="66"/>
      <c r="F46" s="66"/>
      <c r="G46" s="66"/>
      <c r="H46" s="66"/>
      <c r="I46" s="66"/>
      <c r="J46" s="66"/>
      <c r="K46" s="66"/>
      <c r="L46" s="66"/>
      <c r="M46" s="66"/>
      <c r="N46" s="66"/>
      <c r="O46" s="66"/>
      <c r="P46" s="121"/>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row>
    <row r="47" spans="1:58" x14ac:dyDescent="0.2">
      <c r="A47" s="121"/>
      <c r="B47" s="68" t="s">
        <v>562</v>
      </c>
      <c r="C47" s="103"/>
      <c r="D47" s="66"/>
      <c r="E47" s="191" t="s">
        <v>567</v>
      </c>
      <c r="F47" s="191"/>
      <c r="G47" s="191"/>
      <c r="H47" s="191"/>
      <c r="I47" s="191"/>
      <c r="J47" s="191"/>
      <c r="K47" s="191"/>
      <c r="L47" s="191"/>
      <c r="M47" s="191"/>
      <c r="N47" s="191"/>
      <c r="O47" s="66"/>
      <c r="P47" s="121"/>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row>
    <row r="48" spans="1:58" x14ac:dyDescent="0.2">
      <c r="A48" s="121"/>
      <c r="B48" s="68" t="s">
        <v>563</v>
      </c>
      <c r="C48" s="101"/>
      <c r="D48" s="66"/>
      <c r="E48" s="66"/>
      <c r="F48" s="66"/>
      <c r="G48" s="66"/>
      <c r="H48" s="66"/>
      <c r="I48" s="66"/>
      <c r="J48" s="66"/>
      <c r="K48" s="66"/>
      <c r="L48" s="66"/>
      <c r="M48" s="66"/>
      <c r="N48" s="66"/>
      <c r="O48" s="66"/>
      <c r="P48" s="121"/>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row>
    <row r="49" spans="1:58" x14ac:dyDescent="0.2">
      <c r="A49" s="121"/>
      <c r="B49" s="68" t="s">
        <v>564</v>
      </c>
      <c r="C49" s="105">
        <v>8.8999999999999996E-2</v>
      </c>
      <c r="D49" s="66"/>
      <c r="E49" s="66"/>
      <c r="F49" s="66"/>
      <c r="G49" s="66"/>
      <c r="H49" s="66"/>
      <c r="I49" s="66"/>
      <c r="J49" s="66"/>
      <c r="K49" s="66"/>
      <c r="L49" s="66"/>
      <c r="M49" s="66"/>
      <c r="N49" s="66"/>
      <c r="O49" s="66"/>
      <c r="P49" s="121"/>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row>
    <row r="50" spans="1:58" x14ac:dyDescent="0.2">
      <c r="A50" s="121"/>
      <c r="B50" s="68" t="s">
        <v>565</v>
      </c>
      <c r="C50" s="101">
        <v>70000</v>
      </c>
      <c r="D50" s="66"/>
      <c r="E50" s="66"/>
      <c r="F50" s="66"/>
      <c r="G50" s="66"/>
      <c r="H50" s="66"/>
      <c r="I50" s="66"/>
      <c r="J50" s="66"/>
      <c r="K50" s="66"/>
      <c r="L50" s="66"/>
      <c r="M50" s="66"/>
      <c r="N50" s="66"/>
      <c r="O50" s="66"/>
      <c r="P50" s="121"/>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row>
    <row r="51" spans="1:58" x14ac:dyDescent="0.2">
      <c r="A51" s="121"/>
      <c r="B51" s="68" t="s">
        <v>566</v>
      </c>
      <c r="C51" s="104">
        <v>0.25</v>
      </c>
      <c r="D51" s="66"/>
      <c r="E51" s="66"/>
      <c r="F51" s="66"/>
      <c r="G51" s="66"/>
      <c r="H51" s="66"/>
      <c r="I51" s="66"/>
      <c r="J51" s="66"/>
      <c r="K51" s="66"/>
      <c r="L51" s="66"/>
      <c r="M51" s="66"/>
      <c r="N51" s="66"/>
      <c r="O51" s="66"/>
      <c r="P51" s="12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row>
    <row r="52" spans="1:58" x14ac:dyDescent="0.2">
      <c r="A52" s="121"/>
      <c r="B52" s="66"/>
      <c r="C52" s="66"/>
      <c r="D52" s="66"/>
      <c r="E52" s="66"/>
      <c r="F52" s="66"/>
      <c r="G52" s="66"/>
      <c r="H52" s="66"/>
      <c r="I52" s="66"/>
      <c r="J52" s="66"/>
      <c r="K52" s="66"/>
      <c r="L52" s="66"/>
      <c r="M52" s="66"/>
      <c r="N52" s="66"/>
      <c r="O52" s="66"/>
      <c r="P52" s="121"/>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row>
    <row r="53" spans="1:58" x14ac:dyDescent="0.2">
      <c r="A53" s="121"/>
      <c r="B53" s="83" t="s">
        <v>568</v>
      </c>
      <c r="C53" s="84" t="str">
        <f>TEXT(DATE(2000,CHOOSE(MATCH($C$8,{"AU";"NZ";"US"},0),7,4,1)+0,1),"mmm")</f>
        <v>Jul</v>
      </c>
      <c r="D53" s="84" t="str">
        <f>TEXT(DATE(2000,CHOOSE(MATCH($C$8,{"AU";"NZ";"US"},0),7,4,1)+1,1),"mmm")</f>
        <v>Aug</v>
      </c>
      <c r="E53" s="84" t="str">
        <f>TEXT(DATE(2000,CHOOSE(MATCH($C$8,{"AU";"NZ";"US"},0),7,4,1)+2,1),"mmm")</f>
        <v>Sep</v>
      </c>
      <c r="F53" s="84" t="str">
        <f>TEXT(DATE(2000,CHOOSE(MATCH($C$8,{"AU";"NZ";"US"},0),7,4,1)+3,1),"mmm")</f>
        <v>Oct</v>
      </c>
      <c r="G53" s="84" t="str">
        <f>TEXT(DATE(2000,CHOOSE(MATCH($C$8,{"AU";"NZ";"US"},0),7,4,1)+4,1),"mmm")</f>
        <v>Nov</v>
      </c>
      <c r="H53" s="84" t="str">
        <f>TEXT(DATE(2000,CHOOSE(MATCH($C$8,{"AU";"NZ";"US"},0),7,4,1)+5,1),"mmm")</f>
        <v>Dec</v>
      </c>
      <c r="I53" s="84" t="str">
        <f>TEXT(DATE(2000,CHOOSE(MATCH($C$8,{"AU";"NZ";"US"},0),7,4,1)+6,1),"mmm")</f>
        <v>Jan</v>
      </c>
      <c r="J53" s="84" t="str">
        <f>TEXT(DATE(2000,CHOOSE(MATCH($C$8,{"AU";"NZ";"US"},0),7,4,1)+7,1),"mmm")</f>
        <v>Feb</v>
      </c>
      <c r="K53" s="84" t="str">
        <f>TEXT(DATE(2000,CHOOSE(MATCH($C$8,{"AU";"NZ";"US"},0),7,4,1)+8,1),"mmm")</f>
        <v>Mar</v>
      </c>
      <c r="L53" s="84" t="str">
        <f>TEXT(DATE(2000,CHOOSE(MATCH($C$8,{"AU";"NZ";"US"},0),7,4,1)+9,1),"mmm")</f>
        <v>Apr</v>
      </c>
      <c r="M53" s="84" t="str">
        <f>TEXT(DATE(2000,CHOOSE(MATCH($C$8,{"AU";"NZ";"US"},0),7,4,1)+10,1),"mmm")</f>
        <v>May</v>
      </c>
      <c r="N53" s="84" t="str">
        <f>TEXT(DATE(2000,CHOOSE(MATCH($C$8,{"AU";"NZ";"US"},0),7,4,1)+11,1),"mmm")</f>
        <v>Jun</v>
      </c>
      <c r="O53" s="66"/>
      <c r="P53" s="121"/>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row>
    <row r="54" spans="1:58" x14ac:dyDescent="0.2">
      <c r="A54" s="121"/>
      <c r="B54" s="190" t="s">
        <v>569</v>
      </c>
      <c r="C54" s="190"/>
      <c r="D54" s="190"/>
      <c r="E54" s="190"/>
      <c r="F54" s="190"/>
      <c r="G54" s="190"/>
      <c r="H54" s="190"/>
      <c r="I54" s="190"/>
      <c r="J54" s="190"/>
      <c r="K54" s="190"/>
      <c r="L54" s="190"/>
      <c r="M54" s="190"/>
      <c r="N54" s="190"/>
      <c r="O54" s="66"/>
      <c r="P54" s="121"/>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row>
    <row r="55" spans="1:58" x14ac:dyDescent="0.2">
      <c r="A55" s="121"/>
      <c r="B55" s="68" t="s">
        <v>570</v>
      </c>
      <c r="C55" s="100"/>
      <c r="D55" s="100"/>
      <c r="E55" s="100"/>
      <c r="F55" s="100"/>
      <c r="G55" s="100"/>
      <c r="H55" s="100"/>
      <c r="I55" s="100"/>
      <c r="J55" s="100"/>
      <c r="K55" s="100"/>
      <c r="L55" s="100"/>
      <c r="M55" s="100"/>
      <c r="N55" s="100"/>
      <c r="O55" s="66"/>
      <c r="P55" s="121"/>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row>
    <row r="56" spans="1:58" x14ac:dyDescent="0.2">
      <c r="A56" s="121"/>
      <c r="B56" s="68" t="s">
        <v>571</v>
      </c>
      <c r="C56" s="100"/>
      <c r="D56" s="100"/>
      <c r="E56" s="100"/>
      <c r="F56" s="100"/>
      <c r="G56" s="100"/>
      <c r="H56" s="100"/>
      <c r="I56" s="100"/>
      <c r="J56" s="100"/>
      <c r="K56" s="100"/>
      <c r="L56" s="100"/>
      <c r="M56" s="100"/>
      <c r="N56" s="100"/>
      <c r="O56" s="66"/>
      <c r="P56" s="121"/>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row>
    <row r="57" spans="1:58" x14ac:dyDescent="0.2">
      <c r="A57" s="121"/>
      <c r="B57" s="68" t="s">
        <v>212</v>
      </c>
      <c r="C57" s="100"/>
      <c r="D57" s="100"/>
      <c r="E57" s="100"/>
      <c r="F57" s="100"/>
      <c r="G57" s="100"/>
      <c r="H57" s="100"/>
      <c r="I57" s="100"/>
      <c r="J57" s="100"/>
      <c r="K57" s="100"/>
      <c r="L57" s="100"/>
      <c r="M57" s="100"/>
      <c r="N57" s="100"/>
      <c r="O57" s="66"/>
      <c r="P57" s="121"/>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row>
    <row r="58" spans="1:58" x14ac:dyDescent="0.2">
      <c r="A58" s="121"/>
      <c r="B58" s="68" t="s">
        <v>213</v>
      </c>
      <c r="C58" s="100"/>
      <c r="D58" s="100"/>
      <c r="E58" s="100"/>
      <c r="F58" s="100"/>
      <c r="G58" s="100"/>
      <c r="H58" s="100"/>
      <c r="I58" s="100"/>
      <c r="J58" s="100"/>
      <c r="K58" s="100"/>
      <c r="L58" s="100"/>
      <c r="M58" s="100"/>
      <c r="N58" s="100"/>
      <c r="O58" s="66"/>
      <c r="P58" s="121"/>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row>
    <row r="59" spans="1:58" x14ac:dyDescent="0.2">
      <c r="A59" s="121"/>
      <c r="B59" s="68" t="s">
        <v>211</v>
      </c>
      <c r="C59" s="100"/>
      <c r="D59" s="100"/>
      <c r="E59" s="100"/>
      <c r="F59" s="100"/>
      <c r="G59" s="100"/>
      <c r="H59" s="100"/>
      <c r="I59" s="100"/>
      <c r="J59" s="100"/>
      <c r="K59" s="100"/>
      <c r="L59" s="100"/>
      <c r="M59" s="100"/>
      <c r="N59" s="100"/>
      <c r="O59" s="66"/>
      <c r="P59" s="121"/>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row>
    <row r="60" spans="1:58" x14ac:dyDescent="0.2">
      <c r="A60" s="121"/>
      <c r="B60" s="68" t="s">
        <v>214</v>
      </c>
      <c r="C60" s="100"/>
      <c r="D60" s="100"/>
      <c r="E60" s="100"/>
      <c r="F60" s="100"/>
      <c r="G60" s="100"/>
      <c r="H60" s="100"/>
      <c r="I60" s="100"/>
      <c r="J60" s="100"/>
      <c r="K60" s="100"/>
      <c r="L60" s="100"/>
      <c r="M60" s="100"/>
      <c r="N60" s="100"/>
      <c r="O60" s="66"/>
      <c r="P60" s="121"/>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row>
    <row r="61" spans="1:58" x14ac:dyDescent="0.2">
      <c r="A61" s="121"/>
      <c r="B61" s="68" t="s">
        <v>572</v>
      </c>
      <c r="C61" s="100"/>
      <c r="D61" s="100"/>
      <c r="E61" s="100"/>
      <c r="F61" s="100"/>
      <c r="G61" s="100"/>
      <c r="H61" s="100"/>
      <c r="I61" s="100"/>
      <c r="J61" s="100"/>
      <c r="K61" s="100"/>
      <c r="L61" s="100"/>
      <c r="M61" s="100"/>
      <c r="N61" s="100"/>
      <c r="O61" s="66"/>
      <c r="P61" s="12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row>
    <row r="62" spans="1:58" x14ac:dyDescent="0.2">
      <c r="A62" s="121"/>
      <c r="B62" s="68" t="s">
        <v>573</v>
      </c>
      <c r="C62" s="100"/>
      <c r="D62" s="100"/>
      <c r="E62" s="100"/>
      <c r="F62" s="100"/>
      <c r="G62" s="100"/>
      <c r="H62" s="100"/>
      <c r="I62" s="100"/>
      <c r="J62" s="100"/>
      <c r="K62" s="100"/>
      <c r="L62" s="100"/>
      <c r="M62" s="100"/>
      <c r="N62" s="100"/>
      <c r="O62" s="66"/>
      <c r="P62" s="121"/>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row>
    <row r="63" spans="1:58" x14ac:dyDescent="0.2">
      <c r="A63" s="121"/>
      <c r="B63" s="68" t="s">
        <v>574</v>
      </c>
      <c r="C63" s="107"/>
      <c r="D63" s="66"/>
      <c r="E63" s="66"/>
      <c r="F63" s="66"/>
      <c r="G63" s="66"/>
      <c r="H63" s="66"/>
      <c r="I63" s="66"/>
      <c r="J63" s="66"/>
      <c r="K63" s="66"/>
      <c r="L63" s="66"/>
      <c r="M63" s="66"/>
      <c r="N63" s="66"/>
      <c r="O63" s="66"/>
      <c r="P63" s="121"/>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row>
    <row r="64" spans="1:58" x14ac:dyDescent="0.2">
      <c r="A64" s="121"/>
      <c r="B64" s="66"/>
      <c r="C64" s="66"/>
      <c r="D64" s="66"/>
      <c r="E64" s="187" t="s">
        <v>575</v>
      </c>
      <c r="F64" s="187"/>
      <c r="G64" s="187"/>
      <c r="H64" s="187"/>
      <c r="I64" s="187"/>
      <c r="J64" s="187"/>
      <c r="K64" s="187"/>
      <c r="L64" s="187"/>
      <c r="M64" s="187"/>
      <c r="N64" s="187"/>
      <c r="O64" s="66"/>
      <c r="P64" s="121"/>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row>
    <row r="65" spans="1:58" x14ac:dyDescent="0.2">
      <c r="A65" s="121"/>
      <c r="B65" s="66"/>
      <c r="C65" s="66"/>
      <c r="D65" s="66"/>
      <c r="E65" s="66"/>
      <c r="F65" s="66"/>
      <c r="G65" s="66"/>
      <c r="H65" s="66"/>
      <c r="I65" s="66"/>
      <c r="J65" s="66"/>
      <c r="K65" s="66"/>
      <c r="L65" s="66"/>
      <c r="M65" s="66"/>
      <c r="N65" s="66"/>
      <c r="O65" s="66"/>
      <c r="P65" s="121"/>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row>
    <row r="66" spans="1:58" x14ac:dyDescent="0.2">
      <c r="A66" s="121"/>
      <c r="B66" s="186" t="s">
        <v>576</v>
      </c>
      <c r="C66" s="186"/>
      <c r="D66" s="186"/>
      <c r="E66" s="186"/>
      <c r="F66" s="186"/>
      <c r="G66" s="186"/>
      <c r="H66" s="186"/>
      <c r="I66" s="186"/>
      <c r="J66" s="186"/>
      <c r="K66" s="186"/>
      <c r="L66" s="186"/>
      <c r="M66" s="186"/>
      <c r="N66" s="186"/>
      <c r="O66" s="66"/>
      <c r="P66" s="121"/>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row>
    <row r="67" spans="1:58" x14ac:dyDescent="0.2">
      <c r="A67" s="121"/>
      <c r="B67" s="68" t="s">
        <v>577</v>
      </c>
      <c r="C67" s="100">
        <v>14000</v>
      </c>
      <c r="D67" s="100">
        <v>14000</v>
      </c>
      <c r="E67" s="100">
        <v>14000</v>
      </c>
      <c r="F67" s="100">
        <v>14000</v>
      </c>
      <c r="G67" s="100">
        <v>14000</v>
      </c>
      <c r="H67" s="100">
        <v>14000</v>
      </c>
      <c r="I67" s="100">
        <v>14000</v>
      </c>
      <c r="J67" s="100">
        <v>14000</v>
      </c>
      <c r="K67" s="100">
        <v>14000</v>
      </c>
      <c r="L67" s="100">
        <v>14000</v>
      </c>
      <c r="M67" s="100">
        <v>14000</v>
      </c>
      <c r="N67" s="100">
        <v>14000</v>
      </c>
      <c r="O67" s="66"/>
      <c r="P67" s="121"/>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row>
    <row r="68" spans="1:58" x14ac:dyDescent="0.2">
      <c r="A68" s="121"/>
      <c r="B68" s="68" t="s">
        <v>578</v>
      </c>
      <c r="C68" s="100"/>
      <c r="D68" s="100"/>
      <c r="E68" s="100"/>
      <c r="F68" s="100"/>
      <c r="G68" s="100"/>
      <c r="H68" s="100"/>
      <c r="I68" s="100"/>
      <c r="J68" s="100"/>
      <c r="K68" s="100"/>
      <c r="L68" s="100"/>
      <c r="M68" s="100"/>
      <c r="N68" s="100"/>
      <c r="O68" s="66"/>
      <c r="P68" s="121"/>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row>
    <row r="69" spans="1:58" x14ac:dyDescent="0.2">
      <c r="A69" s="121"/>
      <c r="B69" s="68" t="s">
        <v>579</v>
      </c>
      <c r="C69" s="100"/>
      <c r="D69" s="100"/>
      <c r="E69" s="100"/>
      <c r="F69" s="100"/>
      <c r="G69" s="100"/>
      <c r="H69" s="100"/>
      <c r="I69" s="100"/>
      <c r="J69" s="100"/>
      <c r="K69" s="100"/>
      <c r="L69" s="100"/>
      <c r="M69" s="100"/>
      <c r="N69" s="100"/>
      <c r="O69" s="66"/>
      <c r="P69" s="121"/>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row>
    <row r="70" spans="1:58" x14ac:dyDescent="0.2">
      <c r="A70" s="121"/>
      <c r="B70" s="68" t="s">
        <v>580</v>
      </c>
      <c r="C70" s="100"/>
      <c r="D70" s="100"/>
      <c r="E70" s="100"/>
      <c r="F70" s="100"/>
      <c r="G70" s="100"/>
      <c r="H70" s="100"/>
      <c r="I70" s="100"/>
      <c r="J70" s="100"/>
      <c r="K70" s="100"/>
      <c r="L70" s="100"/>
      <c r="M70" s="100"/>
      <c r="N70" s="100"/>
      <c r="O70" s="66"/>
      <c r="P70" s="121"/>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row>
    <row r="71" spans="1:58" x14ac:dyDescent="0.2">
      <c r="A71" s="121"/>
      <c r="B71" s="66"/>
      <c r="C71" s="66"/>
      <c r="D71" s="66"/>
      <c r="E71" s="66"/>
      <c r="F71" s="66"/>
      <c r="G71" s="66"/>
      <c r="H71" s="66"/>
      <c r="I71" s="66"/>
      <c r="J71" s="66"/>
      <c r="K71" s="66"/>
      <c r="L71" s="66"/>
      <c r="M71" s="66"/>
      <c r="N71" s="66"/>
      <c r="O71" s="66"/>
      <c r="P71" s="12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row>
    <row r="72" spans="1:58" x14ac:dyDescent="0.2">
      <c r="A72" s="121"/>
      <c r="B72" s="186" t="s">
        <v>581</v>
      </c>
      <c r="C72" s="186"/>
      <c r="D72" s="186"/>
      <c r="E72" s="186"/>
      <c r="F72" s="186"/>
      <c r="G72" s="186"/>
      <c r="H72" s="186"/>
      <c r="I72" s="186"/>
      <c r="J72" s="186"/>
      <c r="K72" s="186"/>
      <c r="L72" s="186"/>
      <c r="M72" s="186"/>
      <c r="N72" s="186"/>
      <c r="O72" s="66"/>
      <c r="P72" s="121"/>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row>
    <row r="73" spans="1:58" x14ac:dyDescent="0.2">
      <c r="A73" s="121"/>
      <c r="B73" s="68" t="s">
        <v>582</v>
      </c>
      <c r="C73" s="100"/>
      <c r="D73" s="100"/>
      <c r="E73" s="100"/>
      <c r="F73" s="100"/>
      <c r="G73" s="100"/>
      <c r="H73" s="100"/>
      <c r="I73" s="100"/>
      <c r="J73" s="100"/>
      <c r="K73" s="100"/>
      <c r="L73" s="100"/>
      <c r="M73" s="100"/>
      <c r="N73" s="100"/>
      <c r="O73" s="66"/>
      <c r="P73" s="121"/>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row>
    <row r="74" spans="1:58" x14ac:dyDescent="0.2">
      <c r="A74" s="121"/>
      <c r="B74" s="68" t="s">
        <v>583</v>
      </c>
      <c r="C74" s="108"/>
      <c r="D74" s="66"/>
      <c r="E74" s="66"/>
      <c r="F74" s="66"/>
      <c r="G74" s="66"/>
      <c r="H74" s="66"/>
      <c r="I74" s="66"/>
      <c r="J74" s="66"/>
      <c r="K74" s="66"/>
      <c r="L74" s="66"/>
      <c r="M74" s="66"/>
      <c r="N74" s="66"/>
      <c r="O74" s="66"/>
      <c r="P74" s="121"/>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row>
    <row r="75" spans="1:58" x14ac:dyDescent="0.2">
      <c r="A75" s="121"/>
      <c r="B75" s="68" t="s">
        <v>584</v>
      </c>
      <c r="C75" s="101">
        <v>60000</v>
      </c>
      <c r="D75" s="66"/>
      <c r="E75" s="66"/>
      <c r="F75" s="66"/>
      <c r="G75" s="66"/>
      <c r="H75" s="66"/>
      <c r="I75" s="66"/>
      <c r="J75" s="66"/>
      <c r="K75" s="66"/>
      <c r="L75" s="66"/>
      <c r="M75" s="66"/>
      <c r="N75" s="66"/>
      <c r="O75" s="66"/>
      <c r="P75" s="121"/>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row>
    <row r="76" spans="1:58" x14ac:dyDescent="0.2">
      <c r="A76" s="121"/>
      <c r="B76" s="68" t="s">
        <v>585</v>
      </c>
      <c r="C76" s="100"/>
      <c r="D76" s="100"/>
      <c r="E76" s="100"/>
      <c r="F76" s="100"/>
      <c r="G76" s="100"/>
      <c r="H76" s="100"/>
      <c r="I76" s="100"/>
      <c r="J76" s="100"/>
      <c r="K76" s="100"/>
      <c r="L76" s="100"/>
      <c r="M76" s="100"/>
      <c r="N76" s="100"/>
      <c r="O76" s="66"/>
      <c r="P76" s="121"/>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row>
    <row r="77" spans="1:58" x14ac:dyDescent="0.2">
      <c r="A77" s="121"/>
      <c r="B77" s="66"/>
      <c r="C77" s="66"/>
      <c r="D77" s="66"/>
      <c r="E77" s="66"/>
      <c r="F77" s="66"/>
      <c r="G77" s="66"/>
      <c r="H77" s="66"/>
      <c r="I77" s="66"/>
      <c r="J77" s="66"/>
      <c r="K77" s="66"/>
      <c r="L77" s="66"/>
      <c r="M77" s="66"/>
      <c r="N77" s="66"/>
      <c r="O77" s="66"/>
      <c r="P77" s="121"/>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row>
    <row r="78" spans="1:58" x14ac:dyDescent="0.2">
      <c r="A78" s="121"/>
      <c r="B78" s="188" t="s">
        <v>586</v>
      </c>
      <c r="C78" s="188"/>
      <c r="D78" s="188"/>
      <c r="E78" s="188"/>
      <c r="F78" s="188"/>
      <c r="G78" s="188"/>
      <c r="H78" s="188"/>
      <c r="I78" s="188"/>
      <c r="J78" s="188"/>
      <c r="K78" s="188"/>
      <c r="L78" s="188"/>
      <c r="M78" s="188"/>
      <c r="N78" s="188"/>
      <c r="O78" s="66"/>
      <c r="P78" s="121"/>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row>
    <row r="79" spans="1:58" x14ac:dyDescent="0.2">
      <c r="A79" s="121"/>
      <c r="B79" s="189" t="str">
        <f>IF($C$18="Planned","● ACTIVE — fill this zone","○ SKIP — you chose Capacity build; this zone is inactive")</f>
        <v>○ SKIP — you chose Capacity build; this zone is inactive</v>
      </c>
      <c r="C79" s="189"/>
      <c r="D79" s="189"/>
      <c r="E79" s="189"/>
      <c r="F79" s="189"/>
      <c r="G79" s="189"/>
      <c r="H79" s="189"/>
      <c r="I79" s="189"/>
      <c r="J79" s="189"/>
      <c r="K79" s="189"/>
      <c r="L79" s="189"/>
      <c r="M79" s="189"/>
      <c r="N79" s="189"/>
      <c r="O79" s="66"/>
      <c r="P79" s="121"/>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row>
    <row r="80" spans="1:58" outlineLevel="1" x14ac:dyDescent="0.2">
      <c r="A80" s="121"/>
      <c r="B80" s="186" t="s">
        <v>587</v>
      </c>
      <c r="C80" s="186"/>
      <c r="D80" s="186"/>
      <c r="E80" s="186"/>
      <c r="F80" s="186"/>
      <c r="G80" s="186"/>
      <c r="H80" s="186"/>
      <c r="I80" s="186"/>
      <c r="J80" s="186"/>
      <c r="K80" s="186"/>
      <c r="L80" s="186"/>
      <c r="M80" s="186"/>
      <c r="N80" s="186"/>
      <c r="O80" s="66"/>
      <c r="P80" s="121"/>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row>
    <row r="81" spans="1:58" outlineLevel="1" x14ac:dyDescent="0.2">
      <c r="A81" s="121"/>
      <c r="B81" s="83" t="s">
        <v>588</v>
      </c>
      <c r="C81" s="96" t="str">
        <f>TEXT(DATE(2000,CHOOSE(MATCH($C$8,{"AU";"NZ";"US"},0),7,4,1)+0,1),"mmm")</f>
        <v>Jul</v>
      </c>
      <c r="D81" s="96" t="str">
        <f>TEXT(DATE(2000,CHOOSE(MATCH($C$8,{"AU";"NZ";"US"},0),7,4,1)+1,1),"mmm")</f>
        <v>Aug</v>
      </c>
      <c r="E81" s="96" t="str">
        <f>TEXT(DATE(2000,CHOOSE(MATCH($C$8,{"AU";"NZ";"US"},0),7,4,1)+2,1),"mmm")</f>
        <v>Sep</v>
      </c>
      <c r="F81" s="96" t="str">
        <f>TEXT(DATE(2000,CHOOSE(MATCH($C$8,{"AU";"NZ";"US"},0),7,4,1)+3,1),"mmm")</f>
        <v>Oct</v>
      </c>
      <c r="G81" s="96" t="str">
        <f>TEXT(DATE(2000,CHOOSE(MATCH($C$8,{"AU";"NZ";"US"},0),7,4,1)+4,1),"mmm")</f>
        <v>Nov</v>
      </c>
      <c r="H81" s="96" t="str">
        <f>TEXT(DATE(2000,CHOOSE(MATCH($C$8,{"AU";"NZ";"US"},0),7,4,1)+5,1),"mmm")</f>
        <v>Dec</v>
      </c>
      <c r="I81" s="96" t="str">
        <f>TEXT(DATE(2000,CHOOSE(MATCH($C$8,{"AU";"NZ";"US"},0),7,4,1)+6,1),"mmm")</f>
        <v>Jan</v>
      </c>
      <c r="J81" s="96" t="str">
        <f>TEXT(DATE(2000,CHOOSE(MATCH($C$8,{"AU";"NZ";"US"},0),7,4,1)+7,1),"mmm")</f>
        <v>Feb</v>
      </c>
      <c r="K81" s="96" t="str">
        <f>TEXT(DATE(2000,CHOOSE(MATCH($C$8,{"AU";"NZ";"US"},0),7,4,1)+8,1),"mmm")</f>
        <v>Mar</v>
      </c>
      <c r="L81" s="96" t="str">
        <f>TEXT(DATE(2000,CHOOSE(MATCH($C$8,{"AU";"NZ";"US"},0),7,4,1)+9,1),"mmm")</f>
        <v>Apr</v>
      </c>
      <c r="M81" s="96" t="str">
        <f>TEXT(DATE(2000,CHOOSE(MATCH($C$8,{"AU";"NZ";"US"},0),7,4,1)+10,1),"mmm")</f>
        <v>May</v>
      </c>
      <c r="N81" s="96" t="str">
        <f>TEXT(DATE(2000,CHOOSE(MATCH($C$8,{"AU";"NZ";"US"},0),7,4,1)+11,1),"mmm")</f>
        <v>Jun</v>
      </c>
      <c r="O81" s="66"/>
      <c r="P81" s="12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row>
    <row r="82" spans="1:58" outlineLevel="1" x14ac:dyDescent="0.2">
      <c r="A82" s="121"/>
      <c r="B82" s="85" t="s">
        <v>232</v>
      </c>
      <c r="C82" s="100"/>
      <c r="D82" s="100"/>
      <c r="E82" s="100"/>
      <c r="F82" s="100"/>
      <c r="G82" s="100"/>
      <c r="H82" s="100"/>
      <c r="I82" s="100"/>
      <c r="J82" s="100"/>
      <c r="K82" s="100"/>
      <c r="L82" s="100"/>
      <c r="M82" s="100"/>
      <c r="N82" s="100"/>
      <c r="O82" s="66"/>
      <c r="P82" s="121"/>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row>
    <row r="83" spans="1:58" outlineLevel="1" x14ac:dyDescent="0.2">
      <c r="A83" s="121"/>
      <c r="B83" s="86" t="s">
        <v>233</v>
      </c>
      <c r="C83" s="100"/>
      <c r="D83" s="100"/>
      <c r="E83" s="100"/>
      <c r="F83" s="100"/>
      <c r="G83" s="100"/>
      <c r="H83" s="100"/>
      <c r="I83" s="100"/>
      <c r="J83" s="100"/>
      <c r="K83" s="100"/>
      <c r="L83" s="100"/>
      <c r="M83" s="100"/>
      <c r="N83" s="100"/>
      <c r="O83" s="66"/>
      <c r="P83" s="121"/>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row>
    <row r="84" spans="1:58" outlineLevel="1" x14ac:dyDescent="0.2">
      <c r="A84" s="121"/>
      <c r="B84" s="86" t="s">
        <v>234</v>
      </c>
      <c r="C84" s="100"/>
      <c r="D84" s="100"/>
      <c r="E84" s="100"/>
      <c r="F84" s="100"/>
      <c r="G84" s="100"/>
      <c r="H84" s="100"/>
      <c r="I84" s="100"/>
      <c r="J84" s="100"/>
      <c r="K84" s="100"/>
      <c r="L84" s="100"/>
      <c r="M84" s="100"/>
      <c r="N84" s="100"/>
      <c r="O84" s="66"/>
      <c r="P84" s="121"/>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row>
    <row r="85" spans="1:58" outlineLevel="1" x14ac:dyDescent="0.2">
      <c r="A85" s="121"/>
      <c r="B85" s="86" t="s">
        <v>589</v>
      </c>
      <c r="C85" s="100"/>
      <c r="D85" s="100"/>
      <c r="E85" s="100"/>
      <c r="F85" s="100"/>
      <c r="G85" s="100"/>
      <c r="H85" s="100"/>
      <c r="I85" s="100"/>
      <c r="J85" s="100"/>
      <c r="K85" s="100"/>
      <c r="L85" s="100"/>
      <c r="M85" s="100"/>
      <c r="N85" s="100"/>
      <c r="O85" s="66"/>
      <c r="P85" s="121"/>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row>
    <row r="86" spans="1:58" outlineLevel="1" x14ac:dyDescent="0.2">
      <c r="A86" s="121"/>
      <c r="B86" s="87" t="s">
        <v>590</v>
      </c>
      <c r="C86" s="100"/>
      <c r="D86" s="100"/>
      <c r="E86" s="100"/>
      <c r="F86" s="100"/>
      <c r="G86" s="100"/>
      <c r="H86" s="100"/>
      <c r="I86" s="100"/>
      <c r="J86" s="100"/>
      <c r="K86" s="100"/>
      <c r="L86" s="100"/>
      <c r="M86" s="100"/>
      <c r="N86" s="100"/>
      <c r="O86" s="66"/>
      <c r="P86" s="121"/>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row>
    <row r="87" spans="1:58" outlineLevel="1" x14ac:dyDescent="0.2">
      <c r="A87" s="121"/>
      <c r="B87" s="66"/>
      <c r="C87" s="66"/>
      <c r="D87" s="66"/>
      <c r="E87" s="66"/>
      <c r="F87" s="66"/>
      <c r="G87" s="66"/>
      <c r="H87" s="66"/>
      <c r="I87" s="66"/>
      <c r="J87" s="66"/>
      <c r="K87" s="66"/>
      <c r="L87" s="66"/>
      <c r="M87" s="66"/>
      <c r="N87" s="66"/>
      <c r="O87" s="66"/>
      <c r="P87" s="121"/>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row>
    <row r="88" spans="1:58" outlineLevel="1" x14ac:dyDescent="0.2">
      <c r="A88" s="121"/>
      <c r="B88" s="127" t="s">
        <v>591</v>
      </c>
      <c r="C88" s="127"/>
      <c r="D88" s="127"/>
      <c r="E88" s="127"/>
      <c r="F88" s="127"/>
      <c r="G88" s="127"/>
      <c r="H88" s="127"/>
      <c r="I88" s="127"/>
      <c r="J88" s="127"/>
      <c r="K88" s="127"/>
      <c r="L88" s="127"/>
      <c r="M88" s="127"/>
      <c r="N88" s="127"/>
      <c r="O88" s="127"/>
      <c r="P88" s="127"/>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row>
    <row r="89" spans="1:58" outlineLevel="1" x14ac:dyDescent="0.2">
      <c r="A89" s="121"/>
      <c r="B89" s="84" t="s">
        <v>185</v>
      </c>
      <c r="C89" s="84" t="s">
        <v>168</v>
      </c>
      <c r="D89" s="84" t="s">
        <v>592</v>
      </c>
      <c r="E89" s="84" t="s">
        <v>169</v>
      </c>
      <c r="F89" s="84" t="s">
        <v>170</v>
      </c>
      <c r="G89" s="84" t="s">
        <v>593</v>
      </c>
      <c r="H89" s="84" t="s">
        <v>594</v>
      </c>
      <c r="I89" s="84" t="s">
        <v>595</v>
      </c>
      <c r="J89" s="84" t="s">
        <v>244</v>
      </c>
      <c r="K89" s="84" t="s">
        <v>195</v>
      </c>
      <c r="L89" s="84" t="s">
        <v>245</v>
      </c>
      <c r="M89" s="84" t="s">
        <v>196</v>
      </c>
      <c r="N89" s="84" t="s">
        <v>596</v>
      </c>
      <c r="O89" s="84" t="s">
        <v>171</v>
      </c>
      <c r="P89" s="121"/>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row>
    <row r="90" spans="1:58" outlineLevel="1" x14ac:dyDescent="0.2">
      <c r="A90" s="121"/>
      <c r="B90" s="88" t="s">
        <v>597</v>
      </c>
      <c r="C90" s="88" t="s">
        <v>198</v>
      </c>
      <c r="D90" s="89">
        <v>2</v>
      </c>
      <c r="E90" s="90">
        <v>120000</v>
      </c>
      <c r="F90" s="91">
        <v>0.185</v>
      </c>
      <c r="G90" s="90">
        <v>100</v>
      </c>
      <c r="H90" s="89">
        <v>1760</v>
      </c>
      <c r="I90" s="91">
        <v>0.75</v>
      </c>
      <c r="J90" s="90">
        <v>180</v>
      </c>
      <c r="K90" s="92">
        <v>1</v>
      </c>
      <c r="L90" s="92">
        <v>3</v>
      </c>
      <c r="M90" s="92">
        <v>12</v>
      </c>
      <c r="N90" s="92">
        <v>1</v>
      </c>
      <c r="O90" s="88" t="s">
        <v>682</v>
      </c>
      <c r="P90" s="121"/>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row>
    <row r="91" spans="1:58" outlineLevel="1" x14ac:dyDescent="0.2">
      <c r="A91" s="121"/>
      <c r="B91" s="109"/>
      <c r="C91" s="109"/>
      <c r="D91" s="110"/>
      <c r="E91" s="100"/>
      <c r="F91" s="104"/>
      <c r="G91" s="100"/>
      <c r="H91" s="110"/>
      <c r="I91" s="104"/>
      <c r="J91" s="100"/>
      <c r="K91" s="110"/>
      <c r="L91" s="110"/>
      <c r="M91" s="110"/>
      <c r="N91" s="110"/>
      <c r="O91" s="109"/>
      <c r="P91" s="121"/>
      <c r="S91"/>
      <c r="T91"/>
      <c r="U91">
        <f t="shared" ref="U91:U102" si="0">IF($B91="",0,N($D91)*(N($E91)*(1+N($F91))+N($G91))/12*(IF(N($K91)=0,1,1&gt;=$K91)*IF(N($M91)=0,1,1&lt;=$M91)))</f>
        <v>0</v>
      </c>
      <c r="V91">
        <f t="shared" ref="V91:V102" si="1">IF($B91="",0,N($D91)*(N($E91)*(1+N($F91))+N($G91))/12*(IF(N($K91)=0,1,2&gt;=$K91)*IF(N($M91)=0,1,2&lt;=$M91)))</f>
        <v>0</v>
      </c>
      <c r="W91">
        <f t="shared" ref="W91:W102" si="2">IF($B91="",0,N($D91)*(N($E91)*(1+N($F91))+N($G91))/12*(IF(N($K91)=0,1,3&gt;=$K91)*IF(N($M91)=0,1,3&lt;=$M91)))</f>
        <v>0</v>
      </c>
      <c r="X91">
        <f t="shared" ref="X91:X102" si="3">IF($B91="",0,N($D91)*(N($E91)*(1+N($F91))+N($G91))/12*(IF(N($K91)=0,1,4&gt;=$K91)*IF(N($M91)=0,1,4&lt;=$M91)))</f>
        <v>0</v>
      </c>
      <c r="Y91">
        <f t="shared" ref="Y91:Y102" si="4">IF($B91="",0,N($D91)*(N($E91)*(1+N($F91))+N($G91))/12*(IF(N($K91)=0,1,5&gt;=$K91)*IF(N($M91)=0,1,5&lt;=$M91)))</f>
        <v>0</v>
      </c>
      <c r="Z91">
        <f t="shared" ref="Z91:Z102" si="5">IF($B91="",0,N($D91)*(N($E91)*(1+N($F91))+N($G91))/12*(IF(N($K91)=0,1,6&gt;=$K91)*IF(N($M91)=0,1,6&lt;=$M91)))</f>
        <v>0</v>
      </c>
      <c r="AA91">
        <f t="shared" ref="AA91:AA102" si="6">IF($B91="",0,N($D91)*(N($E91)*(1+N($F91))+N($G91))/12*(IF(N($K91)=0,1,7&gt;=$K91)*IF(N($M91)=0,1,7&lt;=$M91)))</f>
        <v>0</v>
      </c>
      <c r="AB91">
        <f t="shared" ref="AB91:AB102" si="7">IF($B91="",0,N($D91)*(N($E91)*(1+N($F91))+N($G91))/12*(IF(N($K91)=0,1,8&gt;=$K91)*IF(N($M91)=0,1,8&lt;=$M91)))</f>
        <v>0</v>
      </c>
      <c r="AC91">
        <f t="shared" ref="AC91:AC102" si="8">IF($B91="",0,N($D91)*(N($E91)*(1+N($F91))+N($G91))/12*(IF(N($K91)=0,1,9&gt;=$K91)*IF(N($M91)=0,1,9&lt;=$M91)))</f>
        <v>0</v>
      </c>
      <c r="AD91">
        <f t="shared" ref="AD91:AD102" si="9">IF($B91="",0,N($D91)*(N($E91)*(1+N($F91))+N($G91))/12*(IF(N($K91)=0,1,10&gt;=$K91)*IF(N($M91)=0,1,10&lt;=$M91)))</f>
        <v>0</v>
      </c>
      <c r="AE91">
        <f t="shared" ref="AE91:AE102" si="10">IF($B91="",0,N($D91)*(N($E91)*(1+N($F91))+N($G91))/12*(IF(N($K91)=0,1,11&gt;=$K91)*IF(N($M91)=0,1,11&lt;=$M91)))</f>
        <v>0</v>
      </c>
      <c r="AF91">
        <f t="shared" ref="AF91:AF102" si="11">IF($B91="",0,N($D91)*(N($E91)*(1+N($F91))+N($G91))/12*(IF(N($K91)=0,1,12&gt;=$K91)*IF(N($M91)=0,1,12&lt;=$M91)))</f>
        <v>0</v>
      </c>
      <c r="AG91"/>
      <c r="AH91">
        <f t="shared" ref="AH91:AH102" si="12">IF($B91="",0,N($D91)*(IF(N($K91)=0,1,1&gt;=$K91)*IF(N($M91)=0,1,1&lt;=$M91)))</f>
        <v>0</v>
      </c>
      <c r="AI91">
        <f t="shared" ref="AI91:AI102" si="13">IF($B91="",0,N($D91)*(IF(N($K91)=0,1,2&gt;=$K91)*IF(N($M91)=0,1,2&lt;=$M91)))</f>
        <v>0</v>
      </c>
      <c r="AJ91">
        <f t="shared" ref="AJ91:AJ102" si="14">IF($B91="",0,N($D91)*(IF(N($K91)=0,1,3&gt;=$K91)*IF(N($M91)=0,1,3&lt;=$M91)))</f>
        <v>0</v>
      </c>
      <c r="AK91">
        <f t="shared" ref="AK91:AK102" si="15">IF($B91="",0,N($D91)*(IF(N($K91)=0,1,4&gt;=$K91)*IF(N($M91)=0,1,4&lt;=$M91)))</f>
        <v>0</v>
      </c>
      <c r="AL91">
        <f t="shared" ref="AL91:AL102" si="16">IF($B91="",0,N($D91)*(IF(N($K91)=0,1,5&gt;=$K91)*IF(N($M91)=0,1,5&lt;=$M91)))</f>
        <v>0</v>
      </c>
      <c r="AM91">
        <f t="shared" ref="AM91:AM102" si="17">IF($B91="",0,N($D91)*(IF(N($K91)=0,1,6&gt;=$K91)*IF(N($M91)=0,1,6&lt;=$M91)))</f>
        <v>0</v>
      </c>
      <c r="AN91">
        <f t="shared" ref="AN91:AN102" si="18">IF($B91="",0,N($D91)*(IF(N($K91)=0,1,7&gt;=$K91)*IF(N($M91)=0,1,7&lt;=$M91)))</f>
        <v>0</v>
      </c>
      <c r="AO91">
        <f t="shared" ref="AO91:AO102" si="19">IF($B91="",0,N($D91)*(IF(N($K91)=0,1,8&gt;=$K91)*IF(N($M91)=0,1,8&lt;=$M91)))</f>
        <v>0</v>
      </c>
      <c r="AP91">
        <f t="shared" ref="AP91:AP102" si="20">IF($B91="",0,N($D91)*(IF(N($K91)=0,1,9&gt;=$K91)*IF(N($M91)=0,1,9&lt;=$M91)))</f>
        <v>0</v>
      </c>
      <c r="AQ91">
        <f t="shared" ref="AQ91:AQ102" si="21">IF($B91="",0,N($D91)*(IF(N($K91)=0,1,10&gt;=$K91)*IF(N($M91)=0,1,10&lt;=$M91)))</f>
        <v>0</v>
      </c>
      <c r="AR91">
        <f t="shared" ref="AR91:AR102" si="22">IF($B91="",0,N($D91)*(IF(N($K91)=0,1,11&gt;=$K91)*IF(N($M91)=0,1,11&lt;=$M91)))</f>
        <v>0</v>
      </c>
      <c r="AS91">
        <f t="shared" ref="AS91:AS102" si="23">IF($B91="",0,N($D91)*(IF(N($K91)=0,1,12&gt;=$K91)*IF(N($M91)=0,1,12&lt;=$M91)))</f>
        <v>0</v>
      </c>
      <c r="AT91"/>
      <c r="AU91"/>
      <c r="AV91"/>
      <c r="AW91"/>
      <c r="AX91"/>
      <c r="AY91"/>
      <c r="AZ91"/>
      <c r="BA91"/>
      <c r="BB91"/>
      <c r="BC91"/>
      <c r="BD91"/>
      <c r="BE91"/>
      <c r="BF91"/>
    </row>
    <row r="92" spans="1:58" outlineLevel="1" x14ac:dyDescent="0.2">
      <c r="A92" s="121"/>
      <c r="B92" s="109"/>
      <c r="C92" s="109"/>
      <c r="D92" s="110"/>
      <c r="E92" s="100"/>
      <c r="F92" s="104"/>
      <c r="G92" s="100"/>
      <c r="H92" s="110"/>
      <c r="I92" s="104"/>
      <c r="J92" s="100"/>
      <c r="K92" s="110"/>
      <c r="L92" s="110"/>
      <c r="M92" s="110"/>
      <c r="N92" s="110"/>
      <c r="O92" s="109"/>
      <c r="P92" s="121"/>
      <c r="S92"/>
      <c r="T92"/>
      <c r="U92">
        <f t="shared" si="0"/>
        <v>0</v>
      </c>
      <c r="V92">
        <f t="shared" si="1"/>
        <v>0</v>
      </c>
      <c r="W92">
        <f t="shared" si="2"/>
        <v>0</v>
      </c>
      <c r="X92">
        <f t="shared" si="3"/>
        <v>0</v>
      </c>
      <c r="Y92">
        <f t="shared" si="4"/>
        <v>0</v>
      </c>
      <c r="Z92">
        <f t="shared" si="5"/>
        <v>0</v>
      </c>
      <c r="AA92">
        <f t="shared" si="6"/>
        <v>0</v>
      </c>
      <c r="AB92">
        <f t="shared" si="7"/>
        <v>0</v>
      </c>
      <c r="AC92">
        <f t="shared" si="8"/>
        <v>0</v>
      </c>
      <c r="AD92">
        <f t="shared" si="9"/>
        <v>0</v>
      </c>
      <c r="AE92">
        <f t="shared" si="10"/>
        <v>0</v>
      </c>
      <c r="AF92">
        <f t="shared" si="11"/>
        <v>0</v>
      </c>
      <c r="AG92"/>
      <c r="AH92">
        <f t="shared" si="12"/>
        <v>0</v>
      </c>
      <c r="AI92">
        <f t="shared" si="13"/>
        <v>0</v>
      </c>
      <c r="AJ92">
        <f t="shared" si="14"/>
        <v>0</v>
      </c>
      <c r="AK92">
        <f t="shared" si="15"/>
        <v>0</v>
      </c>
      <c r="AL92">
        <f t="shared" si="16"/>
        <v>0</v>
      </c>
      <c r="AM92">
        <f t="shared" si="17"/>
        <v>0</v>
      </c>
      <c r="AN92">
        <f t="shared" si="18"/>
        <v>0</v>
      </c>
      <c r="AO92">
        <f t="shared" si="19"/>
        <v>0</v>
      </c>
      <c r="AP92">
        <f t="shared" si="20"/>
        <v>0</v>
      </c>
      <c r="AQ92">
        <f t="shared" si="21"/>
        <v>0</v>
      </c>
      <c r="AR92">
        <f t="shared" si="22"/>
        <v>0</v>
      </c>
      <c r="AS92">
        <f t="shared" si="23"/>
        <v>0</v>
      </c>
      <c r="AT92"/>
      <c r="AU92"/>
      <c r="AV92"/>
      <c r="AW92"/>
      <c r="AX92"/>
      <c r="AY92"/>
      <c r="AZ92"/>
      <c r="BA92"/>
      <c r="BB92"/>
      <c r="BC92"/>
      <c r="BD92"/>
      <c r="BE92"/>
      <c r="BF92"/>
    </row>
    <row r="93" spans="1:58" outlineLevel="1" x14ac:dyDescent="0.2">
      <c r="A93" s="121"/>
      <c r="B93" s="109"/>
      <c r="C93" s="109"/>
      <c r="D93" s="110"/>
      <c r="E93" s="100"/>
      <c r="F93" s="104"/>
      <c r="G93" s="100"/>
      <c r="H93" s="110"/>
      <c r="I93" s="104"/>
      <c r="J93" s="100"/>
      <c r="K93" s="110"/>
      <c r="L93" s="110"/>
      <c r="M93" s="110"/>
      <c r="N93" s="110"/>
      <c r="O93" s="109"/>
      <c r="P93" s="121"/>
      <c r="S93"/>
      <c r="T93"/>
      <c r="U93">
        <f t="shared" si="0"/>
        <v>0</v>
      </c>
      <c r="V93">
        <f t="shared" si="1"/>
        <v>0</v>
      </c>
      <c r="W93">
        <f t="shared" si="2"/>
        <v>0</v>
      </c>
      <c r="X93">
        <f t="shared" si="3"/>
        <v>0</v>
      </c>
      <c r="Y93">
        <f t="shared" si="4"/>
        <v>0</v>
      </c>
      <c r="Z93">
        <f t="shared" si="5"/>
        <v>0</v>
      </c>
      <c r="AA93">
        <f t="shared" si="6"/>
        <v>0</v>
      </c>
      <c r="AB93">
        <f t="shared" si="7"/>
        <v>0</v>
      </c>
      <c r="AC93">
        <f t="shared" si="8"/>
        <v>0</v>
      </c>
      <c r="AD93">
        <f t="shared" si="9"/>
        <v>0</v>
      </c>
      <c r="AE93">
        <f t="shared" si="10"/>
        <v>0</v>
      </c>
      <c r="AF93">
        <f t="shared" si="11"/>
        <v>0</v>
      </c>
      <c r="AG93"/>
      <c r="AH93">
        <f t="shared" si="12"/>
        <v>0</v>
      </c>
      <c r="AI93">
        <f t="shared" si="13"/>
        <v>0</v>
      </c>
      <c r="AJ93">
        <f t="shared" si="14"/>
        <v>0</v>
      </c>
      <c r="AK93">
        <f t="shared" si="15"/>
        <v>0</v>
      </c>
      <c r="AL93">
        <f t="shared" si="16"/>
        <v>0</v>
      </c>
      <c r="AM93">
        <f t="shared" si="17"/>
        <v>0</v>
      </c>
      <c r="AN93">
        <f t="shared" si="18"/>
        <v>0</v>
      </c>
      <c r="AO93">
        <f t="shared" si="19"/>
        <v>0</v>
      </c>
      <c r="AP93">
        <f t="shared" si="20"/>
        <v>0</v>
      </c>
      <c r="AQ93">
        <f t="shared" si="21"/>
        <v>0</v>
      </c>
      <c r="AR93">
        <f t="shared" si="22"/>
        <v>0</v>
      </c>
      <c r="AS93">
        <f t="shared" si="23"/>
        <v>0</v>
      </c>
      <c r="AT93"/>
      <c r="AU93"/>
      <c r="AV93"/>
      <c r="AW93"/>
      <c r="AX93"/>
      <c r="AY93"/>
      <c r="AZ93"/>
      <c r="BA93"/>
      <c r="BB93"/>
      <c r="BC93"/>
      <c r="BD93"/>
      <c r="BE93"/>
      <c r="BF93"/>
    </row>
    <row r="94" spans="1:58" outlineLevel="1" x14ac:dyDescent="0.2">
      <c r="A94" s="121"/>
      <c r="B94" s="109"/>
      <c r="C94" s="109"/>
      <c r="D94" s="110"/>
      <c r="E94" s="100"/>
      <c r="F94" s="104"/>
      <c r="G94" s="100"/>
      <c r="H94" s="110"/>
      <c r="I94" s="104"/>
      <c r="J94" s="100"/>
      <c r="K94" s="110"/>
      <c r="L94" s="110"/>
      <c r="M94" s="110"/>
      <c r="N94" s="110"/>
      <c r="O94" s="109"/>
      <c r="P94" s="121"/>
      <c r="S94"/>
      <c r="T94"/>
      <c r="U94">
        <f t="shared" si="0"/>
        <v>0</v>
      </c>
      <c r="V94">
        <f t="shared" si="1"/>
        <v>0</v>
      </c>
      <c r="W94">
        <f t="shared" si="2"/>
        <v>0</v>
      </c>
      <c r="X94">
        <f t="shared" si="3"/>
        <v>0</v>
      </c>
      <c r="Y94">
        <f t="shared" si="4"/>
        <v>0</v>
      </c>
      <c r="Z94">
        <f t="shared" si="5"/>
        <v>0</v>
      </c>
      <c r="AA94">
        <f t="shared" si="6"/>
        <v>0</v>
      </c>
      <c r="AB94">
        <f t="shared" si="7"/>
        <v>0</v>
      </c>
      <c r="AC94">
        <f t="shared" si="8"/>
        <v>0</v>
      </c>
      <c r="AD94">
        <f t="shared" si="9"/>
        <v>0</v>
      </c>
      <c r="AE94">
        <f t="shared" si="10"/>
        <v>0</v>
      </c>
      <c r="AF94">
        <f t="shared" si="11"/>
        <v>0</v>
      </c>
      <c r="AG94"/>
      <c r="AH94">
        <f t="shared" si="12"/>
        <v>0</v>
      </c>
      <c r="AI94">
        <f t="shared" si="13"/>
        <v>0</v>
      </c>
      <c r="AJ94">
        <f t="shared" si="14"/>
        <v>0</v>
      </c>
      <c r="AK94">
        <f t="shared" si="15"/>
        <v>0</v>
      </c>
      <c r="AL94">
        <f t="shared" si="16"/>
        <v>0</v>
      </c>
      <c r="AM94">
        <f t="shared" si="17"/>
        <v>0</v>
      </c>
      <c r="AN94">
        <f t="shared" si="18"/>
        <v>0</v>
      </c>
      <c r="AO94">
        <f t="shared" si="19"/>
        <v>0</v>
      </c>
      <c r="AP94">
        <f t="shared" si="20"/>
        <v>0</v>
      </c>
      <c r="AQ94">
        <f t="shared" si="21"/>
        <v>0</v>
      </c>
      <c r="AR94">
        <f t="shared" si="22"/>
        <v>0</v>
      </c>
      <c r="AS94">
        <f t="shared" si="23"/>
        <v>0</v>
      </c>
      <c r="AT94"/>
      <c r="AU94"/>
      <c r="AV94"/>
      <c r="AW94"/>
      <c r="AX94"/>
      <c r="AY94"/>
      <c r="AZ94"/>
      <c r="BA94"/>
      <c r="BB94"/>
      <c r="BC94"/>
      <c r="BD94"/>
      <c r="BE94"/>
      <c r="BF94"/>
    </row>
    <row r="95" spans="1:58" outlineLevel="1" x14ac:dyDescent="0.2">
      <c r="A95" s="121"/>
      <c r="B95" s="109"/>
      <c r="C95" s="109"/>
      <c r="D95" s="110"/>
      <c r="E95" s="100"/>
      <c r="F95" s="104"/>
      <c r="G95" s="100"/>
      <c r="H95" s="110"/>
      <c r="I95" s="104"/>
      <c r="J95" s="100"/>
      <c r="K95" s="110"/>
      <c r="L95" s="110"/>
      <c r="M95" s="110"/>
      <c r="N95" s="110"/>
      <c r="O95" s="109"/>
      <c r="P95" s="121"/>
      <c r="S95"/>
      <c r="T95"/>
      <c r="U95">
        <f t="shared" si="0"/>
        <v>0</v>
      </c>
      <c r="V95">
        <f t="shared" si="1"/>
        <v>0</v>
      </c>
      <c r="W95">
        <f t="shared" si="2"/>
        <v>0</v>
      </c>
      <c r="X95">
        <f t="shared" si="3"/>
        <v>0</v>
      </c>
      <c r="Y95">
        <f t="shared" si="4"/>
        <v>0</v>
      </c>
      <c r="Z95">
        <f t="shared" si="5"/>
        <v>0</v>
      </c>
      <c r="AA95">
        <f t="shared" si="6"/>
        <v>0</v>
      </c>
      <c r="AB95">
        <f t="shared" si="7"/>
        <v>0</v>
      </c>
      <c r="AC95">
        <f t="shared" si="8"/>
        <v>0</v>
      </c>
      <c r="AD95">
        <f t="shared" si="9"/>
        <v>0</v>
      </c>
      <c r="AE95">
        <f t="shared" si="10"/>
        <v>0</v>
      </c>
      <c r="AF95">
        <f t="shared" si="11"/>
        <v>0</v>
      </c>
      <c r="AG95"/>
      <c r="AH95">
        <f t="shared" si="12"/>
        <v>0</v>
      </c>
      <c r="AI95">
        <f t="shared" si="13"/>
        <v>0</v>
      </c>
      <c r="AJ95">
        <f t="shared" si="14"/>
        <v>0</v>
      </c>
      <c r="AK95">
        <f t="shared" si="15"/>
        <v>0</v>
      </c>
      <c r="AL95">
        <f t="shared" si="16"/>
        <v>0</v>
      </c>
      <c r="AM95">
        <f t="shared" si="17"/>
        <v>0</v>
      </c>
      <c r="AN95">
        <f t="shared" si="18"/>
        <v>0</v>
      </c>
      <c r="AO95">
        <f t="shared" si="19"/>
        <v>0</v>
      </c>
      <c r="AP95">
        <f t="shared" si="20"/>
        <v>0</v>
      </c>
      <c r="AQ95">
        <f t="shared" si="21"/>
        <v>0</v>
      </c>
      <c r="AR95">
        <f t="shared" si="22"/>
        <v>0</v>
      </c>
      <c r="AS95">
        <f t="shared" si="23"/>
        <v>0</v>
      </c>
      <c r="AT95"/>
      <c r="AU95"/>
      <c r="AV95"/>
      <c r="AW95"/>
      <c r="AX95"/>
      <c r="AY95"/>
      <c r="AZ95"/>
      <c r="BA95"/>
      <c r="BB95"/>
      <c r="BC95"/>
      <c r="BD95"/>
      <c r="BE95"/>
      <c r="BF95"/>
    </row>
    <row r="96" spans="1:58" outlineLevel="1" x14ac:dyDescent="0.2">
      <c r="A96" s="121"/>
      <c r="B96" s="109"/>
      <c r="C96" s="109"/>
      <c r="D96" s="110"/>
      <c r="E96" s="100"/>
      <c r="F96" s="104"/>
      <c r="G96" s="100"/>
      <c r="H96" s="110"/>
      <c r="I96" s="104"/>
      <c r="J96" s="100"/>
      <c r="K96" s="110"/>
      <c r="L96" s="110"/>
      <c r="M96" s="110"/>
      <c r="N96" s="110"/>
      <c r="O96" s="109"/>
      <c r="P96" s="121"/>
      <c r="S96"/>
      <c r="T96"/>
      <c r="U96">
        <f t="shared" si="0"/>
        <v>0</v>
      </c>
      <c r="V96">
        <f t="shared" si="1"/>
        <v>0</v>
      </c>
      <c r="W96">
        <f t="shared" si="2"/>
        <v>0</v>
      </c>
      <c r="X96">
        <f t="shared" si="3"/>
        <v>0</v>
      </c>
      <c r="Y96">
        <f t="shared" si="4"/>
        <v>0</v>
      </c>
      <c r="Z96">
        <f t="shared" si="5"/>
        <v>0</v>
      </c>
      <c r="AA96">
        <f t="shared" si="6"/>
        <v>0</v>
      </c>
      <c r="AB96">
        <f t="shared" si="7"/>
        <v>0</v>
      </c>
      <c r="AC96">
        <f t="shared" si="8"/>
        <v>0</v>
      </c>
      <c r="AD96">
        <f t="shared" si="9"/>
        <v>0</v>
      </c>
      <c r="AE96">
        <f t="shared" si="10"/>
        <v>0</v>
      </c>
      <c r="AF96">
        <f t="shared" si="11"/>
        <v>0</v>
      </c>
      <c r="AG96"/>
      <c r="AH96">
        <f t="shared" si="12"/>
        <v>0</v>
      </c>
      <c r="AI96">
        <f t="shared" si="13"/>
        <v>0</v>
      </c>
      <c r="AJ96">
        <f t="shared" si="14"/>
        <v>0</v>
      </c>
      <c r="AK96">
        <f t="shared" si="15"/>
        <v>0</v>
      </c>
      <c r="AL96">
        <f t="shared" si="16"/>
        <v>0</v>
      </c>
      <c r="AM96">
        <f t="shared" si="17"/>
        <v>0</v>
      </c>
      <c r="AN96">
        <f t="shared" si="18"/>
        <v>0</v>
      </c>
      <c r="AO96">
        <f t="shared" si="19"/>
        <v>0</v>
      </c>
      <c r="AP96">
        <f t="shared" si="20"/>
        <v>0</v>
      </c>
      <c r="AQ96">
        <f t="shared" si="21"/>
        <v>0</v>
      </c>
      <c r="AR96">
        <f t="shared" si="22"/>
        <v>0</v>
      </c>
      <c r="AS96">
        <f t="shared" si="23"/>
        <v>0</v>
      </c>
      <c r="AT96"/>
      <c r="AU96"/>
      <c r="AV96"/>
      <c r="AW96"/>
      <c r="AX96"/>
      <c r="AY96"/>
      <c r="AZ96"/>
      <c r="BA96"/>
      <c r="BB96"/>
      <c r="BC96"/>
      <c r="BD96"/>
      <c r="BE96"/>
      <c r="BF96"/>
    </row>
    <row r="97" spans="1:58" outlineLevel="1" x14ac:dyDescent="0.2">
      <c r="A97" s="121"/>
      <c r="B97" s="109"/>
      <c r="C97" s="109"/>
      <c r="D97" s="110"/>
      <c r="E97" s="100"/>
      <c r="F97" s="104"/>
      <c r="G97" s="100"/>
      <c r="H97" s="110"/>
      <c r="I97" s="104"/>
      <c r="J97" s="100"/>
      <c r="K97" s="110"/>
      <c r="L97" s="110"/>
      <c r="M97" s="110"/>
      <c r="N97" s="110"/>
      <c r="O97" s="109"/>
      <c r="P97" s="121"/>
      <c r="S97"/>
      <c r="T97"/>
      <c r="U97">
        <f t="shared" si="0"/>
        <v>0</v>
      </c>
      <c r="V97">
        <f t="shared" si="1"/>
        <v>0</v>
      </c>
      <c r="W97">
        <f t="shared" si="2"/>
        <v>0</v>
      </c>
      <c r="X97">
        <f t="shared" si="3"/>
        <v>0</v>
      </c>
      <c r="Y97">
        <f t="shared" si="4"/>
        <v>0</v>
      </c>
      <c r="Z97">
        <f t="shared" si="5"/>
        <v>0</v>
      </c>
      <c r="AA97">
        <f t="shared" si="6"/>
        <v>0</v>
      </c>
      <c r="AB97">
        <f t="shared" si="7"/>
        <v>0</v>
      </c>
      <c r="AC97">
        <f t="shared" si="8"/>
        <v>0</v>
      </c>
      <c r="AD97">
        <f t="shared" si="9"/>
        <v>0</v>
      </c>
      <c r="AE97">
        <f t="shared" si="10"/>
        <v>0</v>
      </c>
      <c r="AF97">
        <f t="shared" si="11"/>
        <v>0</v>
      </c>
      <c r="AG97"/>
      <c r="AH97">
        <f t="shared" si="12"/>
        <v>0</v>
      </c>
      <c r="AI97">
        <f t="shared" si="13"/>
        <v>0</v>
      </c>
      <c r="AJ97">
        <f t="shared" si="14"/>
        <v>0</v>
      </c>
      <c r="AK97">
        <f t="shared" si="15"/>
        <v>0</v>
      </c>
      <c r="AL97">
        <f t="shared" si="16"/>
        <v>0</v>
      </c>
      <c r="AM97">
        <f t="shared" si="17"/>
        <v>0</v>
      </c>
      <c r="AN97">
        <f t="shared" si="18"/>
        <v>0</v>
      </c>
      <c r="AO97">
        <f t="shared" si="19"/>
        <v>0</v>
      </c>
      <c r="AP97">
        <f t="shared" si="20"/>
        <v>0</v>
      </c>
      <c r="AQ97">
        <f t="shared" si="21"/>
        <v>0</v>
      </c>
      <c r="AR97">
        <f t="shared" si="22"/>
        <v>0</v>
      </c>
      <c r="AS97">
        <f t="shared" si="23"/>
        <v>0</v>
      </c>
      <c r="AT97"/>
      <c r="AU97"/>
      <c r="AV97"/>
      <c r="AW97"/>
      <c r="AX97"/>
      <c r="AY97"/>
      <c r="AZ97"/>
      <c r="BA97"/>
      <c r="BB97"/>
      <c r="BC97"/>
      <c r="BD97"/>
      <c r="BE97"/>
      <c r="BF97"/>
    </row>
    <row r="98" spans="1:58" outlineLevel="1" x14ac:dyDescent="0.2">
      <c r="A98" s="121"/>
      <c r="B98" s="109"/>
      <c r="C98" s="109"/>
      <c r="D98" s="110"/>
      <c r="E98" s="100"/>
      <c r="F98" s="104"/>
      <c r="G98" s="100"/>
      <c r="H98" s="110"/>
      <c r="I98" s="104"/>
      <c r="J98" s="100"/>
      <c r="K98" s="110"/>
      <c r="L98" s="110"/>
      <c r="M98" s="110"/>
      <c r="N98" s="110"/>
      <c r="O98" s="109"/>
      <c r="P98" s="121"/>
      <c r="S98"/>
      <c r="T98"/>
      <c r="U98">
        <f t="shared" si="0"/>
        <v>0</v>
      </c>
      <c r="V98">
        <f t="shared" si="1"/>
        <v>0</v>
      </c>
      <c r="W98">
        <f t="shared" si="2"/>
        <v>0</v>
      </c>
      <c r="X98">
        <f t="shared" si="3"/>
        <v>0</v>
      </c>
      <c r="Y98">
        <f t="shared" si="4"/>
        <v>0</v>
      </c>
      <c r="Z98">
        <f t="shared" si="5"/>
        <v>0</v>
      </c>
      <c r="AA98">
        <f t="shared" si="6"/>
        <v>0</v>
      </c>
      <c r="AB98">
        <f t="shared" si="7"/>
        <v>0</v>
      </c>
      <c r="AC98">
        <f t="shared" si="8"/>
        <v>0</v>
      </c>
      <c r="AD98">
        <f t="shared" si="9"/>
        <v>0</v>
      </c>
      <c r="AE98">
        <f t="shared" si="10"/>
        <v>0</v>
      </c>
      <c r="AF98">
        <f t="shared" si="11"/>
        <v>0</v>
      </c>
      <c r="AG98"/>
      <c r="AH98">
        <f t="shared" si="12"/>
        <v>0</v>
      </c>
      <c r="AI98">
        <f t="shared" si="13"/>
        <v>0</v>
      </c>
      <c r="AJ98">
        <f t="shared" si="14"/>
        <v>0</v>
      </c>
      <c r="AK98">
        <f t="shared" si="15"/>
        <v>0</v>
      </c>
      <c r="AL98">
        <f t="shared" si="16"/>
        <v>0</v>
      </c>
      <c r="AM98">
        <f t="shared" si="17"/>
        <v>0</v>
      </c>
      <c r="AN98">
        <f t="shared" si="18"/>
        <v>0</v>
      </c>
      <c r="AO98">
        <f t="shared" si="19"/>
        <v>0</v>
      </c>
      <c r="AP98">
        <f t="shared" si="20"/>
        <v>0</v>
      </c>
      <c r="AQ98">
        <f t="shared" si="21"/>
        <v>0</v>
      </c>
      <c r="AR98">
        <f t="shared" si="22"/>
        <v>0</v>
      </c>
      <c r="AS98">
        <f t="shared" si="23"/>
        <v>0</v>
      </c>
      <c r="AT98"/>
      <c r="AU98"/>
      <c r="AV98"/>
      <c r="AW98"/>
      <c r="AX98"/>
      <c r="AY98"/>
      <c r="AZ98"/>
      <c r="BA98"/>
      <c r="BB98"/>
      <c r="BC98"/>
      <c r="BD98"/>
      <c r="BE98"/>
      <c r="BF98"/>
    </row>
    <row r="99" spans="1:58" outlineLevel="1" x14ac:dyDescent="0.2">
      <c r="A99" s="121"/>
      <c r="B99" s="109"/>
      <c r="C99" s="109"/>
      <c r="D99" s="110"/>
      <c r="E99" s="100"/>
      <c r="F99" s="104"/>
      <c r="G99" s="100"/>
      <c r="H99" s="110"/>
      <c r="I99" s="104"/>
      <c r="J99" s="100"/>
      <c r="K99" s="110"/>
      <c r="L99" s="110"/>
      <c r="M99" s="110"/>
      <c r="N99" s="110"/>
      <c r="O99" s="109"/>
      <c r="P99" s="121"/>
      <c r="S99"/>
      <c r="T99"/>
      <c r="U99">
        <f t="shared" si="0"/>
        <v>0</v>
      </c>
      <c r="V99">
        <f t="shared" si="1"/>
        <v>0</v>
      </c>
      <c r="W99">
        <f t="shared" si="2"/>
        <v>0</v>
      </c>
      <c r="X99">
        <f t="shared" si="3"/>
        <v>0</v>
      </c>
      <c r="Y99">
        <f t="shared" si="4"/>
        <v>0</v>
      </c>
      <c r="Z99">
        <f t="shared" si="5"/>
        <v>0</v>
      </c>
      <c r="AA99">
        <f t="shared" si="6"/>
        <v>0</v>
      </c>
      <c r="AB99">
        <f t="shared" si="7"/>
        <v>0</v>
      </c>
      <c r="AC99">
        <f t="shared" si="8"/>
        <v>0</v>
      </c>
      <c r="AD99">
        <f t="shared" si="9"/>
        <v>0</v>
      </c>
      <c r="AE99">
        <f t="shared" si="10"/>
        <v>0</v>
      </c>
      <c r="AF99">
        <f t="shared" si="11"/>
        <v>0</v>
      </c>
      <c r="AG99"/>
      <c r="AH99">
        <f t="shared" si="12"/>
        <v>0</v>
      </c>
      <c r="AI99">
        <f t="shared" si="13"/>
        <v>0</v>
      </c>
      <c r="AJ99">
        <f t="shared" si="14"/>
        <v>0</v>
      </c>
      <c r="AK99">
        <f t="shared" si="15"/>
        <v>0</v>
      </c>
      <c r="AL99">
        <f t="shared" si="16"/>
        <v>0</v>
      </c>
      <c r="AM99">
        <f t="shared" si="17"/>
        <v>0</v>
      </c>
      <c r="AN99">
        <f t="shared" si="18"/>
        <v>0</v>
      </c>
      <c r="AO99">
        <f t="shared" si="19"/>
        <v>0</v>
      </c>
      <c r="AP99">
        <f t="shared" si="20"/>
        <v>0</v>
      </c>
      <c r="AQ99">
        <f t="shared" si="21"/>
        <v>0</v>
      </c>
      <c r="AR99">
        <f t="shared" si="22"/>
        <v>0</v>
      </c>
      <c r="AS99">
        <f t="shared" si="23"/>
        <v>0</v>
      </c>
      <c r="AT99"/>
      <c r="AU99"/>
      <c r="AV99"/>
      <c r="AW99"/>
      <c r="AX99"/>
      <c r="AY99"/>
      <c r="AZ99"/>
      <c r="BA99"/>
      <c r="BB99"/>
      <c r="BC99"/>
      <c r="BD99"/>
      <c r="BE99"/>
      <c r="BF99"/>
    </row>
    <row r="100" spans="1:58" outlineLevel="1" x14ac:dyDescent="0.2">
      <c r="A100" s="121"/>
      <c r="B100" s="109"/>
      <c r="C100" s="109"/>
      <c r="D100" s="110"/>
      <c r="E100" s="100"/>
      <c r="F100" s="104"/>
      <c r="G100" s="100"/>
      <c r="H100" s="110"/>
      <c r="I100" s="104"/>
      <c r="J100" s="100"/>
      <c r="K100" s="110"/>
      <c r="L100" s="110"/>
      <c r="M100" s="110"/>
      <c r="N100" s="110"/>
      <c r="O100" s="109"/>
      <c r="P100" s="121"/>
      <c r="S100"/>
      <c r="T100"/>
      <c r="U100">
        <f t="shared" si="0"/>
        <v>0</v>
      </c>
      <c r="V100">
        <f t="shared" si="1"/>
        <v>0</v>
      </c>
      <c r="W100">
        <f t="shared" si="2"/>
        <v>0</v>
      </c>
      <c r="X100">
        <f t="shared" si="3"/>
        <v>0</v>
      </c>
      <c r="Y100">
        <f t="shared" si="4"/>
        <v>0</v>
      </c>
      <c r="Z100">
        <f t="shared" si="5"/>
        <v>0</v>
      </c>
      <c r="AA100">
        <f t="shared" si="6"/>
        <v>0</v>
      </c>
      <c r="AB100">
        <f t="shared" si="7"/>
        <v>0</v>
      </c>
      <c r="AC100">
        <f t="shared" si="8"/>
        <v>0</v>
      </c>
      <c r="AD100">
        <f t="shared" si="9"/>
        <v>0</v>
      </c>
      <c r="AE100">
        <f t="shared" si="10"/>
        <v>0</v>
      </c>
      <c r="AF100">
        <f t="shared" si="11"/>
        <v>0</v>
      </c>
      <c r="AG100"/>
      <c r="AH100">
        <f t="shared" si="12"/>
        <v>0</v>
      </c>
      <c r="AI100">
        <f t="shared" si="13"/>
        <v>0</v>
      </c>
      <c r="AJ100">
        <f t="shared" si="14"/>
        <v>0</v>
      </c>
      <c r="AK100">
        <f t="shared" si="15"/>
        <v>0</v>
      </c>
      <c r="AL100">
        <f t="shared" si="16"/>
        <v>0</v>
      </c>
      <c r="AM100">
        <f t="shared" si="17"/>
        <v>0</v>
      </c>
      <c r="AN100">
        <f t="shared" si="18"/>
        <v>0</v>
      </c>
      <c r="AO100">
        <f t="shared" si="19"/>
        <v>0</v>
      </c>
      <c r="AP100">
        <f t="shared" si="20"/>
        <v>0</v>
      </c>
      <c r="AQ100">
        <f t="shared" si="21"/>
        <v>0</v>
      </c>
      <c r="AR100">
        <f t="shared" si="22"/>
        <v>0</v>
      </c>
      <c r="AS100">
        <f t="shared" si="23"/>
        <v>0</v>
      </c>
      <c r="AT100"/>
      <c r="AU100"/>
      <c r="AV100"/>
      <c r="AW100"/>
      <c r="AX100"/>
      <c r="AY100"/>
      <c r="AZ100"/>
      <c r="BA100"/>
      <c r="BB100"/>
      <c r="BC100"/>
      <c r="BD100"/>
      <c r="BE100"/>
      <c r="BF100"/>
    </row>
    <row r="101" spans="1:58" outlineLevel="1" x14ac:dyDescent="0.2">
      <c r="A101" s="121"/>
      <c r="B101" s="109"/>
      <c r="C101" s="109"/>
      <c r="D101" s="110"/>
      <c r="E101" s="100"/>
      <c r="F101" s="104"/>
      <c r="G101" s="100"/>
      <c r="H101" s="110"/>
      <c r="I101" s="104"/>
      <c r="J101" s="100"/>
      <c r="K101" s="110"/>
      <c r="L101" s="110"/>
      <c r="M101" s="110"/>
      <c r="N101" s="110"/>
      <c r="O101" s="109"/>
      <c r="P101" s="121"/>
      <c r="S101"/>
      <c r="T101"/>
      <c r="U101">
        <f t="shared" si="0"/>
        <v>0</v>
      </c>
      <c r="V101">
        <f t="shared" si="1"/>
        <v>0</v>
      </c>
      <c r="W101">
        <f t="shared" si="2"/>
        <v>0</v>
      </c>
      <c r="X101">
        <f t="shared" si="3"/>
        <v>0</v>
      </c>
      <c r="Y101">
        <f t="shared" si="4"/>
        <v>0</v>
      </c>
      <c r="Z101">
        <f t="shared" si="5"/>
        <v>0</v>
      </c>
      <c r="AA101">
        <f t="shared" si="6"/>
        <v>0</v>
      </c>
      <c r="AB101">
        <f t="shared" si="7"/>
        <v>0</v>
      </c>
      <c r="AC101">
        <f t="shared" si="8"/>
        <v>0</v>
      </c>
      <c r="AD101">
        <f t="shared" si="9"/>
        <v>0</v>
      </c>
      <c r="AE101">
        <f t="shared" si="10"/>
        <v>0</v>
      </c>
      <c r="AF101">
        <f t="shared" si="11"/>
        <v>0</v>
      </c>
      <c r="AG101"/>
      <c r="AH101">
        <f t="shared" si="12"/>
        <v>0</v>
      </c>
      <c r="AI101">
        <f t="shared" si="13"/>
        <v>0</v>
      </c>
      <c r="AJ101">
        <f t="shared" si="14"/>
        <v>0</v>
      </c>
      <c r="AK101">
        <f t="shared" si="15"/>
        <v>0</v>
      </c>
      <c r="AL101">
        <f t="shared" si="16"/>
        <v>0</v>
      </c>
      <c r="AM101">
        <f t="shared" si="17"/>
        <v>0</v>
      </c>
      <c r="AN101">
        <f t="shared" si="18"/>
        <v>0</v>
      </c>
      <c r="AO101">
        <f t="shared" si="19"/>
        <v>0</v>
      </c>
      <c r="AP101">
        <f t="shared" si="20"/>
        <v>0</v>
      </c>
      <c r="AQ101">
        <f t="shared" si="21"/>
        <v>0</v>
      </c>
      <c r="AR101">
        <f t="shared" si="22"/>
        <v>0</v>
      </c>
      <c r="AS101">
        <f t="shared" si="23"/>
        <v>0</v>
      </c>
      <c r="AT101"/>
      <c r="AU101"/>
      <c r="AV101"/>
      <c r="AW101"/>
      <c r="AX101"/>
      <c r="AY101"/>
      <c r="AZ101"/>
      <c r="BA101"/>
      <c r="BB101"/>
      <c r="BC101"/>
      <c r="BD101"/>
      <c r="BE101"/>
      <c r="BF101"/>
    </row>
    <row r="102" spans="1:58" outlineLevel="1" x14ac:dyDescent="0.2">
      <c r="A102" s="121"/>
      <c r="B102" s="109"/>
      <c r="C102" s="109"/>
      <c r="D102" s="110"/>
      <c r="E102" s="100"/>
      <c r="F102" s="104"/>
      <c r="G102" s="100"/>
      <c r="H102" s="110"/>
      <c r="I102" s="104"/>
      <c r="J102" s="100"/>
      <c r="K102" s="110"/>
      <c r="L102" s="110"/>
      <c r="M102" s="110"/>
      <c r="N102" s="110"/>
      <c r="O102" s="109"/>
      <c r="P102" s="121"/>
      <c r="S102"/>
      <c r="T102"/>
      <c r="U102">
        <f t="shared" si="0"/>
        <v>0</v>
      </c>
      <c r="V102">
        <f t="shared" si="1"/>
        <v>0</v>
      </c>
      <c r="W102">
        <f t="shared" si="2"/>
        <v>0</v>
      </c>
      <c r="X102">
        <f t="shared" si="3"/>
        <v>0</v>
      </c>
      <c r="Y102">
        <f t="shared" si="4"/>
        <v>0</v>
      </c>
      <c r="Z102">
        <f t="shared" si="5"/>
        <v>0</v>
      </c>
      <c r="AA102">
        <f t="shared" si="6"/>
        <v>0</v>
      </c>
      <c r="AB102">
        <f t="shared" si="7"/>
        <v>0</v>
      </c>
      <c r="AC102">
        <f t="shared" si="8"/>
        <v>0</v>
      </c>
      <c r="AD102">
        <f t="shared" si="9"/>
        <v>0</v>
      </c>
      <c r="AE102">
        <f t="shared" si="10"/>
        <v>0</v>
      </c>
      <c r="AF102">
        <f t="shared" si="11"/>
        <v>0</v>
      </c>
      <c r="AG102"/>
      <c r="AH102">
        <f t="shared" si="12"/>
        <v>0</v>
      </c>
      <c r="AI102">
        <f t="shared" si="13"/>
        <v>0</v>
      </c>
      <c r="AJ102">
        <f t="shared" si="14"/>
        <v>0</v>
      </c>
      <c r="AK102">
        <f t="shared" si="15"/>
        <v>0</v>
      </c>
      <c r="AL102">
        <f t="shared" si="16"/>
        <v>0</v>
      </c>
      <c r="AM102">
        <f t="shared" si="17"/>
        <v>0</v>
      </c>
      <c r="AN102">
        <f t="shared" si="18"/>
        <v>0</v>
      </c>
      <c r="AO102">
        <f t="shared" si="19"/>
        <v>0</v>
      </c>
      <c r="AP102">
        <f t="shared" si="20"/>
        <v>0</v>
      </c>
      <c r="AQ102">
        <f t="shared" si="21"/>
        <v>0</v>
      </c>
      <c r="AR102">
        <f t="shared" si="22"/>
        <v>0</v>
      </c>
      <c r="AS102">
        <f t="shared" si="23"/>
        <v>0</v>
      </c>
      <c r="AT102"/>
      <c r="AU102"/>
      <c r="AV102"/>
      <c r="AW102"/>
      <c r="AX102"/>
      <c r="AY102"/>
      <c r="AZ102"/>
      <c r="BA102"/>
      <c r="BB102"/>
      <c r="BC102"/>
      <c r="BD102"/>
      <c r="BE102"/>
      <c r="BF102"/>
    </row>
    <row r="103" spans="1:58" outlineLevel="1" x14ac:dyDescent="0.2">
      <c r="A103" s="121"/>
      <c r="B103" s="66"/>
      <c r="C103" s="66"/>
      <c r="D103" s="66"/>
      <c r="E103" s="66"/>
      <c r="F103" s="66"/>
      <c r="G103" s="66"/>
      <c r="H103" s="66"/>
      <c r="I103" s="66"/>
      <c r="J103" s="66"/>
      <c r="K103" s="66"/>
      <c r="L103" s="66"/>
      <c r="M103" s="66"/>
      <c r="N103" s="66"/>
      <c r="O103" s="66"/>
      <c r="P103" s="121"/>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row>
    <row r="104" spans="1:58" outlineLevel="1" x14ac:dyDescent="0.2">
      <c r="A104" s="121"/>
      <c r="B104" s="186" t="s">
        <v>598</v>
      </c>
      <c r="C104" s="186"/>
      <c r="D104" s="186"/>
      <c r="E104" s="186"/>
      <c r="F104" s="186"/>
      <c r="G104" s="186"/>
      <c r="H104" s="186"/>
      <c r="I104" s="186"/>
      <c r="J104" s="186"/>
      <c r="K104" s="186"/>
      <c r="L104" s="186"/>
      <c r="M104" s="186"/>
      <c r="N104" s="186"/>
      <c r="O104" s="186"/>
      <c r="P104" s="121"/>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row>
    <row r="105" spans="1:58" outlineLevel="1" x14ac:dyDescent="0.2">
      <c r="A105" s="121"/>
      <c r="B105" s="187" t="s">
        <v>599</v>
      </c>
      <c r="C105" s="187"/>
      <c r="D105" s="187"/>
      <c r="E105" s="187"/>
      <c r="F105" s="187"/>
      <c r="G105" s="187"/>
      <c r="H105" s="187"/>
      <c r="I105" s="187"/>
      <c r="J105" s="187"/>
      <c r="K105" s="187"/>
      <c r="L105" s="187"/>
      <c r="M105" s="187"/>
      <c r="N105" s="187"/>
      <c r="O105" s="187"/>
      <c r="P105" s="121"/>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row>
    <row r="106" spans="1:58" outlineLevel="1" x14ac:dyDescent="0.2">
      <c r="A106" s="121"/>
      <c r="B106" s="96" t="s">
        <v>600</v>
      </c>
      <c r="C106" s="96" t="s">
        <v>596</v>
      </c>
      <c r="D106" s="96" t="s">
        <v>601</v>
      </c>
      <c r="E106" s="96" t="s">
        <v>602</v>
      </c>
      <c r="F106" s="96" t="s">
        <v>603</v>
      </c>
      <c r="G106" s="96" t="s">
        <v>195</v>
      </c>
      <c r="H106" s="96" t="s">
        <v>196</v>
      </c>
      <c r="I106" s="96" t="s">
        <v>171</v>
      </c>
      <c r="J106" s="66"/>
      <c r="K106" s="66"/>
      <c r="L106" s="66"/>
      <c r="M106" s="66"/>
      <c r="N106" s="66"/>
      <c r="O106" s="66"/>
      <c r="P106" s="121"/>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row>
    <row r="107" spans="1:58" outlineLevel="1" x14ac:dyDescent="0.2">
      <c r="A107" s="121"/>
      <c r="B107" s="109"/>
      <c r="C107" s="110"/>
      <c r="D107" s="100"/>
      <c r="E107" s="100"/>
      <c r="F107" s="114"/>
      <c r="G107" s="110"/>
      <c r="H107" s="110"/>
      <c r="I107" s="109"/>
      <c r="J107" s="66"/>
      <c r="K107" s="66"/>
      <c r="L107" s="66"/>
      <c r="M107" s="66"/>
      <c r="N107" s="66"/>
      <c r="O107" s="66"/>
      <c r="P107" s="121"/>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row>
    <row r="108" spans="1:58" outlineLevel="1" x14ac:dyDescent="0.2">
      <c r="A108" s="121"/>
      <c r="B108" s="109"/>
      <c r="C108" s="110"/>
      <c r="D108" s="100"/>
      <c r="E108" s="100"/>
      <c r="F108" s="114"/>
      <c r="G108" s="110"/>
      <c r="H108" s="110"/>
      <c r="I108" s="109"/>
      <c r="J108" s="66"/>
      <c r="K108" s="66"/>
      <c r="L108" s="66"/>
      <c r="M108" s="66"/>
      <c r="N108" s="66"/>
      <c r="O108" s="66"/>
      <c r="P108" s="121"/>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row>
    <row r="109" spans="1:58" outlineLevel="1" x14ac:dyDescent="0.2">
      <c r="A109" s="121"/>
      <c r="B109" s="109"/>
      <c r="C109" s="110"/>
      <c r="D109" s="100"/>
      <c r="E109" s="100"/>
      <c r="F109" s="114"/>
      <c r="G109" s="110"/>
      <c r="H109" s="110"/>
      <c r="I109" s="109"/>
      <c r="J109" s="66"/>
      <c r="K109" s="66"/>
      <c r="L109" s="66"/>
      <c r="M109" s="66"/>
      <c r="N109" s="66"/>
      <c r="O109" s="66"/>
      <c r="P109" s="121"/>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row>
    <row r="110" spans="1:58" outlineLevel="1" x14ac:dyDescent="0.2">
      <c r="A110" s="121"/>
      <c r="B110" s="109"/>
      <c r="C110" s="110"/>
      <c r="D110" s="100"/>
      <c r="E110" s="100"/>
      <c r="F110" s="114"/>
      <c r="G110" s="110"/>
      <c r="H110" s="110"/>
      <c r="I110" s="109"/>
      <c r="J110" s="66"/>
      <c r="K110" s="66"/>
      <c r="L110" s="66"/>
      <c r="M110" s="66"/>
      <c r="N110" s="66"/>
      <c r="O110" s="66"/>
      <c r="P110" s="121"/>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row>
    <row r="111" spans="1:58" outlineLevel="1" x14ac:dyDescent="0.2">
      <c r="A111" s="121"/>
      <c r="B111" s="109"/>
      <c r="C111" s="110"/>
      <c r="D111" s="100"/>
      <c r="E111" s="100"/>
      <c r="F111" s="114"/>
      <c r="G111" s="110"/>
      <c r="H111" s="110"/>
      <c r="I111" s="109"/>
      <c r="J111" s="66"/>
      <c r="K111" s="66"/>
      <c r="L111" s="66"/>
      <c r="M111" s="66"/>
      <c r="N111" s="66"/>
      <c r="O111" s="66"/>
      <c r="P111" s="12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row>
    <row r="112" spans="1:58" outlineLevel="1" x14ac:dyDescent="0.2">
      <c r="A112" s="121"/>
      <c r="B112" s="109"/>
      <c r="C112" s="110"/>
      <c r="D112" s="100"/>
      <c r="E112" s="100"/>
      <c r="F112" s="114"/>
      <c r="G112" s="110"/>
      <c r="H112" s="110"/>
      <c r="I112" s="109"/>
      <c r="J112" s="66"/>
      <c r="K112" s="66"/>
      <c r="L112" s="66"/>
      <c r="M112" s="66"/>
      <c r="N112" s="66"/>
      <c r="O112" s="66"/>
      <c r="P112" s="121"/>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row>
    <row r="113" spans="1:58" x14ac:dyDescent="0.2">
      <c r="A113" s="121"/>
      <c r="B113" s="66"/>
      <c r="C113" s="66"/>
      <c r="D113" s="66"/>
      <c r="E113" s="66"/>
      <c r="F113" s="66"/>
      <c r="G113" s="66"/>
      <c r="H113" s="66"/>
      <c r="I113" s="66"/>
      <c r="J113" s="66"/>
      <c r="K113" s="66"/>
      <c r="L113" s="66"/>
      <c r="M113" s="66"/>
      <c r="N113" s="66"/>
      <c r="O113" s="66"/>
      <c r="P113" s="121"/>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row>
    <row r="114" spans="1:58" x14ac:dyDescent="0.2">
      <c r="A114" s="121"/>
      <c r="B114" s="188" t="s">
        <v>604</v>
      </c>
      <c r="C114" s="188"/>
      <c r="D114" s="188"/>
      <c r="E114" s="188"/>
      <c r="F114" s="188"/>
      <c r="G114" s="188"/>
      <c r="H114" s="188"/>
      <c r="I114" s="188"/>
      <c r="J114" s="188"/>
      <c r="K114" s="188"/>
      <c r="L114" s="188"/>
      <c r="M114" s="188"/>
      <c r="N114" s="188"/>
      <c r="O114" s="66"/>
      <c r="P114" s="121"/>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row>
    <row r="115" spans="1:58" x14ac:dyDescent="0.2">
      <c r="A115" s="121"/>
      <c r="B115" s="189" t="str">
        <f>IF($C$18="Capacity","● ACTIVE — fill this zone","○ SKIP — you chose Planned build; this zone is inactive")</f>
        <v>● ACTIVE — fill this zone</v>
      </c>
      <c r="C115" s="189"/>
      <c r="D115" s="189"/>
      <c r="E115" s="189"/>
      <c r="F115" s="189"/>
      <c r="G115" s="189"/>
      <c r="H115" s="189"/>
      <c r="I115" s="189"/>
      <c r="J115" s="189"/>
      <c r="K115" s="189"/>
      <c r="L115" s="189"/>
      <c r="M115" s="189"/>
      <c r="N115" s="189"/>
      <c r="O115" s="66"/>
      <c r="P115" s="121"/>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row>
    <row r="116" spans="1:58" outlineLevel="1" x14ac:dyDescent="0.2">
      <c r="A116" s="121"/>
      <c r="B116" s="83" t="s">
        <v>605</v>
      </c>
      <c r="C116" s="66"/>
      <c r="D116" s="66"/>
      <c r="E116" s="196" t="str">
        <f>"1="&amp;B82&amp;"  2="&amp;B83&amp;"  3="&amp;B84&amp;"  4="&amp;B85&amp;"  5="&amp;B86</f>
        <v>1=Retainer revenue  2=Project revenue  3=Strategy / advisory  4=Pass-through / re-billable  5=Other revenue</v>
      </c>
      <c r="F116" s="196"/>
      <c r="G116" s="196"/>
      <c r="H116" s="196"/>
      <c r="I116" s="196"/>
      <c r="J116" s="196"/>
      <c r="K116" s="196"/>
      <c r="L116" s="196"/>
      <c r="M116" s="196"/>
      <c r="N116" s="196"/>
      <c r="O116" s="66"/>
      <c r="P116" s="121"/>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row>
    <row r="117" spans="1:58" outlineLevel="1" x14ac:dyDescent="0.2">
      <c r="A117" s="121"/>
      <c r="B117" s="66"/>
      <c r="C117" s="66"/>
      <c r="D117" s="66"/>
      <c r="E117" s="66"/>
      <c r="F117" s="66"/>
      <c r="G117" s="66"/>
      <c r="H117" s="66"/>
      <c r="I117" s="66"/>
      <c r="J117" s="66"/>
      <c r="K117" s="66"/>
      <c r="L117" s="66"/>
      <c r="M117" s="66"/>
      <c r="N117" s="66"/>
      <c r="O117" s="66"/>
      <c r="P117" s="121"/>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row>
    <row r="118" spans="1:58" outlineLevel="1" x14ac:dyDescent="0.2">
      <c r="A118" s="121"/>
      <c r="B118" s="186" t="s">
        <v>683</v>
      </c>
      <c r="C118" s="186"/>
      <c r="D118" s="186"/>
      <c r="E118" s="186"/>
      <c r="F118" s="186"/>
      <c r="G118" s="186"/>
      <c r="H118" s="186"/>
      <c r="I118" s="186"/>
      <c r="J118" s="186"/>
      <c r="K118" s="186"/>
      <c r="L118" s="186"/>
      <c r="M118" s="186"/>
      <c r="N118" s="186"/>
      <c r="O118" s="66"/>
      <c r="P118" s="121"/>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row>
    <row r="119" spans="1:58" outlineLevel="1" x14ac:dyDescent="0.2">
      <c r="A119" s="121"/>
      <c r="B119" s="84" t="s">
        <v>187</v>
      </c>
      <c r="C119" s="84" t="s">
        <v>188</v>
      </c>
      <c r="D119" s="84" t="s">
        <v>596</v>
      </c>
      <c r="E119" s="84" t="s">
        <v>606</v>
      </c>
      <c r="F119" s="84" t="s">
        <v>190</v>
      </c>
      <c r="G119" s="84" t="s">
        <v>191</v>
      </c>
      <c r="H119" s="84" t="s">
        <v>192</v>
      </c>
      <c r="I119" s="84" t="s">
        <v>193</v>
      </c>
      <c r="J119" s="84" t="s">
        <v>194</v>
      </c>
      <c r="K119" s="84" t="s">
        <v>195</v>
      </c>
      <c r="L119" s="84" t="s">
        <v>196</v>
      </c>
      <c r="M119" s="84" t="s">
        <v>607</v>
      </c>
      <c r="N119" s="84" t="s">
        <v>170</v>
      </c>
      <c r="O119" s="66"/>
      <c r="P119" s="121" t="s">
        <v>42</v>
      </c>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row>
    <row r="120" spans="1:58" outlineLevel="1" x14ac:dyDescent="0.2">
      <c r="A120" s="121"/>
      <c r="B120" s="88" t="s">
        <v>608</v>
      </c>
      <c r="C120" s="88" t="s">
        <v>198</v>
      </c>
      <c r="D120" s="88">
        <v>1</v>
      </c>
      <c r="E120" s="88" t="s">
        <v>197</v>
      </c>
      <c r="F120" s="94">
        <v>1</v>
      </c>
      <c r="G120" s="88" t="s">
        <v>609</v>
      </c>
      <c r="H120" s="94">
        <v>7.5</v>
      </c>
      <c r="I120" s="91">
        <v>0.75</v>
      </c>
      <c r="J120" s="90">
        <v>180</v>
      </c>
      <c r="K120" s="92">
        <v>1</v>
      </c>
      <c r="L120" s="92">
        <v>12</v>
      </c>
      <c r="M120" s="90">
        <v>140000</v>
      </c>
      <c r="N120" s="91">
        <v>0.185</v>
      </c>
      <c r="O120" s="66"/>
      <c r="P120" s="121"/>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row>
    <row r="121" spans="1:58" outlineLevel="1" x14ac:dyDescent="0.2">
      <c r="A121" s="121"/>
      <c r="B121" s="109" t="s">
        <v>661</v>
      </c>
      <c r="C121" s="109" t="s">
        <v>198</v>
      </c>
      <c r="D121" s="111">
        <v>1</v>
      </c>
      <c r="E121" s="112" t="s">
        <v>197</v>
      </c>
      <c r="F121" s="113">
        <v>1</v>
      </c>
      <c r="G121" s="109" t="s">
        <v>609</v>
      </c>
      <c r="H121" s="113">
        <v>7.5</v>
      </c>
      <c r="I121" s="104">
        <v>0.72</v>
      </c>
      <c r="J121" s="100">
        <v>260</v>
      </c>
      <c r="K121" s="110">
        <v>1</v>
      </c>
      <c r="L121" s="110">
        <v>12</v>
      </c>
      <c r="M121" s="100">
        <v>180000</v>
      </c>
      <c r="N121" s="104">
        <v>0.185</v>
      </c>
      <c r="O121" s="66"/>
      <c r="P121" s="121" t="str">
        <f t="shared" ref="P121:P140" si="24">IF($B121="","",IF(AND($E121&lt;&gt;"",ISNA(MATCH($E121,cal_jurisdictions,0)),ISNA(MATCH($E121&amp;"-*",cal_jurisdictions,0))),"⚠ jurisdiction?",IF(NOT(ISNUMBER($F121)),"⚠ FTE not a number",IF(N($I121)&gt;1,"⚠ utilisation &gt; 100%",IF(N($J121)&lt;0,"⚠ negative rate",IF(AND(N($L121)&gt;0,N($K121)&gt;N($L121)),"⚠ start after end",IF(AND($C121="Delivery",OR(N($H121)=0,N($I121)=0,N($J121)=0)),"⚠ missing billing input","ok")))))))</f>
        <v>ok</v>
      </c>
      <c r="S121"/>
      <c r="T121"/>
      <c r="U121" cm="1">
        <f t="array" ref="U121">IF($B121="",0,IF(OR(1&lt;N($K121),AND(N($L121)&gt;0,1&gt;$L121)),0,N($F121)*N($H121)*IFERROR(INDEX(cal_wd_active,IFERROR(MATCH($E121,cal_jurisdictions,0),MATCH($E121&amp;"-*",cal_jurisdictions,0)),1),0)*N($I121)*N($J121)))</f>
        <v>32291.999999999996</v>
      </c>
      <c r="V121" cm="1">
        <f t="array" ref="V121">IF($B121="",0,IF(OR(2&lt;N($K121),AND(N($L121)&gt;0,2&gt;$L121)),0,N($F121)*N($H121)*IFERROR(INDEX(cal_wd_active,IFERROR(MATCH($E121,cal_jurisdictions,0),MATCH($E121&amp;"-*",cal_jurisdictions,0)),2),0)*N($I121)*N($J121)))</f>
        <v>29483.999999999996</v>
      </c>
      <c r="W121" cm="1">
        <f t="array" ref="W121">IF($B121="",0,IF(OR(3&lt;N($K121),AND(N($L121)&gt;0,3&gt;$L121)),0,N($F121)*N($H121)*IFERROR(INDEX(cal_wd_active,IFERROR(MATCH($E121,cal_jurisdictions,0),MATCH($E121&amp;"-*",cal_jurisdictions,0)),3),0)*N($I121)*N($J121)))</f>
        <v>30888</v>
      </c>
      <c r="X121" cm="1">
        <f t="array" ref="X121">IF($B121="",0,IF(OR(4&lt;N($K121),AND(N($L121)&gt;0,4&gt;$L121)),0,N($F121)*N($H121)*IFERROR(INDEX(cal_wd_active,IFERROR(MATCH($E121,cal_jurisdictions,0),MATCH($E121&amp;"-*",cal_jurisdictions,0)),4),0)*N($I121)*N($J121)))</f>
        <v>30888</v>
      </c>
      <c r="Y121" cm="1">
        <f t="array" ref="Y121">IF($B121="",0,IF(OR(5&lt;N($K121),AND(N($L121)&gt;0,5&gt;$L121)),0,N($F121)*N($H121)*IFERROR(INDEX(cal_wd_active,IFERROR(MATCH($E121,cal_jurisdictions,0),MATCH($E121&amp;"-*",cal_jurisdictions,0)),5),0)*N($I121)*N($J121)))</f>
        <v>28080</v>
      </c>
      <c r="Z121" cm="1">
        <f t="array" ref="Z121">IF($B121="",0,IF(OR(6&lt;N($K121),AND(N($L121)&gt;0,6&gt;$L121)),0,N($F121)*N($H121)*IFERROR(INDEX(cal_wd_active,IFERROR(MATCH($E121,cal_jurisdictions,0),MATCH($E121&amp;"-*",cal_jurisdictions,0)),6),0)*N($I121)*N($J121)))</f>
        <v>29483.999999999996</v>
      </c>
      <c r="AA121" cm="1">
        <f t="array" ref="AA121">IF($B121="",0,IF(OR(7&lt;N($K121),AND(N($L121)&gt;0,7&gt;$L121)),0,N($F121)*N($H121)*IFERROR(INDEX(cal_wd_active,IFERROR(MATCH($E121,cal_jurisdictions,0),MATCH($E121&amp;"-*",cal_jurisdictions,0)),7),0)*N($I121)*N($J121)))</f>
        <v>28080</v>
      </c>
      <c r="AB121" cm="1">
        <f t="array" ref="AB121">IF($B121="",0,IF(OR(8&lt;N($K121),AND(N($L121)&gt;0,8&gt;$L121)),0,N($F121)*N($H121)*IFERROR(INDEX(cal_wd_active,IFERROR(MATCH($E121,cal_jurisdictions,0),MATCH($E121&amp;"-*",cal_jurisdictions,0)),8),0)*N($I121)*N($J121)))</f>
        <v>28080</v>
      </c>
      <c r="AC121" cm="1">
        <f t="array" ref="AC121">IF($B121="",0,IF(OR(9&lt;N($K121),AND(N($L121)&gt;0,9&gt;$L121)),0,N($F121)*N($H121)*IFERROR(INDEX(cal_wd_active,IFERROR(MATCH($E121,cal_jurisdictions,0),MATCH($E121&amp;"-*",cal_jurisdictions,0)),9),0)*N($I121)*N($J121)))</f>
        <v>30888</v>
      </c>
      <c r="AD121" cm="1">
        <f t="array" ref="AD121">IF($B121="",0,IF(OR(10&lt;N($K121),AND(N($L121)&gt;0,10&gt;$L121)),0,N($F121)*N($H121)*IFERROR(INDEX(cal_wd_active,IFERROR(MATCH($E121,cal_jurisdictions,0),MATCH($E121&amp;"-*",cal_jurisdictions,0)),10),0)*N($I121)*N($J121)))</f>
        <v>26676</v>
      </c>
      <c r="AE121" cm="1">
        <f t="array" ref="AE121">IF($B121="",0,IF(OR(11&lt;N($K121),AND(N($L121)&gt;0,11&gt;$L121)),0,N($F121)*N($H121)*IFERROR(INDEX(cal_wd_active,IFERROR(MATCH($E121,cal_jurisdictions,0),MATCH($E121&amp;"-*",cal_jurisdictions,0)),11),0)*N($I121)*N($J121)))</f>
        <v>29483.999999999996</v>
      </c>
      <c r="AF121" cm="1">
        <f t="array" ref="AF121">IF($B121="",0,IF(OR(12&lt;N($K121),AND(N($L121)&gt;0,12&gt;$L121)),0,N($F121)*N($H121)*IFERROR(INDEX(cal_wd_active,IFERROR(MATCH($E121,cal_jurisdictions,0),MATCH($E121&amp;"-*",cal_jurisdictions,0)),12),0)*N($I121)*N($J121)))</f>
        <v>29483.999999999996</v>
      </c>
      <c r="AG121"/>
      <c r="AH121">
        <f>IF($B121="",0,N($M121)*(1+IF(N($N121)&gt;0,$N121,IFERROR(CHOOSE(MATCH(LEFT($E121,2),{"AU";"NZ";"US"},0),ref_au_oncost_total,ref_nz_oncost_total,ref_us_oncost_total),0)))/12*IF(OR(1&lt;N($K121),AND(N($L121)&gt;0,1&gt;$L121)),0,1))</f>
        <v>17775</v>
      </c>
      <c r="AI121">
        <f>IF($B121="",0,N($M121)*(1+IF(N($N121)&gt;0,$N121,IFERROR(CHOOSE(MATCH(LEFT($E121,2),{"AU";"NZ";"US"},0),ref_au_oncost_total,ref_nz_oncost_total,ref_us_oncost_total),0)))/12*IF(OR(2&lt;N($K121),AND(N($L121)&gt;0,2&gt;$L121)),0,1))</f>
        <v>17775</v>
      </c>
      <c r="AJ121">
        <f>IF($B121="",0,N($M121)*(1+IF(N($N121)&gt;0,$N121,IFERROR(CHOOSE(MATCH(LEFT($E121,2),{"AU";"NZ";"US"},0),ref_au_oncost_total,ref_nz_oncost_total,ref_us_oncost_total),0)))/12*IF(OR(3&lt;N($K121),AND(N($L121)&gt;0,3&gt;$L121)),0,1))</f>
        <v>17775</v>
      </c>
      <c r="AK121">
        <f>IF($B121="",0,N($M121)*(1+IF(N($N121)&gt;0,$N121,IFERROR(CHOOSE(MATCH(LEFT($E121,2),{"AU";"NZ";"US"},0),ref_au_oncost_total,ref_nz_oncost_total,ref_us_oncost_total),0)))/12*IF(OR(4&lt;N($K121),AND(N($L121)&gt;0,4&gt;$L121)),0,1))</f>
        <v>17775</v>
      </c>
      <c r="AL121">
        <f>IF($B121="",0,N($M121)*(1+IF(N($N121)&gt;0,$N121,IFERROR(CHOOSE(MATCH(LEFT($E121,2),{"AU";"NZ";"US"},0),ref_au_oncost_total,ref_nz_oncost_total,ref_us_oncost_total),0)))/12*IF(OR(5&lt;N($K121),AND(N($L121)&gt;0,5&gt;$L121)),0,1))</f>
        <v>17775</v>
      </c>
      <c r="AM121">
        <f>IF($B121="",0,N($M121)*(1+IF(N($N121)&gt;0,$N121,IFERROR(CHOOSE(MATCH(LEFT($E121,2),{"AU";"NZ";"US"},0),ref_au_oncost_total,ref_nz_oncost_total,ref_us_oncost_total),0)))/12*IF(OR(6&lt;N($K121),AND(N($L121)&gt;0,6&gt;$L121)),0,1))</f>
        <v>17775</v>
      </c>
      <c r="AN121">
        <f>IF($B121="",0,N($M121)*(1+IF(N($N121)&gt;0,$N121,IFERROR(CHOOSE(MATCH(LEFT($E121,2),{"AU";"NZ";"US"},0),ref_au_oncost_total,ref_nz_oncost_total,ref_us_oncost_total),0)))/12*IF(OR(7&lt;N($K121),AND(N($L121)&gt;0,7&gt;$L121)),0,1))</f>
        <v>17775</v>
      </c>
      <c r="AO121">
        <f>IF($B121="",0,N($M121)*(1+IF(N($N121)&gt;0,$N121,IFERROR(CHOOSE(MATCH(LEFT($E121,2),{"AU";"NZ";"US"},0),ref_au_oncost_total,ref_nz_oncost_total,ref_us_oncost_total),0)))/12*IF(OR(8&lt;N($K121),AND(N($L121)&gt;0,8&gt;$L121)),0,1))</f>
        <v>17775</v>
      </c>
      <c r="AP121">
        <f>IF($B121="",0,N($M121)*(1+IF(N($N121)&gt;0,$N121,IFERROR(CHOOSE(MATCH(LEFT($E121,2),{"AU";"NZ";"US"},0),ref_au_oncost_total,ref_nz_oncost_total,ref_us_oncost_total),0)))/12*IF(OR(9&lt;N($K121),AND(N($L121)&gt;0,9&gt;$L121)),0,1))</f>
        <v>17775</v>
      </c>
      <c r="AQ121">
        <f>IF($B121="",0,N($M121)*(1+IF(N($N121)&gt;0,$N121,IFERROR(CHOOSE(MATCH(LEFT($E121,2),{"AU";"NZ";"US"},0),ref_au_oncost_total,ref_nz_oncost_total,ref_us_oncost_total),0)))/12*IF(OR(10&lt;N($K121),AND(N($L121)&gt;0,10&gt;$L121)),0,1))</f>
        <v>17775</v>
      </c>
      <c r="AR121">
        <f>IF($B121="",0,N($M121)*(1+IF(N($N121)&gt;0,$N121,IFERROR(CHOOSE(MATCH(LEFT($E121,2),{"AU";"NZ";"US"},0),ref_au_oncost_total,ref_nz_oncost_total,ref_us_oncost_total),0)))/12*IF(OR(11&lt;N($K121),AND(N($L121)&gt;0,11&gt;$L121)),0,1))</f>
        <v>17775</v>
      </c>
      <c r="AS121">
        <f>IF($B121="",0,N($M121)*(1+IF(N($N121)&gt;0,$N121,IFERROR(CHOOSE(MATCH(LEFT($E121,2),{"AU";"NZ";"US"},0),ref_au_oncost_total,ref_nz_oncost_total,ref_us_oncost_total),0)))/12*IF(OR(12&lt;N($K121),AND(N($L121)&gt;0,12&gt;$L121)),0,1))</f>
        <v>17775</v>
      </c>
      <c r="AT121"/>
      <c r="AU121">
        <f t="shared" ref="AU121:AU140" si="25">IF($B121="",0,IF(OR(1&lt;N($K121),AND(N($L121)&gt;0,1&gt;$L121)),0,N($F121)))</f>
        <v>1</v>
      </c>
      <c r="AV121">
        <f t="shared" ref="AV121:AV140" si="26">IF($B121="",0,IF(OR(2&lt;N($K121),AND(N($L121)&gt;0,2&gt;$L121)),0,N($F121)))</f>
        <v>1</v>
      </c>
      <c r="AW121">
        <f t="shared" ref="AW121:AW140" si="27">IF($B121="",0,IF(OR(3&lt;N($K121),AND(N($L121)&gt;0,3&gt;$L121)),0,N($F121)))</f>
        <v>1</v>
      </c>
      <c r="AX121">
        <f t="shared" ref="AX121:AX140" si="28">IF($B121="",0,IF(OR(4&lt;N($K121),AND(N($L121)&gt;0,4&gt;$L121)),0,N($F121)))</f>
        <v>1</v>
      </c>
      <c r="AY121">
        <f t="shared" ref="AY121:AY140" si="29">IF($B121="",0,IF(OR(5&lt;N($K121),AND(N($L121)&gt;0,5&gt;$L121)),0,N($F121)))</f>
        <v>1</v>
      </c>
      <c r="AZ121">
        <f t="shared" ref="AZ121:AZ140" si="30">IF($B121="",0,IF(OR(6&lt;N($K121),AND(N($L121)&gt;0,6&gt;$L121)),0,N($F121)))</f>
        <v>1</v>
      </c>
      <c r="BA121">
        <f t="shared" ref="BA121:BA140" si="31">IF($B121="",0,IF(OR(7&lt;N($K121),AND(N($L121)&gt;0,7&gt;$L121)),0,N($F121)))</f>
        <v>1</v>
      </c>
      <c r="BB121">
        <f t="shared" ref="BB121:BB140" si="32">IF($B121="",0,IF(OR(8&lt;N($K121),AND(N($L121)&gt;0,8&gt;$L121)),0,N($F121)))</f>
        <v>1</v>
      </c>
      <c r="BC121">
        <f t="shared" ref="BC121:BC140" si="33">IF($B121="",0,IF(OR(9&lt;N($K121),AND(N($L121)&gt;0,9&gt;$L121)),0,N($F121)))</f>
        <v>1</v>
      </c>
      <c r="BD121">
        <f t="shared" ref="BD121:BD140" si="34">IF($B121="",0,IF(OR(10&lt;N($K121),AND(N($L121)&gt;0,10&gt;$L121)),0,N($F121)))</f>
        <v>1</v>
      </c>
      <c r="BE121">
        <f t="shared" ref="BE121:BE140" si="35">IF($B121="",0,IF(OR(11&lt;N($K121),AND(N($L121)&gt;0,11&gt;$L121)),0,N($F121)))</f>
        <v>1</v>
      </c>
      <c r="BF121">
        <f t="shared" ref="BF121:BF140" si="36">IF($B121="",0,IF(OR(12&lt;N($K121),AND(N($L121)&gt;0,12&gt;$L121)),0,N($F121)))</f>
        <v>1</v>
      </c>
    </row>
    <row r="122" spans="1:58" outlineLevel="1" x14ac:dyDescent="0.2">
      <c r="A122" s="121"/>
      <c r="B122" s="109" t="s">
        <v>662</v>
      </c>
      <c r="C122" s="109" t="s">
        <v>198</v>
      </c>
      <c r="D122" s="111">
        <v>2</v>
      </c>
      <c r="E122" s="112" t="s">
        <v>197</v>
      </c>
      <c r="F122" s="113">
        <v>1</v>
      </c>
      <c r="G122" s="109" t="s">
        <v>609</v>
      </c>
      <c r="H122" s="113">
        <v>7.5</v>
      </c>
      <c r="I122" s="104">
        <v>0.8</v>
      </c>
      <c r="J122" s="100">
        <v>185</v>
      </c>
      <c r="K122" s="110">
        <v>1</v>
      </c>
      <c r="L122" s="110">
        <v>12</v>
      </c>
      <c r="M122" s="100">
        <v>120000</v>
      </c>
      <c r="N122" s="104">
        <v>0.185</v>
      </c>
      <c r="O122" s="66"/>
      <c r="P122" s="121" t="str">
        <f t="shared" si="24"/>
        <v>ok</v>
      </c>
      <c r="S122"/>
      <c r="T122"/>
      <c r="U122" cm="1">
        <f t="array" ref="U122">IF($B122="",0,IF(OR(1&lt;N($K122),AND(N($L122)&gt;0,1&gt;$L122)),0,N($F122)*N($H122)*IFERROR(INDEX(cal_wd_active,IFERROR(MATCH($E122,cal_jurisdictions,0),MATCH($E122&amp;"-*",cal_jurisdictions,0)),1),0)*N($I122)*N($J122)))</f>
        <v>25530</v>
      </c>
      <c r="V122" cm="1">
        <f t="array" ref="V122">IF($B122="",0,IF(OR(2&lt;N($K122),AND(N($L122)&gt;0,2&gt;$L122)),0,N($F122)*N($H122)*IFERROR(INDEX(cal_wd_active,IFERROR(MATCH($E122,cal_jurisdictions,0),MATCH($E122&amp;"-*",cal_jurisdictions,0)),2),0)*N($I122)*N($J122)))</f>
        <v>23310</v>
      </c>
      <c r="W122" cm="1">
        <f t="array" ref="W122">IF($B122="",0,IF(OR(3&lt;N($K122),AND(N($L122)&gt;0,3&gt;$L122)),0,N($F122)*N($H122)*IFERROR(INDEX(cal_wd_active,IFERROR(MATCH($E122,cal_jurisdictions,0),MATCH($E122&amp;"-*",cal_jurisdictions,0)),3),0)*N($I122)*N($J122)))</f>
        <v>24420</v>
      </c>
      <c r="X122" cm="1">
        <f t="array" ref="X122">IF($B122="",0,IF(OR(4&lt;N($K122),AND(N($L122)&gt;0,4&gt;$L122)),0,N($F122)*N($H122)*IFERROR(INDEX(cal_wd_active,IFERROR(MATCH($E122,cal_jurisdictions,0),MATCH($E122&amp;"-*",cal_jurisdictions,0)),4),0)*N($I122)*N($J122)))</f>
        <v>24420</v>
      </c>
      <c r="Y122" cm="1">
        <f t="array" ref="Y122">IF($B122="",0,IF(OR(5&lt;N($K122),AND(N($L122)&gt;0,5&gt;$L122)),0,N($F122)*N($H122)*IFERROR(INDEX(cal_wd_active,IFERROR(MATCH($E122,cal_jurisdictions,0),MATCH($E122&amp;"-*",cal_jurisdictions,0)),5),0)*N($I122)*N($J122)))</f>
        <v>22200</v>
      </c>
      <c r="Z122" cm="1">
        <f t="array" ref="Z122">IF($B122="",0,IF(OR(6&lt;N($K122),AND(N($L122)&gt;0,6&gt;$L122)),0,N($F122)*N($H122)*IFERROR(INDEX(cal_wd_active,IFERROR(MATCH($E122,cal_jurisdictions,0),MATCH($E122&amp;"-*",cal_jurisdictions,0)),6),0)*N($I122)*N($J122)))</f>
        <v>23310</v>
      </c>
      <c r="AA122" cm="1">
        <f t="array" ref="AA122">IF($B122="",0,IF(OR(7&lt;N($K122),AND(N($L122)&gt;0,7&gt;$L122)),0,N($F122)*N($H122)*IFERROR(INDEX(cal_wd_active,IFERROR(MATCH($E122,cal_jurisdictions,0),MATCH($E122&amp;"-*",cal_jurisdictions,0)),7),0)*N($I122)*N($J122)))</f>
        <v>22200</v>
      </c>
      <c r="AB122" cm="1">
        <f t="array" ref="AB122">IF($B122="",0,IF(OR(8&lt;N($K122),AND(N($L122)&gt;0,8&gt;$L122)),0,N($F122)*N($H122)*IFERROR(INDEX(cal_wd_active,IFERROR(MATCH($E122,cal_jurisdictions,0),MATCH($E122&amp;"-*",cal_jurisdictions,0)),8),0)*N($I122)*N($J122)))</f>
        <v>22200</v>
      </c>
      <c r="AC122" cm="1">
        <f t="array" ref="AC122">IF($B122="",0,IF(OR(9&lt;N($K122),AND(N($L122)&gt;0,9&gt;$L122)),0,N($F122)*N($H122)*IFERROR(INDEX(cal_wd_active,IFERROR(MATCH($E122,cal_jurisdictions,0),MATCH($E122&amp;"-*",cal_jurisdictions,0)),9),0)*N($I122)*N($J122)))</f>
        <v>24420</v>
      </c>
      <c r="AD122" cm="1">
        <f t="array" ref="AD122">IF($B122="",0,IF(OR(10&lt;N($K122),AND(N($L122)&gt;0,10&gt;$L122)),0,N($F122)*N($H122)*IFERROR(INDEX(cal_wd_active,IFERROR(MATCH($E122,cal_jurisdictions,0),MATCH($E122&amp;"-*",cal_jurisdictions,0)),10),0)*N($I122)*N($J122)))</f>
        <v>21090</v>
      </c>
      <c r="AE122" cm="1">
        <f t="array" ref="AE122">IF($B122="",0,IF(OR(11&lt;N($K122),AND(N($L122)&gt;0,11&gt;$L122)),0,N($F122)*N($H122)*IFERROR(INDEX(cal_wd_active,IFERROR(MATCH($E122,cal_jurisdictions,0),MATCH($E122&amp;"-*",cal_jurisdictions,0)),11),0)*N($I122)*N($J122)))</f>
        <v>23310</v>
      </c>
      <c r="AF122" cm="1">
        <f t="array" ref="AF122">IF($B122="",0,IF(OR(12&lt;N($K122),AND(N($L122)&gt;0,12&gt;$L122)),0,N($F122)*N($H122)*IFERROR(INDEX(cal_wd_active,IFERROR(MATCH($E122,cal_jurisdictions,0),MATCH($E122&amp;"-*",cal_jurisdictions,0)),12),0)*N($I122)*N($J122)))</f>
        <v>23310</v>
      </c>
      <c r="AG122"/>
      <c r="AH122">
        <f>IF($B122="",0,N($M122)*(1+IF(N($N122)&gt;0,$N122,IFERROR(CHOOSE(MATCH(LEFT($E122,2),{"AU";"NZ";"US"},0),ref_au_oncost_total,ref_nz_oncost_total,ref_us_oncost_total),0)))/12*IF(OR(1&lt;N($K122),AND(N($L122)&gt;0,1&gt;$L122)),0,1))</f>
        <v>11850</v>
      </c>
      <c r="AI122">
        <f>IF($B122="",0,N($M122)*(1+IF(N($N122)&gt;0,$N122,IFERROR(CHOOSE(MATCH(LEFT($E122,2),{"AU";"NZ";"US"},0),ref_au_oncost_total,ref_nz_oncost_total,ref_us_oncost_total),0)))/12*IF(OR(2&lt;N($K122),AND(N($L122)&gt;0,2&gt;$L122)),0,1))</f>
        <v>11850</v>
      </c>
      <c r="AJ122">
        <f>IF($B122="",0,N($M122)*(1+IF(N($N122)&gt;0,$N122,IFERROR(CHOOSE(MATCH(LEFT($E122,2),{"AU";"NZ";"US"},0),ref_au_oncost_total,ref_nz_oncost_total,ref_us_oncost_total),0)))/12*IF(OR(3&lt;N($K122),AND(N($L122)&gt;0,3&gt;$L122)),0,1))</f>
        <v>11850</v>
      </c>
      <c r="AK122">
        <f>IF($B122="",0,N($M122)*(1+IF(N($N122)&gt;0,$N122,IFERROR(CHOOSE(MATCH(LEFT($E122,2),{"AU";"NZ";"US"},0),ref_au_oncost_total,ref_nz_oncost_total,ref_us_oncost_total),0)))/12*IF(OR(4&lt;N($K122),AND(N($L122)&gt;0,4&gt;$L122)),0,1))</f>
        <v>11850</v>
      </c>
      <c r="AL122">
        <f>IF($B122="",0,N($M122)*(1+IF(N($N122)&gt;0,$N122,IFERROR(CHOOSE(MATCH(LEFT($E122,2),{"AU";"NZ";"US"},0),ref_au_oncost_total,ref_nz_oncost_total,ref_us_oncost_total),0)))/12*IF(OR(5&lt;N($K122),AND(N($L122)&gt;0,5&gt;$L122)),0,1))</f>
        <v>11850</v>
      </c>
      <c r="AM122">
        <f>IF($B122="",0,N($M122)*(1+IF(N($N122)&gt;0,$N122,IFERROR(CHOOSE(MATCH(LEFT($E122,2),{"AU";"NZ";"US"},0),ref_au_oncost_total,ref_nz_oncost_total,ref_us_oncost_total),0)))/12*IF(OR(6&lt;N($K122),AND(N($L122)&gt;0,6&gt;$L122)),0,1))</f>
        <v>11850</v>
      </c>
      <c r="AN122">
        <f>IF($B122="",0,N($M122)*(1+IF(N($N122)&gt;0,$N122,IFERROR(CHOOSE(MATCH(LEFT($E122,2),{"AU";"NZ";"US"},0),ref_au_oncost_total,ref_nz_oncost_total,ref_us_oncost_total),0)))/12*IF(OR(7&lt;N($K122),AND(N($L122)&gt;0,7&gt;$L122)),0,1))</f>
        <v>11850</v>
      </c>
      <c r="AO122">
        <f>IF($B122="",0,N($M122)*(1+IF(N($N122)&gt;0,$N122,IFERROR(CHOOSE(MATCH(LEFT($E122,2),{"AU";"NZ";"US"},0),ref_au_oncost_total,ref_nz_oncost_total,ref_us_oncost_total),0)))/12*IF(OR(8&lt;N($K122),AND(N($L122)&gt;0,8&gt;$L122)),0,1))</f>
        <v>11850</v>
      </c>
      <c r="AP122">
        <f>IF($B122="",0,N($M122)*(1+IF(N($N122)&gt;0,$N122,IFERROR(CHOOSE(MATCH(LEFT($E122,2),{"AU";"NZ";"US"},0),ref_au_oncost_total,ref_nz_oncost_total,ref_us_oncost_total),0)))/12*IF(OR(9&lt;N($K122),AND(N($L122)&gt;0,9&gt;$L122)),0,1))</f>
        <v>11850</v>
      </c>
      <c r="AQ122">
        <f>IF($B122="",0,N($M122)*(1+IF(N($N122)&gt;0,$N122,IFERROR(CHOOSE(MATCH(LEFT($E122,2),{"AU";"NZ";"US"},0),ref_au_oncost_total,ref_nz_oncost_total,ref_us_oncost_total),0)))/12*IF(OR(10&lt;N($K122),AND(N($L122)&gt;0,10&gt;$L122)),0,1))</f>
        <v>11850</v>
      </c>
      <c r="AR122">
        <f>IF($B122="",0,N($M122)*(1+IF(N($N122)&gt;0,$N122,IFERROR(CHOOSE(MATCH(LEFT($E122,2),{"AU";"NZ";"US"},0),ref_au_oncost_total,ref_nz_oncost_total,ref_us_oncost_total),0)))/12*IF(OR(11&lt;N($K122),AND(N($L122)&gt;0,11&gt;$L122)),0,1))</f>
        <v>11850</v>
      </c>
      <c r="AS122">
        <f>IF($B122="",0,N($M122)*(1+IF(N($N122)&gt;0,$N122,IFERROR(CHOOSE(MATCH(LEFT($E122,2),{"AU";"NZ";"US"},0),ref_au_oncost_total,ref_nz_oncost_total,ref_us_oncost_total),0)))/12*IF(OR(12&lt;N($K122),AND(N($L122)&gt;0,12&gt;$L122)),0,1))</f>
        <v>11850</v>
      </c>
      <c r="AT122"/>
      <c r="AU122">
        <f t="shared" si="25"/>
        <v>1</v>
      </c>
      <c r="AV122">
        <f t="shared" si="26"/>
        <v>1</v>
      </c>
      <c r="AW122">
        <f t="shared" si="27"/>
        <v>1</v>
      </c>
      <c r="AX122">
        <f t="shared" si="28"/>
        <v>1</v>
      </c>
      <c r="AY122">
        <f t="shared" si="29"/>
        <v>1</v>
      </c>
      <c r="AZ122">
        <f t="shared" si="30"/>
        <v>1</v>
      </c>
      <c r="BA122">
        <f t="shared" si="31"/>
        <v>1</v>
      </c>
      <c r="BB122">
        <f t="shared" si="32"/>
        <v>1</v>
      </c>
      <c r="BC122">
        <f t="shared" si="33"/>
        <v>1</v>
      </c>
      <c r="BD122">
        <f t="shared" si="34"/>
        <v>1</v>
      </c>
      <c r="BE122">
        <f t="shared" si="35"/>
        <v>1</v>
      </c>
      <c r="BF122">
        <f t="shared" si="36"/>
        <v>1</v>
      </c>
    </row>
    <row r="123" spans="1:58" outlineLevel="1" x14ac:dyDescent="0.2">
      <c r="A123" s="121"/>
      <c r="B123" s="109" t="s">
        <v>663</v>
      </c>
      <c r="C123" s="109" t="s">
        <v>198</v>
      </c>
      <c r="D123" s="111">
        <v>2</v>
      </c>
      <c r="E123" s="112" t="s">
        <v>197</v>
      </c>
      <c r="F123" s="113">
        <v>1</v>
      </c>
      <c r="G123" s="109" t="s">
        <v>609</v>
      </c>
      <c r="H123" s="113">
        <v>7.5</v>
      </c>
      <c r="I123" s="104">
        <v>0.82</v>
      </c>
      <c r="J123" s="100">
        <v>185</v>
      </c>
      <c r="K123" s="110">
        <v>1</v>
      </c>
      <c r="L123" s="110">
        <v>12</v>
      </c>
      <c r="M123" s="100">
        <v>120000</v>
      </c>
      <c r="N123" s="104">
        <v>0.185</v>
      </c>
      <c r="O123" s="66"/>
      <c r="P123" s="121" t="str">
        <f t="shared" si="24"/>
        <v>ok</v>
      </c>
      <c r="S123"/>
      <c r="T123"/>
      <c r="U123" cm="1">
        <f t="array" ref="U123">IF($B123="",0,IF(OR(1&lt;N($K123),AND(N($L123)&gt;0,1&gt;$L123)),0,N($F123)*N($H123)*IFERROR(INDEX(cal_wd_active,IFERROR(MATCH($E123,cal_jurisdictions,0),MATCH($E123&amp;"-*",cal_jurisdictions,0)),1),0)*N($I123)*N($J123)))</f>
        <v>26168.249999999996</v>
      </c>
      <c r="V123" cm="1">
        <f t="array" ref="V123">IF($B123="",0,IF(OR(2&lt;N($K123),AND(N($L123)&gt;0,2&gt;$L123)),0,N($F123)*N($H123)*IFERROR(INDEX(cal_wd_active,IFERROR(MATCH($E123,cal_jurisdictions,0),MATCH($E123&amp;"-*",cal_jurisdictions,0)),2),0)*N($I123)*N($J123)))</f>
        <v>23892.75</v>
      </c>
      <c r="W123" cm="1">
        <f t="array" ref="W123">IF($B123="",0,IF(OR(3&lt;N($K123),AND(N($L123)&gt;0,3&gt;$L123)),0,N($F123)*N($H123)*IFERROR(INDEX(cal_wd_active,IFERROR(MATCH($E123,cal_jurisdictions,0),MATCH($E123&amp;"-*",cal_jurisdictions,0)),3),0)*N($I123)*N($J123)))</f>
        <v>25030.499999999996</v>
      </c>
      <c r="X123" cm="1">
        <f t="array" ref="X123">IF($B123="",0,IF(OR(4&lt;N($K123),AND(N($L123)&gt;0,4&gt;$L123)),0,N($F123)*N($H123)*IFERROR(INDEX(cal_wd_active,IFERROR(MATCH($E123,cal_jurisdictions,0),MATCH($E123&amp;"-*",cal_jurisdictions,0)),4),0)*N($I123)*N($J123)))</f>
        <v>25030.499999999996</v>
      </c>
      <c r="Y123" cm="1">
        <f t="array" ref="Y123">IF($B123="",0,IF(OR(5&lt;N($K123),AND(N($L123)&gt;0,5&gt;$L123)),0,N($F123)*N($H123)*IFERROR(INDEX(cal_wd_active,IFERROR(MATCH($E123,cal_jurisdictions,0),MATCH($E123&amp;"-*",cal_jurisdictions,0)),5),0)*N($I123)*N($J123)))</f>
        <v>22754.999999999996</v>
      </c>
      <c r="Z123" cm="1">
        <f t="array" ref="Z123">IF($B123="",0,IF(OR(6&lt;N($K123),AND(N($L123)&gt;0,6&gt;$L123)),0,N($F123)*N($H123)*IFERROR(INDEX(cal_wd_active,IFERROR(MATCH($E123,cal_jurisdictions,0),MATCH($E123&amp;"-*",cal_jurisdictions,0)),6),0)*N($I123)*N($J123)))</f>
        <v>23892.75</v>
      </c>
      <c r="AA123" cm="1">
        <f t="array" ref="AA123">IF($B123="",0,IF(OR(7&lt;N($K123),AND(N($L123)&gt;0,7&gt;$L123)),0,N($F123)*N($H123)*IFERROR(INDEX(cal_wd_active,IFERROR(MATCH($E123,cal_jurisdictions,0),MATCH($E123&amp;"-*",cal_jurisdictions,0)),7),0)*N($I123)*N($J123)))</f>
        <v>22754.999999999996</v>
      </c>
      <c r="AB123" cm="1">
        <f t="array" ref="AB123">IF($B123="",0,IF(OR(8&lt;N($K123),AND(N($L123)&gt;0,8&gt;$L123)),0,N($F123)*N($H123)*IFERROR(INDEX(cal_wd_active,IFERROR(MATCH($E123,cal_jurisdictions,0),MATCH($E123&amp;"-*",cal_jurisdictions,0)),8),0)*N($I123)*N($J123)))</f>
        <v>22754.999999999996</v>
      </c>
      <c r="AC123" cm="1">
        <f t="array" ref="AC123">IF($B123="",0,IF(OR(9&lt;N($K123),AND(N($L123)&gt;0,9&gt;$L123)),0,N($F123)*N($H123)*IFERROR(INDEX(cal_wd_active,IFERROR(MATCH($E123,cal_jurisdictions,0),MATCH($E123&amp;"-*",cal_jurisdictions,0)),9),0)*N($I123)*N($J123)))</f>
        <v>25030.499999999996</v>
      </c>
      <c r="AD123" cm="1">
        <f t="array" ref="AD123">IF($B123="",0,IF(OR(10&lt;N($K123),AND(N($L123)&gt;0,10&gt;$L123)),0,N($F123)*N($H123)*IFERROR(INDEX(cal_wd_active,IFERROR(MATCH($E123,cal_jurisdictions,0),MATCH($E123&amp;"-*",cal_jurisdictions,0)),10),0)*N($I123)*N($J123)))</f>
        <v>21617.25</v>
      </c>
      <c r="AE123" cm="1">
        <f t="array" ref="AE123">IF($B123="",0,IF(OR(11&lt;N($K123),AND(N($L123)&gt;0,11&gt;$L123)),0,N($F123)*N($H123)*IFERROR(INDEX(cal_wd_active,IFERROR(MATCH($E123,cal_jurisdictions,0),MATCH($E123&amp;"-*",cal_jurisdictions,0)),11),0)*N($I123)*N($J123)))</f>
        <v>23892.75</v>
      </c>
      <c r="AF123" cm="1">
        <f t="array" ref="AF123">IF($B123="",0,IF(OR(12&lt;N($K123),AND(N($L123)&gt;0,12&gt;$L123)),0,N($F123)*N($H123)*IFERROR(INDEX(cal_wd_active,IFERROR(MATCH($E123,cal_jurisdictions,0),MATCH($E123&amp;"-*",cal_jurisdictions,0)),12),0)*N($I123)*N($J123)))</f>
        <v>23892.75</v>
      </c>
      <c r="AG123"/>
      <c r="AH123">
        <f>IF($B123="",0,N($M123)*(1+IF(N($N123)&gt;0,$N123,IFERROR(CHOOSE(MATCH(LEFT($E123,2),{"AU";"NZ";"US"},0),ref_au_oncost_total,ref_nz_oncost_total,ref_us_oncost_total),0)))/12*IF(OR(1&lt;N($K123),AND(N($L123)&gt;0,1&gt;$L123)),0,1))</f>
        <v>11850</v>
      </c>
      <c r="AI123">
        <f>IF($B123="",0,N($M123)*(1+IF(N($N123)&gt;0,$N123,IFERROR(CHOOSE(MATCH(LEFT($E123,2),{"AU";"NZ";"US"},0),ref_au_oncost_total,ref_nz_oncost_total,ref_us_oncost_total),0)))/12*IF(OR(2&lt;N($K123),AND(N($L123)&gt;0,2&gt;$L123)),0,1))</f>
        <v>11850</v>
      </c>
      <c r="AJ123">
        <f>IF($B123="",0,N($M123)*(1+IF(N($N123)&gt;0,$N123,IFERROR(CHOOSE(MATCH(LEFT($E123,2),{"AU";"NZ";"US"},0),ref_au_oncost_total,ref_nz_oncost_total,ref_us_oncost_total),0)))/12*IF(OR(3&lt;N($K123),AND(N($L123)&gt;0,3&gt;$L123)),0,1))</f>
        <v>11850</v>
      </c>
      <c r="AK123">
        <f>IF($B123="",0,N($M123)*(1+IF(N($N123)&gt;0,$N123,IFERROR(CHOOSE(MATCH(LEFT($E123,2),{"AU";"NZ";"US"},0),ref_au_oncost_total,ref_nz_oncost_total,ref_us_oncost_total),0)))/12*IF(OR(4&lt;N($K123),AND(N($L123)&gt;0,4&gt;$L123)),0,1))</f>
        <v>11850</v>
      </c>
      <c r="AL123">
        <f>IF($B123="",0,N($M123)*(1+IF(N($N123)&gt;0,$N123,IFERROR(CHOOSE(MATCH(LEFT($E123,2),{"AU";"NZ";"US"},0),ref_au_oncost_total,ref_nz_oncost_total,ref_us_oncost_total),0)))/12*IF(OR(5&lt;N($K123),AND(N($L123)&gt;0,5&gt;$L123)),0,1))</f>
        <v>11850</v>
      </c>
      <c r="AM123">
        <f>IF($B123="",0,N($M123)*(1+IF(N($N123)&gt;0,$N123,IFERROR(CHOOSE(MATCH(LEFT($E123,2),{"AU";"NZ";"US"},0),ref_au_oncost_total,ref_nz_oncost_total,ref_us_oncost_total),0)))/12*IF(OR(6&lt;N($K123),AND(N($L123)&gt;0,6&gt;$L123)),0,1))</f>
        <v>11850</v>
      </c>
      <c r="AN123">
        <f>IF($B123="",0,N($M123)*(1+IF(N($N123)&gt;0,$N123,IFERROR(CHOOSE(MATCH(LEFT($E123,2),{"AU";"NZ";"US"},0),ref_au_oncost_total,ref_nz_oncost_total,ref_us_oncost_total),0)))/12*IF(OR(7&lt;N($K123),AND(N($L123)&gt;0,7&gt;$L123)),0,1))</f>
        <v>11850</v>
      </c>
      <c r="AO123">
        <f>IF($B123="",0,N($M123)*(1+IF(N($N123)&gt;0,$N123,IFERROR(CHOOSE(MATCH(LEFT($E123,2),{"AU";"NZ";"US"},0),ref_au_oncost_total,ref_nz_oncost_total,ref_us_oncost_total),0)))/12*IF(OR(8&lt;N($K123),AND(N($L123)&gt;0,8&gt;$L123)),0,1))</f>
        <v>11850</v>
      </c>
      <c r="AP123">
        <f>IF($B123="",0,N($M123)*(1+IF(N($N123)&gt;0,$N123,IFERROR(CHOOSE(MATCH(LEFT($E123,2),{"AU";"NZ";"US"},0),ref_au_oncost_total,ref_nz_oncost_total,ref_us_oncost_total),0)))/12*IF(OR(9&lt;N($K123),AND(N($L123)&gt;0,9&gt;$L123)),0,1))</f>
        <v>11850</v>
      </c>
      <c r="AQ123">
        <f>IF($B123="",0,N($M123)*(1+IF(N($N123)&gt;0,$N123,IFERROR(CHOOSE(MATCH(LEFT($E123,2),{"AU";"NZ";"US"},0),ref_au_oncost_total,ref_nz_oncost_total,ref_us_oncost_total),0)))/12*IF(OR(10&lt;N($K123),AND(N($L123)&gt;0,10&gt;$L123)),0,1))</f>
        <v>11850</v>
      </c>
      <c r="AR123">
        <f>IF($B123="",0,N($M123)*(1+IF(N($N123)&gt;0,$N123,IFERROR(CHOOSE(MATCH(LEFT($E123,2),{"AU";"NZ";"US"},0),ref_au_oncost_total,ref_nz_oncost_total,ref_us_oncost_total),0)))/12*IF(OR(11&lt;N($K123),AND(N($L123)&gt;0,11&gt;$L123)),0,1))</f>
        <v>11850</v>
      </c>
      <c r="AS123">
        <f>IF($B123="",0,N($M123)*(1+IF(N($N123)&gt;0,$N123,IFERROR(CHOOSE(MATCH(LEFT($E123,2),{"AU";"NZ";"US"},0),ref_au_oncost_total,ref_nz_oncost_total,ref_us_oncost_total),0)))/12*IF(OR(12&lt;N($K123),AND(N($L123)&gt;0,12&gt;$L123)),0,1))</f>
        <v>11850</v>
      </c>
      <c r="AT123"/>
      <c r="AU123">
        <f t="shared" si="25"/>
        <v>1</v>
      </c>
      <c r="AV123">
        <f t="shared" si="26"/>
        <v>1</v>
      </c>
      <c r="AW123">
        <f t="shared" si="27"/>
        <v>1</v>
      </c>
      <c r="AX123">
        <f t="shared" si="28"/>
        <v>1</v>
      </c>
      <c r="AY123">
        <f t="shared" si="29"/>
        <v>1</v>
      </c>
      <c r="AZ123">
        <f t="shared" si="30"/>
        <v>1</v>
      </c>
      <c r="BA123">
        <f t="shared" si="31"/>
        <v>1</v>
      </c>
      <c r="BB123">
        <f t="shared" si="32"/>
        <v>1</v>
      </c>
      <c r="BC123">
        <f t="shared" si="33"/>
        <v>1</v>
      </c>
      <c r="BD123">
        <f t="shared" si="34"/>
        <v>1</v>
      </c>
      <c r="BE123">
        <f t="shared" si="35"/>
        <v>1</v>
      </c>
      <c r="BF123">
        <f t="shared" si="36"/>
        <v>1</v>
      </c>
    </row>
    <row r="124" spans="1:58" outlineLevel="1" x14ac:dyDescent="0.2">
      <c r="A124" s="121"/>
      <c r="B124" s="109" t="s">
        <v>664</v>
      </c>
      <c r="C124" s="109" t="s">
        <v>198</v>
      </c>
      <c r="D124" s="111">
        <v>2</v>
      </c>
      <c r="E124" s="112" t="s">
        <v>199</v>
      </c>
      <c r="F124" s="113">
        <v>1</v>
      </c>
      <c r="G124" s="109" t="s">
        <v>609</v>
      </c>
      <c r="H124" s="113">
        <v>7.5</v>
      </c>
      <c r="I124" s="104">
        <v>0.8</v>
      </c>
      <c r="J124" s="100">
        <v>165</v>
      </c>
      <c r="K124" s="110">
        <v>1</v>
      </c>
      <c r="L124" s="110">
        <v>12</v>
      </c>
      <c r="M124" s="100">
        <v>90000</v>
      </c>
      <c r="N124" s="104">
        <v>0.185</v>
      </c>
      <c r="O124" s="66"/>
      <c r="P124" s="121" t="str">
        <f t="shared" si="24"/>
        <v>ok</v>
      </c>
      <c r="S124"/>
      <c r="T124"/>
      <c r="U124" cm="1">
        <f t="array" ref="U124">IF($B124="",0,IF(OR(1&lt;N($K124),AND(N($L124)&gt;0,1&gt;$L124)),0,N($F124)*N($H124)*IFERROR(INDEX(cal_wd_active,IFERROR(MATCH($E124,cal_jurisdictions,0),MATCH($E124&amp;"-*",cal_jurisdictions,0)),1),0)*N($I124)*N($J124)))</f>
        <v>22770</v>
      </c>
      <c r="V124" cm="1">
        <f t="array" ref="V124">IF($B124="",0,IF(OR(2&lt;N($K124),AND(N($L124)&gt;0,2&gt;$L124)),0,N($F124)*N($H124)*IFERROR(INDEX(cal_wd_active,IFERROR(MATCH($E124,cal_jurisdictions,0),MATCH($E124&amp;"-*",cal_jurisdictions,0)),2),0)*N($I124)*N($J124)))</f>
        <v>20790</v>
      </c>
      <c r="W124" cm="1">
        <f t="array" ref="W124">IF($B124="",0,IF(OR(3&lt;N($K124),AND(N($L124)&gt;0,3&gt;$L124)),0,N($F124)*N($H124)*IFERROR(INDEX(cal_wd_active,IFERROR(MATCH($E124,cal_jurisdictions,0),MATCH($E124&amp;"-*",cal_jurisdictions,0)),3),0)*N($I124)*N($J124)))</f>
        <v>20790</v>
      </c>
      <c r="X124" cm="1">
        <f t="array" ref="X124">IF($B124="",0,IF(OR(4&lt;N($K124),AND(N($L124)&gt;0,4&gt;$L124)),0,N($F124)*N($H124)*IFERROR(INDEX(cal_wd_active,IFERROR(MATCH($E124,cal_jurisdictions,0),MATCH($E124&amp;"-*",cal_jurisdictions,0)),4),0)*N($I124)*N($J124)))</f>
        <v>22770</v>
      </c>
      <c r="Y124" cm="1">
        <f t="array" ref="Y124">IF($B124="",0,IF(OR(5&lt;N($K124),AND(N($L124)&gt;0,5&gt;$L124)),0,N($F124)*N($H124)*IFERROR(INDEX(cal_wd_active,IFERROR(MATCH($E124,cal_jurisdictions,0),MATCH($E124&amp;"-*",cal_jurisdictions,0)),5),0)*N($I124)*N($J124)))</f>
        <v>18810</v>
      </c>
      <c r="Z124" cm="1">
        <f t="array" ref="Z124">IF($B124="",0,IF(OR(6&lt;N($K124),AND(N($L124)&gt;0,6&gt;$L124)),0,N($F124)*N($H124)*IFERROR(INDEX(cal_wd_active,IFERROR(MATCH($E124,cal_jurisdictions,0),MATCH($E124&amp;"-*",cal_jurisdictions,0)),6),0)*N($I124)*N($J124)))</f>
        <v>20790</v>
      </c>
      <c r="AA124" cm="1">
        <f t="array" ref="AA124">IF($B124="",0,IF(OR(7&lt;N($K124),AND(N($L124)&gt;0,7&gt;$L124)),0,N($F124)*N($H124)*IFERROR(INDEX(cal_wd_active,IFERROR(MATCH($E124,cal_jurisdictions,0),MATCH($E124&amp;"-*",cal_jurisdictions,0)),7),0)*N($I124)*N($J124)))</f>
        <v>19800</v>
      </c>
      <c r="AB124" cm="1">
        <f t="array" ref="AB124">IF($B124="",0,IF(OR(8&lt;N($K124),AND(N($L124)&gt;0,8&gt;$L124)),0,N($F124)*N($H124)*IFERROR(INDEX(cal_wd_active,IFERROR(MATCH($E124,cal_jurisdictions,0),MATCH($E124&amp;"-*",cal_jurisdictions,0)),8),0)*N($I124)*N($J124)))</f>
        <v>19800</v>
      </c>
      <c r="AC124" cm="1">
        <f t="array" ref="AC124">IF($B124="",0,IF(OR(9&lt;N($K124),AND(N($L124)&gt;0,9&gt;$L124)),0,N($F124)*N($H124)*IFERROR(INDEX(cal_wd_active,IFERROR(MATCH($E124,cal_jurisdictions,0),MATCH($E124&amp;"-*",cal_jurisdictions,0)),9),0)*N($I124)*N($J124)))</f>
        <v>20790</v>
      </c>
      <c r="AD124" cm="1">
        <f t="array" ref="AD124">IF($B124="",0,IF(OR(10&lt;N($K124),AND(N($L124)&gt;0,10&gt;$L124)),0,N($F124)*N($H124)*IFERROR(INDEX(cal_wd_active,IFERROR(MATCH($E124,cal_jurisdictions,0),MATCH($E124&amp;"-*",cal_jurisdictions,0)),10),0)*N($I124)*N($J124)))</f>
        <v>19800</v>
      </c>
      <c r="AE124" cm="1">
        <f t="array" ref="AE124">IF($B124="",0,IF(OR(11&lt;N($K124),AND(N($L124)&gt;0,11&gt;$L124)),0,N($F124)*N($H124)*IFERROR(INDEX(cal_wd_active,IFERROR(MATCH($E124,cal_jurisdictions,0),MATCH($E124&amp;"-*",cal_jurisdictions,0)),11),0)*N($I124)*N($J124)))</f>
        <v>20790</v>
      </c>
      <c r="AF124" cm="1">
        <f t="array" ref="AF124">IF($B124="",0,IF(OR(12&lt;N($K124),AND(N($L124)&gt;0,12&gt;$L124)),0,N($F124)*N($H124)*IFERROR(INDEX(cal_wd_active,IFERROR(MATCH($E124,cal_jurisdictions,0),MATCH($E124&amp;"-*",cal_jurisdictions,0)),12),0)*N($I124)*N($J124)))</f>
        <v>20790</v>
      </c>
      <c r="AG124"/>
      <c r="AH124">
        <f>IF($B124="",0,N($M124)*(1+IF(N($N124)&gt;0,$N124,IFERROR(CHOOSE(MATCH(LEFT($E124,2),{"AU";"NZ";"US"},0),ref_au_oncost_total,ref_nz_oncost_total,ref_us_oncost_total),0)))/12*IF(OR(1&lt;N($K124),AND(N($L124)&gt;0,1&gt;$L124)),0,1))</f>
        <v>8887.5</v>
      </c>
      <c r="AI124">
        <f>IF($B124="",0,N($M124)*(1+IF(N($N124)&gt;0,$N124,IFERROR(CHOOSE(MATCH(LEFT($E124,2),{"AU";"NZ";"US"},0),ref_au_oncost_total,ref_nz_oncost_total,ref_us_oncost_total),0)))/12*IF(OR(2&lt;N($K124),AND(N($L124)&gt;0,2&gt;$L124)),0,1))</f>
        <v>8887.5</v>
      </c>
      <c r="AJ124">
        <f>IF($B124="",0,N($M124)*(1+IF(N($N124)&gt;0,$N124,IFERROR(CHOOSE(MATCH(LEFT($E124,2),{"AU";"NZ";"US"},0),ref_au_oncost_total,ref_nz_oncost_total,ref_us_oncost_total),0)))/12*IF(OR(3&lt;N($K124),AND(N($L124)&gt;0,3&gt;$L124)),0,1))</f>
        <v>8887.5</v>
      </c>
      <c r="AK124">
        <f>IF($B124="",0,N($M124)*(1+IF(N($N124)&gt;0,$N124,IFERROR(CHOOSE(MATCH(LEFT($E124,2),{"AU";"NZ";"US"},0),ref_au_oncost_total,ref_nz_oncost_total,ref_us_oncost_total),0)))/12*IF(OR(4&lt;N($K124),AND(N($L124)&gt;0,4&gt;$L124)),0,1))</f>
        <v>8887.5</v>
      </c>
      <c r="AL124">
        <f>IF($B124="",0,N($M124)*(1+IF(N($N124)&gt;0,$N124,IFERROR(CHOOSE(MATCH(LEFT($E124,2),{"AU";"NZ";"US"},0),ref_au_oncost_total,ref_nz_oncost_total,ref_us_oncost_total),0)))/12*IF(OR(5&lt;N($K124),AND(N($L124)&gt;0,5&gt;$L124)),0,1))</f>
        <v>8887.5</v>
      </c>
      <c r="AM124">
        <f>IF($B124="",0,N($M124)*(1+IF(N($N124)&gt;0,$N124,IFERROR(CHOOSE(MATCH(LEFT($E124,2),{"AU";"NZ";"US"},0),ref_au_oncost_total,ref_nz_oncost_total,ref_us_oncost_total),0)))/12*IF(OR(6&lt;N($K124),AND(N($L124)&gt;0,6&gt;$L124)),0,1))</f>
        <v>8887.5</v>
      </c>
      <c r="AN124">
        <f>IF($B124="",0,N($M124)*(1+IF(N($N124)&gt;0,$N124,IFERROR(CHOOSE(MATCH(LEFT($E124,2),{"AU";"NZ";"US"},0),ref_au_oncost_total,ref_nz_oncost_total,ref_us_oncost_total),0)))/12*IF(OR(7&lt;N($K124),AND(N($L124)&gt;0,7&gt;$L124)),0,1))</f>
        <v>8887.5</v>
      </c>
      <c r="AO124">
        <f>IF($B124="",0,N($M124)*(1+IF(N($N124)&gt;0,$N124,IFERROR(CHOOSE(MATCH(LEFT($E124,2),{"AU";"NZ";"US"},0),ref_au_oncost_total,ref_nz_oncost_total,ref_us_oncost_total),0)))/12*IF(OR(8&lt;N($K124),AND(N($L124)&gt;0,8&gt;$L124)),0,1))</f>
        <v>8887.5</v>
      </c>
      <c r="AP124">
        <f>IF($B124="",0,N($M124)*(1+IF(N($N124)&gt;0,$N124,IFERROR(CHOOSE(MATCH(LEFT($E124,2),{"AU";"NZ";"US"},0),ref_au_oncost_total,ref_nz_oncost_total,ref_us_oncost_total),0)))/12*IF(OR(9&lt;N($K124),AND(N($L124)&gt;0,9&gt;$L124)),0,1))</f>
        <v>8887.5</v>
      </c>
      <c r="AQ124">
        <f>IF($B124="",0,N($M124)*(1+IF(N($N124)&gt;0,$N124,IFERROR(CHOOSE(MATCH(LEFT($E124,2),{"AU";"NZ";"US"},0),ref_au_oncost_total,ref_nz_oncost_total,ref_us_oncost_total),0)))/12*IF(OR(10&lt;N($K124),AND(N($L124)&gt;0,10&gt;$L124)),0,1))</f>
        <v>8887.5</v>
      </c>
      <c r="AR124">
        <f>IF($B124="",0,N($M124)*(1+IF(N($N124)&gt;0,$N124,IFERROR(CHOOSE(MATCH(LEFT($E124,2),{"AU";"NZ";"US"},0),ref_au_oncost_total,ref_nz_oncost_total,ref_us_oncost_total),0)))/12*IF(OR(11&lt;N($K124),AND(N($L124)&gt;0,11&gt;$L124)),0,1))</f>
        <v>8887.5</v>
      </c>
      <c r="AS124">
        <f>IF($B124="",0,N($M124)*(1+IF(N($N124)&gt;0,$N124,IFERROR(CHOOSE(MATCH(LEFT($E124,2),{"AU";"NZ";"US"},0),ref_au_oncost_total,ref_nz_oncost_total,ref_us_oncost_total),0)))/12*IF(OR(12&lt;N($K124),AND(N($L124)&gt;0,12&gt;$L124)),0,1))</f>
        <v>8887.5</v>
      </c>
      <c r="AT124"/>
      <c r="AU124">
        <f t="shared" si="25"/>
        <v>1</v>
      </c>
      <c r="AV124">
        <f t="shared" si="26"/>
        <v>1</v>
      </c>
      <c r="AW124">
        <f t="shared" si="27"/>
        <v>1</v>
      </c>
      <c r="AX124">
        <f t="shared" si="28"/>
        <v>1</v>
      </c>
      <c r="AY124">
        <f t="shared" si="29"/>
        <v>1</v>
      </c>
      <c r="AZ124">
        <f t="shared" si="30"/>
        <v>1</v>
      </c>
      <c r="BA124">
        <f t="shared" si="31"/>
        <v>1</v>
      </c>
      <c r="BB124">
        <f t="shared" si="32"/>
        <v>1</v>
      </c>
      <c r="BC124">
        <f t="shared" si="33"/>
        <v>1</v>
      </c>
      <c r="BD124">
        <f t="shared" si="34"/>
        <v>1</v>
      </c>
      <c r="BE124">
        <f t="shared" si="35"/>
        <v>1</v>
      </c>
      <c r="BF124">
        <f t="shared" si="36"/>
        <v>1</v>
      </c>
    </row>
    <row r="125" spans="1:58" outlineLevel="1" x14ac:dyDescent="0.2">
      <c r="A125" s="121"/>
      <c r="B125" s="109" t="s">
        <v>665</v>
      </c>
      <c r="C125" s="109" t="s">
        <v>198</v>
      </c>
      <c r="D125" s="111">
        <v>2</v>
      </c>
      <c r="E125" s="112" t="s">
        <v>199</v>
      </c>
      <c r="F125" s="113">
        <v>1</v>
      </c>
      <c r="G125" s="109" t="s">
        <v>609</v>
      </c>
      <c r="H125" s="113">
        <v>7.5</v>
      </c>
      <c r="I125" s="104">
        <v>0.78</v>
      </c>
      <c r="J125" s="100">
        <v>165</v>
      </c>
      <c r="K125" s="110">
        <v>1</v>
      </c>
      <c r="L125" s="110">
        <v>12</v>
      </c>
      <c r="M125" s="100">
        <v>90000</v>
      </c>
      <c r="N125" s="104">
        <v>0.185</v>
      </c>
      <c r="O125" s="66"/>
      <c r="P125" s="121" t="str">
        <f t="shared" si="24"/>
        <v>ok</v>
      </c>
      <c r="S125"/>
      <c r="T125"/>
      <c r="U125" cm="1">
        <f t="array" ref="U125">IF($B125="",0,IF(OR(1&lt;N($K125),AND(N($L125)&gt;0,1&gt;$L125)),0,N($F125)*N($H125)*IFERROR(INDEX(cal_wd_active,IFERROR(MATCH($E125,cal_jurisdictions,0),MATCH($E125&amp;"-*",cal_jurisdictions,0)),1),0)*N($I125)*N($J125)))</f>
        <v>22200.750000000004</v>
      </c>
      <c r="V125" cm="1">
        <f t="array" ref="V125">IF($B125="",0,IF(OR(2&lt;N($K125),AND(N($L125)&gt;0,2&gt;$L125)),0,N($F125)*N($H125)*IFERROR(INDEX(cal_wd_active,IFERROR(MATCH($E125,cal_jurisdictions,0),MATCH($E125&amp;"-*",cal_jurisdictions,0)),2),0)*N($I125)*N($J125)))</f>
        <v>20270.25</v>
      </c>
      <c r="W125" cm="1">
        <f t="array" ref="W125">IF($B125="",0,IF(OR(3&lt;N($K125),AND(N($L125)&gt;0,3&gt;$L125)),0,N($F125)*N($H125)*IFERROR(INDEX(cal_wd_active,IFERROR(MATCH($E125,cal_jurisdictions,0),MATCH($E125&amp;"-*",cal_jurisdictions,0)),3),0)*N($I125)*N($J125)))</f>
        <v>20270.25</v>
      </c>
      <c r="X125" cm="1">
        <f t="array" ref="X125">IF($B125="",0,IF(OR(4&lt;N($K125),AND(N($L125)&gt;0,4&gt;$L125)),0,N($F125)*N($H125)*IFERROR(INDEX(cal_wd_active,IFERROR(MATCH($E125,cal_jurisdictions,0),MATCH($E125&amp;"-*",cal_jurisdictions,0)),4),0)*N($I125)*N($J125)))</f>
        <v>22200.750000000004</v>
      </c>
      <c r="Y125" cm="1">
        <f t="array" ref="Y125">IF($B125="",0,IF(OR(5&lt;N($K125),AND(N($L125)&gt;0,5&gt;$L125)),0,N($F125)*N($H125)*IFERROR(INDEX(cal_wd_active,IFERROR(MATCH($E125,cal_jurisdictions,0),MATCH($E125&amp;"-*",cal_jurisdictions,0)),5),0)*N($I125)*N($J125)))</f>
        <v>18339.75</v>
      </c>
      <c r="Z125" cm="1">
        <f t="array" ref="Z125">IF($B125="",0,IF(OR(6&lt;N($K125),AND(N($L125)&gt;0,6&gt;$L125)),0,N($F125)*N($H125)*IFERROR(INDEX(cal_wd_active,IFERROR(MATCH($E125,cal_jurisdictions,0),MATCH($E125&amp;"-*",cal_jurisdictions,0)),6),0)*N($I125)*N($J125)))</f>
        <v>20270.25</v>
      </c>
      <c r="AA125" cm="1">
        <f t="array" ref="AA125">IF($B125="",0,IF(OR(7&lt;N($K125),AND(N($L125)&gt;0,7&gt;$L125)),0,N($F125)*N($H125)*IFERROR(INDEX(cal_wd_active,IFERROR(MATCH($E125,cal_jurisdictions,0),MATCH($E125&amp;"-*",cal_jurisdictions,0)),7),0)*N($I125)*N($J125)))</f>
        <v>19305</v>
      </c>
      <c r="AB125" cm="1">
        <f t="array" ref="AB125">IF($B125="",0,IF(OR(8&lt;N($K125),AND(N($L125)&gt;0,8&gt;$L125)),0,N($F125)*N($H125)*IFERROR(INDEX(cal_wd_active,IFERROR(MATCH($E125,cal_jurisdictions,0),MATCH($E125&amp;"-*",cal_jurisdictions,0)),8),0)*N($I125)*N($J125)))</f>
        <v>19305</v>
      </c>
      <c r="AC125" cm="1">
        <f t="array" ref="AC125">IF($B125="",0,IF(OR(9&lt;N($K125),AND(N($L125)&gt;0,9&gt;$L125)),0,N($F125)*N($H125)*IFERROR(INDEX(cal_wd_active,IFERROR(MATCH($E125,cal_jurisdictions,0),MATCH($E125&amp;"-*",cal_jurisdictions,0)),9),0)*N($I125)*N($J125)))</f>
        <v>20270.25</v>
      </c>
      <c r="AD125" cm="1">
        <f t="array" ref="AD125">IF($B125="",0,IF(OR(10&lt;N($K125),AND(N($L125)&gt;0,10&gt;$L125)),0,N($F125)*N($H125)*IFERROR(INDEX(cal_wd_active,IFERROR(MATCH($E125,cal_jurisdictions,0),MATCH($E125&amp;"-*",cal_jurisdictions,0)),10),0)*N($I125)*N($J125)))</f>
        <v>19305</v>
      </c>
      <c r="AE125" cm="1">
        <f t="array" ref="AE125">IF($B125="",0,IF(OR(11&lt;N($K125),AND(N($L125)&gt;0,11&gt;$L125)),0,N($F125)*N($H125)*IFERROR(INDEX(cal_wd_active,IFERROR(MATCH($E125,cal_jurisdictions,0),MATCH($E125&amp;"-*",cal_jurisdictions,0)),11),0)*N($I125)*N($J125)))</f>
        <v>20270.25</v>
      </c>
      <c r="AF125" cm="1">
        <f t="array" ref="AF125">IF($B125="",0,IF(OR(12&lt;N($K125),AND(N($L125)&gt;0,12&gt;$L125)),0,N($F125)*N($H125)*IFERROR(INDEX(cal_wd_active,IFERROR(MATCH($E125,cal_jurisdictions,0),MATCH($E125&amp;"-*",cal_jurisdictions,0)),12),0)*N($I125)*N($J125)))</f>
        <v>20270.25</v>
      </c>
      <c r="AG125"/>
      <c r="AH125">
        <f>IF($B125="",0,N($M125)*(1+IF(N($N125)&gt;0,$N125,IFERROR(CHOOSE(MATCH(LEFT($E125,2),{"AU";"NZ";"US"},0),ref_au_oncost_total,ref_nz_oncost_total,ref_us_oncost_total),0)))/12*IF(OR(1&lt;N($K125),AND(N($L125)&gt;0,1&gt;$L125)),0,1))</f>
        <v>8887.5</v>
      </c>
      <c r="AI125">
        <f>IF($B125="",0,N($M125)*(1+IF(N($N125)&gt;0,$N125,IFERROR(CHOOSE(MATCH(LEFT($E125,2),{"AU";"NZ";"US"},0),ref_au_oncost_total,ref_nz_oncost_total,ref_us_oncost_total),0)))/12*IF(OR(2&lt;N($K125),AND(N($L125)&gt;0,2&gt;$L125)),0,1))</f>
        <v>8887.5</v>
      </c>
      <c r="AJ125">
        <f>IF($B125="",0,N($M125)*(1+IF(N($N125)&gt;0,$N125,IFERROR(CHOOSE(MATCH(LEFT($E125,2),{"AU";"NZ";"US"},0),ref_au_oncost_total,ref_nz_oncost_total,ref_us_oncost_total),0)))/12*IF(OR(3&lt;N($K125),AND(N($L125)&gt;0,3&gt;$L125)),0,1))</f>
        <v>8887.5</v>
      </c>
      <c r="AK125">
        <f>IF($B125="",0,N($M125)*(1+IF(N($N125)&gt;0,$N125,IFERROR(CHOOSE(MATCH(LEFT($E125,2),{"AU";"NZ";"US"},0),ref_au_oncost_total,ref_nz_oncost_total,ref_us_oncost_total),0)))/12*IF(OR(4&lt;N($K125),AND(N($L125)&gt;0,4&gt;$L125)),0,1))</f>
        <v>8887.5</v>
      </c>
      <c r="AL125">
        <f>IF($B125="",0,N($M125)*(1+IF(N($N125)&gt;0,$N125,IFERROR(CHOOSE(MATCH(LEFT($E125,2),{"AU";"NZ";"US"},0),ref_au_oncost_total,ref_nz_oncost_total,ref_us_oncost_total),0)))/12*IF(OR(5&lt;N($K125),AND(N($L125)&gt;0,5&gt;$L125)),0,1))</f>
        <v>8887.5</v>
      </c>
      <c r="AM125">
        <f>IF($B125="",0,N($M125)*(1+IF(N($N125)&gt;0,$N125,IFERROR(CHOOSE(MATCH(LEFT($E125,2),{"AU";"NZ";"US"},0),ref_au_oncost_total,ref_nz_oncost_total,ref_us_oncost_total),0)))/12*IF(OR(6&lt;N($K125),AND(N($L125)&gt;0,6&gt;$L125)),0,1))</f>
        <v>8887.5</v>
      </c>
      <c r="AN125">
        <f>IF($B125="",0,N($M125)*(1+IF(N($N125)&gt;0,$N125,IFERROR(CHOOSE(MATCH(LEFT($E125,2),{"AU";"NZ";"US"},0),ref_au_oncost_total,ref_nz_oncost_total,ref_us_oncost_total),0)))/12*IF(OR(7&lt;N($K125),AND(N($L125)&gt;0,7&gt;$L125)),0,1))</f>
        <v>8887.5</v>
      </c>
      <c r="AO125">
        <f>IF($B125="",0,N($M125)*(1+IF(N($N125)&gt;0,$N125,IFERROR(CHOOSE(MATCH(LEFT($E125,2),{"AU";"NZ";"US"},0),ref_au_oncost_total,ref_nz_oncost_total,ref_us_oncost_total),0)))/12*IF(OR(8&lt;N($K125),AND(N($L125)&gt;0,8&gt;$L125)),0,1))</f>
        <v>8887.5</v>
      </c>
      <c r="AP125">
        <f>IF($B125="",0,N($M125)*(1+IF(N($N125)&gt;0,$N125,IFERROR(CHOOSE(MATCH(LEFT($E125,2),{"AU";"NZ";"US"},0),ref_au_oncost_total,ref_nz_oncost_total,ref_us_oncost_total),0)))/12*IF(OR(9&lt;N($K125),AND(N($L125)&gt;0,9&gt;$L125)),0,1))</f>
        <v>8887.5</v>
      </c>
      <c r="AQ125">
        <f>IF($B125="",0,N($M125)*(1+IF(N($N125)&gt;0,$N125,IFERROR(CHOOSE(MATCH(LEFT($E125,2),{"AU";"NZ";"US"},0),ref_au_oncost_total,ref_nz_oncost_total,ref_us_oncost_total),0)))/12*IF(OR(10&lt;N($K125),AND(N($L125)&gt;0,10&gt;$L125)),0,1))</f>
        <v>8887.5</v>
      </c>
      <c r="AR125">
        <f>IF($B125="",0,N($M125)*(1+IF(N($N125)&gt;0,$N125,IFERROR(CHOOSE(MATCH(LEFT($E125,2),{"AU";"NZ";"US"},0),ref_au_oncost_total,ref_nz_oncost_total,ref_us_oncost_total),0)))/12*IF(OR(11&lt;N($K125),AND(N($L125)&gt;0,11&gt;$L125)),0,1))</f>
        <v>8887.5</v>
      </c>
      <c r="AS125">
        <f>IF($B125="",0,N($M125)*(1+IF(N($N125)&gt;0,$N125,IFERROR(CHOOSE(MATCH(LEFT($E125,2),{"AU";"NZ";"US"},0),ref_au_oncost_total,ref_nz_oncost_total,ref_us_oncost_total),0)))/12*IF(OR(12&lt;N($K125),AND(N($L125)&gt;0,12&gt;$L125)),0,1))</f>
        <v>8887.5</v>
      </c>
      <c r="AT125"/>
      <c r="AU125">
        <f t="shared" si="25"/>
        <v>1</v>
      </c>
      <c r="AV125">
        <f t="shared" si="26"/>
        <v>1</v>
      </c>
      <c r="AW125">
        <f t="shared" si="27"/>
        <v>1</v>
      </c>
      <c r="AX125">
        <f t="shared" si="28"/>
        <v>1</v>
      </c>
      <c r="AY125">
        <f t="shared" si="29"/>
        <v>1</v>
      </c>
      <c r="AZ125">
        <f t="shared" si="30"/>
        <v>1</v>
      </c>
      <c r="BA125">
        <f t="shared" si="31"/>
        <v>1</v>
      </c>
      <c r="BB125">
        <f t="shared" si="32"/>
        <v>1</v>
      </c>
      <c r="BC125">
        <f t="shared" si="33"/>
        <v>1</v>
      </c>
      <c r="BD125">
        <f t="shared" si="34"/>
        <v>1</v>
      </c>
      <c r="BE125">
        <f t="shared" si="35"/>
        <v>1</v>
      </c>
      <c r="BF125">
        <f t="shared" si="36"/>
        <v>1</v>
      </c>
    </row>
    <row r="126" spans="1:58" outlineLevel="1" x14ac:dyDescent="0.2">
      <c r="A126" s="121"/>
      <c r="B126" s="109" t="s">
        <v>666</v>
      </c>
      <c r="C126" s="109" t="s">
        <v>198</v>
      </c>
      <c r="D126" s="111">
        <v>1</v>
      </c>
      <c r="E126" s="112" t="s">
        <v>197</v>
      </c>
      <c r="F126" s="113">
        <v>1</v>
      </c>
      <c r="G126" s="109" t="s">
        <v>609</v>
      </c>
      <c r="H126" s="113">
        <v>7.5</v>
      </c>
      <c r="I126" s="104">
        <v>0.68</v>
      </c>
      <c r="J126" s="100">
        <v>230</v>
      </c>
      <c r="K126" s="110">
        <v>1</v>
      </c>
      <c r="L126" s="110">
        <v>12</v>
      </c>
      <c r="M126" s="100">
        <v>140000</v>
      </c>
      <c r="N126" s="104">
        <v>0.185</v>
      </c>
      <c r="O126" s="66"/>
      <c r="P126" s="121" t="str">
        <f t="shared" si="24"/>
        <v>ok</v>
      </c>
      <c r="S126"/>
      <c r="T126"/>
      <c r="U126" cm="1">
        <f t="array" ref="U126">IF($B126="",0,IF(OR(1&lt;N($K126),AND(N($L126)&gt;0,1&gt;$L126)),0,N($F126)*N($H126)*IFERROR(INDEX(cal_wd_active,IFERROR(MATCH($E126,cal_jurisdictions,0),MATCH($E126&amp;"-*",cal_jurisdictions,0)),1),0)*N($I126)*N($J126)))</f>
        <v>26979.000000000004</v>
      </c>
      <c r="V126" cm="1">
        <f t="array" ref="V126">IF($B126="",0,IF(OR(2&lt;N($K126),AND(N($L126)&gt;0,2&gt;$L126)),0,N($F126)*N($H126)*IFERROR(INDEX(cal_wd_active,IFERROR(MATCH($E126,cal_jurisdictions,0),MATCH($E126&amp;"-*",cal_jurisdictions,0)),2),0)*N($I126)*N($J126)))</f>
        <v>24633.000000000004</v>
      </c>
      <c r="W126" cm="1">
        <f t="array" ref="W126">IF($B126="",0,IF(OR(3&lt;N($K126),AND(N($L126)&gt;0,3&gt;$L126)),0,N($F126)*N($H126)*IFERROR(INDEX(cal_wd_active,IFERROR(MATCH($E126,cal_jurisdictions,0),MATCH($E126&amp;"-*",cal_jurisdictions,0)),3),0)*N($I126)*N($J126)))</f>
        <v>25806</v>
      </c>
      <c r="X126" cm="1">
        <f t="array" ref="X126">IF($B126="",0,IF(OR(4&lt;N($K126),AND(N($L126)&gt;0,4&gt;$L126)),0,N($F126)*N($H126)*IFERROR(INDEX(cal_wd_active,IFERROR(MATCH($E126,cal_jurisdictions,0),MATCH($E126&amp;"-*",cal_jurisdictions,0)),4),0)*N($I126)*N($J126)))</f>
        <v>25806</v>
      </c>
      <c r="Y126" cm="1">
        <f t="array" ref="Y126">IF($B126="",0,IF(OR(5&lt;N($K126),AND(N($L126)&gt;0,5&gt;$L126)),0,N($F126)*N($H126)*IFERROR(INDEX(cal_wd_active,IFERROR(MATCH($E126,cal_jurisdictions,0),MATCH($E126&amp;"-*",cal_jurisdictions,0)),5),0)*N($I126)*N($J126)))</f>
        <v>23460.000000000004</v>
      </c>
      <c r="Z126" cm="1">
        <f t="array" ref="Z126">IF($B126="",0,IF(OR(6&lt;N($K126),AND(N($L126)&gt;0,6&gt;$L126)),0,N($F126)*N($H126)*IFERROR(INDEX(cal_wd_active,IFERROR(MATCH($E126,cal_jurisdictions,0),MATCH($E126&amp;"-*",cal_jurisdictions,0)),6),0)*N($I126)*N($J126)))</f>
        <v>24633.000000000004</v>
      </c>
      <c r="AA126" cm="1">
        <f t="array" ref="AA126">IF($B126="",0,IF(OR(7&lt;N($K126),AND(N($L126)&gt;0,7&gt;$L126)),0,N($F126)*N($H126)*IFERROR(INDEX(cal_wd_active,IFERROR(MATCH($E126,cal_jurisdictions,0),MATCH($E126&amp;"-*",cal_jurisdictions,0)),7),0)*N($I126)*N($J126)))</f>
        <v>23460.000000000004</v>
      </c>
      <c r="AB126" cm="1">
        <f t="array" ref="AB126">IF($B126="",0,IF(OR(8&lt;N($K126),AND(N($L126)&gt;0,8&gt;$L126)),0,N($F126)*N($H126)*IFERROR(INDEX(cal_wd_active,IFERROR(MATCH($E126,cal_jurisdictions,0),MATCH($E126&amp;"-*",cal_jurisdictions,0)),8),0)*N($I126)*N($J126)))</f>
        <v>23460.000000000004</v>
      </c>
      <c r="AC126" cm="1">
        <f t="array" ref="AC126">IF($B126="",0,IF(OR(9&lt;N($K126),AND(N($L126)&gt;0,9&gt;$L126)),0,N($F126)*N($H126)*IFERROR(INDEX(cal_wd_active,IFERROR(MATCH($E126,cal_jurisdictions,0),MATCH($E126&amp;"-*",cal_jurisdictions,0)),9),0)*N($I126)*N($J126)))</f>
        <v>25806</v>
      </c>
      <c r="AD126" cm="1">
        <f t="array" ref="AD126">IF($B126="",0,IF(OR(10&lt;N($K126),AND(N($L126)&gt;0,10&gt;$L126)),0,N($F126)*N($H126)*IFERROR(INDEX(cal_wd_active,IFERROR(MATCH($E126,cal_jurisdictions,0),MATCH($E126&amp;"-*",cal_jurisdictions,0)),10),0)*N($I126)*N($J126)))</f>
        <v>22287</v>
      </c>
      <c r="AE126" cm="1">
        <f t="array" ref="AE126">IF($B126="",0,IF(OR(11&lt;N($K126),AND(N($L126)&gt;0,11&gt;$L126)),0,N($F126)*N($H126)*IFERROR(INDEX(cal_wd_active,IFERROR(MATCH($E126,cal_jurisdictions,0),MATCH($E126&amp;"-*",cal_jurisdictions,0)),11),0)*N($I126)*N($J126)))</f>
        <v>24633.000000000004</v>
      </c>
      <c r="AF126" cm="1">
        <f t="array" ref="AF126">IF($B126="",0,IF(OR(12&lt;N($K126),AND(N($L126)&gt;0,12&gt;$L126)),0,N($F126)*N($H126)*IFERROR(INDEX(cal_wd_active,IFERROR(MATCH($E126,cal_jurisdictions,0),MATCH($E126&amp;"-*",cal_jurisdictions,0)),12),0)*N($I126)*N($J126)))</f>
        <v>24633.000000000004</v>
      </c>
      <c r="AG126"/>
      <c r="AH126">
        <f>IF($B126="",0,N($M126)*(1+IF(N($N126)&gt;0,$N126,IFERROR(CHOOSE(MATCH(LEFT($E126,2),{"AU";"NZ";"US"},0),ref_au_oncost_total,ref_nz_oncost_total,ref_us_oncost_total),0)))/12*IF(OR(1&lt;N($K126),AND(N($L126)&gt;0,1&gt;$L126)),0,1))</f>
        <v>13825</v>
      </c>
      <c r="AI126">
        <f>IF($B126="",0,N($M126)*(1+IF(N($N126)&gt;0,$N126,IFERROR(CHOOSE(MATCH(LEFT($E126,2),{"AU";"NZ";"US"},0),ref_au_oncost_total,ref_nz_oncost_total,ref_us_oncost_total),0)))/12*IF(OR(2&lt;N($K126),AND(N($L126)&gt;0,2&gt;$L126)),0,1))</f>
        <v>13825</v>
      </c>
      <c r="AJ126">
        <f>IF($B126="",0,N($M126)*(1+IF(N($N126)&gt;0,$N126,IFERROR(CHOOSE(MATCH(LEFT($E126,2),{"AU";"NZ";"US"},0),ref_au_oncost_total,ref_nz_oncost_total,ref_us_oncost_total),0)))/12*IF(OR(3&lt;N($K126),AND(N($L126)&gt;0,3&gt;$L126)),0,1))</f>
        <v>13825</v>
      </c>
      <c r="AK126">
        <f>IF($B126="",0,N($M126)*(1+IF(N($N126)&gt;0,$N126,IFERROR(CHOOSE(MATCH(LEFT($E126,2),{"AU";"NZ";"US"},0),ref_au_oncost_total,ref_nz_oncost_total,ref_us_oncost_total),0)))/12*IF(OR(4&lt;N($K126),AND(N($L126)&gt;0,4&gt;$L126)),0,1))</f>
        <v>13825</v>
      </c>
      <c r="AL126">
        <f>IF($B126="",0,N($M126)*(1+IF(N($N126)&gt;0,$N126,IFERROR(CHOOSE(MATCH(LEFT($E126,2),{"AU";"NZ";"US"},0),ref_au_oncost_total,ref_nz_oncost_total,ref_us_oncost_total),0)))/12*IF(OR(5&lt;N($K126),AND(N($L126)&gt;0,5&gt;$L126)),0,1))</f>
        <v>13825</v>
      </c>
      <c r="AM126">
        <f>IF($B126="",0,N($M126)*(1+IF(N($N126)&gt;0,$N126,IFERROR(CHOOSE(MATCH(LEFT($E126,2),{"AU";"NZ";"US"},0),ref_au_oncost_total,ref_nz_oncost_total,ref_us_oncost_total),0)))/12*IF(OR(6&lt;N($K126),AND(N($L126)&gt;0,6&gt;$L126)),0,1))</f>
        <v>13825</v>
      </c>
      <c r="AN126">
        <f>IF($B126="",0,N($M126)*(1+IF(N($N126)&gt;0,$N126,IFERROR(CHOOSE(MATCH(LEFT($E126,2),{"AU";"NZ";"US"},0),ref_au_oncost_total,ref_nz_oncost_total,ref_us_oncost_total),0)))/12*IF(OR(7&lt;N($K126),AND(N($L126)&gt;0,7&gt;$L126)),0,1))</f>
        <v>13825</v>
      </c>
      <c r="AO126">
        <f>IF($B126="",0,N($M126)*(1+IF(N($N126)&gt;0,$N126,IFERROR(CHOOSE(MATCH(LEFT($E126,2),{"AU";"NZ";"US"},0),ref_au_oncost_total,ref_nz_oncost_total,ref_us_oncost_total),0)))/12*IF(OR(8&lt;N($K126),AND(N($L126)&gt;0,8&gt;$L126)),0,1))</f>
        <v>13825</v>
      </c>
      <c r="AP126">
        <f>IF($B126="",0,N($M126)*(1+IF(N($N126)&gt;0,$N126,IFERROR(CHOOSE(MATCH(LEFT($E126,2),{"AU";"NZ";"US"},0),ref_au_oncost_total,ref_nz_oncost_total,ref_us_oncost_total),0)))/12*IF(OR(9&lt;N($K126),AND(N($L126)&gt;0,9&gt;$L126)),0,1))</f>
        <v>13825</v>
      </c>
      <c r="AQ126">
        <f>IF($B126="",0,N($M126)*(1+IF(N($N126)&gt;0,$N126,IFERROR(CHOOSE(MATCH(LEFT($E126,2),{"AU";"NZ";"US"},0),ref_au_oncost_total,ref_nz_oncost_total,ref_us_oncost_total),0)))/12*IF(OR(10&lt;N($K126),AND(N($L126)&gt;0,10&gt;$L126)),0,1))</f>
        <v>13825</v>
      </c>
      <c r="AR126">
        <f>IF($B126="",0,N($M126)*(1+IF(N($N126)&gt;0,$N126,IFERROR(CHOOSE(MATCH(LEFT($E126,2),{"AU";"NZ";"US"},0),ref_au_oncost_total,ref_nz_oncost_total,ref_us_oncost_total),0)))/12*IF(OR(11&lt;N($K126),AND(N($L126)&gt;0,11&gt;$L126)),0,1))</f>
        <v>13825</v>
      </c>
      <c r="AS126">
        <f>IF($B126="",0,N($M126)*(1+IF(N($N126)&gt;0,$N126,IFERROR(CHOOSE(MATCH(LEFT($E126,2),{"AU";"NZ";"US"},0),ref_au_oncost_total,ref_nz_oncost_total,ref_us_oncost_total),0)))/12*IF(OR(12&lt;N($K126),AND(N($L126)&gt;0,12&gt;$L126)),0,1))</f>
        <v>13825</v>
      </c>
      <c r="AT126"/>
      <c r="AU126">
        <f t="shared" si="25"/>
        <v>1</v>
      </c>
      <c r="AV126">
        <f t="shared" si="26"/>
        <v>1</v>
      </c>
      <c r="AW126">
        <f t="shared" si="27"/>
        <v>1</v>
      </c>
      <c r="AX126">
        <f t="shared" si="28"/>
        <v>1</v>
      </c>
      <c r="AY126">
        <f t="shared" si="29"/>
        <v>1</v>
      </c>
      <c r="AZ126">
        <f t="shared" si="30"/>
        <v>1</v>
      </c>
      <c r="BA126">
        <f t="shared" si="31"/>
        <v>1</v>
      </c>
      <c r="BB126">
        <f t="shared" si="32"/>
        <v>1</v>
      </c>
      <c r="BC126">
        <f t="shared" si="33"/>
        <v>1</v>
      </c>
      <c r="BD126">
        <f t="shared" si="34"/>
        <v>1</v>
      </c>
      <c r="BE126">
        <f t="shared" si="35"/>
        <v>1</v>
      </c>
      <c r="BF126">
        <f t="shared" si="36"/>
        <v>1</v>
      </c>
    </row>
    <row r="127" spans="1:58" outlineLevel="1" x14ac:dyDescent="0.2">
      <c r="A127" s="121"/>
      <c r="B127" s="109" t="s">
        <v>667</v>
      </c>
      <c r="C127" s="109" t="s">
        <v>198</v>
      </c>
      <c r="D127" s="111">
        <v>1</v>
      </c>
      <c r="E127" s="112" t="s">
        <v>197</v>
      </c>
      <c r="F127" s="113">
        <v>1</v>
      </c>
      <c r="G127" s="109" t="s">
        <v>609</v>
      </c>
      <c r="H127" s="113">
        <v>7.5</v>
      </c>
      <c r="I127" s="104">
        <v>0.7</v>
      </c>
      <c r="J127" s="100">
        <v>175</v>
      </c>
      <c r="K127" s="110">
        <v>1</v>
      </c>
      <c r="L127" s="110">
        <v>12</v>
      </c>
      <c r="M127" s="100">
        <v>95000</v>
      </c>
      <c r="N127" s="104">
        <v>0.185</v>
      </c>
      <c r="O127" s="66"/>
      <c r="P127" s="121" t="str">
        <f t="shared" si="24"/>
        <v>ok</v>
      </c>
      <c r="S127"/>
      <c r="T127"/>
      <c r="U127" cm="1">
        <f t="array" ref="U127">IF($B127="",0,IF(OR(1&lt;N($K127),AND(N($L127)&gt;0,1&gt;$L127)),0,N($F127)*N($H127)*IFERROR(INDEX(cal_wd_active,IFERROR(MATCH($E127,cal_jurisdictions,0),MATCH($E127&amp;"-*",cal_jurisdictions,0)),1),0)*N($I127)*N($J127)))</f>
        <v>21131.249999999996</v>
      </c>
      <c r="V127" cm="1">
        <f t="array" ref="V127">IF($B127="",0,IF(OR(2&lt;N($K127),AND(N($L127)&gt;0,2&gt;$L127)),0,N($F127)*N($H127)*IFERROR(INDEX(cal_wd_active,IFERROR(MATCH($E127,cal_jurisdictions,0),MATCH($E127&amp;"-*",cal_jurisdictions,0)),2),0)*N($I127)*N($J127)))</f>
        <v>19293.75</v>
      </c>
      <c r="W127" cm="1">
        <f t="array" ref="W127">IF($B127="",0,IF(OR(3&lt;N($K127),AND(N($L127)&gt;0,3&gt;$L127)),0,N($F127)*N($H127)*IFERROR(INDEX(cal_wd_active,IFERROR(MATCH($E127,cal_jurisdictions,0),MATCH($E127&amp;"-*",cal_jurisdictions,0)),3),0)*N($I127)*N($J127)))</f>
        <v>20212.499999999996</v>
      </c>
      <c r="X127" cm="1">
        <f t="array" ref="X127">IF($B127="",0,IF(OR(4&lt;N($K127),AND(N($L127)&gt;0,4&gt;$L127)),0,N($F127)*N($H127)*IFERROR(INDEX(cal_wd_active,IFERROR(MATCH($E127,cal_jurisdictions,0),MATCH($E127&amp;"-*",cal_jurisdictions,0)),4),0)*N($I127)*N($J127)))</f>
        <v>20212.499999999996</v>
      </c>
      <c r="Y127" cm="1">
        <f t="array" ref="Y127">IF($B127="",0,IF(OR(5&lt;N($K127),AND(N($L127)&gt;0,5&gt;$L127)),0,N($F127)*N($H127)*IFERROR(INDEX(cal_wd_active,IFERROR(MATCH($E127,cal_jurisdictions,0),MATCH($E127&amp;"-*",cal_jurisdictions,0)),5),0)*N($I127)*N($J127)))</f>
        <v>18375</v>
      </c>
      <c r="Z127" cm="1">
        <f t="array" ref="Z127">IF($B127="",0,IF(OR(6&lt;N($K127),AND(N($L127)&gt;0,6&gt;$L127)),0,N($F127)*N($H127)*IFERROR(INDEX(cal_wd_active,IFERROR(MATCH($E127,cal_jurisdictions,0),MATCH($E127&amp;"-*",cal_jurisdictions,0)),6),0)*N($I127)*N($J127)))</f>
        <v>19293.75</v>
      </c>
      <c r="AA127" cm="1">
        <f t="array" ref="AA127">IF($B127="",0,IF(OR(7&lt;N($K127),AND(N($L127)&gt;0,7&gt;$L127)),0,N($F127)*N($H127)*IFERROR(INDEX(cal_wd_active,IFERROR(MATCH($E127,cal_jurisdictions,0),MATCH($E127&amp;"-*",cal_jurisdictions,0)),7),0)*N($I127)*N($J127)))</f>
        <v>18375</v>
      </c>
      <c r="AB127" cm="1">
        <f t="array" ref="AB127">IF($B127="",0,IF(OR(8&lt;N($K127),AND(N($L127)&gt;0,8&gt;$L127)),0,N($F127)*N($H127)*IFERROR(INDEX(cal_wd_active,IFERROR(MATCH($E127,cal_jurisdictions,0),MATCH($E127&amp;"-*",cal_jurisdictions,0)),8),0)*N($I127)*N($J127)))</f>
        <v>18375</v>
      </c>
      <c r="AC127" cm="1">
        <f t="array" ref="AC127">IF($B127="",0,IF(OR(9&lt;N($K127),AND(N($L127)&gt;0,9&gt;$L127)),0,N($F127)*N($H127)*IFERROR(INDEX(cal_wd_active,IFERROR(MATCH($E127,cal_jurisdictions,0),MATCH($E127&amp;"-*",cal_jurisdictions,0)),9),0)*N($I127)*N($J127)))</f>
        <v>20212.499999999996</v>
      </c>
      <c r="AD127" cm="1">
        <f t="array" ref="AD127">IF($B127="",0,IF(OR(10&lt;N($K127),AND(N($L127)&gt;0,10&gt;$L127)),0,N($F127)*N($H127)*IFERROR(INDEX(cal_wd_active,IFERROR(MATCH($E127,cal_jurisdictions,0),MATCH($E127&amp;"-*",cal_jurisdictions,0)),10),0)*N($I127)*N($J127)))</f>
        <v>17456.25</v>
      </c>
      <c r="AE127" cm="1">
        <f t="array" ref="AE127">IF($B127="",0,IF(OR(11&lt;N($K127),AND(N($L127)&gt;0,11&gt;$L127)),0,N($F127)*N($H127)*IFERROR(INDEX(cal_wd_active,IFERROR(MATCH($E127,cal_jurisdictions,0),MATCH($E127&amp;"-*",cal_jurisdictions,0)),11),0)*N($I127)*N($J127)))</f>
        <v>19293.75</v>
      </c>
      <c r="AF127" cm="1">
        <f t="array" ref="AF127">IF($B127="",0,IF(OR(12&lt;N($K127),AND(N($L127)&gt;0,12&gt;$L127)),0,N($F127)*N($H127)*IFERROR(INDEX(cal_wd_active,IFERROR(MATCH($E127,cal_jurisdictions,0),MATCH($E127&amp;"-*",cal_jurisdictions,0)),12),0)*N($I127)*N($J127)))</f>
        <v>19293.75</v>
      </c>
      <c r="AG127"/>
      <c r="AH127">
        <f>IF($B127="",0,N($M127)*(1+IF(N($N127)&gt;0,$N127,IFERROR(CHOOSE(MATCH(LEFT($E127,2),{"AU";"NZ";"US"},0),ref_au_oncost_total,ref_nz_oncost_total,ref_us_oncost_total),0)))/12*IF(OR(1&lt;N($K127),AND(N($L127)&gt;0,1&gt;$L127)),0,1))</f>
        <v>9381.25</v>
      </c>
      <c r="AI127">
        <f>IF($B127="",0,N($M127)*(1+IF(N($N127)&gt;0,$N127,IFERROR(CHOOSE(MATCH(LEFT($E127,2),{"AU";"NZ";"US"},0),ref_au_oncost_total,ref_nz_oncost_total,ref_us_oncost_total),0)))/12*IF(OR(2&lt;N($K127),AND(N($L127)&gt;0,2&gt;$L127)),0,1))</f>
        <v>9381.25</v>
      </c>
      <c r="AJ127">
        <f>IF($B127="",0,N($M127)*(1+IF(N($N127)&gt;0,$N127,IFERROR(CHOOSE(MATCH(LEFT($E127,2),{"AU";"NZ";"US"},0),ref_au_oncost_total,ref_nz_oncost_total,ref_us_oncost_total),0)))/12*IF(OR(3&lt;N($K127),AND(N($L127)&gt;0,3&gt;$L127)),0,1))</f>
        <v>9381.25</v>
      </c>
      <c r="AK127">
        <f>IF($B127="",0,N($M127)*(1+IF(N($N127)&gt;0,$N127,IFERROR(CHOOSE(MATCH(LEFT($E127,2),{"AU";"NZ";"US"},0),ref_au_oncost_total,ref_nz_oncost_total,ref_us_oncost_total),0)))/12*IF(OR(4&lt;N($K127),AND(N($L127)&gt;0,4&gt;$L127)),0,1))</f>
        <v>9381.25</v>
      </c>
      <c r="AL127">
        <f>IF($B127="",0,N($M127)*(1+IF(N($N127)&gt;0,$N127,IFERROR(CHOOSE(MATCH(LEFT($E127,2),{"AU";"NZ";"US"},0),ref_au_oncost_total,ref_nz_oncost_total,ref_us_oncost_total),0)))/12*IF(OR(5&lt;N($K127),AND(N($L127)&gt;0,5&gt;$L127)),0,1))</f>
        <v>9381.25</v>
      </c>
      <c r="AM127">
        <f>IF($B127="",0,N($M127)*(1+IF(N($N127)&gt;0,$N127,IFERROR(CHOOSE(MATCH(LEFT($E127,2),{"AU";"NZ";"US"},0),ref_au_oncost_total,ref_nz_oncost_total,ref_us_oncost_total),0)))/12*IF(OR(6&lt;N($K127),AND(N($L127)&gt;0,6&gt;$L127)),0,1))</f>
        <v>9381.25</v>
      </c>
      <c r="AN127">
        <f>IF($B127="",0,N($M127)*(1+IF(N($N127)&gt;0,$N127,IFERROR(CHOOSE(MATCH(LEFT($E127,2),{"AU";"NZ";"US"},0),ref_au_oncost_total,ref_nz_oncost_total,ref_us_oncost_total),0)))/12*IF(OR(7&lt;N($K127),AND(N($L127)&gt;0,7&gt;$L127)),0,1))</f>
        <v>9381.25</v>
      </c>
      <c r="AO127">
        <f>IF($B127="",0,N($M127)*(1+IF(N($N127)&gt;0,$N127,IFERROR(CHOOSE(MATCH(LEFT($E127,2),{"AU";"NZ";"US"},0),ref_au_oncost_total,ref_nz_oncost_total,ref_us_oncost_total),0)))/12*IF(OR(8&lt;N($K127),AND(N($L127)&gt;0,8&gt;$L127)),0,1))</f>
        <v>9381.25</v>
      </c>
      <c r="AP127">
        <f>IF($B127="",0,N($M127)*(1+IF(N($N127)&gt;0,$N127,IFERROR(CHOOSE(MATCH(LEFT($E127,2),{"AU";"NZ";"US"},0),ref_au_oncost_total,ref_nz_oncost_total,ref_us_oncost_total),0)))/12*IF(OR(9&lt;N($K127),AND(N($L127)&gt;0,9&gt;$L127)),0,1))</f>
        <v>9381.25</v>
      </c>
      <c r="AQ127">
        <f>IF($B127="",0,N($M127)*(1+IF(N($N127)&gt;0,$N127,IFERROR(CHOOSE(MATCH(LEFT($E127,2),{"AU";"NZ";"US"},0),ref_au_oncost_total,ref_nz_oncost_total,ref_us_oncost_total),0)))/12*IF(OR(10&lt;N($K127),AND(N($L127)&gt;0,10&gt;$L127)),0,1))</f>
        <v>9381.25</v>
      </c>
      <c r="AR127">
        <f>IF($B127="",0,N($M127)*(1+IF(N($N127)&gt;0,$N127,IFERROR(CHOOSE(MATCH(LEFT($E127,2),{"AU";"NZ";"US"},0),ref_au_oncost_total,ref_nz_oncost_total,ref_us_oncost_total),0)))/12*IF(OR(11&lt;N($K127),AND(N($L127)&gt;0,11&gt;$L127)),0,1))</f>
        <v>9381.25</v>
      </c>
      <c r="AS127">
        <f>IF($B127="",0,N($M127)*(1+IF(N($N127)&gt;0,$N127,IFERROR(CHOOSE(MATCH(LEFT($E127,2),{"AU";"NZ";"US"},0),ref_au_oncost_total,ref_nz_oncost_total,ref_us_oncost_total),0)))/12*IF(OR(12&lt;N($K127),AND(N($L127)&gt;0,12&gt;$L127)),0,1))</f>
        <v>9381.25</v>
      </c>
      <c r="AT127"/>
      <c r="AU127">
        <f t="shared" si="25"/>
        <v>1</v>
      </c>
      <c r="AV127">
        <f t="shared" si="26"/>
        <v>1</v>
      </c>
      <c r="AW127">
        <f t="shared" si="27"/>
        <v>1</v>
      </c>
      <c r="AX127">
        <f t="shared" si="28"/>
        <v>1</v>
      </c>
      <c r="AY127">
        <f t="shared" si="29"/>
        <v>1</v>
      </c>
      <c r="AZ127">
        <f t="shared" si="30"/>
        <v>1</v>
      </c>
      <c r="BA127">
        <f t="shared" si="31"/>
        <v>1</v>
      </c>
      <c r="BB127">
        <f t="shared" si="32"/>
        <v>1</v>
      </c>
      <c r="BC127">
        <f t="shared" si="33"/>
        <v>1</v>
      </c>
      <c r="BD127">
        <f t="shared" si="34"/>
        <v>1</v>
      </c>
      <c r="BE127">
        <f t="shared" si="35"/>
        <v>1</v>
      </c>
      <c r="BF127">
        <f t="shared" si="36"/>
        <v>1</v>
      </c>
    </row>
    <row r="128" spans="1:58" outlineLevel="1" x14ac:dyDescent="0.2">
      <c r="A128" s="121"/>
      <c r="B128" s="109" t="s">
        <v>668</v>
      </c>
      <c r="C128" s="109" t="s">
        <v>198</v>
      </c>
      <c r="D128" s="111">
        <v>3</v>
      </c>
      <c r="E128" s="112" t="s">
        <v>197</v>
      </c>
      <c r="F128" s="113">
        <v>1</v>
      </c>
      <c r="G128" s="109" t="s">
        <v>609</v>
      </c>
      <c r="H128" s="113">
        <v>7.5</v>
      </c>
      <c r="I128" s="104">
        <v>0.66</v>
      </c>
      <c r="J128" s="100">
        <v>240</v>
      </c>
      <c r="K128" s="110">
        <v>1</v>
      </c>
      <c r="L128" s="110">
        <v>12</v>
      </c>
      <c r="M128" s="100">
        <v>130000</v>
      </c>
      <c r="N128" s="104">
        <v>0.185</v>
      </c>
      <c r="O128" s="66"/>
      <c r="P128" s="121" t="str">
        <f t="shared" si="24"/>
        <v>ok</v>
      </c>
      <c r="S128"/>
      <c r="T128"/>
      <c r="U128" cm="1">
        <f t="array" ref="U128">IF($B128="",0,IF(OR(1&lt;N($K128),AND(N($L128)&gt;0,1&gt;$L128)),0,N($F128)*N($H128)*IFERROR(INDEX(cal_wd_active,IFERROR(MATCH($E128,cal_jurisdictions,0),MATCH($E128&amp;"-*",cal_jurisdictions,0)),1),0)*N($I128)*N($J128)))</f>
        <v>27324.000000000004</v>
      </c>
      <c r="V128" cm="1">
        <f t="array" ref="V128">IF($B128="",0,IF(OR(2&lt;N($K128),AND(N($L128)&gt;0,2&gt;$L128)),0,N($F128)*N($H128)*IFERROR(INDEX(cal_wd_active,IFERROR(MATCH($E128,cal_jurisdictions,0),MATCH($E128&amp;"-*",cal_jurisdictions,0)),2),0)*N($I128)*N($J128)))</f>
        <v>24948</v>
      </c>
      <c r="W128" cm="1">
        <f t="array" ref="W128">IF($B128="",0,IF(OR(3&lt;N($K128),AND(N($L128)&gt;0,3&gt;$L128)),0,N($F128)*N($H128)*IFERROR(INDEX(cal_wd_active,IFERROR(MATCH($E128,cal_jurisdictions,0),MATCH($E128&amp;"-*",cal_jurisdictions,0)),3),0)*N($I128)*N($J128)))</f>
        <v>26136</v>
      </c>
      <c r="X128" cm="1">
        <f t="array" ref="X128">IF($B128="",0,IF(OR(4&lt;N($K128),AND(N($L128)&gt;0,4&gt;$L128)),0,N($F128)*N($H128)*IFERROR(INDEX(cal_wd_active,IFERROR(MATCH($E128,cal_jurisdictions,0),MATCH($E128&amp;"-*",cal_jurisdictions,0)),4),0)*N($I128)*N($J128)))</f>
        <v>26136</v>
      </c>
      <c r="Y128" cm="1">
        <f t="array" ref="Y128">IF($B128="",0,IF(OR(5&lt;N($K128),AND(N($L128)&gt;0,5&gt;$L128)),0,N($F128)*N($H128)*IFERROR(INDEX(cal_wd_active,IFERROR(MATCH($E128,cal_jurisdictions,0),MATCH($E128&amp;"-*",cal_jurisdictions,0)),5),0)*N($I128)*N($J128)))</f>
        <v>23760</v>
      </c>
      <c r="Z128" cm="1">
        <f t="array" ref="Z128">IF($B128="",0,IF(OR(6&lt;N($K128),AND(N($L128)&gt;0,6&gt;$L128)),0,N($F128)*N($H128)*IFERROR(INDEX(cal_wd_active,IFERROR(MATCH($E128,cal_jurisdictions,0),MATCH($E128&amp;"-*",cal_jurisdictions,0)),6),0)*N($I128)*N($J128)))</f>
        <v>24948</v>
      </c>
      <c r="AA128" cm="1">
        <f t="array" ref="AA128">IF($B128="",0,IF(OR(7&lt;N($K128),AND(N($L128)&gt;0,7&gt;$L128)),0,N($F128)*N($H128)*IFERROR(INDEX(cal_wd_active,IFERROR(MATCH($E128,cal_jurisdictions,0),MATCH($E128&amp;"-*",cal_jurisdictions,0)),7),0)*N($I128)*N($J128)))</f>
        <v>23760</v>
      </c>
      <c r="AB128" cm="1">
        <f t="array" ref="AB128">IF($B128="",0,IF(OR(8&lt;N($K128),AND(N($L128)&gt;0,8&gt;$L128)),0,N($F128)*N($H128)*IFERROR(INDEX(cal_wd_active,IFERROR(MATCH($E128,cal_jurisdictions,0),MATCH($E128&amp;"-*",cal_jurisdictions,0)),8),0)*N($I128)*N($J128)))</f>
        <v>23760</v>
      </c>
      <c r="AC128" cm="1">
        <f t="array" ref="AC128">IF($B128="",0,IF(OR(9&lt;N($K128),AND(N($L128)&gt;0,9&gt;$L128)),0,N($F128)*N($H128)*IFERROR(INDEX(cal_wd_active,IFERROR(MATCH($E128,cal_jurisdictions,0),MATCH($E128&amp;"-*",cal_jurisdictions,0)),9),0)*N($I128)*N($J128)))</f>
        <v>26136</v>
      </c>
      <c r="AD128" cm="1">
        <f t="array" ref="AD128">IF($B128="",0,IF(OR(10&lt;N($K128),AND(N($L128)&gt;0,10&gt;$L128)),0,N($F128)*N($H128)*IFERROR(INDEX(cal_wd_active,IFERROR(MATCH($E128,cal_jurisdictions,0),MATCH($E128&amp;"-*",cal_jurisdictions,0)),10),0)*N($I128)*N($J128)))</f>
        <v>22572.000000000004</v>
      </c>
      <c r="AE128" cm="1">
        <f t="array" ref="AE128">IF($B128="",0,IF(OR(11&lt;N($K128),AND(N($L128)&gt;0,11&gt;$L128)),0,N($F128)*N($H128)*IFERROR(INDEX(cal_wd_active,IFERROR(MATCH($E128,cal_jurisdictions,0),MATCH($E128&amp;"-*",cal_jurisdictions,0)),11),0)*N($I128)*N($J128)))</f>
        <v>24948</v>
      </c>
      <c r="AF128" cm="1">
        <f t="array" ref="AF128">IF($B128="",0,IF(OR(12&lt;N($K128),AND(N($L128)&gt;0,12&gt;$L128)),0,N($F128)*N($H128)*IFERROR(INDEX(cal_wd_active,IFERROR(MATCH($E128,cal_jurisdictions,0),MATCH($E128&amp;"-*",cal_jurisdictions,0)),12),0)*N($I128)*N($J128)))</f>
        <v>24948</v>
      </c>
      <c r="AG128"/>
      <c r="AH128">
        <f>IF($B128="",0,N($M128)*(1+IF(N($N128)&gt;0,$N128,IFERROR(CHOOSE(MATCH(LEFT($E128,2),{"AU";"NZ";"US"},0),ref_au_oncost_total,ref_nz_oncost_total,ref_us_oncost_total),0)))/12*IF(OR(1&lt;N($K128),AND(N($L128)&gt;0,1&gt;$L128)),0,1))</f>
        <v>12837.5</v>
      </c>
      <c r="AI128">
        <f>IF($B128="",0,N($M128)*(1+IF(N($N128)&gt;0,$N128,IFERROR(CHOOSE(MATCH(LEFT($E128,2),{"AU";"NZ";"US"},0),ref_au_oncost_total,ref_nz_oncost_total,ref_us_oncost_total),0)))/12*IF(OR(2&lt;N($K128),AND(N($L128)&gt;0,2&gt;$L128)),0,1))</f>
        <v>12837.5</v>
      </c>
      <c r="AJ128">
        <f>IF($B128="",0,N($M128)*(1+IF(N($N128)&gt;0,$N128,IFERROR(CHOOSE(MATCH(LEFT($E128,2),{"AU";"NZ";"US"},0),ref_au_oncost_total,ref_nz_oncost_total,ref_us_oncost_total),0)))/12*IF(OR(3&lt;N($K128),AND(N($L128)&gt;0,3&gt;$L128)),0,1))</f>
        <v>12837.5</v>
      </c>
      <c r="AK128">
        <f>IF($B128="",0,N($M128)*(1+IF(N($N128)&gt;0,$N128,IFERROR(CHOOSE(MATCH(LEFT($E128,2),{"AU";"NZ";"US"},0),ref_au_oncost_total,ref_nz_oncost_total,ref_us_oncost_total),0)))/12*IF(OR(4&lt;N($K128),AND(N($L128)&gt;0,4&gt;$L128)),0,1))</f>
        <v>12837.5</v>
      </c>
      <c r="AL128">
        <f>IF($B128="",0,N($M128)*(1+IF(N($N128)&gt;0,$N128,IFERROR(CHOOSE(MATCH(LEFT($E128,2),{"AU";"NZ";"US"},0),ref_au_oncost_total,ref_nz_oncost_total,ref_us_oncost_total),0)))/12*IF(OR(5&lt;N($K128),AND(N($L128)&gt;0,5&gt;$L128)),0,1))</f>
        <v>12837.5</v>
      </c>
      <c r="AM128">
        <f>IF($B128="",0,N($M128)*(1+IF(N($N128)&gt;0,$N128,IFERROR(CHOOSE(MATCH(LEFT($E128,2),{"AU";"NZ";"US"},0),ref_au_oncost_total,ref_nz_oncost_total,ref_us_oncost_total),0)))/12*IF(OR(6&lt;N($K128),AND(N($L128)&gt;0,6&gt;$L128)),0,1))</f>
        <v>12837.5</v>
      </c>
      <c r="AN128">
        <f>IF($B128="",0,N($M128)*(1+IF(N($N128)&gt;0,$N128,IFERROR(CHOOSE(MATCH(LEFT($E128,2),{"AU";"NZ";"US"},0),ref_au_oncost_total,ref_nz_oncost_total,ref_us_oncost_total),0)))/12*IF(OR(7&lt;N($K128),AND(N($L128)&gt;0,7&gt;$L128)),0,1))</f>
        <v>12837.5</v>
      </c>
      <c r="AO128">
        <f>IF($B128="",0,N($M128)*(1+IF(N($N128)&gt;0,$N128,IFERROR(CHOOSE(MATCH(LEFT($E128,2),{"AU";"NZ";"US"},0),ref_au_oncost_total,ref_nz_oncost_total,ref_us_oncost_total),0)))/12*IF(OR(8&lt;N($K128),AND(N($L128)&gt;0,8&gt;$L128)),0,1))</f>
        <v>12837.5</v>
      </c>
      <c r="AP128">
        <f>IF($B128="",0,N($M128)*(1+IF(N($N128)&gt;0,$N128,IFERROR(CHOOSE(MATCH(LEFT($E128,2),{"AU";"NZ";"US"},0),ref_au_oncost_total,ref_nz_oncost_total,ref_us_oncost_total),0)))/12*IF(OR(9&lt;N($K128),AND(N($L128)&gt;0,9&gt;$L128)),0,1))</f>
        <v>12837.5</v>
      </c>
      <c r="AQ128">
        <f>IF($B128="",0,N($M128)*(1+IF(N($N128)&gt;0,$N128,IFERROR(CHOOSE(MATCH(LEFT($E128,2),{"AU";"NZ";"US"},0),ref_au_oncost_total,ref_nz_oncost_total,ref_us_oncost_total),0)))/12*IF(OR(10&lt;N($K128),AND(N($L128)&gt;0,10&gt;$L128)),0,1))</f>
        <v>12837.5</v>
      </c>
      <c r="AR128">
        <f>IF($B128="",0,N($M128)*(1+IF(N($N128)&gt;0,$N128,IFERROR(CHOOSE(MATCH(LEFT($E128,2),{"AU";"NZ";"US"},0),ref_au_oncost_total,ref_nz_oncost_total,ref_us_oncost_total),0)))/12*IF(OR(11&lt;N($K128),AND(N($L128)&gt;0,11&gt;$L128)),0,1))</f>
        <v>12837.5</v>
      </c>
      <c r="AS128">
        <f>IF($B128="",0,N($M128)*(1+IF(N($N128)&gt;0,$N128,IFERROR(CHOOSE(MATCH(LEFT($E128,2),{"AU";"NZ";"US"},0),ref_au_oncost_total,ref_nz_oncost_total,ref_us_oncost_total),0)))/12*IF(OR(12&lt;N($K128),AND(N($L128)&gt;0,12&gt;$L128)),0,1))</f>
        <v>12837.5</v>
      </c>
      <c r="AT128"/>
      <c r="AU128">
        <f t="shared" si="25"/>
        <v>1</v>
      </c>
      <c r="AV128">
        <f t="shared" si="26"/>
        <v>1</v>
      </c>
      <c r="AW128">
        <f t="shared" si="27"/>
        <v>1</v>
      </c>
      <c r="AX128">
        <f t="shared" si="28"/>
        <v>1</v>
      </c>
      <c r="AY128">
        <f t="shared" si="29"/>
        <v>1</v>
      </c>
      <c r="AZ128">
        <f t="shared" si="30"/>
        <v>1</v>
      </c>
      <c r="BA128">
        <f t="shared" si="31"/>
        <v>1</v>
      </c>
      <c r="BB128">
        <f t="shared" si="32"/>
        <v>1</v>
      </c>
      <c r="BC128">
        <f t="shared" si="33"/>
        <v>1</v>
      </c>
      <c r="BD128">
        <f t="shared" si="34"/>
        <v>1</v>
      </c>
      <c r="BE128">
        <f t="shared" si="35"/>
        <v>1</v>
      </c>
      <c r="BF128">
        <f t="shared" si="36"/>
        <v>1</v>
      </c>
    </row>
    <row r="129" spans="1:58" outlineLevel="1" x14ac:dyDescent="0.2">
      <c r="A129" s="121"/>
      <c r="B129" s="109" t="s">
        <v>669</v>
      </c>
      <c r="C129" s="109" t="s">
        <v>198</v>
      </c>
      <c r="D129" s="111">
        <v>2</v>
      </c>
      <c r="E129" s="112" t="s">
        <v>202</v>
      </c>
      <c r="F129" s="113">
        <v>1</v>
      </c>
      <c r="G129" s="109" t="s">
        <v>609</v>
      </c>
      <c r="H129" s="113">
        <v>7.5</v>
      </c>
      <c r="I129" s="104">
        <v>0.74</v>
      </c>
      <c r="J129" s="100">
        <v>175</v>
      </c>
      <c r="K129" s="110">
        <v>3</v>
      </c>
      <c r="L129" s="110">
        <v>12</v>
      </c>
      <c r="M129" s="100">
        <v>100000</v>
      </c>
      <c r="N129" s="104">
        <v>0.185</v>
      </c>
      <c r="O129" s="66"/>
      <c r="P129" s="121" t="str">
        <f t="shared" si="24"/>
        <v>ok</v>
      </c>
      <c r="S129"/>
      <c r="T129"/>
      <c r="U129" cm="1">
        <f t="array" ref="U129">IF($B129="",0,IF(OR(1&lt;N($K129),AND(N($L129)&gt;0,1&gt;$L129)),0,N($F129)*N($H129)*IFERROR(INDEX(cal_wd_active,IFERROR(MATCH($E129,cal_jurisdictions,0),MATCH($E129&amp;"-*",cal_jurisdictions,0)),1),0)*N($I129)*N($J129)))</f>
        <v>0</v>
      </c>
      <c r="V129" cm="1">
        <f t="array" ref="V129">IF($B129="",0,IF(OR(2&lt;N($K129),AND(N($L129)&gt;0,2&gt;$L129)),0,N($F129)*N($H129)*IFERROR(INDEX(cal_wd_active,IFERROR(MATCH($E129,cal_jurisdictions,0),MATCH($E129&amp;"-*",cal_jurisdictions,0)),2),0)*N($I129)*N($J129)))</f>
        <v>0</v>
      </c>
      <c r="W129" cm="1">
        <f t="array" ref="W129">IF($B129="",0,IF(OR(3&lt;N($K129),AND(N($L129)&gt;0,3&gt;$L129)),0,N($F129)*N($H129)*IFERROR(INDEX(cal_wd_active,IFERROR(MATCH($E129,cal_jurisdictions,0),MATCH($E129&amp;"-*",cal_jurisdictions,0)),3),0)*N($I129)*N($J129)))</f>
        <v>21367.5</v>
      </c>
      <c r="X129" cm="1">
        <f t="array" ref="X129">IF($B129="",0,IF(OR(4&lt;N($K129),AND(N($L129)&gt;0,4&gt;$L129)),0,N($F129)*N($H129)*IFERROR(INDEX(cal_wd_active,IFERROR(MATCH($E129,cal_jurisdictions,0),MATCH($E129&amp;"-*",cal_jurisdictions,0)),4),0)*N($I129)*N($J129)))</f>
        <v>21367.5</v>
      </c>
      <c r="Y129" cm="1">
        <f t="array" ref="Y129">IF($B129="",0,IF(OR(5&lt;N($K129),AND(N($L129)&gt;0,5&gt;$L129)),0,N($F129)*N($H129)*IFERROR(INDEX(cal_wd_active,IFERROR(MATCH($E129,cal_jurisdictions,0),MATCH($E129&amp;"-*",cal_jurisdictions,0)),5),0)*N($I129)*N($J129)))</f>
        <v>19425</v>
      </c>
      <c r="Z129" cm="1">
        <f t="array" ref="Z129">IF($B129="",0,IF(OR(6&lt;N($K129),AND(N($L129)&gt;0,6&gt;$L129)),0,N($F129)*N($H129)*IFERROR(INDEX(cal_wd_active,IFERROR(MATCH($E129,cal_jurisdictions,0),MATCH($E129&amp;"-*",cal_jurisdictions,0)),6),0)*N($I129)*N($J129)))</f>
        <v>20396.25</v>
      </c>
      <c r="AA129" cm="1">
        <f t="array" ref="AA129">IF($B129="",0,IF(OR(7&lt;N($K129),AND(N($L129)&gt;0,7&gt;$L129)),0,N($F129)*N($H129)*IFERROR(INDEX(cal_wd_active,IFERROR(MATCH($E129,cal_jurisdictions,0),MATCH($E129&amp;"-*",cal_jurisdictions,0)),7),0)*N($I129)*N($J129)))</f>
        <v>19425</v>
      </c>
      <c r="AB129" cm="1">
        <f t="array" ref="AB129">IF($B129="",0,IF(OR(8&lt;N($K129),AND(N($L129)&gt;0,8&gt;$L129)),0,N($F129)*N($H129)*IFERROR(INDEX(cal_wd_active,IFERROR(MATCH($E129,cal_jurisdictions,0),MATCH($E129&amp;"-*",cal_jurisdictions,0)),8),0)*N($I129)*N($J129)))</f>
        <v>19425</v>
      </c>
      <c r="AC129" cm="1">
        <f t="array" ref="AC129">IF($B129="",0,IF(OR(9&lt;N($K129),AND(N($L129)&gt;0,9&gt;$L129)),0,N($F129)*N($H129)*IFERROR(INDEX(cal_wd_active,IFERROR(MATCH($E129,cal_jurisdictions,0),MATCH($E129&amp;"-*",cal_jurisdictions,0)),9),0)*N($I129)*N($J129)))</f>
        <v>21367.5</v>
      </c>
      <c r="AD129" cm="1">
        <f t="array" ref="AD129">IF($B129="",0,IF(OR(10&lt;N($K129),AND(N($L129)&gt;0,10&gt;$L129)),0,N($F129)*N($H129)*IFERROR(INDEX(cal_wd_active,IFERROR(MATCH($E129,cal_jurisdictions,0),MATCH($E129&amp;"-*",cal_jurisdictions,0)),10),0)*N($I129)*N($J129)))</f>
        <v>19425</v>
      </c>
      <c r="AE129" cm="1">
        <f t="array" ref="AE129">IF($B129="",0,IF(OR(11&lt;N($K129),AND(N($L129)&gt;0,11&gt;$L129)),0,N($F129)*N($H129)*IFERROR(INDEX(cal_wd_active,IFERROR(MATCH($E129,cal_jurisdictions,0),MATCH($E129&amp;"-*",cal_jurisdictions,0)),11),0)*N($I129)*N($J129)))</f>
        <v>19425</v>
      </c>
      <c r="AF129" cm="1">
        <f t="array" ref="AF129">IF($B129="",0,IF(OR(12&lt;N($K129),AND(N($L129)&gt;0,12&gt;$L129)),0,N($F129)*N($H129)*IFERROR(INDEX(cal_wd_active,IFERROR(MATCH($E129,cal_jurisdictions,0),MATCH($E129&amp;"-*",cal_jurisdictions,0)),12),0)*N($I129)*N($J129)))</f>
        <v>21367.5</v>
      </c>
      <c r="AG129"/>
      <c r="AH129">
        <f>IF($B129="",0,N($M129)*(1+IF(N($N129)&gt;0,$N129,IFERROR(CHOOSE(MATCH(LEFT($E129,2),{"AU";"NZ";"US"},0),ref_au_oncost_total,ref_nz_oncost_total,ref_us_oncost_total),0)))/12*IF(OR(1&lt;N($K129),AND(N($L129)&gt;0,1&gt;$L129)),0,1))</f>
        <v>0</v>
      </c>
      <c r="AI129">
        <f>IF($B129="",0,N($M129)*(1+IF(N($N129)&gt;0,$N129,IFERROR(CHOOSE(MATCH(LEFT($E129,2),{"AU";"NZ";"US"},0),ref_au_oncost_total,ref_nz_oncost_total,ref_us_oncost_total),0)))/12*IF(OR(2&lt;N($K129),AND(N($L129)&gt;0,2&gt;$L129)),0,1))</f>
        <v>0</v>
      </c>
      <c r="AJ129">
        <f>IF($B129="",0,N($M129)*(1+IF(N($N129)&gt;0,$N129,IFERROR(CHOOSE(MATCH(LEFT($E129,2),{"AU";"NZ";"US"},0),ref_au_oncost_total,ref_nz_oncost_total,ref_us_oncost_total),0)))/12*IF(OR(3&lt;N($K129),AND(N($L129)&gt;0,3&gt;$L129)),0,1))</f>
        <v>9875</v>
      </c>
      <c r="AK129">
        <f>IF($B129="",0,N($M129)*(1+IF(N($N129)&gt;0,$N129,IFERROR(CHOOSE(MATCH(LEFT($E129,2),{"AU";"NZ";"US"},0),ref_au_oncost_total,ref_nz_oncost_total,ref_us_oncost_total),0)))/12*IF(OR(4&lt;N($K129),AND(N($L129)&gt;0,4&gt;$L129)),0,1))</f>
        <v>9875</v>
      </c>
      <c r="AL129">
        <f>IF($B129="",0,N($M129)*(1+IF(N($N129)&gt;0,$N129,IFERROR(CHOOSE(MATCH(LEFT($E129,2),{"AU";"NZ";"US"},0),ref_au_oncost_total,ref_nz_oncost_total,ref_us_oncost_total),0)))/12*IF(OR(5&lt;N($K129),AND(N($L129)&gt;0,5&gt;$L129)),0,1))</f>
        <v>9875</v>
      </c>
      <c r="AM129">
        <f>IF($B129="",0,N($M129)*(1+IF(N($N129)&gt;0,$N129,IFERROR(CHOOSE(MATCH(LEFT($E129,2),{"AU";"NZ";"US"},0),ref_au_oncost_total,ref_nz_oncost_total,ref_us_oncost_total),0)))/12*IF(OR(6&lt;N($K129),AND(N($L129)&gt;0,6&gt;$L129)),0,1))</f>
        <v>9875</v>
      </c>
      <c r="AN129">
        <f>IF($B129="",0,N($M129)*(1+IF(N($N129)&gt;0,$N129,IFERROR(CHOOSE(MATCH(LEFT($E129,2),{"AU";"NZ";"US"},0),ref_au_oncost_total,ref_nz_oncost_total,ref_us_oncost_total),0)))/12*IF(OR(7&lt;N($K129),AND(N($L129)&gt;0,7&gt;$L129)),0,1))</f>
        <v>9875</v>
      </c>
      <c r="AO129">
        <f>IF($B129="",0,N($M129)*(1+IF(N($N129)&gt;0,$N129,IFERROR(CHOOSE(MATCH(LEFT($E129,2),{"AU";"NZ";"US"},0),ref_au_oncost_total,ref_nz_oncost_total,ref_us_oncost_total),0)))/12*IF(OR(8&lt;N($K129),AND(N($L129)&gt;0,8&gt;$L129)),0,1))</f>
        <v>9875</v>
      </c>
      <c r="AP129">
        <f>IF($B129="",0,N($M129)*(1+IF(N($N129)&gt;0,$N129,IFERROR(CHOOSE(MATCH(LEFT($E129,2),{"AU";"NZ";"US"},0),ref_au_oncost_total,ref_nz_oncost_total,ref_us_oncost_total),0)))/12*IF(OR(9&lt;N($K129),AND(N($L129)&gt;0,9&gt;$L129)),0,1))</f>
        <v>9875</v>
      </c>
      <c r="AQ129">
        <f>IF($B129="",0,N($M129)*(1+IF(N($N129)&gt;0,$N129,IFERROR(CHOOSE(MATCH(LEFT($E129,2),{"AU";"NZ";"US"},0),ref_au_oncost_total,ref_nz_oncost_total,ref_us_oncost_total),0)))/12*IF(OR(10&lt;N($K129),AND(N($L129)&gt;0,10&gt;$L129)),0,1))</f>
        <v>9875</v>
      </c>
      <c r="AR129">
        <f>IF($B129="",0,N($M129)*(1+IF(N($N129)&gt;0,$N129,IFERROR(CHOOSE(MATCH(LEFT($E129,2),{"AU";"NZ";"US"},0),ref_au_oncost_total,ref_nz_oncost_total,ref_us_oncost_total),0)))/12*IF(OR(11&lt;N($K129),AND(N($L129)&gt;0,11&gt;$L129)),0,1))</f>
        <v>9875</v>
      </c>
      <c r="AS129">
        <f>IF($B129="",0,N($M129)*(1+IF(N($N129)&gt;0,$N129,IFERROR(CHOOSE(MATCH(LEFT($E129,2),{"AU";"NZ";"US"},0),ref_au_oncost_total,ref_nz_oncost_total,ref_us_oncost_total),0)))/12*IF(OR(12&lt;N($K129),AND(N($L129)&gt;0,12&gt;$L129)),0,1))</f>
        <v>9875</v>
      </c>
      <c r="AT129"/>
      <c r="AU129">
        <f t="shared" si="25"/>
        <v>0</v>
      </c>
      <c r="AV129">
        <f t="shared" si="26"/>
        <v>0</v>
      </c>
      <c r="AW129">
        <f t="shared" si="27"/>
        <v>1</v>
      </c>
      <c r="AX129">
        <f t="shared" si="28"/>
        <v>1</v>
      </c>
      <c r="AY129">
        <f t="shared" si="29"/>
        <v>1</v>
      </c>
      <c r="AZ129">
        <f t="shared" si="30"/>
        <v>1</v>
      </c>
      <c r="BA129">
        <f t="shared" si="31"/>
        <v>1</v>
      </c>
      <c r="BB129">
        <f t="shared" si="32"/>
        <v>1</v>
      </c>
      <c r="BC129">
        <f t="shared" si="33"/>
        <v>1</v>
      </c>
      <c r="BD129">
        <f t="shared" si="34"/>
        <v>1</v>
      </c>
      <c r="BE129">
        <f t="shared" si="35"/>
        <v>1</v>
      </c>
      <c r="BF129">
        <f t="shared" si="36"/>
        <v>1</v>
      </c>
    </row>
    <row r="130" spans="1:58" outlineLevel="1" x14ac:dyDescent="0.2">
      <c r="A130" s="121"/>
      <c r="B130" s="109" t="s">
        <v>670</v>
      </c>
      <c r="C130" s="109" t="s">
        <v>246</v>
      </c>
      <c r="D130" s="111">
        <v>5</v>
      </c>
      <c r="E130" s="112" t="s">
        <v>197</v>
      </c>
      <c r="F130" s="113">
        <v>1</v>
      </c>
      <c r="G130" s="109" t="s">
        <v>660</v>
      </c>
      <c r="H130" s="113">
        <v>0</v>
      </c>
      <c r="I130" s="104">
        <v>0</v>
      </c>
      <c r="J130" s="100">
        <v>0</v>
      </c>
      <c r="K130" s="110">
        <v>1</v>
      </c>
      <c r="L130" s="110">
        <v>12</v>
      </c>
      <c r="M130" s="100">
        <v>75000</v>
      </c>
      <c r="N130" s="104">
        <v>0.185</v>
      </c>
      <c r="O130" s="66"/>
      <c r="P130" s="121" t="str">
        <f t="shared" si="24"/>
        <v>ok</v>
      </c>
      <c r="S130"/>
      <c r="T130"/>
      <c r="U130" cm="1">
        <f t="array" ref="U130">IF($B130="",0,IF(OR(1&lt;N($K130),AND(N($L130)&gt;0,1&gt;$L130)),0,N($F130)*N($H130)*IFERROR(INDEX(cal_wd_active,IFERROR(MATCH($E130,cal_jurisdictions,0),MATCH($E130&amp;"-*",cal_jurisdictions,0)),1),0)*N($I130)*N($J130)))</f>
        <v>0</v>
      </c>
      <c r="V130" cm="1">
        <f t="array" ref="V130">IF($B130="",0,IF(OR(2&lt;N($K130),AND(N($L130)&gt;0,2&gt;$L130)),0,N($F130)*N($H130)*IFERROR(INDEX(cal_wd_active,IFERROR(MATCH($E130,cal_jurisdictions,0),MATCH($E130&amp;"-*",cal_jurisdictions,0)),2),0)*N($I130)*N($J130)))</f>
        <v>0</v>
      </c>
      <c r="W130" cm="1">
        <f t="array" ref="W130">IF($B130="",0,IF(OR(3&lt;N($K130),AND(N($L130)&gt;0,3&gt;$L130)),0,N($F130)*N($H130)*IFERROR(INDEX(cal_wd_active,IFERROR(MATCH($E130,cal_jurisdictions,0),MATCH($E130&amp;"-*",cal_jurisdictions,0)),3),0)*N($I130)*N($J130)))</f>
        <v>0</v>
      </c>
      <c r="X130" cm="1">
        <f t="array" ref="X130">IF($B130="",0,IF(OR(4&lt;N($K130),AND(N($L130)&gt;0,4&gt;$L130)),0,N($F130)*N($H130)*IFERROR(INDEX(cal_wd_active,IFERROR(MATCH($E130,cal_jurisdictions,0),MATCH($E130&amp;"-*",cal_jurisdictions,0)),4),0)*N($I130)*N($J130)))</f>
        <v>0</v>
      </c>
      <c r="Y130" cm="1">
        <f t="array" ref="Y130">IF($B130="",0,IF(OR(5&lt;N($K130),AND(N($L130)&gt;0,5&gt;$L130)),0,N($F130)*N($H130)*IFERROR(INDEX(cal_wd_active,IFERROR(MATCH($E130,cal_jurisdictions,0),MATCH($E130&amp;"-*",cal_jurisdictions,0)),5),0)*N($I130)*N($J130)))</f>
        <v>0</v>
      </c>
      <c r="Z130" cm="1">
        <f t="array" ref="Z130">IF($B130="",0,IF(OR(6&lt;N($K130),AND(N($L130)&gt;0,6&gt;$L130)),0,N($F130)*N($H130)*IFERROR(INDEX(cal_wd_active,IFERROR(MATCH($E130,cal_jurisdictions,0),MATCH($E130&amp;"-*",cal_jurisdictions,0)),6),0)*N($I130)*N($J130)))</f>
        <v>0</v>
      </c>
      <c r="AA130" cm="1">
        <f t="array" ref="AA130">IF($B130="",0,IF(OR(7&lt;N($K130),AND(N($L130)&gt;0,7&gt;$L130)),0,N($F130)*N($H130)*IFERROR(INDEX(cal_wd_active,IFERROR(MATCH($E130,cal_jurisdictions,0),MATCH($E130&amp;"-*",cal_jurisdictions,0)),7),0)*N($I130)*N($J130)))</f>
        <v>0</v>
      </c>
      <c r="AB130" cm="1">
        <f t="array" ref="AB130">IF($B130="",0,IF(OR(8&lt;N($K130),AND(N($L130)&gt;0,8&gt;$L130)),0,N($F130)*N($H130)*IFERROR(INDEX(cal_wd_active,IFERROR(MATCH($E130,cal_jurisdictions,0),MATCH($E130&amp;"-*",cal_jurisdictions,0)),8),0)*N($I130)*N($J130)))</f>
        <v>0</v>
      </c>
      <c r="AC130" cm="1">
        <f t="array" ref="AC130">IF($B130="",0,IF(OR(9&lt;N($K130),AND(N($L130)&gt;0,9&gt;$L130)),0,N($F130)*N($H130)*IFERROR(INDEX(cal_wd_active,IFERROR(MATCH($E130,cal_jurisdictions,0),MATCH($E130&amp;"-*",cal_jurisdictions,0)),9),0)*N($I130)*N($J130)))</f>
        <v>0</v>
      </c>
      <c r="AD130" cm="1">
        <f t="array" ref="AD130">IF($B130="",0,IF(OR(10&lt;N($K130),AND(N($L130)&gt;0,10&gt;$L130)),0,N($F130)*N($H130)*IFERROR(INDEX(cal_wd_active,IFERROR(MATCH($E130,cal_jurisdictions,0),MATCH($E130&amp;"-*",cal_jurisdictions,0)),10),0)*N($I130)*N($J130)))</f>
        <v>0</v>
      </c>
      <c r="AE130" cm="1">
        <f t="array" ref="AE130">IF($B130="",0,IF(OR(11&lt;N($K130),AND(N($L130)&gt;0,11&gt;$L130)),0,N($F130)*N($H130)*IFERROR(INDEX(cal_wd_active,IFERROR(MATCH($E130,cal_jurisdictions,0),MATCH($E130&amp;"-*",cal_jurisdictions,0)),11),0)*N($I130)*N($J130)))</f>
        <v>0</v>
      </c>
      <c r="AF130" cm="1">
        <f t="array" ref="AF130">IF($B130="",0,IF(OR(12&lt;N($K130),AND(N($L130)&gt;0,12&gt;$L130)),0,N($F130)*N($H130)*IFERROR(INDEX(cal_wd_active,IFERROR(MATCH($E130,cal_jurisdictions,0),MATCH($E130&amp;"-*",cal_jurisdictions,0)),12),0)*N($I130)*N($J130)))</f>
        <v>0</v>
      </c>
      <c r="AG130"/>
      <c r="AH130">
        <f>IF($B130="",0,N($M130)*(1+IF(N($N130)&gt;0,$N130,IFERROR(CHOOSE(MATCH(LEFT($E130,2),{"AU";"NZ";"US"},0),ref_au_oncost_total,ref_nz_oncost_total,ref_us_oncost_total),0)))/12*IF(OR(1&lt;N($K130),AND(N($L130)&gt;0,1&gt;$L130)),0,1))</f>
        <v>7406.25</v>
      </c>
      <c r="AI130">
        <f>IF($B130="",0,N($M130)*(1+IF(N($N130)&gt;0,$N130,IFERROR(CHOOSE(MATCH(LEFT($E130,2),{"AU";"NZ";"US"},0),ref_au_oncost_total,ref_nz_oncost_total,ref_us_oncost_total),0)))/12*IF(OR(2&lt;N($K130),AND(N($L130)&gt;0,2&gt;$L130)),0,1))</f>
        <v>7406.25</v>
      </c>
      <c r="AJ130">
        <f>IF($B130="",0,N($M130)*(1+IF(N($N130)&gt;0,$N130,IFERROR(CHOOSE(MATCH(LEFT($E130,2),{"AU";"NZ";"US"},0),ref_au_oncost_total,ref_nz_oncost_total,ref_us_oncost_total),0)))/12*IF(OR(3&lt;N($K130),AND(N($L130)&gt;0,3&gt;$L130)),0,1))</f>
        <v>7406.25</v>
      </c>
      <c r="AK130">
        <f>IF($B130="",0,N($M130)*(1+IF(N($N130)&gt;0,$N130,IFERROR(CHOOSE(MATCH(LEFT($E130,2),{"AU";"NZ";"US"},0),ref_au_oncost_total,ref_nz_oncost_total,ref_us_oncost_total),0)))/12*IF(OR(4&lt;N($K130),AND(N($L130)&gt;0,4&gt;$L130)),0,1))</f>
        <v>7406.25</v>
      </c>
      <c r="AL130">
        <f>IF($B130="",0,N($M130)*(1+IF(N($N130)&gt;0,$N130,IFERROR(CHOOSE(MATCH(LEFT($E130,2),{"AU";"NZ";"US"},0),ref_au_oncost_total,ref_nz_oncost_total,ref_us_oncost_total),0)))/12*IF(OR(5&lt;N($K130),AND(N($L130)&gt;0,5&gt;$L130)),0,1))</f>
        <v>7406.25</v>
      </c>
      <c r="AM130">
        <f>IF($B130="",0,N($M130)*(1+IF(N($N130)&gt;0,$N130,IFERROR(CHOOSE(MATCH(LEFT($E130,2),{"AU";"NZ";"US"},0),ref_au_oncost_total,ref_nz_oncost_total,ref_us_oncost_total),0)))/12*IF(OR(6&lt;N($K130),AND(N($L130)&gt;0,6&gt;$L130)),0,1))</f>
        <v>7406.25</v>
      </c>
      <c r="AN130">
        <f>IF($B130="",0,N($M130)*(1+IF(N($N130)&gt;0,$N130,IFERROR(CHOOSE(MATCH(LEFT($E130,2),{"AU";"NZ";"US"},0),ref_au_oncost_total,ref_nz_oncost_total,ref_us_oncost_total),0)))/12*IF(OR(7&lt;N($K130),AND(N($L130)&gt;0,7&gt;$L130)),0,1))</f>
        <v>7406.25</v>
      </c>
      <c r="AO130">
        <f>IF($B130="",0,N($M130)*(1+IF(N($N130)&gt;0,$N130,IFERROR(CHOOSE(MATCH(LEFT($E130,2),{"AU";"NZ";"US"},0),ref_au_oncost_total,ref_nz_oncost_total,ref_us_oncost_total),0)))/12*IF(OR(8&lt;N($K130),AND(N($L130)&gt;0,8&gt;$L130)),0,1))</f>
        <v>7406.25</v>
      </c>
      <c r="AP130">
        <f>IF($B130="",0,N($M130)*(1+IF(N($N130)&gt;0,$N130,IFERROR(CHOOSE(MATCH(LEFT($E130,2),{"AU";"NZ";"US"},0),ref_au_oncost_total,ref_nz_oncost_total,ref_us_oncost_total),0)))/12*IF(OR(9&lt;N($K130),AND(N($L130)&gt;0,9&gt;$L130)),0,1))</f>
        <v>7406.25</v>
      </c>
      <c r="AQ130">
        <f>IF($B130="",0,N($M130)*(1+IF(N($N130)&gt;0,$N130,IFERROR(CHOOSE(MATCH(LEFT($E130,2),{"AU";"NZ";"US"},0),ref_au_oncost_total,ref_nz_oncost_total,ref_us_oncost_total),0)))/12*IF(OR(10&lt;N($K130),AND(N($L130)&gt;0,10&gt;$L130)),0,1))</f>
        <v>7406.25</v>
      </c>
      <c r="AR130">
        <f>IF($B130="",0,N($M130)*(1+IF(N($N130)&gt;0,$N130,IFERROR(CHOOSE(MATCH(LEFT($E130,2),{"AU";"NZ";"US"},0),ref_au_oncost_total,ref_nz_oncost_total,ref_us_oncost_total),0)))/12*IF(OR(11&lt;N($K130),AND(N($L130)&gt;0,11&gt;$L130)),0,1))</f>
        <v>7406.25</v>
      </c>
      <c r="AS130">
        <f>IF($B130="",0,N($M130)*(1+IF(N($N130)&gt;0,$N130,IFERROR(CHOOSE(MATCH(LEFT($E130,2),{"AU";"NZ";"US"},0),ref_au_oncost_total,ref_nz_oncost_total,ref_us_oncost_total),0)))/12*IF(OR(12&lt;N($K130),AND(N($L130)&gt;0,12&gt;$L130)),0,1))</f>
        <v>7406.25</v>
      </c>
      <c r="AT130"/>
      <c r="AU130">
        <f t="shared" si="25"/>
        <v>1</v>
      </c>
      <c r="AV130">
        <f t="shared" si="26"/>
        <v>1</v>
      </c>
      <c r="AW130">
        <f t="shared" si="27"/>
        <v>1</v>
      </c>
      <c r="AX130">
        <f t="shared" si="28"/>
        <v>1</v>
      </c>
      <c r="AY130">
        <f t="shared" si="29"/>
        <v>1</v>
      </c>
      <c r="AZ130">
        <f t="shared" si="30"/>
        <v>1</v>
      </c>
      <c r="BA130">
        <f t="shared" si="31"/>
        <v>1</v>
      </c>
      <c r="BB130">
        <f t="shared" si="32"/>
        <v>1</v>
      </c>
      <c r="BC130">
        <f t="shared" si="33"/>
        <v>1</v>
      </c>
      <c r="BD130">
        <f t="shared" si="34"/>
        <v>1</v>
      </c>
      <c r="BE130">
        <f t="shared" si="35"/>
        <v>1</v>
      </c>
      <c r="BF130">
        <f t="shared" si="36"/>
        <v>1</v>
      </c>
    </row>
    <row r="131" spans="1:58" outlineLevel="1" x14ac:dyDescent="0.2">
      <c r="A131" s="121"/>
      <c r="B131" s="109"/>
      <c r="C131" s="109"/>
      <c r="D131" s="111"/>
      <c r="E131" s="112"/>
      <c r="F131" s="113"/>
      <c r="G131" s="109"/>
      <c r="H131" s="113"/>
      <c r="I131" s="104"/>
      <c r="J131" s="100"/>
      <c r="K131" s="110"/>
      <c r="L131" s="110"/>
      <c r="M131" s="100"/>
      <c r="N131" s="104"/>
      <c r="O131" s="66"/>
      <c r="P131" s="121" t="str">
        <f t="shared" si="24"/>
        <v/>
      </c>
      <c r="S131"/>
      <c r="T131"/>
      <c r="U131" cm="1">
        <f t="array" ref="U131">IF($B131="",0,IF(OR(1&lt;N($K131),AND(N($L131)&gt;0,1&gt;$L131)),0,N($F131)*N($H131)*IFERROR(INDEX(cal_wd_active,IFERROR(MATCH($E131,cal_jurisdictions,0),MATCH($E131&amp;"-*",cal_jurisdictions,0)),1),0)*N($I131)*N($J131)))</f>
        <v>0</v>
      </c>
      <c r="V131" cm="1">
        <f t="array" ref="V131">IF($B131="",0,IF(OR(2&lt;N($K131),AND(N($L131)&gt;0,2&gt;$L131)),0,N($F131)*N($H131)*IFERROR(INDEX(cal_wd_active,IFERROR(MATCH($E131,cal_jurisdictions,0),MATCH($E131&amp;"-*",cal_jurisdictions,0)),2),0)*N($I131)*N($J131)))</f>
        <v>0</v>
      </c>
      <c r="W131" cm="1">
        <f t="array" ref="W131">IF($B131="",0,IF(OR(3&lt;N($K131),AND(N($L131)&gt;0,3&gt;$L131)),0,N($F131)*N($H131)*IFERROR(INDEX(cal_wd_active,IFERROR(MATCH($E131,cal_jurisdictions,0),MATCH($E131&amp;"-*",cal_jurisdictions,0)),3),0)*N($I131)*N($J131)))</f>
        <v>0</v>
      </c>
      <c r="X131" cm="1">
        <f t="array" ref="X131">IF($B131="",0,IF(OR(4&lt;N($K131),AND(N($L131)&gt;0,4&gt;$L131)),0,N($F131)*N($H131)*IFERROR(INDEX(cal_wd_active,IFERROR(MATCH($E131,cal_jurisdictions,0),MATCH($E131&amp;"-*",cal_jurisdictions,0)),4),0)*N($I131)*N($J131)))</f>
        <v>0</v>
      </c>
      <c r="Y131" cm="1">
        <f t="array" ref="Y131">IF($B131="",0,IF(OR(5&lt;N($K131),AND(N($L131)&gt;0,5&gt;$L131)),0,N($F131)*N($H131)*IFERROR(INDEX(cal_wd_active,IFERROR(MATCH($E131,cal_jurisdictions,0),MATCH($E131&amp;"-*",cal_jurisdictions,0)),5),0)*N($I131)*N($J131)))</f>
        <v>0</v>
      </c>
      <c r="Z131" cm="1">
        <f t="array" ref="Z131">IF($B131="",0,IF(OR(6&lt;N($K131),AND(N($L131)&gt;0,6&gt;$L131)),0,N($F131)*N($H131)*IFERROR(INDEX(cal_wd_active,IFERROR(MATCH($E131,cal_jurisdictions,0),MATCH($E131&amp;"-*",cal_jurisdictions,0)),6),0)*N($I131)*N($J131)))</f>
        <v>0</v>
      </c>
      <c r="AA131" cm="1">
        <f t="array" ref="AA131">IF($B131="",0,IF(OR(7&lt;N($K131),AND(N($L131)&gt;0,7&gt;$L131)),0,N($F131)*N($H131)*IFERROR(INDEX(cal_wd_active,IFERROR(MATCH($E131,cal_jurisdictions,0),MATCH($E131&amp;"-*",cal_jurisdictions,0)),7),0)*N($I131)*N($J131)))</f>
        <v>0</v>
      </c>
      <c r="AB131" cm="1">
        <f t="array" ref="AB131">IF($B131="",0,IF(OR(8&lt;N($K131),AND(N($L131)&gt;0,8&gt;$L131)),0,N($F131)*N($H131)*IFERROR(INDEX(cal_wd_active,IFERROR(MATCH($E131,cal_jurisdictions,0),MATCH($E131&amp;"-*",cal_jurisdictions,0)),8),0)*N($I131)*N($J131)))</f>
        <v>0</v>
      </c>
      <c r="AC131" cm="1">
        <f t="array" ref="AC131">IF($B131="",0,IF(OR(9&lt;N($K131),AND(N($L131)&gt;0,9&gt;$L131)),0,N($F131)*N($H131)*IFERROR(INDEX(cal_wd_active,IFERROR(MATCH($E131,cal_jurisdictions,0),MATCH($E131&amp;"-*",cal_jurisdictions,0)),9),0)*N($I131)*N($J131)))</f>
        <v>0</v>
      </c>
      <c r="AD131" cm="1">
        <f t="array" ref="AD131">IF($B131="",0,IF(OR(10&lt;N($K131),AND(N($L131)&gt;0,10&gt;$L131)),0,N($F131)*N($H131)*IFERROR(INDEX(cal_wd_active,IFERROR(MATCH($E131,cal_jurisdictions,0),MATCH($E131&amp;"-*",cal_jurisdictions,0)),10),0)*N($I131)*N($J131)))</f>
        <v>0</v>
      </c>
      <c r="AE131" cm="1">
        <f t="array" ref="AE131">IF($B131="",0,IF(OR(11&lt;N($K131),AND(N($L131)&gt;0,11&gt;$L131)),0,N($F131)*N($H131)*IFERROR(INDEX(cal_wd_active,IFERROR(MATCH($E131,cal_jurisdictions,0),MATCH($E131&amp;"-*",cal_jurisdictions,0)),11),0)*N($I131)*N($J131)))</f>
        <v>0</v>
      </c>
      <c r="AF131" cm="1">
        <f t="array" ref="AF131">IF($B131="",0,IF(OR(12&lt;N($K131),AND(N($L131)&gt;0,12&gt;$L131)),0,N($F131)*N($H131)*IFERROR(INDEX(cal_wd_active,IFERROR(MATCH($E131,cal_jurisdictions,0),MATCH($E131&amp;"-*",cal_jurisdictions,0)),12),0)*N($I131)*N($J131)))</f>
        <v>0</v>
      </c>
      <c r="AG131"/>
      <c r="AH131">
        <f>IF($B131="",0,N($M131)*(1+IF(N($N131)&gt;0,$N131,IFERROR(CHOOSE(MATCH(LEFT($E131,2),{"AU";"NZ";"US"},0),ref_au_oncost_total,ref_nz_oncost_total,ref_us_oncost_total),0)))/12*IF(OR(1&lt;N($K131),AND(N($L131)&gt;0,1&gt;$L131)),0,1))</f>
        <v>0</v>
      </c>
      <c r="AI131">
        <f>IF($B131="",0,N($M131)*(1+IF(N($N131)&gt;0,$N131,IFERROR(CHOOSE(MATCH(LEFT($E131,2),{"AU";"NZ";"US"},0),ref_au_oncost_total,ref_nz_oncost_total,ref_us_oncost_total),0)))/12*IF(OR(2&lt;N($K131),AND(N($L131)&gt;0,2&gt;$L131)),0,1))</f>
        <v>0</v>
      </c>
      <c r="AJ131">
        <f>IF($B131="",0,N($M131)*(1+IF(N($N131)&gt;0,$N131,IFERROR(CHOOSE(MATCH(LEFT($E131,2),{"AU";"NZ";"US"},0),ref_au_oncost_total,ref_nz_oncost_total,ref_us_oncost_total),0)))/12*IF(OR(3&lt;N($K131),AND(N($L131)&gt;0,3&gt;$L131)),0,1))</f>
        <v>0</v>
      </c>
      <c r="AK131">
        <f>IF($B131="",0,N($M131)*(1+IF(N($N131)&gt;0,$N131,IFERROR(CHOOSE(MATCH(LEFT($E131,2),{"AU";"NZ";"US"},0),ref_au_oncost_total,ref_nz_oncost_total,ref_us_oncost_total),0)))/12*IF(OR(4&lt;N($K131),AND(N($L131)&gt;0,4&gt;$L131)),0,1))</f>
        <v>0</v>
      </c>
      <c r="AL131">
        <f>IF($B131="",0,N($M131)*(1+IF(N($N131)&gt;0,$N131,IFERROR(CHOOSE(MATCH(LEFT($E131,2),{"AU";"NZ";"US"},0),ref_au_oncost_total,ref_nz_oncost_total,ref_us_oncost_total),0)))/12*IF(OR(5&lt;N($K131),AND(N($L131)&gt;0,5&gt;$L131)),0,1))</f>
        <v>0</v>
      </c>
      <c r="AM131">
        <f>IF($B131="",0,N($M131)*(1+IF(N($N131)&gt;0,$N131,IFERROR(CHOOSE(MATCH(LEFT($E131,2),{"AU";"NZ";"US"},0),ref_au_oncost_total,ref_nz_oncost_total,ref_us_oncost_total),0)))/12*IF(OR(6&lt;N($K131),AND(N($L131)&gt;0,6&gt;$L131)),0,1))</f>
        <v>0</v>
      </c>
      <c r="AN131">
        <f>IF($B131="",0,N($M131)*(1+IF(N($N131)&gt;0,$N131,IFERROR(CHOOSE(MATCH(LEFT($E131,2),{"AU";"NZ";"US"},0),ref_au_oncost_total,ref_nz_oncost_total,ref_us_oncost_total),0)))/12*IF(OR(7&lt;N($K131),AND(N($L131)&gt;0,7&gt;$L131)),0,1))</f>
        <v>0</v>
      </c>
      <c r="AO131">
        <f>IF($B131="",0,N($M131)*(1+IF(N($N131)&gt;0,$N131,IFERROR(CHOOSE(MATCH(LEFT($E131,2),{"AU";"NZ";"US"},0),ref_au_oncost_total,ref_nz_oncost_total,ref_us_oncost_total),0)))/12*IF(OR(8&lt;N($K131),AND(N($L131)&gt;0,8&gt;$L131)),0,1))</f>
        <v>0</v>
      </c>
      <c r="AP131">
        <f>IF($B131="",0,N($M131)*(1+IF(N($N131)&gt;0,$N131,IFERROR(CHOOSE(MATCH(LEFT($E131,2),{"AU";"NZ";"US"},0),ref_au_oncost_total,ref_nz_oncost_total,ref_us_oncost_total),0)))/12*IF(OR(9&lt;N($K131),AND(N($L131)&gt;0,9&gt;$L131)),0,1))</f>
        <v>0</v>
      </c>
      <c r="AQ131">
        <f>IF($B131="",0,N($M131)*(1+IF(N($N131)&gt;0,$N131,IFERROR(CHOOSE(MATCH(LEFT($E131,2),{"AU";"NZ";"US"},0),ref_au_oncost_total,ref_nz_oncost_total,ref_us_oncost_total),0)))/12*IF(OR(10&lt;N($K131),AND(N($L131)&gt;0,10&gt;$L131)),0,1))</f>
        <v>0</v>
      </c>
      <c r="AR131">
        <f>IF($B131="",0,N($M131)*(1+IF(N($N131)&gt;0,$N131,IFERROR(CHOOSE(MATCH(LEFT($E131,2),{"AU";"NZ";"US"},0),ref_au_oncost_total,ref_nz_oncost_total,ref_us_oncost_total),0)))/12*IF(OR(11&lt;N($K131),AND(N($L131)&gt;0,11&gt;$L131)),0,1))</f>
        <v>0</v>
      </c>
      <c r="AS131">
        <f>IF($B131="",0,N($M131)*(1+IF(N($N131)&gt;0,$N131,IFERROR(CHOOSE(MATCH(LEFT($E131,2),{"AU";"NZ";"US"},0),ref_au_oncost_total,ref_nz_oncost_total,ref_us_oncost_total),0)))/12*IF(OR(12&lt;N($K131),AND(N($L131)&gt;0,12&gt;$L131)),0,1))</f>
        <v>0</v>
      </c>
      <c r="AT131"/>
      <c r="AU131">
        <f t="shared" si="25"/>
        <v>0</v>
      </c>
      <c r="AV131">
        <f t="shared" si="26"/>
        <v>0</v>
      </c>
      <c r="AW131">
        <f t="shared" si="27"/>
        <v>0</v>
      </c>
      <c r="AX131">
        <f t="shared" si="28"/>
        <v>0</v>
      </c>
      <c r="AY131">
        <f t="shared" si="29"/>
        <v>0</v>
      </c>
      <c r="AZ131">
        <f t="shared" si="30"/>
        <v>0</v>
      </c>
      <c r="BA131">
        <f t="shared" si="31"/>
        <v>0</v>
      </c>
      <c r="BB131">
        <f t="shared" si="32"/>
        <v>0</v>
      </c>
      <c r="BC131">
        <f t="shared" si="33"/>
        <v>0</v>
      </c>
      <c r="BD131">
        <f t="shared" si="34"/>
        <v>0</v>
      </c>
      <c r="BE131">
        <f t="shared" si="35"/>
        <v>0</v>
      </c>
      <c r="BF131">
        <f t="shared" si="36"/>
        <v>0</v>
      </c>
    </row>
    <row r="132" spans="1:58" outlineLevel="1" x14ac:dyDescent="0.2">
      <c r="A132" s="121"/>
      <c r="B132" s="109"/>
      <c r="C132" s="109"/>
      <c r="D132" s="111"/>
      <c r="E132" s="112"/>
      <c r="F132" s="113"/>
      <c r="G132" s="109"/>
      <c r="H132" s="113"/>
      <c r="I132" s="104"/>
      <c r="J132" s="100"/>
      <c r="K132" s="110"/>
      <c r="L132" s="110"/>
      <c r="M132" s="100"/>
      <c r="N132" s="104"/>
      <c r="O132" s="66"/>
      <c r="P132" s="121" t="str">
        <f t="shared" si="24"/>
        <v/>
      </c>
      <c r="S132"/>
      <c r="T132"/>
      <c r="U132" cm="1">
        <f t="array" ref="U132">IF($B132="",0,IF(OR(1&lt;N($K132),AND(N($L132)&gt;0,1&gt;$L132)),0,N($F132)*N($H132)*IFERROR(INDEX(cal_wd_active,IFERROR(MATCH($E132,cal_jurisdictions,0),MATCH($E132&amp;"-*",cal_jurisdictions,0)),1),0)*N($I132)*N($J132)))</f>
        <v>0</v>
      </c>
      <c r="V132" cm="1">
        <f t="array" ref="V132">IF($B132="",0,IF(OR(2&lt;N($K132),AND(N($L132)&gt;0,2&gt;$L132)),0,N($F132)*N($H132)*IFERROR(INDEX(cal_wd_active,IFERROR(MATCH($E132,cal_jurisdictions,0),MATCH($E132&amp;"-*",cal_jurisdictions,0)),2),0)*N($I132)*N($J132)))</f>
        <v>0</v>
      </c>
      <c r="W132" cm="1">
        <f t="array" ref="W132">IF($B132="",0,IF(OR(3&lt;N($K132),AND(N($L132)&gt;0,3&gt;$L132)),0,N($F132)*N($H132)*IFERROR(INDEX(cal_wd_active,IFERROR(MATCH($E132,cal_jurisdictions,0),MATCH($E132&amp;"-*",cal_jurisdictions,0)),3),0)*N($I132)*N($J132)))</f>
        <v>0</v>
      </c>
      <c r="X132" cm="1">
        <f t="array" ref="X132">IF($B132="",0,IF(OR(4&lt;N($K132),AND(N($L132)&gt;0,4&gt;$L132)),0,N($F132)*N($H132)*IFERROR(INDEX(cal_wd_active,IFERROR(MATCH($E132,cal_jurisdictions,0),MATCH($E132&amp;"-*",cal_jurisdictions,0)),4),0)*N($I132)*N($J132)))</f>
        <v>0</v>
      </c>
      <c r="Y132" cm="1">
        <f t="array" ref="Y132">IF($B132="",0,IF(OR(5&lt;N($K132),AND(N($L132)&gt;0,5&gt;$L132)),0,N($F132)*N($H132)*IFERROR(INDEX(cal_wd_active,IFERROR(MATCH($E132,cal_jurisdictions,0),MATCH($E132&amp;"-*",cal_jurisdictions,0)),5),0)*N($I132)*N($J132)))</f>
        <v>0</v>
      </c>
      <c r="Z132" cm="1">
        <f t="array" ref="Z132">IF($B132="",0,IF(OR(6&lt;N($K132),AND(N($L132)&gt;0,6&gt;$L132)),0,N($F132)*N($H132)*IFERROR(INDEX(cal_wd_active,IFERROR(MATCH($E132,cal_jurisdictions,0),MATCH($E132&amp;"-*",cal_jurisdictions,0)),6),0)*N($I132)*N($J132)))</f>
        <v>0</v>
      </c>
      <c r="AA132" cm="1">
        <f t="array" ref="AA132">IF($B132="",0,IF(OR(7&lt;N($K132),AND(N($L132)&gt;0,7&gt;$L132)),0,N($F132)*N($H132)*IFERROR(INDEX(cal_wd_active,IFERROR(MATCH($E132,cal_jurisdictions,0),MATCH($E132&amp;"-*",cal_jurisdictions,0)),7),0)*N($I132)*N($J132)))</f>
        <v>0</v>
      </c>
      <c r="AB132" cm="1">
        <f t="array" ref="AB132">IF($B132="",0,IF(OR(8&lt;N($K132),AND(N($L132)&gt;0,8&gt;$L132)),0,N($F132)*N($H132)*IFERROR(INDEX(cal_wd_active,IFERROR(MATCH($E132,cal_jurisdictions,0),MATCH($E132&amp;"-*",cal_jurisdictions,0)),8),0)*N($I132)*N($J132)))</f>
        <v>0</v>
      </c>
      <c r="AC132" cm="1">
        <f t="array" ref="AC132">IF($B132="",0,IF(OR(9&lt;N($K132),AND(N($L132)&gt;0,9&gt;$L132)),0,N($F132)*N($H132)*IFERROR(INDEX(cal_wd_active,IFERROR(MATCH($E132,cal_jurisdictions,0),MATCH($E132&amp;"-*",cal_jurisdictions,0)),9),0)*N($I132)*N($J132)))</f>
        <v>0</v>
      </c>
      <c r="AD132" cm="1">
        <f t="array" ref="AD132">IF($B132="",0,IF(OR(10&lt;N($K132),AND(N($L132)&gt;0,10&gt;$L132)),0,N($F132)*N($H132)*IFERROR(INDEX(cal_wd_active,IFERROR(MATCH($E132,cal_jurisdictions,0),MATCH($E132&amp;"-*",cal_jurisdictions,0)),10),0)*N($I132)*N($J132)))</f>
        <v>0</v>
      </c>
      <c r="AE132" cm="1">
        <f t="array" ref="AE132">IF($B132="",0,IF(OR(11&lt;N($K132),AND(N($L132)&gt;0,11&gt;$L132)),0,N($F132)*N($H132)*IFERROR(INDEX(cal_wd_active,IFERROR(MATCH($E132,cal_jurisdictions,0),MATCH($E132&amp;"-*",cal_jurisdictions,0)),11),0)*N($I132)*N($J132)))</f>
        <v>0</v>
      </c>
      <c r="AF132" cm="1">
        <f t="array" ref="AF132">IF($B132="",0,IF(OR(12&lt;N($K132),AND(N($L132)&gt;0,12&gt;$L132)),0,N($F132)*N($H132)*IFERROR(INDEX(cal_wd_active,IFERROR(MATCH($E132,cal_jurisdictions,0),MATCH($E132&amp;"-*",cal_jurisdictions,0)),12),0)*N($I132)*N($J132)))</f>
        <v>0</v>
      </c>
      <c r="AG132"/>
      <c r="AH132">
        <f>IF($B132="",0,N($M132)*(1+IF(N($N132)&gt;0,$N132,IFERROR(CHOOSE(MATCH(LEFT($E132,2),{"AU";"NZ";"US"},0),ref_au_oncost_total,ref_nz_oncost_total,ref_us_oncost_total),0)))/12*IF(OR(1&lt;N($K132),AND(N($L132)&gt;0,1&gt;$L132)),0,1))</f>
        <v>0</v>
      </c>
      <c r="AI132">
        <f>IF($B132="",0,N($M132)*(1+IF(N($N132)&gt;0,$N132,IFERROR(CHOOSE(MATCH(LEFT($E132,2),{"AU";"NZ";"US"},0),ref_au_oncost_total,ref_nz_oncost_total,ref_us_oncost_total),0)))/12*IF(OR(2&lt;N($K132),AND(N($L132)&gt;0,2&gt;$L132)),0,1))</f>
        <v>0</v>
      </c>
      <c r="AJ132">
        <f>IF($B132="",0,N($M132)*(1+IF(N($N132)&gt;0,$N132,IFERROR(CHOOSE(MATCH(LEFT($E132,2),{"AU";"NZ";"US"},0),ref_au_oncost_total,ref_nz_oncost_total,ref_us_oncost_total),0)))/12*IF(OR(3&lt;N($K132),AND(N($L132)&gt;0,3&gt;$L132)),0,1))</f>
        <v>0</v>
      </c>
      <c r="AK132">
        <f>IF($B132="",0,N($M132)*(1+IF(N($N132)&gt;0,$N132,IFERROR(CHOOSE(MATCH(LEFT($E132,2),{"AU";"NZ";"US"},0),ref_au_oncost_total,ref_nz_oncost_total,ref_us_oncost_total),0)))/12*IF(OR(4&lt;N($K132),AND(N($L132)&gt;0,4&gt;$L132)),0,1))</f>
        <v>0</v>
      </c>
      <c r="AL132">
        <f>IF($B132="",0,N($M132)*(1+IF(N($N132)&gt;0,$N132,IFERROR(CHOOSE(MATCH(LEFT($E132,2),{"AU";"NZ";"US"},0),ref_au_oncost_total,ref_nz_oncost_total,ref_us_oncost_total),0)))/12*IF(OR(5&lt;N($K132),AND(N($L132)&gt;0,5&gt;$L132)),0,1))</f>
        <v>0</v>
      </c>
      <c r="AM132">
        <f>IF($B132="",0,N($M132)*(1+IF(N($N132)&gt;0,$N132,IFERROR(CHOOSE(MATCH(LEFT($E132,2),{"AU";"NZ";"US"},0),ref_au_oncost_total,ref_nz_oncost_total,ref_us_oncost_total),0)))/12*IF(OR(6&lt;N($K132),AND(N($L132)&gt;0,6&gt;$L132)),0,1))</f>
        <v>0</v>
      </c>
      <c r="AN132">
        <f>IF($B132="",0,N($M132)*(1+IF(N($N132)&gt;0,$N132,IFERROR(CHOOSE(MATCH(LEFT($E132,2),{"AU";"NZ";"US"},0),ref_au_oncost_total,ref_nz_oncost_total,ref_us_oncost_total),0)))/12*IF(OR(7&lt;N($K132),AND(N($L132)&gt;0,7&gt;$L132)),0,1))</f>
        <v>0</v>
      </c>
      <c r="AO132">
        <f>IF($B132="",0,N($M132)*(1+IF(N($N132)&gt;0,$N132,IFERROR(CHOOSE(MATCH(LEFT($E132,2),{"AU";"NZ";"US"},0),ref_au_oncost_total,ref_nz_oncost_total,ref_us_oncost_total),0)))/12*IF(OR(8&lt;N($K132),AND(N($L132)&gt;0,8&gt;$L132)),0,1))</f>
        <v>0</v>
      </c>
      <c r="AP132">
        <f>IF($B132="",0,N($M132)*(1+IF(N($N132)&gt;0,$N132,IFERROR(CHOOSE(MATCH(LEFT($E132,2),{"AU";"NZ";"US"},0),ref_au_oncost_total,ref_nz_oncost_total,ref_us_oncost_total),0)))/12*IF(OR(9&lt;N($K132),AND(N($L132)&gt;0,9&gt;$L132)),0,1))</f>
        <v>0</v>
      </c>
      <c r="AQ132">
        <f>IF($B132="",0,N($M132)*(1+IF(N($N132)&gt;0,$N132,IFERROR(CHOOSE(MATCH(LEFT($E132,2),{"AU";"NZ";"US"},0),ref_au_oncost_total,ref_nz_oncost_total,ref_us_oncost_total),0)))/12*IF(OR(10&lt;N($K132),AND(N($L132)&gt;0,10&gt;$L132)),0,1))</f>
        <v>0</v>
      </c>
      <c r="AR132">
        <f>IF($B132="",0,N($M132)*(1+IF(N($N132)&gt;0,$N132,IFERROR(CHOOSE(MATCH(LEFT($E132,2),{"AU";"NZ";"US"},0),ref_au_oncost_total,ref_nz_oncost_total,ref_us_oncost_total),0)))/12*IF(OR(11&lt;N($K132),AND(N($L132)&gt;0,11&gt;$L132)),0,1))</f>
        <v>0</v>
      </c>
      <c r="AS132">
        <f>IF($B132="",0,N($M132)*(1+IF(N($N132)&gt;0,$N132,IFERROR(CHOOSE(MATCH(LEFT($E132,2),{"AU";"NZ";"US"},0),ref_au_oncost_total,ref_nz_oncost_total,ref_us_oncost_total),0)))/12*IF(OR(12&lt;N($K132),AND(N($L132)&gt;0,12&gt;$L132)),0,1))</f>
        <v>0</v>
      </c>
      <c r="AT132"/>
      <c r="AU132">
        <f t="shared" si="25"/>
        <v>0</v>
      </c>
      <c r="AV132">
        <f t="shared" si="26"/>
        <v>0</v>
      </c>
      <c r="AW132">
        <f t="shared" si="27"/>
        <v>0</v>
      </c>
      <c r="AX132">
        <f t="shared" si="28"/>
        <v>0</v>
      </c>
      <c r="AY132">
        <f t="shared" si="29"/>
        <v>0</v>
      </c>
      <c r="AZ132">
        <f t="shared" si="30"/>
        <v>0</v>
      </c>
      <c r="BA132">
        <f t="shared" si="31"/>
        <v>0</v>
      </c>
      <c r="BB132">
        <f t="shared" si="32"/>
        <v>0</v>
      </c>
      <c r="BC132">
        <f t="shared" si="33"/>
        <v>0</v>
      </c>
      <c r="BD132">
        <f t="shared" si="34"/>
        <v>0</v>
      </c>
      <c r="BE132">
        <f t="shared" si="35"/>
        <v>0</v>
      </c>
      <c r="BF132">
        <f t="shared" si="36"/>
        <v>0</v>
      </c>
    </row>
    <row r="133" spans="1:58" outlineLevel="1" x14ac:dyDescent="0.2">
      <c r="A133" s="121"/>
      <c r="B133" s="109"/>
      <c r="C133" s="109"/>
      <c r="D133" s="111"/>
      <c r="E133" s="112"/>
      <c r="F133" s="113"/>
      <c r="G133" s="109"/>
      <c r="H133" s="113"/>
      <c r="I133" s="104"/>
      <c r="J133" s="100"/>
      <c r="K133" s="110"/>
      <c r="L133" s="110"/>
      <c r="M133" s="100"/>
      <c r="N133" s="104"/>
      <c r="O133" s="66"/>
      <c r="P133" s="121" t="str">
        <f t="shared" si="24"/>
        <v/>
      </c>
      <c r="S133"/>
      <c r="T133"/>
      <c r="U133" cm="1">
        <f t="array" ref="U133">IF($B133="",0,IF(OR(1&lt;N($K133),AND(N($L133)&gt;0,1&gt;$L133)),0,N($F133)*N($H133)*IFERROR(INDEX(cal_wd_active,IFERROR(MATCH($E133,cal_jurisdictions,0),MATCH($E133&amp;"-*",cal_jurisdictions,0)),1),0)*N($I133)*N($J133)))</f>
        <v>0</v>
      </c>
      <c r="V133" cm="1">
        <f t="array" ref="V133">IF($B133="",0,IF(OR(2&lt;N($K133),AND(N($L133)&gt;0,2&gt;$L133)),0,N($F133)*N($H133)*IFERROR(INDEX(cal_wd_active,IFERROR(MATCH($E133,cal_jurisdictions,0),MATCH($E133&amp;"-*",cal_jurisdictions,0)),2),0)*N($I133)*N($J133)))</f>
        <v>0</v>
      </c>
      <c r="W133" cm="1">
        <f t="array" ref="W133">IF($B133="",0,IF(OR(3&lt;N($K133),AND(N($L133)&gt;0,3&gt;$L133)),0,N($F133)*N($H133)*IFERROR(INDEX(cal_wd_active,IFERROR(MATCH($E133,cal_jurisdictions,0),MATCH($E133&amp;"-*",cal_jurisdictions,0)),3),0)*N($I133)*N($J133)))</f>
        <v>0</v>
      </c>
      <c r="X133" cm="1">
        <f t="array" ref="X133">IF($B133="",0,IF(OR(4&lt;N($K133),AND(N($L133)&gt;0,4&gt;$L133)),0,N($F133)*N($H133)*IFERROR(INDEX(cal_wd_active,IFERROR(MATCH($E133,cal_jurisdictions,0),MATCH($E133&amp;"-*",cal_jurisdictions,0)),4),0)*N($I133)*N($J133)))</f>
        <v>0</v>
      </c>
      <c r="Y133" cm="1">
        <f t="array" ref="Y133">IF($B133="",0,IF(OR(5&lt;N($K133),AND(N($L133)&gt;0,5&gt;$L133)),0,N($F133)*N($H133)*IFERROR(INDEX(cal_wd_active,IFERROR(MATCH($E133,cal_jurisdictions,0),MATCH($E133&amp;"-*",cal_jurisdictions,0)),5),0)*N($I133)*N($J133)))</f>
        <v>0</v>
      </c>
      <c r="Z133" cm="1">
        <f t="array" ref="Z133">IF($B133="",0,IF(OR(6&lt;N($K133),AND(N($L133)&gt;0,6&gt;$L133)),0,N($F133)*N($H133)*IFERROR(INDEX(cal_wd_active,IFERROR(MATCH($E133,cal_jurisdictions,0),MATCH($E133&amp;"-*",cal_jurisdictions,0)),6),0)*N($I133)*N($J133)))</f>
        <v>0</v>
      </c>
      <c r="AA133" cm="1">
        <f t="array" ref="AA133">IF($B133="",0,IF(OR(7&lt;N($K133),AND(N($L133)&gt;0,7&gt;$L133)),0,N($F133)*N($H133)*IFERROR(INDEX(cal_wd_active,IFERROR(MATCH($E133,cal_jurisdictions,0),MATCH($E133&amp;"-*",cal_jurisdictions,0)),7),0)*N($I133)*N($J133)))</f>
        <v>0</v>
      </c>
      <c r="AB133" cm="1">
        <f t="array" ref="AB133">IF($B133="",0,IF(OR(8&lt;N($K133),AND(N($L133)&gt;0,8&gt;$L133)),0,N($F133)*N($H133)*IFERROR(INDEX(cal_wd_active,IFERROR(MATCH($E133,cal_jurisdictions,0),MATCH($E133&amp;"-*",cal_jurisdictions,0)),8),0)*N($I133)*N($J133)))</f>
        <v>0</v>
      </c>
      <c r="AC133" cm="1">
        <f t="array" ref="AC133">IF($B133="",0,IF(OR(9&lt;N($K133),AND(N($L133)&gt;0,9&gt;$L133)),0,N($F133)*N($H133)*IFERROR(INDEX(cal_wd_active,IFERROR(MATCH($E133,cal_jurisdictions,0),MATCH($E133&amp;"-*",cal_jurisdictions,0)),9),0)*N($I133)*N($J133)))</f>
        <v>0</v>
      </c>
      <c r="AD133" cm="1">
        <f t="array" ref="AD133">IF($B133="",0,IF(OR(10&lt;N($K133),AND(N($L133)&gt;0,10&gt;$L133)),0,N($F133)*N($H133)*IFERROR(INDEX(cal_wd_active,IFERROR(MATCH($E133,cal_jurisdictions,0),MATCH($E133&amp;"-*",cal_jurisdictions,0)),10),0)*N($I133)*N($J133)))</f>
        <v>0</v>
      </c>
      <c r="AE133" cm="1">
        <f t="array" ref="AE133">IF($B133="",0,IF(OR(11&lt;N($K133),AND(N($L133)&gt;0,11&gt;$L133)),0,N($F133)*N($H133)*IFERROR(INDEX(cal_wd_active,IFERROR(MATCH($E133,cal_jurisdictions,0),MATCH($E133&amp;"-*",cal_jurisdictions,0)),11),0)*N($I133)*N($J133)))</f>
        <v>0</v>
      </c>
      <c r="AF133" cm="1">
        <f t="array" ref="AF133">IF($B133="",0,IF(OR(12&lt;N($K133),AND(N($L133)&gt;0,12&gt;$L133)),0,N($F133)*N($H133)*IFERROR(INDEX(cal_wd_active,IFERROR(MATCH($E133,cal_jurisdictions,0),MATCH($E133&amp;"-*",cal_jurisdictions,0)),12),0)*N($I133)*N($J133)))</f>
        <v>0</v>
      </c>
      <c r="AG133"/>
      <c r="AH133">
        <f>IF($B133="",0,N($M133)*(1+IF(N($N133)&gt;0,$N133,IFERROR(CHOOSE(MATCH(LEFT($E133,2),{"AU";"NZ";"US"},0),ref_au_oncost_total,ref_nz_oncost_total,ref_us_oncost_total),0)))/12*IF(OR(1&lt;N($K133),AND(N($L133)&gt;0,1&gt;$L133)),0,1))</f>
        <v>0</v>
      </c>
      <c r="AI133">
        <f>IF($B133="",0,N($M133)*(1+IF(N($N133)&gt;0,$N133,IFERROR(CHOOSE(MATCH(LEFT($E133,2),{"AU";"NZ";"US"},0),ref_au_oncost_total,ref_nz_oncost_total,ref_us_oncost_total),0)))/12*IF(OR(2&lt;N($K133),AND(N($L133)&gt;0,2&gt;$L133)),0,1))</f>
        <v>0</v>
      </c>
      <c r="AJ133">
        <f>IF($B133="",0,N($M133)*(1+IF(N($N133)&gt;0,$N133,IFERROR(CHOOSE(MATCH(LEFT($E133,2),{"AU";"NZ";"US"},0),ref_au_oncost_total,ref_nz_oncost_total,ref_us_oncost_total),0)))/12*IF(OR(3&lt;N($K133),AND(N($L133)&gt;0,3&gt;$L133)),0,1))</f>
        <v>0</v>
      </c>
      <c r="AK133">
        <f>IF($B133="",0,N($M133)*(1+IF(N($N133)&gt;0,$N133,IFERROR(CHOOSE(MATCH(LEFT($E133,2),{"AU";"NZ";"US"},0),ref_au_oncost_total,ref_nz_oncost_total,ref_us_oncost_total),0)))/12*IF(OR(4&lt;N($K133),AND(N($L133)&gt;0,4&gt;$L133)),0,1))</f>
        <v>0</v>
      </c>
      <c r="AL133">
        <f>IF($B133="",0,N($M133)*(1+IF(N($N133)&gt;0,$N133,IFERROR(CHOOSE(MATCH(LEFT($E133,2),{"AU";"NZ";"US"},0),ref_au_oncost_total,ref_nz_oncost_total,ref_us_oncost_total),0)))/12*IF(OR(5&lt;N($K133),AND(N($L133)&gt;0,5&gt;$L133)),0,1))</f>
        <v>0</v>
      </c>
      <c r="AM133">
        <f>IF($B133="",0,N($M133)*(1+IF(N($N133)&gt;0,$N133,IFERROR(CHOOSE(MATCH(LEFT($E133,2),{"AU";"NZ";"US"},0),ref_au_oncost_total,ref_nz_oncost_total,ref_us_oncost_total),0)))/12*IF(OR(6&lt;N($K133),AND(N($L133)&gt;0,6&gt;$L133)),0,1))</f>
        <v>0</v>
      </c>
      <c r="AN133">
        <f>IF($B133="",0,N($M133)*(1+IF(N($N133)&gt;0,$N133,IFERROR(CHOOSE(MATCH(LEFT($E133,2),{"AU";"NZ";"US"},0),ref_au_oncost_total,ref_nz_oncost_total,ref_us_oncost_total),0)))/12*IF(OR(7&lt;N($K133),AND(N($L133)&gt;0,7&gt;$L133)),0,1))</f>
        <v>0</v>
      </c>
      <c r="AO133">
        <f>IF($B133="",0,N($M133)*(1+IF(N($N133)&gt;0,$N133,IFERROR(CHOOSE(MATCH(LEFT($E133,2),{"AU";"NZ";"US"},0),ref_au_oncost_total,ref_nz_oncost_total,ref_us_oncost_total),0)))/12*IF(OR(8&lt;N($K133),AND(N($L133)&gt;0,8&gt;$L133)),0,1))</f>
        <v>0</v>
      </c>
      <c r="AP133">
        <f>IF($B133="",0,N($M133)*(1+IF(N($N133)&gt;0,$N133,IFERROR(CHOOSE(MATCH(LEFT($E133,2),{"AU";"NZ";"US"},0),ref_au_oncost_total,ref_nz_oncost_total,ref_us_oncost_total),0)))/12*IF(OR(9&lt;N($K133),AND(N($L133)&gt;0,9&gt;$L133)),0,1))</f>
        <v>0</v>
      </c>
      <c r="AQ133">
        <f>IF($B133="",0,N($M133)*(1+IF(N($N133)&gt;0,$N133,IFERROR(CHOOSE(MATCH(LEFT($E133,2),{"AU";"NZ";"US"},0),ref_au_oncost_total,ref_nz_oncost_total,ref_us_oncost_total),0)))/12*IF(OR(10&lt;N($K133),AND(N($L133)&gt;0,10&gt;$L133)),0,1))</f>
        <v>0</v>
      </c>
      <c r="AR133">
        <f>IF($B133="",0,N($M133)*(1+IF(N($N133)&gt;0,$N133,IFERROR(CHOOSE(MATCH(LEFT($E133,2),{"AU";"NZ";"US"},0),ref_au_oncost_total,ref_nz_oncost_total,ref_us_oncost_total),0)))/12*IF(OR(11&lt;N($K133),AND(N($L133)&gt;0,11&gt;$L133)),0,1))</f>
        <v>0</v>
      </c>
      <c r="AS133">
        <f>IF($B133="",0,N($M133)*(1+IF(N($N133)&gt;0,$N133,IFERROR(CHOOSE(MATCH(LEFT($E133,2),{"AU";"NZ";"US"},0),ref_au_oncost_total,ref_nz_oncost_total,ref_us_oncost_total),0)))/12*IF(OR(12&lt;N($K133),AND(N($L133)&gt;0,12&gt;$L133)),0,1))</f>
        <v>0</v>
      </c>
      <c r="AT133"/>
      <c r="AU133">
        <f t="shared" si="25"/>
        <v>0</v>
      </c>
      <c r="AV133">
        <f t="shared" si="26"/>
        <v>0</v>
      </c>
      <c r="AW133">
        <f t="shared" si="27"/>
        <v>0</v>
      </c>
      <c r="AX133">
        <f t="shared" si="28"/>
        <v>0</v>
      </c>
      <c r="AY133">
        <f t="shared" si="29"/>
        <v>0</v>
      </c>
      <c r="AZ133">
        <f t="shared" si="30"/>
        <v>0</v>
      </c>
      <c r="BA133">
        <f t="shared" si="31"/>
        <v>0</v>
      </c>
      <c r="BB133">
        <f t="shared" si="32"/>
        <v>0</v>
      </c>
      <c r="BC133">
        <f t="shared" si="33"/>
        <v>0</v>
      </c>
      <c r="BD133">
        <f t="shared" si="34"/>
        <v>0</v>
      </c>
      <c r="BE133">
        <f t="shared" si="35"/>
        <v>0</v>
      </c>
      <c r="BF133">
        <f t="shared" si="36"/>
        <v>0</v>
      </c>
    </row>
    <row r="134" spans="1:58" outlineLevel="1" x14ac:dyDescent="0.2">
      <c r="A134" s="121"/>
      <c r="B134" s="109"/>
      <c r="C134" s="109"/>
      <c r="D134" s="111"/>
      <c r="E134" s="112"/>
      <c r="F134" s="113"/>
      <c r="G134" s="109"/>
      <c r="H134" s="113"/>
      <c r="I134" s="104"/>
      <c r="J134" s="100"/>
      <c r="K134" s="110"/>
      <c r="L134" s="110"/>
      <c r="M134" s="100"/>
      <c r="N134" s="104"/>
      <c r="O134" s="66"/>
      <c r="P134" s="121" t="str">
        <f t="shared" si="24"/>
        <v/>
      </c>
      <c r="S134"/>
      <c r="T134"/>
      <c r="U134" cm="1">
        <f t="array" ref="U134">IF($B134="",0,IF(OR(1&lt;N($K134),AND(N($L134)&gt;0,1&gt;$L134)),0,N($F134)*N($H134)*IFERROR(INDEX(cal_wd_active,IFERROR(MATCH($E134,cal_jurisdictions,0),MATCH($E134&amp;"-*",cal_jurisdictions,0)),1),0)*N($I134)*N($J134)))</f>
        <v>0</v>
      </c>
      <c r="V134" cm="1">
        <f t="array" ref="V134">IF($B134="",0,IF(OR(2&lt;N($K134),AND(N($L134)&gt;0,2&gt;$L134)),0,N($F134)*N($H134)*IFERROR(INDEX(cal_wd_active,IFERROR(MATCH($E134,cal_jurisdictions,0),MATCH($E134&amp;"-*",cal_jurisdictions,0)),2),0)*N($I134)*N($J134)))</f>
        <v>0</v>
      </c>
      <c r="W134" cm="1">
        <f t="array" ref="W134">IF($B134="",0,IF(OR(3&lt;N($K134),AND(N($L134)&gt;0,3&gt;$L134)),0,N($F134)*N($H134)*IFERROR(INDEX(cal_wd_active,IFERROR(MATCH($E134,cal_jurisdictions,0),MATCH($E134&amp;"-*",cal_jurisdictions,0)),3),0)*N($I134)*N($J134)))</f>
        <v>0</v>
      </c>
      <c r="X134" cm="1">
        <f t="array" ref="X134">IF($B134="",0,IF(OR(4&lt;N($K134),AND(N($L134)&gt;0,4&gt;$L134)),0,N($F134)*N($H134)*IFERROR(INDEX(cal_wd_active,IFERROR(MATCH($E134,cal_jurisdictions,0),MATCH($E134&amp;"-*",cal_jurisdictions,0)),4),0)*N($I134)*N($J134)))</f>
        <v>0</v>
      </c>
      <c r="Y134" cm="1">
        <f t="array" ref="Y134">IF($B134="",0,IF(OR(5&lt;N($K134),AND(N($L134)&gt;0,5&gt;$L134)),0,N($F134)*N($H134)*IFERROR(INDEX(cal_wd_active,IFERROR(MATCH($E134,cal_jurisdictions,0),MATCH($E134&amp;"-*",cal_jurisdictions,0)),5),0)*N($I134)*N($J134)))</f>
        <v>0</v>
      </c>
      <c r="Z134" cm="1">
        <f t="array" ref="Z134">IF($B134="",0,IF(OR(6&lt;N($K134),AND(N($L134)&gt;0,6&gt;$L134)),0,N($F134)*N($H134)*IFERROR(INDEX(cal_wd_active,IFERROR(MATCH($E134,cal_jurisdictions,0),MATCH($E134&amp;"-*",cal_jurisdictions,0)),6),0)*N($I134)*N($J134)))</f>
        <v>0</v>
      </c>
      <c r="AA134" cm="1">
        <f t="array" ref="AA134">IF($B134="",0,IF(OR(7&lt;N($K134),AND(N($L134)&gt;0,7&gt;$L134)),0,N($F134)*N($H134)*IFERROR(INDEX(cal_wd_active,IFERROR(MATCH($E134,cal_jurisdictions,0),MATCH($E134&amp;"-*",cal_jurisdictions,0)),7),0)*N($I134)*N($J134)))</f>
        <v>0</v>
      </c>
      <c r="AB134" cm="1">
        <f t="array" ref="AB134">IF($B134="",0,IF(OR(8&lt;N($K134),AND(N($L134)&gt;0,8&gt;$L134)),0,N($F134)*N($H134)*IFERROR(INDEX(cal_wd_active,IFERROR(MATCH($E134,cal_jurisdictions,0),MATCH($E134&amp;"-*",cal_jurisdictions,0)),8),0)*N($I134)*N($J134)))</f>
        <v>0</v>
      </c>
      <c r="AC134" cm="1">
        <f t="array" ref="AC134">IF($B134="",0,IF(OR(9&lt;N($K134),AND(N($L134)&gt;0,9&gt;$L134)),0,N($F134)*N($H134)*IFERROR(INDEX(cal_wd_active,IFERROR(MATCH($E134,cal_jurisdictions,0),MATCH($E134&amp;"-*",cal_jurisdictions,0)),9),0)*N($I134)*N($J134)))</f>
        <v>0</v>
      </c>
      <c r="AD134" cm="1">
        <f t="array" ref="AD134">IF($B134="",0,IF(OR(10&lt;N($K134),AND(N($L134)&gt;0,10&gt;$L134)),0,N($F134)*N($H134)*IFERROR(INDEX(cal_wd_active,IFERROR(MATCH($E134,cal_jurisdictions,0),MATCH($E134&amp;"-*",cal_jurisdictions,0)),10),0)*N($I134)*N($J134)))</f>
        <v>0</v>
      </c>
      <c r="AE134" cm="1">
        <f t="array" ref="AE134">IF($B134="",0,IF(OR(11&lt;N($K134),AND(N($L134)&gt;0,11&gt;$L134)),0,N($F134)*N($H134)*IFERROR(INDEX(cal_wd_active,IFERROR(MATCH($E134,cal_jurisdictions,0),MATCH($E134&amp;"-*",cal_jurisdictions,0)),11),0)*N($I134)*N($J134)))</f>
        <v>0</v>
      </c>
      <c r="AF134" cm="1">
        <f t="array" ref="AF134">IF($B134="",0,IF(OR(12&lt;N($K134),AND(N($L134)&gt;0,12&gt;$L134)),0,N($F134)*N($H134)*IFERROR(INDEX(cal_wd_active,IFERROR(MATCH($E134,cal_jurisdictions,0),MATCH($E134&amp;"-*",cal_jurisdictions,0)),12),0)*N($I134)*N($J134)))</f>
        <v>0</v>
      </c>
      <c r="AG134"/>
      <c r="AH134">
        <f>IF($B134="",0,N($M134)*(1+IF(N($N134)&gt;0,$N134,IFERROR(CHOOSE(MATCH(LEFT($E134,2),{"AU";"NZ";"US"},0),ref_au_oncost_total,ref_nz_oncost_total,ref_us_oncost_total),0)))/12*IF(OR(1&lt;N($K134),AND(N($L134)&gt;0,1&gt;$L134)),0,1))</f>
        <v>0</v>
      </c>
      <c r="AI134">
        <f>IF($B134="",0,N($M134)*(1+IF(N($N134)&gt;0,$N134,IFERROR(CHOOSE(MATCH(LEFT($E134,2),{"AU";"NZ";"US"},0),ref_au_oncost_total,ref_nz_oncost_total,ref_us_oncost_total),0)))/12*IF(OR(2&lt;N($K134),AND(N($L134)&gt;0,2&gt;$L134)),0,1))</f>
        <v>0</v>
      </c>
      <c r="AJ134">
        <f>IF($B134="",0,N($M134)*(1+IF(N($N134)&gt;0,$N134,IFERROR(CHOOSE(MATCH(LEFT($E134,2),{"AU";"NZ";"US"},0),ref_au_oncost_total,ref_nz_oncost_total,ref_us_oncost_total),0)))/12*IF(OR(3&lt;N($K134),AND(N($L134)&gt;0,3&gt;$L134)),0,1))</f>
        <v>0</v>
      </c>
      <c r="AK134">
        <f>IF($B134="",0,N($M134)*(1+IF(N($N134)&gt;0,$N134,IFERROR(CHOOSE(MATCH(LEFT($E134,2),{"AU";"NZ";"US"},0),ref_au_oncost_total,ref_nz_oncost_total,ref_us_oncost_total),0)))/12*IF(OR(4&lt;N($K134),AND(N($L134)&gt;0,4&gt;$L134)),0,1))</f>
        <v>0</v>
      </c>
      <c r="AL134">
        <f>IF($B134="",0,N($M134)*(1+IF(N($N134)&gt;0,$N134,IFERROR(CHOOSE(MATCH(LEFT($E134,2),{"AU";"NZ";"US"},0),ref_au_oncost_total,ref_nz_oncost_total,ref_us_oncost_total),0)))/12*IF(OR(5&lt;N($K134),AND(N($L134)&gt;0,5&gt;$L134)),0,1))</f>
        <v>0</v>
      </c>
      <c r="AM134">
        <f>IF($B134="",0,N($M134)*(1+IF(N($N134)&gt;0,$N134,IFERROR(CHOOSE(MATCH(LEFT($E134,2),{"AU";"NZ";"US"},0),ref_au_oncost_total,ref_nz_oncost_total,ref_us_oncost_total),0)))/12*IF(OR(6&lt;N($K134),AND(N($L134)&gt;0,6&gt;$L134)),0,1))</f>
        <v>0</v>
      </c>
      <c r="AN134">
        <f>IF($B134="",0,N($M134)*(1+IF(N($N134)&gt;0,$N134,IFERROR(CHOOSE(MATCH(LEFT($E134,2),{"AU";"NZ";"US"},0),ref_au_oncost_total,ref_nz_oncost_total,ref_us_oncost_total),0)))/12*IF(OR(7&lt;N($K134),AND(N($L134)&gt;0,7&gt;$L134)),0,1))</f>
        <v>0</v>
      </c>
      <c r="AO134">
        <f>IF($B134="",0,N($M134)*(1+IF(N($N134)&gt;0,$N134,IFERROR(CHOOSE(MATCH(LEFT($E134,2),{"AU";"NZ";"US"},0),ref_au_oncost_total,ref_nz_oncost_total,ref_us_oncost_total),0)))/12*IF(OR(8&lt;N($K134),AND(N($L134)&gt;0,8&gt;$L134)),0,1))</f>
        <v>0</v>
      </c>
      <c r="AP134">
        <f>IF($B134="",0,N($M134)*(1+IF(N($N134)&gt;0,$N134,IFERROR(CHOOSE(MATCH(LEFT($E134,2),{"AU";"NZ";"US"},0),ref_au_oncost_total,ref_nz_oncost_total,ref_us_oncost_total),0)))/12*IF(OR(9&lt;N($K134),AND(N($L134)&gt;0,9&gt;$L134)),0,1))</f>
        <v>0</v>
      </c>
      <c r="AQ134">
        <f>IF($B134="",0,N($M134)*(1+IF(N($N134)&gt;0,$N134,IFERROR(CHOOSE(MATCH(LEFT($E134,2),{"AU";"NZ";"US"},0),ref_au_oncost_total,ref_nz_oncost_total,ref_us_oncost_total),0)))/12*IF(OR(10&lt;N($K134),AND(N($L134)&gt;0,10&gt;$L134)),0,1))</f>
        <v>0</v>
      </c>
      <c r="AR134">
        <f>IF($B134="",0,N($M134)*(1+IF(N($N134)&gt;0,$N134,IFERROR(CHOOSE(MATCH(LEFT($E134,2),{"AU";"NZ";"US"},0),ref_au_oncost_total,ref_nz_oncost_total,ref_us_oncost_total),0)))/12*IF(OR(11&lt;N($K134),AND(N($L134)&gt;0,11&gt;$L134)),0,1))</f>
        <v>0</v>
      </c>
      <c r="AS134">
        <f>IF($B134="",0,N($M134)*(1+IF(N($N134)&gt;0,$N134,IFERROR(CHOOSE(MATCH(LEFT($E134,2),{"AU";"NZ";"US"},0),ref_au_oncost_total,ref_nz_oncost_total,ref_us_oncost_total),0)))/12*IF(OR(12&lt;N($K134),AND(N($L134)&gt;0,12&gt;$L134)),0,1))</f>
        <v>0</v>
      </c>
      <c r="AT134"/>
      <c r="AU134">
        <f t="shared" si="25"/>
        <v>0</v>
      </c>
      <c r="AV134">
        <f t="shared" si="26"/>
        <v>0</v>
      </c>
      <c r="AW134">
        <f t="shared" si="27"/>
        <v>0</v>
      </c>
      <c r="AX134">
        <f t="shared" si="28"/>
        <v>0</v>
      </c>
      <c r="AY134">
        <f t="shared" si="29"/>
        <v>0</v>
      </c>
      <c r="AZ134">
        <f t="shared" si="30"/>
        <v>0</v>
      </c>
      <c r="BA134">
        <f t="shared" si="31"/>
        <v>0</v>
      </c>
      <c r="BB134">
        <f t="shared" si="32"/>
        <v>0</v>
      </c>
      <c r="BC134">
        <f t="shared" si="33"/>
        <v>0</v>
      </c>
      <c r="BD134">
        <f t="shared" si="34"/>
        <v>0</v>
      </c>
      <c r="BE134">
        <f t="shared" si="35"/>
        <v>0</v>
      </c>
      <c r="BF134">
        <f t="shared" si="36"/>
        <v>0</v>
      </c>
    </row>
    <row r="135" spans="1:58" outlineLevel="1" x14ac:dyDescent="0.2">
      <c r="A135" s="121"/>
      <c r="B135" s="109"/>
      <c r="C135" s="109"/>
      <c r="D135" s="111"/>
      <c r="E135" s="112"/>
      <c r="F135" s="113"/>
      <c r="G135" s="109"/>
      <c r="H135" s="113"/>
      <c r="I135" s="104"/>
      <c r="J135" s="100"/>
      <c r="K135" s="110"/>
      <c r="L135" s="110"/>
      <c r="M135" s="100"/>
      <c r="N135" s="104"/>
      <c r="O135" s="66"/>
      <c r="P135" s="121" t="str">
        <f t="shared" si="24"/>
        <v/>
      </c>
      <c r="S135"/>
      <c r="T135"/>
      <c r="U135" cm="1">
        <f t="array" ref="U135">IF($B135="",0,IF(OR(1&lt;N($K135),AND(N($L135)&gt;0,1&gt;$L135)),0,N($F135)*N($H135)*IFERROR(INDEX(cal_wd_active,IFERROR(MATCH($E135,cal_jurisdictions,0),MATCH($E135&amp;"-*",cal_jurisdictions,0)),1),0)*N($I135)*N($J135)))</f>
        <v>0</v>
      </c>
      <c r="V135" cm="1">
        <f t="array" ref="V135">IF($B135="",0,IF(OR(2&lt;N($K135),AND(N($L135)&gt;0,2&gt;$L135)),0,N($F135)*N($H135)*IFERROR(INDEX(cal_wd_active,IFERROR(MATCH($E135,cal_jurisdictions,0),MATCH($E135&amp;"-*",cal_jurisdictions,0)),2),0)*N($I135)*N($J135)))</f>
        <v>0</v>
      </c>
      <c r="W135" cm="1">
        <f t="array" ref="W135">IF($B135="",0,IF(OR(3&lt;N($K135),AND(N($L135)&gt;0,3&gt;$L135)),0,N($F135)*N($H135)*IFERROR(INDEX(cal_wd_active,IFERROR(MATCH($E135,cal_jurisdictions,0),MATCH($E135&amp;"-*",cal_jurisdictions,0)),3),0)*N($I135)*N($J135)))</f>
        <v>0</v>
      </c>
      <c r="X135" cm="1">
        <f t="array" ref="X135">IF($B135="",0,IF(OR(4&lt;N($K135),AND(N($L135)&gt;0,4&gt;$L135)),0,N($F135)*N($H135)*IFERROR(INDEX(cal_wd_active,IFERROR(MATCH($E135,cal_jurisdictions,0),MATCH($E135&amp;"-*",cal_jurisdictions,0)),4),0)*N($I135)*N($J135)))</f>
        <v>0</v>
      </c>
      <c r="Y135" cm="1">
        <f t="array" ref="Y135">IF($B135="",0,IF(OR(5&lt;N($K135),AND(N($L135)&gt;0,5&gt;$L135)),0,N($F135)*N($H135)*IFERROR(INDEX(cal_wd_active,IFERROR(MATCH($E135,cal_jurisdictions,0),MATCH($E135&amp;"-*",cal_jurisdictions,0)),5),0)*N($I135)*N($J135)))</f>
        <v>0</v>
      </c>
      <c r="Z135" cm="1">
        <f t="array" ref="Z135">IF($B135="",0,IF(OR(6&lt;N($K135),AND(N($L135)&gt;0,6&gt;$L135)),0,N($F135)*N($H135)*IFERROR(INDEX(cal_wd_active,IFERROR(MATCH($E135,cal_jurisdictions,0),MATCH($E135&amp;"-*",cal_jurisdictions,0)),6),0)*N($I135)*N($J135)))</f>
        <v>0</v>
      </c>
      <c r="AA135" cm="1">
        <f t="array" ref="AA135">IF($B135="",0,IF(OR(7&lt;N($K135),AND(N($L135)&gt;0,7&gt;$L135)),0,N($F135)*N($H135)*IFERROR(INDEX(cal_wd_active,IFERROR(MATCH($E135,cal_jurisdictions,0),MATCH($E135&amp;"-*",cal_jurisdictions,0)),7),0)*N($I135)*N($J135)))</f>
        <v>0</v>
      </c>
      <c r="AB135" cm="1">
        <f t="array" ref="AB135">IF($B135="",0,IF(OR(8&lt;N($K135),AND(N($L135)&gt;0,8&gt;$L135)),0,N($F135)*N($H135)*IFERROR(INDEX(cal_wd_active,IFERROR(MATCH($E135,cal_jurisdictions,0),MATCH($E135&amp;"-*",cal_jurisdictions,0)),8),0)*N($I135)*N($J135)))</f>
        <v>0</v>
      </c>
      <c r="AC135" cm="1">
        <f t="array" ref="AC135">IF($B135="",0,IF(OR(9&lt;N($K135),AND(N($L135)&gt;0,9&gt;$L135)),0,N($F135)*N($H135)*IFERROR(INDEX(cal_wd_active,IFERROR(MATCH($E135,cal_jurisdictions,0),MATCH($E135&amp;"-*",cal_jurisdictions,0)),9),0)*N($I135)*N($J135)))</f>
        <v>0</v>
      </c>
      <c r="AD135" cm="1">
        <f t="array" ref="AD135">IF($B135="",0,IF(OR(10&lt;N($K135),AND(N($L135)&gt;0,10&gt;$L135)),0,N($F135)*N($H135)*IFERROR(INDEX(cal_wd_active,IFERROR(MATCH($E135,cal_jurisdictions,0),MATCH($E135&amp;"-*",cal_jurisdictions,0)),10),0)*N($I135)*N($J135)))</f>
        <v>0</v>
      </c>
      <c r="AE135" cm="1">
        <f t="array" ref="AE135">IF($B135="",0,IF(OR(11&lt;N($K135),AND(N($L135)&gt;0,11&gt;$L135)),0,N($F135)*N($H135)*IFERROR(INDEX(cal_wd_active,IFERROR(MATCH($E135,cal_jurisdictions,0),MATCH($E135&amp;"-*",cal_jurisdictions,0)),11),0)*N($I135)*N($J135)))</f>
        <v>0</v>
      </c>
      <c r="AF135" cm="1">
        <f t="array" ref="AF135">IF($B135="",0,IF(OR(12&lt;N($K135),AND(N($L135)&gt;0,12&gt;$L135)),0,N($F135)*N($H135)*IFERROR(INDEX(cal_wd_active,IFERROR(MATCH($E135,cal_jurisdictions,0),MATCH($E135&amp;"-*",cal_jurisdictions,0)),12),0)*N($I135)*N($J135)))</f>
        <v>0</v>
      </c>
      <c r="AG135"/>
      <c r="AH135">
        <f>IF($B135="",0,N($M135)*(1+IF(N($N135)&gt;0,$N135,IFERROR(CHOOSE(MATCH(LEFT($E135,2),{"AU";"NZ";"US"},0),ref_au_oncost_total,ref_nz_oncost_total,ref_us_oncost_total),0)))/12*IF(OR(1&lt;N($K135),AND(N($L135)&gt;0,1&gt;$L135)),0,1))</f>
        <v>0</v>
      </c>
      <c r="AI135">
        <f>IF($B135="",0,N($M135)*(1+IF(N($N135)&gt;0,$N135,IFERROR(CHOOSE(MATCH(LEFT($E135,2),{"AU";"NZ";"US"},0),ref_au_oncost_total,ref_nz_oncost_total,ref_us_oncost_total),0)))/12*IF(OR(2&lt;N($K135),AND(N($L135)&gt;0,2&gt;$L135)),0,1))</f>
        <v>0</v>
      </c>
      <c r="AJ135">
        <f>IF($B135="",0,N($M135)*(1+IF(N($N135)&gt;0,$N135,IFERROR(CHOOSE(MATCH(LEFT($E135,2),{"AU";"NZ";"US"},0),ref_au_oncost_total,ref_nz_oncost_total,ref_us_oncost_total),0)))/12*IF(OR(3&lt;N($K135),AND(N($L135)&gt;0,3&gt;$L135)),0,1))</f>
        <v>0</v>
      </c>
      <c r="AK135">
        <f>IF($B135="",0,N($M135)*(1+IF(N($N135)&gt;0,$N135,IFERROR(CHOOSE(MATCH(LEFT($E135,2),{"AU";"NZ";"US"},0),ref_au_oncost_total,ref_nz_oncost_total,ref_us_oncost_total),0)))/12*IF(OR(4&lt;N($K135),AND(N($L135)&gt;0,4&gt;$L135)),0,1))</f>
        <v>0</v>
      </c>
      <c r="AL135">
        <f>IF($B135="",0,N($M135)*(1+IF(N($N135)&gt;0,$N135,IFERROR(CHOOSE(MATCH(LEFT($E135,2),{"AU";"NZ";"US"},0),ref_au_oncost_total,ref_nz_oncost_total,ref_us_oncost_total),0)))/12*IF(OR(5&lt;N($K135),AND(N($L135)&gt;0,5&gt;$L135)),0,1))</f>
        <v>0</v>
      </c>
      <c r="AM135">
        <f>IF($B135="",0,N($M135)*(1+IF(N($N135)&gt;0,$N135,IFERROR(CHOOSE(MATCH(LEFT($E135,2),{"AU";"NZ";"US"},0),ref_au_oncost_total,ref_nz_oncost_total,ref_us_oncost_total),0)))/12*IF(OR(6&lt;N($K135),AND(N($L135)&gt;0,6&gt;$L135)),0,1))</f>
        <v>0</v>
      </c>
      <c r="AN135">
        <f>IF($B135="",0,N($M135)*(1+IF(N($N135)&gt;0,$N135,IFERROR(CHOOSE(MATCH(LEFT($E135,2),{"AU";"NZ";"US"},0),ref_au_oncost_total,ref_nz_oncost_total,ref_us_oncost_total),0)))/12*IF(OR(7&lt;N($K135),AND(N($L135)&gt;0,7&gt;$L135)),0,1))</f>
        <v>0</v>
      </c>
      <c r="AO135">
        <f>IF($B135="",0,N($M135)*(1+IF(N($N135)&gt;0,$N135,IFERROR(CHOOSE(MATCH(LEFT($E135,2),{"AU";"NZ";"US"},0),ref_au_oncost_total,ref_nz_oncost_total,ref_us_oncost_total),0)))/12*IF(OR(8&lt;N($K135),AND(N($L135)&gt;0,8&gt;$L135)),0,1))</f>
        <v>0</v>
      </c>
      <c r="AP135">
        <f>IF($B135="",0,N($M135)*(1+IF(N($N135)&gt;0,$N135,IFERROR(CHOOSE(MATCH(LEFT($E135,2),{"AU";"NZ";"US"},0),ref_au_oncost_total,ref_nz_oncost_total,ref_us_oncost_total),0)))/12*IF(OR(9&lt;N($K135),AND(N($L135)&gt;0,9&gt;$L135)),0,1))</f>
        <v>0</v>
      </c>
      <c r="AQ135">
        <f>IF($B135="",0,N($M135)*(1+IF(N($N135)&gt;0,$N135,IFERROR(CHOOSE(MATCH(LEFT($E135,2),{"AU";"NZ";"US"},0),ref_au_oncost_total,ref_nz_oncost_total,ref_us_oncost_total),0)))/12*IF(OR(10&lt;N($K135),AND(N($L135)&gt;0,10&gt;$L135)),0,1))</f>
        <v>0</v>
      </c>
      <c r="AR135">
        <f>IF($B135="",0,N($M135)*(1+IF(N($N135)&gt;0,$N135,IFERROR(CHOOSE(MATCH(LEFT($E135,2),{"AU";"NZ";"US"},0),ref_au_oncost_total,ref_nz_oncost_total,ref_us_oncost_total),0)))/12*IF(OR(11&lt;N($K135),AND(N($L135)&gt;0,11&gt;$L135)),0,1))</f>
        <v>0</v>
      </c>
      <c r="AS135">
        <f>IF($B135="",0,N($M135)*(1+IF(N($N135)&gt;0,$N135,IFERROR(CHOOSE(MATCH(LEFT($E135,2),{"AU";"NZ";"US"},0),ref_au_oncost_total,ref_nz_oncost_total,ref_us_oncost_total),0)))/12*IF(OR(12&lt;N($K135),AND(N($L135)&gt;0,12&gt;$L135)),0,1))</f>
        <v>0</v>
      </c>
      <c r="AT135"/>
      <c r="AU135">
        <f t="shared" si="25"/>
        <v>0</v>
      </c>
      <c r="AV135">
        <f t="shared" si="26"/>
        <v>0</v>
      </c>
      <c r="AW135">
        <f t="shared" si="27"/>
        <v>0</v>
      </c>
      <c r="AX135">
        <f t="shared" si="28"/>
        <v>0</v>
      </c>
      <c r="AY135">
        <f t="shared" si="29"/>
        <v>0</v>
      </c>
      <c r="AZ135">
        <f t="shared" si="30"/>
        <v>0</v>
      </c>
      <c r="BA135">
        <f t="shared" si="31"/>
        <v>0</v>
      </c>
      <c r="BB135">
        <f t="shared" si="32"/>
        <v>0</v>
      </c>
      <c r="BC135">
        <f t="shared" si="33"/>
        <v>0</v>
      </c>
      <c r="BD135">
        <f t="shared" si="34"/>
        <v>0</v>
      </c>
      <c r="BE135">
        <f t="shared" si="35"/>
        <v>0</v>
      </c>
      <c r="BF135">
        <f t="shared" si="36"/>
        <v>0</v>
      </c>
    </row>
    <row r="136" spans="1:58" outlineLevel="1" x14ac:dyDescent="0.2">
      <c r="A136" s="121"/>
      <c r="B136" s="109"/>
      <c r="C136" s="109"/>
      <c r="D136" s="111"/>
      <c r="E136" s="112"/>
      <c r="F136" s="113"/>
      <c r="G136" s="109"/>
      <c r="H136" s="113"/>
      <c r="I136" s="104"/>
      <c r="J136" s="100"/>
      <c r="K136" s="110"/>
      <c r="L136" s="110"/>
      <c r="M136" s="100"/>
      <c r="N136" s="104"/>
      <c r="O136" s="66"/>
      <c r="P136" s="121" t="str">
        <f t="shared" si="24"/>
        <v/>
      </c>
      <c r="S136"/>
      <c r="T136"/>
      <c r="U136" cm="1">
        <f t="array" ref="U136">IF($B136="",0,IF(OR(1&lt;N($K136),AND(N($L136)&gt;0,1&gt;$L136)),0,N($F136)*N($H136)*IFERROR(INDEX(cal_wd_active,IFERROR(MATCH($E136,cal_jurisdictions,0),MATCH($E136&amp;"-*",cal_jurisdictions,0)),1),0)*N($I136)*N($J136)))</f>
        <v>0</v>
      </c>
      <c r="V136" cm="1">
        <f t="array" ref="V136">IF($B136="",0,IF(OR(2&lt;N($K136),AND(N($L136)&gt;0,2&gt;$L136)),0,N($F136)*N($H136)*IFERROR(INDEX(cal_wd_active,IFERROR(MATCH($E136,cal_jurisdictions,0),MATCH($E136&amp;"-*",cal_jurisdictions,0)),2),0)*N($I136)*N($J136)))</f>
        <v>0</v>
      </c>
      <c r="W136" cm="1">
        <f t="array" ref="W136">IF($B136="",0,IF(OR(3&lt;N($K136),AND(N($L136)&gt;0,3&gt;$L136)),0,N($F136)*N($H136)*IFERROR(INDEX(cal_wd_active,IFERROR(MATCH($E136,cal_jurisdictions,0),MATCH($E136&amp;"-*",cal_jurisdictions,0)),3),0)*N($I136)*N($J136)))</f>
        <v>0</v>
      </c>
      <c r="X136" cm="1">
        <f t="array" ref="X136">IF($B136="",0,IF(OR(4&lt;N($K136),AND(N($L136)&gt;0,4&gt;$L136)),0,N($F136)*N($H136)*IFERROR(INDEX(cal_wd_active,IFERROR(MATCH($E136,cal_jurisdictions,0),MATCH($E136&amp;"-*",cal_jurisdictions,0)),4),0)*N($I136)*N($J136)))</f>
        <v>0</v>
      </c>
      <c r="Y136" cm="1">
        <f t="array" ref="Y136">IF($B136="",0,IF(OR(5&lt;N($K136),AND(N($L136)&gt;0,5&gt;$L136)),0,N($F136)*N($H136)*IFERROR(INDEX(cal_wd_active,IFERROR(MATCH($E136,cal_jurisdictions,0),MATCH($E136&amp;"-*",cal_jurisdictions,0)),5),0)*N($I136)*N($J136)))</f>
        <v>0</v>
      </c>
      <c r="Z136" cm="1">
        <f t="array" ref="Z136">IF($B136="",0,IF(OR(6&lt;N($K136),AND(N($L136)&gt;0,6&gt;$L136)),0,N($F136)*N($H136)*IFERROR(INDEX(cal_wd_active,IFERROR(MATCH($E136,cal_jurisdictions,0),MATCH($E136&amp;"-*",cal_jurisdictions,0)),6),0)*N($I136)*N($J136)))</f>
        <v>0</v>
      </c>
      <c r="AA136" cm="1">
        <f t="array" ref="AA136">IF($B136="",0,IF(OR(7&lt;N($K136),AND(N($L136)&gt;0,7&gt;$L136)),0,N($F136)*N($H136)*IFERROR(INDEX(cal_wd_active,IFERROR(MATCH($E136,cal_jurisdictions,0),MATCH($E136&amp;"-*",cal_jurisdictions,0)),7),0)*N($I136)*N($J136)))</f>
        <v>0</v>
      </c>
      <c r="AB136" cm="1">
        <f t="array" ref="AB136">IF($B136="",0,IF(OR(8&lt;N($K136),AND(N($L136)&gt;0,8&gt;$L136)),0,N($F136)*N($H136)*IFERROR(INDEX(cal_wd_active,IFERROR(MATCH($E136,cal_jurisdictions,0),MATCH($E136&amp;"-*",cal_jurisdictions,0)),8),0)*N($I136)*N($J136)))</f>
        <v>0</v>
      </c>
      <c r="AC136" cm="1">
        <f t="array" ref="AC136">IF($B136="",0,IF(OR(9&lt;N($K136),AND(N($L136)&gt;0,9&gt;$L136)),0,N($F136)*N($H136)*IFERROR(INDEX(cal_wd_active,IFERROR(MATCH($E136,cal_jurisdictions,0),MATCH($E136&amp;"-*",cal_jurisdictions,0)),9),0)*N($I136)*N($J136)))</f>
        <v>0</v>
      </c>
      <c r="AD136" cm="1">
        <f t="array" ref="AD136">IF($B136="",0,IF(OR(10&lt;N($K136),AND(N($L136)&gt;0,10&gt;$L136)),0,N($F136)*N($H136)*IFERROR(INDEX(cal_wd_active,IFERROR(MATCH($E136,cal_jurisdictions,0),MATCH($E136&amp;"-*",cal_jurisdictions,0)),10),0)*N($I136)*N($J136)))</f>
        <v>0</v>
      </c>
      <c r="AE136" cm="1">
        <f t="array" ref="AE136">IF($B136="",0,IF(OR(11&lt;N($K136),AND(N($L136)&gt;0,11&gt;$L136)),0,N($F136)*N($H136)*IFERROR(INDEX(cal_wd_active,IFERROR(MATCH($E136,cal_jurisdictions,0),MATCH($E136&amp;"-*",cal_jurisdictions,0)),11),0)*N($I136)*N($J136)))</f>
        <v>0</v>
      </c>
      <c r="AF136" cm="1">
        <f t="array" ref="AF136">IF($B136="",0,IF(OR(12&lt;N($K136),AND(N($L136)&gt;0,12&gt;$L136)),0,N($F136)*N($H136)*IFERROR(INDEX(cal_wd_active,IFERROR(MATCH($E136,cal_jurisdictions,0),MATCH($E136&amp;"-*",cal_jurisdictions,0)),12),0)*N($I136)*N($J136)))</f>
        <v>0</v>
      </c>
      <c r="AG136"/>
      <c r="AH136">
        <f>IF($B136="",0,N($M136)*(1+IF(N($N136)&gt;0,$N136,IFERROR(CHOOSE(MATCH(LEFT($E136,2),{"AU";"NZ";"US"},0),ref_au_oncost_total,ref_nz_oncost_total,ref_us_oncost_total),0)))/12*IF(OR(1&lt;N($K136),AND(N($L136)&gt;0,1&gt;$L136)),0,1))</f>
        <v>0</v>
      </c>
      <c r="AI136">
        <f>IF($B136="",0,N($M136)*(1+IF(N($N136)&gt;0,$N136,IFERROR(CHOOSE(MATCH(LEFT($E136,2),{"AU";"NZ";"US"},0),ref_au_oncost_total,ref_nz_oncost_total,ref_us_oncost_total),0)))/12*IF(OR(2&lt;N($K136),AND(N($L136)&gt;0,2&gt;$L136)),0,1))</f>
        <v>0</v>
      </c>
      <c r="AJ136">
        <f>IF($B136="",0,N($M136)*(1+IF(N($N136)&gt;0,$N136,IFERROR(CHOOSE(MATCH(LEFT($E136,2),{"AU";"NZ";"US"},0),ref_au_oncost_total,ref_nz_oncost_total,ref_us_oncost_total),0)))/12*IF(OR(3&lt;N($K136),AND(N($L136)&gt;0,3&gt;$L136)),0,1))</f>
        <v>0</v>
      </c>
      <c r="AK136">
        <f>IF($B136="",0,N($M136)*(1+IF(N($N136)&gt;0,$N136,IFERROR(CHOOSE(MATCH(LEFT($E136,2),{"AU";"NZ";"US"},0),ref_au_oncost_total,ref_nz_oncost_total,ref_us_oncost_total),0)))/12*IF(OR(4&lt;N($K136),AND(N($L136)&gt;0,4&gt;$L136)),0,1))</f>
        <v>0</v>
      </c>
      <c r="AL136">
        <f>IF($B136="",0,N($M136)*(1+IF(N($N136)&gt;0,$N136,IFERROR(CHOOSE(MATCH(LEFT($E136,2),{"AU";"NZ";"US"},0),ref_au_oncost_total,ref_nz_oncost_total,ref_us_oncost_total),0)))/12*IF(OR(5&lt;N($K136),AND(N($L136)&gt;0,5&gt;$L136)),0,1))</f>
        <v>0</v>
      </c>
      <c r="AM136">
        <f>IF($B136="",0,N($M136)*(1+IF(N($N136)&gt;0,$N136,IFERROR(CHOOSE(MATCH(LEFT($E136,2),{"AU";"NZ";"US"},0),ref_au_oncost_total,ref_nz_oncost_total,ref_us_oncost_total),0)))/12*IF(OR(6&lt;N($K136),AND(N($L136)&gt;0,6&gt;$L136)),0,1))</f>
        <v>0</v>
      </c>
      <c r="AN136">
        <f>IF($B136="",0,N($M136)*(1+IF(N($N136)&gt;0,$N136,IFERROR(CHOOSE(MATCH(LEFT($E136,2),{"AU";"NZ";"US"},0),ref_au_oncost_total,ref_nz_oncost_total,ref_us_oncost_total),0)))/12*IF(OR(7&lt;N($K136),AND(N($L136)&gt;0,7&gt;$L136)),0,1))</f>
        <v>0</v>
      </c>
      <c r="AO136">
        <f>IF($B136="",0,N($M136)*(1+IF(N($N136)&gt;0,$N136,IFERROR(CHOOSE(MATCH(LEFT($E136,2),{"AU";"NZ";"US"},0),ref_au_oncost_total,ref_nz_oncost_total,ref_us_oncost_total),0)))/12*IF(OR(8&lt;N($K136),AND(N($L136)&gt;0,8&gt;$L136)),0,1))</f>
        <v>0</v>
      </c>
      <c r="AP136">
        <f>IF($B136="",0,N($M136)*(1+IF(N($N136)&gt;0,$N136,IFERROR(CHOOSE(MATCH(LEFT($E136,2),{"AU";"NZ";"US"},0),ref_au_oncost_total,ref_nz_oncost_total,ref_us_oncost_total),0)))/12*IF(OR(9&lt;N($K136),AND(N($L136)&gt;0,9&gt;$L136)),0,1))</f>
        <v>0</v>
      </c>
      <c r="AQ136">
        <f>IF($B136="",0,N($M136)*(1+IF(N($N136)&gt;0,$N136,IFERROR(CHOOSE(MATCH(LEFT($E136,2),{"AU";"NZ";"US"},0),ref_au_oncost_total,ref_nz_oncost_total,ref_us_oncost_total),0)))/12*IF(OR(10&lt;N($K136),AND(N($L136)&gt;0,10&gt;$L136)),0,1))</f>
        <v>0</v>
      </c>
      <c r="AR136">
        <f>IF($B136="",0,N($M136)*(1+IF(N($N136)&gt;0,$N136,IFERROR(CHOOSE(MATCH(LEFT($E136,2),{"AU";"NZ";"US"},0),ref_au_oncost_total,ref_nz_oncost_total,ref_us_oncost_total),0)))/12*IF(OR(11&lt;N($K136),AND(N($L136)&gt;0,11&gt;$L136)),0,1))</f>
        <v>0</v>
      </c>
      <c r="AS136">
        <f>IF($B136="",0,N($M136)*(1+IF(N($N136)&gt;0,$N136,IFERROR(CHOOSE(MATCH(LEFT($E136,2),{"AU";"NZ";"US"},0),ref_au_oncost_total,ref_nz_oncost_total,ref_us_oncost_total),0)))/12*IF(OR(12&lt;N($K136),AND(N($L136)&gt;0,12&gt;$L136)),0,1))</f>
        <v>0</v>
      </c>
      <c r="AT136"/>
      <c r="AU136">
        <f t="shared" si="25"/>
        <v>0</v>
      </c>
      <c r="AV136">
        <f t="shared" si="26"/>
        <v>0</v>
      </c>
      <c r="AW136">
        <f t="shared" si="27"/>
        <v>0</v>
      </c>
      <c r="AX136">
        <f t="shared" si="28"/>
        <v>0</v>
      </c>
      <c r="AY136">
        <f t="shared" si="29"/>
        <v>0</v>
      </c>
      <c r="AZ136">
        <f t="shared" si="30"/>
        <v>0</v>
      </c>
      <c r="BA136">
        <f t="shared" si="31"/>
        <v>0</v>
      </c>
      <c r="BB136">
        <f t="shared" si="32"/>
        <v>0</v>
      </c>
      <c r="BC136">
        <f t="shared" si="33"/>
        <v>0</v>
      </c>
      <c r="BD136">
        <f t="shared" si="34"/>
        <v>0</v>
      </c>
      <c r="BE136">
        <f t="shared" si="35"/>
        <v>0</v>
      </c>
      <c r="BF136">
        <f t="shared" si="36"/>
        <v>0</v>
      </c>
    </row>
    <row r="137" spans="1:58" outlineLevel="1" x14ac:dyDescent="0.2">
      <c r="A137" s="121"/>
      <c r="B137" s="109"/>
      <c r="C137" s="109"/>
      <c r="D137" s="111"/>
      <c r="E137" s="112"/>
      <c r="F137" s="113"/>
      <c r="G137" s="109"/>
      <c r="H137" s="113"/>
      <c r="I137" s="104"/>
      <c r="J137" s="100"/>
      <c r="K137" s="110"/>
      <c r="L137" s="110"/>
      <c r="M137" s="100"/>
      <c r="N137" s="104"/>
      <c r="O137" s="66"/>
      <c r="P137" s="121" t="str">
        <f t="shared" si="24"/>
        <v/>
      </c>
      <c r="S137"/>
      <c r="T137"/>
      <c r="U137" cm="1">
        <f t="array" ref="U137">IF($B137="",0,IF(OR(1&lt;N($K137),AND(N($L137)&gt;0,1&gt;$L137)),0,N($F137)*N($H137)*IFERROR(INDEX(cal_wd_active,IFERROR(MATCH($E137,cal_jurisdictions,0),MATCH($E137&amp;"-*",cal_jurisdictions,0)),1),0)*N($I137)*N($J137)))</f>
        <v>0</v>
      </c>
      <c r="V137" cm="1">
        <f t="array" ref="V137">IF($B137="",0,IF(OR(2&lt;N($K137),AND(N($L137)&gt;0,2&gt;$L137)),0,N($F137)*N($H137)*IFERROR(INDEX(cal_wd_active,IFERROR(MATCH($E137,cal_jurisdictions,0),MATCH($E137&amp;"-*",cal_jurisdictions,0)),2),0)*N($I137)*N($J137)))</f>
        <v>0</v>
      </c>
      <c r="W137" cm="1">
        <f t="array" ref="W137">IF($B137="",0,IF(OR(3&lt;N($K137),AND(N($L137)&gt;0,3&gt;$L137)),0,N($F137)*N($H137)*IFERROR(INDEX(cal_wd_active,IFERROR(MATCH($E137,cal_jurisdictions,0),MATCH($E137&amp;"-*",cal_jurisdictions,0)),3),0)*N($I137)*N($J137)))</f>
        <v>0</v>
      </c>
      <c r="X137" cm="1">
        <f t="array" ref="X137">IF($B137="",0,IF(OR(4&lt;N($K137),AND(N($L137)&gt;0,4&gt;$L137)),0,N($F137)*N($H137)*IFERROR(INDEX(cal_wd_active,IFERROR(MATCH($E137,cal_jurisdictions,0),MATCH($E137&amp;"-*",cal_jurisdictions,0)),4),0)*N($I137)*N($J137)))</f>
        <v>0</v>
      </c>
      <c r="Y137" cm="1">
        <f t="array" ref="Y137">IF($B137="",0,IF(OR(5&lt;N($K137),AND(N($L137)&gt;0,5&gt;$L137)),0,N($F137)*N($H137)*IFERROR(INDEX(cal_wd_active,IFERROR(MATCH($E137,cal_jurisdictions,0),MATCH($E137&amp;"-*",cal_jurisdictions,0)),5),0)*N($I137)*N($J137)))</f>
        <v>0</v>
      </c>
      <c r="Z137" cm="1">
        <f t="array" ref="Z137">IF($B137="",0,IF(OR(6&lt;N($K137),AND(N($L137)&gt;0,6&gt;$L137)),0,N($F137)*N($H137)*IFERROR(INDEX(cal_wd_active,IFERROR(MATCH($E137,cal_jurisdictions,0),MATCH($E137&amp;"-*",cal_jurisdictions,0)),6),0)*N($I137)*N($J137)))</f>
        <v>0</v>
      </c>
      <c r="AA137" cm="1">
        <f t="array" ref="AA137">IF($B137="",0,IF(OR(7&lt;N($K137),AND(N($L137)&gt;0,7&gt;$L137)),0,N($F137)*N($H137)*IFERROR(INDEX(cal_wd_active,IFERROR(MATCH($E137,cal_jurisdictions,0),MATCH($E137&amp;"-*",cal_jurisdictions,0)),7),0)*N($I137)*N($J137)))</f>
        <v>0</v>
      </c>
      <c r="AB137" cm="1">
        <f t="array" ref="AB137">IF($B137="",0,IF(OR(8&lt;N($K137),AND(N($L137)&gt;0,8&gt;$L137)),0,N($F137)*N($H137)*IFERROR(INDEX(cal_wd_active,IFERROR(MATCH($E137,cal_jurisdictions,0),MATCH($E137&amp;"-*",cal_jurisdictions,0)),8),0)*N($I137)*N($J137)))</f>
        <v>0</v>
      </c>
      <c r="AC137" cm="1">
        <f t="array" ref="AC137">IF($B137="",0,IF(OR(9&lt;N($K137),AND(N($L137)&gt;0,9&gt;$L137)),0,N($F137)*N($H137)*IFERROR(INDEX(cal_wd_active,IFERROR(MATCH($E137,cal_jurisdictions,0),MATCH($E137&amp;"-*",cal_jurisdictions,0)),9),0)*N($I137)*N($J137)))</f>
        <v>0</v>
      </c>
      <c r="AD137" cm="1">
        <f t="array" ref="AD137">IF($B137="",0,IF(OR(10&lt;N($K137),AND(N($L137)&gt;0,10&gt;$L137)),0,N($F137)*N($H137)*IFERROR(INDEX(cal_wd_active,IFERROR(MATCH($E137,cal_jurisdictions,0),MATCH($E137&amp;"-*",cal_jurisdictions,0)),10),0)*N($I137)*N($J137)))</f>
        <v>0</v>
      </c>
      <c r="AE137" cm="1">
        <f t="array" ref="AE137">IF($B137="",0,IF(OR(11&lt;N($K137),AND(N($L137)&gt;0,11&gt;$L137)),0,N($F137)*N($H137)*IFERROR(INDEX(cal_wd_active,IFERROR(MATCH($E137,cal_jurisdictions,0),MATCH($E137&amp;"-*",cal_jurisdictions,0)),11),0)*N($I137)*N($J137)))</f>
        <v>0</v>
      </c>
      <c r="AF137" cm="1">
        <f t="array" ref="AF137">IF($B137="",0,IF(OR(12&lt;N($K137),AND(N($L137)&gt;0,12&gt;$L137)),0,N($F137)*N($H137)*IFERROR(INDEX(cal_wd_active,IFERROR(MATCH($E137,cal_jurisdictions,0),MATCH($E137&amp;"-*",cal_jurisdictions,0)),12),0)*N($I137)*N($J137)))</f>
        <v>0</v>
      </c>
      <c r="AG137"/>
      <c r="AH137">
        <f>IF($B137="",0,N($M137)*(1+IF(N($N137)&gt;0,$N137,IFERROR(CHOOSE(MATCH(LEFT($E137,2),{"AU";"NZ";"US"},0),ref_au_oncost_total,ref_nz_oncost_total,ref_us_oncost_total),0)))/12*IF(OR(1&lt;N($K137),AND(N($L137)&gt;0,1&gt;$L137)),0,1))</f>
        <v>0</v>
      </c>
      <c r="AI137">
        <f>IF($B137="",0,N($M137)*(1+IF(N($N137)&gt;0,$N137,IFERROR(CHOOSE(MATCH(LEFT($E137,2),{"AU";"NZ";"US"},0),ref_au_oncost_total,ref_nz_oncost_total,ref_us_oncost_total),0)))/12*IF(OR(2&lt;N($K137),AND(N($L137)&gt;0,2&gt;$L137)),0,1))</f>
        <v>0</v>
      </c>
      <c r="AJ137">
        <f>IF($B137="",0,N($M137)*(1+IF(N($N137)&gt;0,$N137,IFERROR(CHOOSE(MATCH(LEFT($E137,2),{"AU";"NZ";"US"},0),ref_au_oncost_total,ref_nz_oncost_total,ref_us_oncost_total),0)))/12*IF(OR(3&lt;N($K137),AND(N($L137)&gt;0,3&gt;$L137)),0,1))</f>
        <v>0</v>
      </c>
      <c r="AK137">
        <f>IF($B137="",0,N($M137)*(1+IF(N($N137)&gt;0,$N137,IFERROR(CHOOSE(MATCH(LEFT($E137,2),{"AU";"NZ";"US"},0),ref_au_oncost_total,ref_nz_oncost_total,ref_us_oncost_total),0)))/12*IF(OR(4&lt;N($K137),AND(N($L137)&gt;0,4&gt;$L137)),0,1))</f>
        <v>0</v>
      </c>
      <c r="AL137">
        <f>IF($B137="",0,N($M137)*(1+IF(N($N137)&gt;0,$N137,IFERROR(CHOOSE(MATCH(LEFT($E137,2),{"AU";"NZ";"US"},0),ref_au_oncost_total,ref_nz_oncost_total,ref_us_oncost_total),0)))/12*IF(OR(5&lt;N($K137),AND(N($L137)&gt;0,5&gt;$L137)),0,1))</f>
        <v>0</v>
      </c>
      <c r="AM137">
        <f>IF($B137="",0,N($M137)*(1+IF(N($N137)&gt;0,$N137,IFERROR(CHOOSE(MATCH(LEFT($E137,2),{"AU";"NZ";"US"},0),ref_au_oncost_total,ref_nz_oncost_total,ref_us_oncost_total),0)))/12*IF(OR(6&lt;N($K137),AND(N($L137)&gt;0,6&gt;$L137)),0,1))</f>
        <v>0</v>
      </c>
      <c r="AN137">
        <f>IF($B137="",0,N($M137)*(1+IF(N($N137)&gt;0,$N137,IFERROR(CHOOSE(MATCH(LEFT($E137,2),{"AU";"NZ";"US"},0),ref_au_oncost_total,ref_nz_oncost_total,ref_us_oncost_total),0)))/12*IF(OR(7&lt;N($K137),AND(N($L137)&gt;0,7&gt;$L137)),0,1))</f>
        <v>0</v>
      </c>
      <c r="AO137">
        <f>IF($B137="",0,N($M137)*(1+IF(N($N137)&gt;0,$N137,IFERROR(CHOOSE(MATCH(LEFT($E137,2),{"AU";"NZ";"US"},0),ref_au_oncost_total,ref_nz_oncost_total,ref_us_oncost_total),0)))/12*IF(OR(8&lt;N($K137),AND(N($L137)&gt;0,8&gt;$L137)),0,1))</f>
        <v>0</v>
      </c>
      <c r="AP137">
        <f>IF($B137="",0,N($M137)*(1+IF(N($N137)&gt;0,$N137,IFERROR(CHOOSE(MATCH(LEFT($E137,2),{"AU";"NZ";"US"},0),ref_au_oncost_total,ref_nz_oncost_total,ref_us_oncost_total),0)))/12*IF(OR(9&lt;N($K137),AND(N($L137)&gt;0,9&gt;$L137)),0,1))</f>
        <v>0</v>
      </c>
      <c r="AQ137">
        <f>IF($B137="",0,N($M137)*(1+IF(N($N137)&gt;0,$N137,IFERROR(CHOOSE(MATCH(LEFT($E137,2),{"AU";"NZ";"US"},0),ref_au_oncost_total,ref_nz_oncost_total,ref_us_oncost_total),0)))/12*IF(OR(10&lt;N($K137),AND(N($L137)&gt;0,10&gt;$L137)),0,1))</f>
        <v>0</v>
      </c>
      <c r="AR137">
        <f>IF($B137="",0,N($M137)*(1+IF(N($N137)&gt;0,$N137,IFERROR(CHOOSE(MATCH(LEFT($E137,2),{"AU";"NZ";"US"},0),ref_au_oncost_total,ref_nz_oncost_total,ref_us_oncost_total),0)))/12*IF(OR(11&lt;N($K137),AND(N($L137)&gt;0,11&gt;$L137)),0,1))</f>
        <v>0</v>
      </c>
      <c r="AS137">
        <f>IF($B137="",0,N($M137)*(1+IF(N($N137)&gt;0,$N137,IFERROR(CHOOSE(MATCH(LEFT($E137,2),{"AU";"NZ";"US"},0),ref_au_oncost_total,ref_nz_oncost_total,ref_us_oncost_total),0)))/12*IF(OR(12&lt;N($K137),AND(N($L137)&gt;0,12&gt;$L137)),0,1))</f>
        <v>0</v>
      </c>
      <c r="AT137"/>
      <c r="AU137">
        <f t="shared" si="25"/>
        <v>0</v>
      </c>
      <c r="AV137">
        <f t="shared" si="26"/>
        <v>0</v>
      </c>
      <c r="AW137">
        <f t="shared" si="27"/>
        <v>0</v>
      </c>
      <c r="AX137">
        <f t="shared" si="28"/>
        <v>0</v>
      </c>
      <c r="AY137">
        <f t="shared" si="29"/>
        <v>0</v>
      </c>
      <c r="AZ137">
        <f t="shared" si="30"/>
        <v>0</v>
      </c>
      <c r="BA137">
        <f t="shared" si="31"/>
        <v>0</v>
      </c>
      <c r="BB137">
        <f t="shared" si="32"/>
        <v>0</v>
      </c>
      <c r="BC137">
        <f t="shared" si="33"/>
        <v>0</v>
      </c>
      <c r="BD137">
        <f t="shared" si="34"/>
        <v>0</v>
      </c>
      <c r="BE137">
        <f t="shared" si="35"/>
        <v>0</v>
      </c>
      <c r="BF137">
        <f t="shared" si="36"/>
        <v>0</v>
      </c>
    </row>
    <row r="138" spans="1:58" outlineLevel="1" x14ac:dyDescent="0.2">
      <c r="A138" s="121"/>
      <c r="B138" s="109"/>
      <c r="C138" s="109"/>
      <c r="D138" s="111"/>
      <c r="E138" s="112"/>
      <c r="F138" s="113"/>
      <c r="G138" s="109"/>
      <c r="H138" s="113"/>
      <c r="I138" s="104"/>
      <c r="J138" s="100"/>
      <c r="K138" s="110"/>
      <c r="L138" s="110"/>
      <c r="M138" s="100"/>
      <c r="N138" s="104"/>
      <c r="O138" s="66"/>
      <c r="P138" s="121" t="str">
        <f t="shared" si="24"/>
        <v/>
      </c>
      <c r="S138"/>
      <c r="T138"/>
      <c r="U138" cm="1">
        <f t="array" ref="U138">IF($B138="",0,IF(OR(1&lt;N($K138),AND(N($L138)&gt;0,1&gt;$L138)),0,N($F138)*N($H138)*IFERROR(INDEX(cal_wd_active,IFERROR(MATCH($E138,cal_jurisdictions,0),MATCH($E138&amp;"-*",cal_jurisdictions,0)),1),0)*N($I138)*N($J138)))</f>
        <v>0</v>
      </c>
      <c r="V138" cm="1">
        <f t="array" ref="V138">IF($B138="",0,IF(OR(2&lt;N($K138),AND(N($L138)&gt;0,2&gt;$L138)),0,N($F138)*N($H138)*IFERROR(INDEX(cal_wd_active,IFERROR(MATCH($E138,cal_jurisdictions,0),MATCH($E138&amp;"-*",cal_jurisdictions,0)),2),0)*N($I138)*N($J138)))</f>
        <v>0</v>
      </c>
      <c r="W138" cm="1">
        <f t="array" ref="W138">IF($B138="",0,IF(OR(3&lt;N($K138),AND(N($L138)&gt;0,3&gt;$L138)),0,N($F138)*N($H138)*IFERROR(INDEX(cal_wd_active,IFERROR(MATCH($E138,cal_jurisdictions,0),MATCH($E138&amp;"-*",cal_jurisdictions,0)),3),0)*N($I138)*N($J138)))</f>
        <v>0</v>
      </c>
      <c r="X138" cm="1">
        <f t="array" ref="X138">IF($B138="",0,IF(OR(4&lt;N($K138),AND(N($L138)&gt;0,4&gt;$L138)),0,N($F138)*N($H138)*IFERROR(INDEX(cal_wd_active,IFERROR(MATCH($E138,cal_jurisdictions,0),MATCH($E138&amp;"-*",cal_jurisdictions,0)),4),0)*N($I138)*N($J138)))</f>
        <v>0</v>
      </c>
      <c r="Y138" cm="1">
        <f t="array" ref="Y138">IF($B138="",0,IF(OR(5&lt;N($K138),AND(N($L138)&gt;0,5&gt;$L138)),0,N($F138)*N($H138)*IFERROR(INDEX(cal_wd_active,IFERROR(MATCH($E138,cal_jurisdictions,0),MATCH($E138&amp;"-*",cal_jurisdictions,0)),5),0)*N($I138)*N($J138)))</f>
        <v>0</v>
      </c>
      <c r="Z138" cm="1">
        <f t="array" ref="Z138">IF($B138="",0,IF(OR(6&lt;N($K138),AND(N($L138)&gt;0,6&gt;$L138)),0,N($F138)*N($H138)*IFERROR(INDEX(cal_wd_active,IFERROR(MATCH($E138,cal_jurisdictions,0),MATCH($E138&amp;"-*",cal_jurisdictions,0)),6),0)*N($I138)*N($J138)))</f>
        <v>0</v>
      </c>
      <c r="AA138" cm="1">
        <f t="array" ref="AA138">IF($B138="",0,IF(OR(7&lt;N($K138),AND(N($L138)&gt;0,7&gt;$L138)),0,N($F138)*N($H138)*IFERROR(INDEX(cal_wd_active,IFERROR(MATCH($E138,cal_jurisdictions,0),MATCH($E138&amp;"-*",cal_jurisdictions,0)),7),0)*N($I138)*N($J138)))</f>
        <v>0</v>
      </c>
      <c r="AB138" cm="1">
        <f t="array" ref="AB138">IF($B138="",0,IF(OR(8&lt;N($K138),AND(N($L138)&gt;0,8&gt;$L138)),0,N($F138)*N($H138)*IFERROR(INDEX(cal_wd_active,IFERROR(MATCH($E138,cal_jurisdictions,0),MATCH($E138&amp;"-*",cal_jurisdictions,0)),8),0)*N($I138)*N($J138)))</f>
        <v>0</v>
      </c>
      <c r="AC138" cm="1">
        <f t="array" ref="AC138">IF($B138="",0,IF(OR(9&lt;N($K138),AND(N($L138)&gt;0,9&gt;$L138)),0,N($F138)*N($H138)*IFERROR(INDEX(cal_wd_active,IFERROR(MATCH($E138,cal_jurisdictions,0),MATCH($E138&amp;"-*",cal_jurisdictions,0)),9),0)*N($I138)*N($J138)))</f>
        <v>0</v>
      </c>
      <c r="AD138" cm="1">
        <f t="array" ref="AD138">IF($B138="",0,IF(OR(10&lt;N($K138),AND(N($L138)&gt;0,10&gt;$L138)),0,N($F138)*N($H138)*IFERROR(INDEX(cal_wd_active,IFERROR(MATCH($E138,cal_jurisdictions,0),MATCH($E138&amp;"-*",cal_jurisdictions,0)),10),0)*N($I138)*N($J138)))</f>
        <v>0</v>
      </c>
      <c r="AE138" cm="1">
        <f t="array" ref="AE138">IF($B138="",0,IF(OR(11&lt;N($K138),AND(N($L138)&gt;0,11&gt;$L138)),0,N($F138)*N($H138)*IFERROR(INDEX(cal_wd_active,IFERROR(MATCH($E138,cal_jurisdictions,0),MATCH($E138&amp;"-*",cal_jurisdictions,0)),11),0)*N($I138)*N($J138)))</f>
        <v>0</v>
      </c>
      <c r="AF138" cm="1">
        <f t="array" ref="AF138">IF($B138="",0,IF(OR(12&lt;N($K138),AND(N($L138)&gt;0,12&gt;$L138)),0,N($F138)*N($H138)*IFERROR(INDEX(cal_wd_active,IFERROR(MATCH($E138,cal_jurisdictions,0),MATCH($E138&amp;"-*",cal_jurisdictions,0)),12),0)*N($I138)*N($J138)))</f>
        <v>0</v>
      </c>
      <c r="AG138"/>
      <c r="AH138">
        <f>IF($B138="",0,N($M138)*(1+IF(N($N138)&gt;0,$N138,IFERROR(CHOOSE(MATCH(LEFT($E138,2),{"AU";"NZ";"US"},0),ref_au_oncost_total,ref_nz_oncost_total,ref_us_oncost_total),0)))/12*IF(OR(1&lt;N($K138),AND(N($L138)&gt;0,1&gt;$L138)),0,1))</f>
        <v>0</v>
      </c>
      <c r="AI138">
        <f>IF($B138="",0,N($M138)*(1+IF(N($N138)&gt;0,$N138,IFERROR(CHOOSE(MATCH(LEFT($E138,2),{"AU";"NZ";"US"},0),ref_au_oncost_total,ref_nz_oncost_total,ref_us_oncost_total),0)))/12*IF(OR(2&lt;N($K138),AND(N($L138)&gt;0,2&gt;$L138)),0,1))</f>
        <v>0</v>
      </c>
      <c r="AJ138">
        <f>IF($B138="",0,N($M138)*(1+IF(N($N138)&gt;0,$N138,IFERROR(CHOOSE(MATCH(LEFT($E138,2),{"AU";"NZ";"US"},0),ref_au_oncost_total,ref_nz_oncost_total,ref_us_oncost_total),0)))/12*IF(OR(3&lt;N($K138),AND(N($L138)&gt;0,3&gt;$L138)),0,1))</f>
        <v>0</v>
      </c>
      <c r="AK138">
        <f>IF($B138="",0,N($M138)*(1+IF(N($N138)&gt;0,$N138,IFERROR(CHOOSE(MATCH(LEFT($E138,2),{"AU";"NZ";"US"},0),ref_au_oncost_total,ref_nz_oncost_total,ref_us_oncost_total),0)))/12*IF(OR(4&lt;N($K138),AND(N($L138)&gt;0,4&gt;$L138)),0,1))</f>
        <v>0</v>
      </c>
      <c r="AL138">
        <f>IF($B138="",0,N($M138)*(1+IF(N($N138)&gt;0,$N138,IFERROR(CHOOSE(MATCH(LEFT($E138,2),{"AU";"NZ";"US"},0),ref_au_oncost_total,ref_nz_oncost_total,ref_us_oncost_total),0)))/12*IF(OR(5&lt;N($K138),AND(N($L138)&gt;0,5&gt;$L138)),0,1))</f>
        <v>0</v>
      </c>
      <c r="AM138">
        <f>IF($B138="",0,N($M138)*(1+IF(N($N138)&gt;0,$N138,IFERROR(CHOOSE(MATCH(LEFT($E138,2),{"AU";"NZ";"US"},0),ref_au_oncost_total,ref_nz_oncost_total,ref_us_oncost_total),0)))/12*IF(OR(6&lt;N($K138),AND(N($L138)&gt;0,6&gt;$L138)),0,1))</f>
        <v>0</v>
      </c>
      <c r="AN138">
        <f>IF($B138="",0,N($M138)*(1+IF(N($N138)&gt;0,$N138,IFERROR(CHOOSE(MATCH(LEFT($E138,2),{"AU";"NZ";"US"},0),ref_au_oncost_total,ref_nz_oncost_total,ref_us_oncost_total),0)))/12*IF(OR(7&lt;N($K138),AND(N($L138)&gt;0,7&gt;$L138)),0,1))</f>
        <v>0</v>
      </c>
      <c r="AO138">
        <f>IF($B138="",0,N($M138)*(1+IF(N($N138)&gt;0,$N138,IFERROR(CHOOSE(MATCH(LEFT($E138,2),{"AU";"NZ";"US"},0),ref_au_oncost_total,ref_nz_oncost_total,ref_us_oncost_total),0)))/12*IF(OR(8&lt;N($K138),AND(N($L138)&gt;0,8&gt;$L138)),0,1))</f>
        <v>0</v>
      </c>
      <c r="AP138">
        <f>IF($B138="",0,N($M138)*(1+IF(N($N138)&gt;0,$N138,IFERROR(CHOOSE(MATCH(LEFT($E138,2),{"AU";"NZ";"US"},0),ref_au_oncost_total,ref_nz_oncost_total,ref_us_oncost_total),0)))/12*IF(OR(9&lt;N($K138),AND(N($L138)&gt;0,9&gt;$L138)),0,1))</f>
        <v>0</v>
      </c>
      <c r="AQ138">
        <f>IF($B138="",0,N($M138)*(1+IF(N($N138)&gt;0,$N138,IFERROR(CHOOSE(MATCH(LEFT($E138,2),{"AU";"NZ";"US"},0),ref_au_oncost_total,ref_nz_oncost_total,ref_us_oncost_total),0)))/12*IF(OR(10&lt;N($K138),AND(N($L138)&gt;0,10&gt;$L138)),0,1))</f>
        <v>0</v>
      </c>
      <c r="AR138">
        <f>IF($B138="",0,N($M138)*(1+IF(N($N138)&gt;0,$N138,IFERROR(CHOOSE(MATCH(LEFT($E138,2),{"AU";"NZ";"US"},0),ref_au_oncost_total,ref_nz_oncost_total,ref_us_oncost_total),0)))/12*IF(OR(11&lt;N($K138),AND(N($L138)&gt;0,11&gt;$L138)),0,1))</f>
        <v>0</v>
      </c>
      <c r="AS138">
        <f>IF($B138="",0,N($M138)*(1+IF(N($N138)&gt;0,$N138,IFERROR(CHOOSE(MATCH(LEFT($E138,2),{"AU";"NZ";"US"},0),ref_au_oncost_total,ref_nz_oncost_total,ref_us_oncost_total),0)))/12*IF(OR(12&lt;N($K138),AND(N($L138)&gt;0,12&gt;$L138)),0,1))</f>
        <v>0</v>
      </c>
      <c r="AT138"/>
      <c r="AU138">
        <f t="shared" si="25"/>
        <v>0</v>
      </c>
      <c r="AV138">
        <f t="shared" si="26"/>
        <v>0</v>
      </c>
      <c r="AW138">
        <f t="shared" si="27"/>
        <v>0</v>
      </c>
      <c r="AX138">
        <f t="shared" si="28"/>
        <v>0</v>
      </c>
      <c r="AY138">
        <f t="shared" si="29"/>
        <v>0</v>
      </c>
      <c r="AZ138">
        <f t="shared" si="30"/>
        <v>0</v>
      </c>
      <c r="BA138">
        <f t="shared" si="31"/>
        <v>0</v>
      </c>
      <c r="BB138">
        <f t="shared" si="32"/>
        <v>0</v>
      </c>
      <c r="BC138">
        <f t="shared" si="33"/>
        <v>0</v>
      </c>
      <c r="BD138">
        <f t="shared" si="34"/>
        <v>0</v>
      </c>
      <c r="BE138">
        <f t="shared" si="35"/>
        <v>0</v>
      </c>
      <c r="BF138">
        <f t="shared" si="36"/>
        <v>0</v>
      </c>
    </row>
    <row r="139" spans="1:58" outlineLevel="1" x14ac:dyDescent="0.2">
      <c r="A139" s="121"/>
      <c r="B139" s="109"/>
      <c r="C139" s="109"/>
      <c r="D139" s="111"/>
      <c r="E139" s="112"/>
      <c r="F139" s="113"/>
      <c r="G139" s="109"/>
      <c r="H139" s="113"/>
      <c r="I139" s="104"/>
      <c r="J139" s="100"/>
      <c r="K139" s="110"/>
      <c r="L139" s="110"/>
      <c r="M139" s="100"/>
      <c r="N139" s="104"/>
      <c r="O139" s="66"/>
      <c r="P139" s="121" t="str">
        <f t="shared" si="24"/>
        <v/>
      </c>
      <c r="S139"/>
      <c r="T139"/>
      <c r="U139" cm="1">
        <f t="array" ref="U139">IF($B139="",0,IF(OR(1&lt;N($K139),AND(N($L139)&gt;0,1&gt;$L139)),0,N($F139)*N($H139)*IFERROR(INDEX(cal_wd_active,IFERROR(MATCH($E139,cal_jurisdictions,0),MATCH($E139&amp;"-*",cal_jurisdictions,0)),1),0)*N($I139)*N($J139)))</f>
        <v>0</v>
      </c>
      <c r="V139" cm="1">
        <f t="array" ref="V139">IF($B139="",0,IF(OR(2&lt;N($K139),AND(N($L139)&gt;0,2&gt;$L139)),0,N($F139)*N($H139)*IFERROR(INDEX(cal_wd_active,IFERROR(MATCH($E139,cal_jurisdictions,0),MATCH($E139&amp;"-*",cal_jurisdictions,0)),2),0)*N($I139)*N($J139)))</f>
        <v>0</v>
      </c>
      <c r="W139" cm="1">
        <f t="array" ref="W139">IF($B139="",0,IF(OR(3&lt;N($K139),AND(N($L139)&gt;0,3&gt;$L139)),0,N($F139)*N($H139)*IFERROR(INDEX(cal_wd_active,IFERROR(MATCH($E139,cal_jurisdictions,0),MATCH($E139&amp;"-*",cal_jurisdictions,0)),3),0)*N($I139)*N($J139)))</f>
        <v>0</v>
      </c>
      <c r="X139" cm="1">
        <f t="array" ref="X139">IF($B139="",0,IF(OR(4&lt;N($K139),AND(N($L139)&gt;0,4&gt;$L139)),0,N($F139)*N($H139)*IFERROR(INDEX(cal_wd_active,IFERROR(MATCH($E139,cal_jurisdictions,0),MATCH($E139&amp;"-*",cal_jurisdictions,0)),4),0)*N($I139)*N($J139)))</f>
        <v>0</v>
      </c>
      <c r="Y139" cm="1">
        <f t="array" ref="Y139">IF($B139="",0,IF(OR(5&lt;N($K139),AND(N($L139)&gt;0,5&gt;$L139)),0,N($F139)*N($H139)*IFERROR(INDEX(cal_wd_active,IFERROR(MATCH($E139,cal_jurisdictions,0),MATCH($E139&amp;"-*",cal_jurisdictions,0)),5),0)*N($I139)*N($J139)))</f>
        <v>0</v>
      </c>
      <c r="Z139" cm="1">
        <f t="array" ref="Z139">IF($B139="",0,IF(OR(6&lt;N($K139),AND(N($L139)&gt;0,6&gt;$L139)),0,N($F139)*N($H139)*IFERROR(INDEX(cal_wd_active,IFERROR(MATCH($E139,cal_jurisdictions,0),MATCH($E139&amp;"-*",cal_jurisdictions,0)),6),0)*N($I139)*N($J139)))</f>
        <v>0</v>
      </c>
      <c r="AA139" cm="1">
        <f t="array" ref="AA139">IF($B139="",0,IF(OR(7&lt;N($K139),AND(N($L139)&gt;0,7&gt;$L139)),0,N($F139)*N($H139)*IFERROR(INDEX(cal_wd_active,IFERROR(MATCH($E139,cal_jurisdictions,0),MATCH($E139&amp;"-*",cal_jurisdictions,0)),7),0)*N($I139)*N($J139)))</f>
        <v>0</v>
      </c>
      <c r="AB139" cm="1">
        <f t="array" ref="AB139">IF($B139="",0,IF(OR(8&lt;N($K139),AND(N($L139)&gt;0,8&gt;$L139)),0,N($F139)*N($H139)*IFERROR(INDEX(cal_wd_active,IFERROR(MATCH($E139,cal_jurisdictions,0),MATCH($E139&amp;"-*",cal_jurisdictions,0)),8),0)*N($I139)*N($J139)))</f>
        <v>0</v>
      </c>
      <c r="AC139" cm="1">
        <f t="array" ref="AC139">IF($B139="",0,IF(OR(9&lt;N($K139),AND(N($L139)&gt;0,9&gt;$L139)),0,N($F139)*N($H139)*IFERROR(INDEX(cal_wd_active,IFERROR(MATCH($E139,cal_jurisdictions,0),MATCH($E139&amp;"-*",cal_jurisdictions,0)),9),0)*N($I139)*N($J139)))</f>
        <v>0</v>
      </c>
      <c r="AD139" cm="1">
        <f t="array" ref="AD139">IF($B139="",0,IF(OR(10&lt;N($K139),AND(N($L139)&gt;0,10&gt;$L139)),0,N($F139)*N($H139)*IFERROR(INDEX(cal_wd_active,IFERROR(MATCH($E139,cal_jurisdictions,0),MATCH($E139&amp;"-*",cal_jurisdictions,0)),10),0)*N($I139)*N($J139)))</f>
        <v>0</v>
      </c>
      <c r="AE139" cm="1">
        <f t="array" ref="AE139">IF($B139="",0,IF(OR(11&lt;N($K139),AND(N($L139)&gt;0,11&gt;$L139)),0,N($F139)*N($H139)*IFERROR(INDEX(cal_wd_active,IFERROR(MATCH($E139,cal_jurisdictions,0),MATCH($E139&amp;"-*",cal_jurisdictions,0)),11),0)*N($I139)*N($J139)))</f>
        <v>0</v>
      </c>
      <c r="AF139" cm="1">
        <f t="array" ref="AF139">IF($B139="",0,IF(OR(12&lt;N($K139),AND(N($L139)&gt;0,12&gt;$L139)),0,N($F139)*N($H139)*IFERROR(INDEX(cal_wd_active,IFERROR(MATCH($E139,cal_jurisdictions,0),MATCH($E139&amp;"-*",cal_jurisdictions,0)),12),0)*N($I139)*N($J139)))</f>
        <v>0</v>
      </c>
      <c r="AG139"/>
      <c r="AH139">
        <f>IF($B139="",0,N($M139)*(1+IF(N($N139)&gt;0,$N139,IFERROR(CHOOSE(MATCH(LEFT($E139,2),{"AU";"NZ";"US"},0),ref_au_oncost_total,ref_nz_oncost_total,ref_us_oncost_total),0)))/12*IF(OR(1&lt;N($K139),AND(N($L139)&gt;0,1&gt;$L139)),0,1))</f>
        <v>0</v>
      </c>
      <c r="AI139">
        <f>IF($B139="",0,N($M139)*(1+IF(N($N139)&gt;0,$N139,IFERROR(CHOOSE(MATCH(LEFT($E139,2),{"AU";"NZ";"US"},0),ref_au_oncost_total,ref_nz_oncost_total,ref_us_oncost_total),0)))/12*IF(OR(2&lt;N($K139),AND(N($L139)&gt;0,2&gt;$L139)),0,1))</f>
        <v>0</v>
      </c>
      <c r="AJ139">
        <f>IF($B139="",0,N($M139)*(1+IF(N($N139)&gt;0,$N139,IFERROR(CHOOSE(MATCH(LEFT($E139,2),{"AU";"NZ";"US"},0),ref_au_oncost_total,ref_nz_oncost_total,ref_us_oncost_total),0)))/12*IF(OR(3&lt;N($K139),AND(N($L139)&gt;0,3&gt;$L139)),0,1))</f>
        <v>0</v>
      </c>
      <c r="AK139">
        <f>IF($B139="",0,N($M139)*(1+IF(N($N139)&gt;0,$N139,IFERROR(CHOOSE(MATCH(LEFT($E139,2),{"AU";"NZ";"US"},0),ref_au_oncost_total,ref_nz_oncost_total,ref_us_oncost_total),0)))/12*IF(OR(4&lt;N($K139),AND(N($L139)&gt;0,4&gt;$L139)),0,1))</f>
        <v>0</v>
      </c>
      <c r="AL139">
        <f>IF($B139="",0,N($M139)*(1+IF(N($N139)&gt;0,$N139,IFERROR(CHOOSE(MATCH(LEFT($E139,2),{"AU";"NZ";"US"},0),ref_au_oncost_total,ref_nz_oncost_total,ref_us_oncost_total),0)))/12*IF(OR(5&lt;N($K139),AND(N($L139)&gt;0,5&gt;$L139)),0,1))</f>
        <v>0</v>
      </c>
      <c r="AM139">
        <f>IF($B139="",0,N($M139)*(1+IF(N($N139)&gt;0,$N139,IFERROR(CHOOSE(MATCH(LEFT($E139,2),{"AU";"NZ";"US"},0),ref_au_oncost_total,ref_nz_oncost_total,ref_us_oncost_total),0)))/12*IF(OR(6&lt;N($K139),AND(N($L139)&gt;0,6&gt;$L139)),0,1))</f>
        <v>0</v>
      </c>
      <c r="AN139">
        <f>IF($B139="",0,N($M139)*(1+IF(N($N139)&gt;0,$N139,IFERROR(CHOOSE(MATCH(LEFT($E139,2),{"AU";"NZ";"US"},0),ref_au_oncost_total,ref_nz_oncost_total,ref_us_oncost_total),0)))/12*IF(OR(7&lt;N($K139),AND(N($L139)&gt;0,7&gt;$L139)),0,1))</f>
        <v>0</v>
      </c>
      <c r="AO139">
        <f>IF($B139="",0,N($M139)*(1+IF(N($N139)&gt;0,$N139,IFERROR(CHOOSE(MATCH(LEFT($E139,2),{"AU";"NZ";"US"},0),ref_au_oncost_total,ref_nz_oncost_total,ref_us_oncost_total),0)))/12*IF(OR(8&lt;N($K139),AND(N($L139)&gt;0,8&gt;$L139)),0,1))</f>
        <v>0</v>
      </c>
      <c r="AP139">
        <f>IF($B139="",0,N($M139)*(1+IF(N($N139)&gt;0,$N139,IFERROR(CHOOSE(MATCH(LEFT($E139,2),{"AU";"NZ";"US"},0),ref_au_oncost_total,ref_nz_oncost_total,ref_us_oncost_total),0)))/12*IF(OR(9&lt;N($K139),AND(N($L139)&gt;0,9&gt;$L139)),0,1))</f>
        <v>0</v>
      </c>
      <c r="AQ139">
        <f>IF($B139="",0,N($M139)*(1+IF(N($N139)&gt;0,$N139,IFERROR(CHOOSE(MATCH(LEFT($E139,2),{"AU";"NZ";"US"},0),ref_au_oncost_total,ref_nz_oncost_total,ref_us_oncost_total),0)))/12*IF(OR(10&lt;N($K139),AND(N($L139)&gt;0,10&gt;$L139)),0,1))</f>
        <v>0</v>
      </c>
      <c r="AR139">
        <f>IF($B139="",0,N($M139)*(1+IF(N($N139)&gt;0,$N139,IFERROR(CHOOSE(MATCH(LEFT($E139,2),{"AU";"NZ";"US"},0),ref_au_oncost_total,ref_nz_oncost_total,ref_us_oncost_total),0)))/12*IF(OR(11&lt;N($K139),AND(N($L139)&gt;0,11&gt;$L139)),0,1))</f>
        <v>0</v>
      </c>
      <c r="AS139">
        <f>IF($B139="",0,N($M139)*(1+IF(N($N139)&gt;0,$N139,IFERROR(CHOOSE(MATCH(LEFT($E139,2),{"AU";"NZ";"US"},0),ref_au_oncost_total,ref_nz_oncost_total,ref_us_oncost_total),0)))/12*IF(OR(12&lt;N($K139),AND(N($L139)&gt;0,12&gt;$L139)),0,1))</f>
        <v>0</v>
      </c>
      <c r="AT139"/>
      <c r="AU139">
        <f t="shared" si="25"/>
        <v>0</v>
      </c>
      <c r="AV139">
        <f t="shared" si="26"/>
        <v>0</v>
      </c>
      <c r="AW139">
        <f t="shared" si="27"/>
        <v>0</v>
      </c>
      <c r="AX139">
        <f t="shared" si="28"/>
        <v>0</v>
      </c>
      <c r="AY139">
        <f t="shared" si="29"/>
        <v>0</v>
      </c>
      <c r="AZ139">
        <f t="shared" si="30"/>
        <v>0</v>
      </c>
      <c r="BA139">
        <f t="shared" si="31"/>
        <v>0</v>
      </c>
      <c r="BB139">
        <f t="shared" si="32"/>
        <v>0</v>
      </c>
      <c r="BC139">
        <f t="shared" si="33"/>
        <v>0</v>
      </c>
      <c r="BD139">
        <f t="shared" si="34"/>
        <v>0</v>
      </c>
      <c r="BE139">
        <f t="shared" si="35"/>
        <v>0</v>
      </c>
      <c r="BF139">
        <f t="shared" si="36"/>
        <v>0</v>
      </c>
    </row>
    <row r="140" spans="1:58" outlineLevel="1" x14ac:dyDescent="0.2">
      <c r="A140" s="121"/>
      <c r="B140" s="109"/>
      <c r="C140" s="109"/>
      <c r="D140" s="111"/>
      <c r="E140" s="112"/>
      <c r="F140" s="113"/>
      <c r="G140" s="109"/>
      <c r="H140" s="113"/>
      <c r="I140" s="104"/>
      <c r="J140" s="100"/>
      <c r="K140" s="110"/>
      <c r="L140" s="110"/>
      <c r="M140" s="100"/>
      <c r="N140" s="104"/>
      <c r="O140" s="66"/>
      <c r="P140" s="121" t="str">
        <f t="shared" si="24"/>
        <v/>
      </c>
      <c r="S140"/>
      <c r="T140"/>
      <c r="U140" cm="1">
        <f t="array" ref="U140">IF($B140="",0,IF(OR(1&lt;N($K140),AND(N($L140)&gt;0,1&gt;$L140)),0,N($F140)*N($H140)*IFERROR(INDEX(cal_wd_active,IFERROR(MATCH($E140,cal_jurisdictions,0),MATCH($E140&amp;"-*",cal_jurisdictions,0)),1),0)*N($I140)*N($J140)))</f>
        <v>0</v>
      </c>
      <c r="V140" cm="1">
        <f t="array" ref="V140">IF($B140="",0,IF(OR(2&lt;N($K140),AND(N($L140)&gt;0,2&gt;$L140)),0,N($F140)*N($H140)*IFERROR(INDEX(cal_wd_active,IFERROR(MATCH($E140,cal_jurisdictions,0),MATCH($E140&amp;"-*",cal_jurisdictions,0)),2),0)*N($I140)*N($J140)))</f>
        <v>0</v>
      </c>
      <c r="W140" cm="1">
        <f t="array" ref="W140">IF($B140="",0,IF(OR(3&lt;N($K140),AND(N($L140)&gt;0,3&gt;$L140)),0,N($F140)*N($H140)*IFERROR(INDEX(cal_wd_active,IFERROR(MATCH($E140,cal_jurisdictions,0),MATCH($E140&amp;"-*",cal_jurisdictions,0)),3),0)*N($I140)*N($J140)))</f>
        <v>0</v>
      </c>
      <c r="X140" cm="1">
        <f t="array" ref="X140">IF($B140="",0,IF(OR(4&lt;N($K140),AND(N($L140)&gt;0,4&gt;$L140)),0,N($F140)*N($H140)*IFERROR(INDEX(cal_wd_active,IFERROR(MATCH($E140,cal_jurisdictions,0),MATCH($E140&amp;"-*",cal_jurisdictions,0)),4),0)*N($I140)*N($J140)))</f>
        <v>0</v>
      </c>
      <c r="Y140" cm="1">
        <f t="array" ref="Y140">IF($B140="",0,IF(OR(5&lt;N($K140),AND(N($L140)&gt;0,5&gt;$L140)),0,N($F140)*N($H140)*IFERROR(INDEX(cal_wd_active,IFERROR(MATCH($E140,cal_jurisdictions,0),MATCH($E140&amp;"-*",cal_jurisdictions,0)),5),0)*N($I140)*N($J140)))</f>
        <v>0</v>
      </c>
      <c r="Z140" cm="1">
        <f t="array" ref="Z140">IF($B140="",0,IF(OR(6&lt;N($K140),AND(N($L140)&gt;0,6&gt;$L140)),0,N($F140)*N($H140)*IFERROR(INDEX(cal_wd_active,IFERROR(MATCH($E140,cal_jurisdictions,0),MATCH($E140&amp;"-*",cal_jurisdictions,0)),6),0)*N($I140)*N($J140)))</f>
        <v>0</v>
      </c>
      <c r="AA140" cm="1">
        <f t="array" ref="AA140">IF($B140="",0,IF(OR(7&lt;N($K140),AND(N($L140)&gt;0,7&gt;$L140)),0,N($F140)*N($H140)*IFERROR(INDEX(cal_wd_active,IFERROR(MATCH($E140,cal_jurisdictions,0),MATCH($E140&amp;"-*",cal_jurisdictions,0)),7),0)*N($I140)*N($J140)))</f>
        <v>0</v>
      </c>
      <c r="AB140" cm="1">
        <f t="array" ref="AB140">IF($B140="",0,IF(OR(8&lt;N($K140),AND(N($L140)&gt;0,8&gt;$L140)),0,N($F140)*N($H140)*IFERROR(INDEX(cal_wd_active,IFERROR(MATCH($E140,cal_jurisdictions,0),MATCH($E140&amp;"-*",cal_jurisdictions,0)),8),0)*N($I140)*N($J140)))</f>
        <v>0</v>
      </c>
      <c r="AC140" cm="1">
        <f t="array" ref="AC140">IF($B140="",0,IF(OR(9&lt;N($K140),AND(N($L140)&gt;0,9&gt;$L140)),0,N($F140)*N($H140)*IFERROR(INDEX(cal_wd_active,IFERROR(MATCH($E140,cal_jurisdictions,0),MATCH($E140&amp;"-*",cal_jurisdictions,0)),9),0)*N($I140)*N($J140)))</f>
        <v>0</v>
      </c>
      <c r="AD140" cm="1">
        <f t="array" ref="AD140">IF($B140="",0,IF(OR(10&lt;N($K140),AND(N($L140)&gt;0,10&gt;$L140)),0,N($F140)*N($H140)*IFERROR(INDEX(cal_wd_active,IFERROR(MATCH($E140,cal_jurisdictions,0),MATCH($E140&amp;"-*",cal_jurisdictions,0)),10),0)*N($I140)*N($J140)))</f>
        <v>0</v>
      </c>
      <c r="AE140" cm="1">
        <f t="array" ref="AE140">IF($B140="",0,IF(OR(11&lt;N($K140),AND(N($L140)&gt;0,11&gt;$L140)),0,N($F140)*N($H140)*IFERROR(INDEX(cal_wd_active,IFERROR(MATCH($E140,cal_jurisdictions,0),MATCH($E140&amp;"-*",cal_jurisdictions,0)),11),0)*N($I140)*N($J140)))</f>
        <v>0</v>
      </c>
      <c r="AF140" cm="1">
        <f t="array" ref="AF140">IF($B140="",0,IF(OR(12&lt;N($K140),AND(N($L140)&gt;0,12&gt;$L140)),0,N($F140)*N($H140)*IFERROR(INDEX(cal_wd_active,IFERROR(MATCH($E140,cal_jurisdictions,0),MATCH($E140&amp;"-*",cal_jurisdictions,0)),12),0)*N($I140)*N($J140)))</f>
        <v>0</v>
      </c>
      <c r="AG140"/>
      <c r="AH140">
        <f>IF($B140="",0,N($M140)*(1+IF(N($N140)&gt;0,$N140,IFERROR(CHOOSE(MATCH(LEFT($E140,2),{"AU";"NZ";"US"},0),ref_au_oncost_total,ref_nz_oncost_total,ref_us_oncost_total),0)))/12*IF(OR(1&lt;N($K140),AND(N($L140)&gt;0,1&gt;$L140)),0,1))</f>
        <v>0</v>
      </c>
      <c r="AI140">
        <f>IF($B140="",0,N($M140)*(1+IF(N($N140)&gt;0,$N140,IFERROR(CHOOSE(MATCH(LEFT($E140,2),{"AU";"NZ";"US"},0),ref_au_oncost_total,ref_nz_oncost_total,ref_us_oncost_total),0)))/12*IF(OR(2&lt;N($K140),AND(N($L140)&gt;0,2&gt;$L140)),0,1))</f>
        <v>0</v>
      </c>
      <c r="AJ140">
        <f>IF($B140="",0,N($M140)*(1+IF(N($N140)&gt;0,$N140,IFERROR(CHOOSE(MATCH(LEFT($E140,2),{"AU";"NZ";"US"},0),ref_au_oncost_total,ref_nz_oncost_total,ref_us_oncost_total),0)))/12*IF(OR(3&lt;N($K140),AND(N($L140)&gt;0,3&gt;$L140)),0,1))</f>
        <v>0</v>
      </c>
      <c r="AK140">
        <f>IF($B140="",0,N($M140)*(1+IF(N($N140)&gt;0,$N140,IFERROR(CHOOSE(MATCH(LEFT($E140,2),{"AU";"NZ";"US"},0),ref_au_oncost_total,ref_nz_oncost_total,ref_us_oncost_total),0)))/12*IF(OR(4&lt;N($K140),AND(N($L140)&gt;0,4&gt;$L140)),0,1))</f>
        <v>0</v>
      </c>
      <c r="AL140">
        <f>IF($B140="",0,N($M140)*(1+IF(N($N140)&gt;0,$N140,IFERROR(CHOOSE(MATCH(LEFT($E140,2),{"AU";"NZ";"US"},0),ref_au_oncost_total,ref_nz_oncost_total,ref_us_oncost_total),0)))/12*IF(OR(5&lt;N($K140),AND(N($L140)&gt;0,5&gt;$L140)),0,1))</f>
        <v>0</v>
      </c>
      <c r="AM140">
        <f>IF($B140="",0,N($M140)*(1+IF(N($N140)&gt;0,$N140,IFERROR(CHOOSE(MATCH(LEFT($E140,2),{"AU";"NZ";"US"},0),ref_au_oncost_total,ref_nz_oncost_total,ref_us_oncost_total),0)))/12*IF(OR(6&lt;N($K140),AND(N($L140)&gt;0,6&gt;$L140)),0,1))</f>
        <v>0</v>
      </c>
      <c r="AN140">
        <f>IF($B140="",0,N($M140)*(1+IF(N($N140)&gt;0,$N140,IFERROR(CHOOSE(MATCH(LEFT($E140,2),{"AU";"NZ";"US"},0),ref_au_oncost_total,ref_nz_oncost_total,ref_us_oncost_total),0)))/12*IF(OR(7&lt;N($K140),AND(N($L140)&gt;0,7&gt;$L140)),0,1))</f>
        <v>0</v>
      </c>
      <c r="AO140">
        <f>IF($B140="",0,N($M140)*(1+IF(N($N140)&gt;0,$N140,IFERROR(CHOOSE(MATCH(LEFT($E140,2),{"AU";"NZ";"US"},0),ref_au_oncost_total,ref_nz_oncost_total,ref_us_oncost_total),0)))/12*IF(OR(8&lt;N($K140),AND(N($L140)&gt;0,8&gt;$L140)),0,1))</f>
        <v>0</v>
      </c>
      <c r="AP140">
        <f>IF($B140="",0,N($M140)*(1+IF(N($N140)&gt;0,$N140,IFERROR(CHOOSE(MATCH(LEFT($E140,2),{"AU";"NZ";"US"},0),ref_au_oncost_total,ref_nz_oncost_total,ref_us_oncost_total),0)))/12*IF(OR(9&lt;N($K140),AND(N($L140)&gt;0,9&gt;$L140)),0,1))</f>
        <v>0</v>
      </c>
      <c r="AQ140">
        <f>IF($B140="",0,N($M140)*(1+IF(N($N140)&gt;0,$N140,IFERROR(CHOOSE(MATCH(LEFT($E140,2),{"AU";"NZ";"US"},0),ref_au_oncost_total,ref_nz_oncost_total,ref_us_oncost_total),0)))/12*IF(OR(10&lt;N($K140),AND(N($L140)&gt;0,10&gt;$L140)),0,1))</f>
        <v>0</v>
      </c>
      <c r="AR140">
        <f>IF($B140="",0,N($M140)*(1+IF(N($N140)&gt;0,$N140,IFERROR(CHOOSE(MATCH(LEFT($E140,2),{"AU";"NZ";"US"},0),ref_au_oncost_total,ref_nz_oncost_total,ref_us_oncost_total),0)))/12*IF(OR(11&lt;N($K140),AND(N($L140)&gt;0,11&gt;$L140)),0,1))</f>
        <v>0</v>
      </c>
      <c r="AS140">
        <f>IF($B140="",0,N($M140)*(1+IF(N($N140)&gt;0,$N140,IFERROR(CHOOSE(MATCH(LEFT($E140,2),{"AU";"NZ";"US"},0),ref_au_oncost_total,ref_nz_oncost_total,ref_us_oncost_total),0)))/12*IF(OR(12&lt;N($K140),AND(N($L140)&gt;0,12&gt;$L140)),0,1))</f>
        <v>0</v>
      </c>
      <c r="AT140"/>
      <c r="AU140">
        <f t="shared" si="25"/>
        <v>0</v>
      </c>
      <c r="AV140">
        <f t="shared" si="26"/>
        <v>0</v>
      </c>
      <c r="AW140">
        <f t="shared" si="27"/>
        <v>0</v>
      </c>
      <c r="AX140">
        <f t="shared" si="28"/>
        <v>0</v>
      </c>
      <c r="AY140">
        <f t="shared" si="29"/>
        <v>0</v>
      </c>
      <c r="AZ140">
        <f t="shared" si="30"/>
        <v>0</v>
      </c>
      <c r="BA140">
        <f t="shared" si="31"/>
        <v>0</v>
      </c>
      <c r="BB140">
        <f t="shared" si="32"/>
        <v>0</v>
      </c>
      <c r="BC140">
        <f t="shared" si="33"/>
        <v>0</v>
      </c>
      <c r="BD140">
        <f t="shared" si="34"/>
        <v>0</v>
      </c>
      <c r="BE140">
        <f t="shared" si="35"/>
        <v>0</v>
      </c>
      <c r="BF140">
        <f t="shared" si="36"/>
        <v>0</v>
      </c>
    </row>
    <row r="141" spans="1:58" outlineLevel="1" x14ac:dyDescent="0.2">
      <c r="A141" s="121"/>
      <c r="B141" s="66"/>
      <c r="C141" s="66"/>
      <c r="D141" s="66"/>
      <c r="E141" s="66"/>
      <c r="F141" s="66"/>
      <c r="G141" s="66"/>
      <c r="H141" s="66"/>
      <c r="I141" s="66"/>
      <c r="J141" s="66"/>
      <c r="K141" s="66"/>
      <c r="L141" s="66"/>
      <c r="M141" s="66"/>
      <c r="N141" s="66"/>
      <c r="O141" s="66"/>
      <c r="P141" s="12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row>
    <row r="142" spans="1:58" outlineLevel="1" x14ac:dyDescent="0.2">
      <c r="A142" s="121"/>
      <c r="B142" s="186" t="s">
        <v>610</v>
      </c>
      <c r="C142" s="186"/>
      <c r="D142" s="186"/>
      <c r="E142" s="186"/>
      <c r="F142" s="186"/>
      <c r="G142" s="186"/>
      <c r="H142" s="186"/>
      <c r="I142" s="186"/>
      <c r="J142" s="186"/>
      <c r="K142" s="186"/>
      <c r="L142" s="186"/>
      <c r="M142" s="186"/>
      <c r="N142" s="186"/>
      <c r="O142" s="66"/>
      <c r="P142" s="121"/>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row>
    <row r="143" spans="1:58" outlineLevel="1" x14ac:dyDescent="0.2">
      <c r="A143" s="121"/>
      <c r="B143" s="95" t="s">
        <v>611</v>
      </c>
      <c r="C143" s="71" t="str">
        <f>"SL"&amp;1</f>
        <v>SL1</v>
      </c>
      <c r="D143" s="71" t="str">
        <f>"SL"&amp;2</f>
        <v>SL2</v>
      </c>
      <c r="E143" s="71" t="str">
        <f>"SL"&amp;3</f>
        <v>SL3</v>
      </c>
      <c r="F143" s="71" t="str">
        <f>"SL"&amp;4</f>
        <v>SL4</v>
      </c>
      <c r="G143" s="71" t="str">
        <f>"SL"&amp;5</f>
        <v>SL5</v>
      </c>
      <c r="H143" s="96" t="s">
        <v>186</v>
      </c>
      <c r="I143" s="185" t="str">
        <f>"(SL1–5 = your revenue lines; see key above)"</f>
        <v>(SL1–5 = your revenue lines; see key above)</v>
      </c>
      <c r="J143" s="185"/>
      <c r="K143" s="185"/>
      <c r="L143" s="185"/>
      <c r="M143" s="185"/>
      <c r="N143" s="185"/>
      <c r="O143" s="66"/>
      <c r="P143" s="121"/>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row>
    <row r="144" spans="1:58" outlineLevel="1" x14ac:dyDescent="0.2">
      <c r="A144" s="121"/>
      <c r="B144" s="85" t="s">
        <v>198</v>
      </c>
      <c r="C144" s="104">
        <v>0.35</v>
      </c>
      <c r="D144" s="104">
        <v>0.3</v>
      </c>
      <c r="E144" s="104">
        <v>0.2</v>
      </c>
      <c r="F144" s="104">
        <v>0.1</v>
      </c>
      <c r="G144" s="104">
        <v>0.05</v>
      </c>
      <c r="H144" s="93">
        <f t="shared" ref="H144:H149" si="37">IF(COUNT(C144:G144)=0,"",SUM(C144:G144))</f>
        <v>0.99999999999999989</v>
      </c>
      <c r="I144" s="66"/>
      <c r="J144" s="66"/>
      <c r="K144" s="66"/>
      <c r="L144" s="66"/>
      <c r="M144" s="66"/>
      <c r="N144" s="66"/>
      <c r="O144" s="66"/>
      <c r="P144" s="121"/>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row>
    <row r="145" spans="1:58" outlineLevel="1" x14ac:dyDescent="0.2">
      <c r="A145" s="121"/>
      <c r="B145" s="85" t="s">
        <v>246</v>
      </c>
      <c r="C145" s="104"/>
      <c r="D145" s="104"/>
      <c r="E145" s="104"/>
      <c r="F145" s="104"/>
      <c r="G145" s="104"/>
      <c r="H145" s="93" t="str">
        <f t="shared" si="37"/>
        <v/>
      </c>
      <c r="I145" s="66"/>
      <c r="J145" s="66"/>
      <c r="K145" s="66"/>
      <c r="L145" s="66"/>
      <c r="M145" s="66"/>
      <c r="N145" s="66"/>
      <c r="O145" s="66"/>
      <c r="P145" s="121"/>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row>
    <row r="146" spans="1:58" outlineLevel="1" x14ac:dyDescent="0.2">
      <c r="A146" s="121"/>
      <c r="B146" s="85"/>
      <c r="C146" s="104"/>
      <c r="D146" s="104"/>
      <c r="E146" s="104"/>
      <c r="F146" s="104"/>
      <c r="G146" s="104"/>
      <c r="H146" s="93" t="str">
        <f t="shared" si="37"/>
        <v/>
      </c>
      <c r="I146" s="66"/>
      <c r="J146" s="66"/>
      <c r="K146" s="66"/>
      <c r="L146" s="66"/>
      <c r="M146" s="66"/>
      <c r="N146" s="66"/>
      <c r="O146" s="66"/>
      <c r="P146" s="121"/>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row>
    <row r="147" spans="1:58" outlineLevel="1" x14ac:dyDescent="0.2">
      <c r="A147" s="121"/>
      <c r="B147" s="85"/>
      <c r="C147" s="104"/>
      <c r="D147" s="104"/>
      <c r="E147" s="104"/>
      <c r="F147" s="104"/>
      <c r="G147" s="104"/>
      <c r="H147" s="93" t="str">
        <f t="shared" si="37"/>
        <v/>
      </c>
      <c r="I147" s="66"/>
      <c r="J147" s="66"/>
      <c r="K147" s="66"/>
      <c r="L147" s="66"/>
      <c r="M147" s="66"/>
      <c r="N147" s="66"/>
      <c r="O147" s="66"/>
      <c r="P147" s="121"/>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row>
    <row r="148" spans="1:58" outlineLevel="1" x14ac:dyDescent="0.2">
      <c r="A148" s="121"/>
      <c r="B148" s="85"/>
      <c r="C148" s="104"/>
      <c r="D148" s="104"/>
      <c r="E148" s="104"/>
      <c r="F148" s="104"/>
      <c r="G148" s="104"/>
      <c r="H148" s="93" t="str">
        <f t="shared" si="37"/>
        <v/>
      </c>
      <c r="I148" s="66"/>
      <c r="J148" s="66"/>
      <c r="K148" s="66"/>
      <c r="L148" s="66"/>
      <c r="M148" s="66"/>
      <c r="N148" s="66"/>
      <c r="O148" s="66"/>
      <c r="P148" s="121"/>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row>
    <row r="149" spans="1:58" outlineLevel="1" x14ac:dyDescent="0.2">
      <c r="A149" s="121"/>
      <c r="B149" s="85"/>
      <c r="C149" s="104"/>
      <c r="D149" s="104"/>
      <c r="E149" s="104"/>
      <c r="F149" s="104"/>
      <c r="G149" s="104"/>
      <c r="H149" s="93" t="str">
        <f t="shared" si="37"/>
        <v/>
      </c>
      <c r="I149" s="66"/>
      <c r="J149" s="66"/>
      <c r="K149" s="66"/>
      <c r="L149" s="66"/>
      <c r="M149" s="66"/>
      <c r="N149" s="66"/>
      <c r="O149" s="66"/>
      <c r="P149" s="121"/>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row>
    <row r="150" spans="1:58" outlineLevel="1" x14ac:dyDescent="0.2">
      <c r="A150" s="121"/>
      <c r="B150" s="66"/>
      <c r="C150" s="66"/>
      <c r="D150" s="66"/>
      <c r="E150" s="66"/>
      <c r="F150" s="66"/>
      <c r="G150" s="66"/>
      <c r="H150" s="66"/>
      <c r="I150" s="66"/>
      <c r="J150" s="66"/>
      <c r="K150" s="66"/>
      <c r="L150" s="66"/>
      <c r="M150" s="66"/>
      <c r="N150" s="66"/>
      <c r="O150" s="66"/>
      <c r="P150" s="121"/>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row>
    <row r="151" spans="1:58" outlineLevel="1" x14ac:dyDescent="0.2">
      <c r="A151" s="121"/>
      <c r="B151" s="186" t="s">
        <v>684</v>
      </c>
      <c r="C151" s="186"/>
      <c r="D151" s="186"/>
      <c r="E151" s="186"/>
      <c r="F151" s="186"/>
      <c r="G151" s="186"/>
      <c r="H151" s="186"/>
      <c r="I151" s="186"/>
      <c r="J151" s="186"/>
      <c r="K151" s="186"/>
      <c r="L151" s="186"/>
      <c r="M151" s="186"/>
      <c r="N151" s="186"/>
      <c r="O151" s="66"/>
      <c r="P151" s="12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row>
    <row r="152" spans="1:58" outlineLevel="1" x14ac:dyDescent="0.2">
      <c r="A152" s="121"/>
      <c r="B152" s="187" t="s">
        <v>612</v>
      </c>
      <c r="C152" s="187"/>
      <c r="D152" s="187"/>
      <c r="E152" s="187"/>
      <c r="F152" s="187"/>
      <c r="G152" s="187"/>
      <c r="H152" s="187"/>
      <c r="I152" s="187"/>
      <c r="J152" s="187"/>
      <c r="K152" s="187"/>
      <c r="L152" s="187"/>
      <c r="M152" s="187"/>
      <c r="N152" s="187"/>
      <c r="O152" s="66"/>
      <c r="P152" s="121"/>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row>
    <row r="153" spans="1:58" outlineLevel="1" x14ac:dyDescent="0.2">
      <c r="A153" s="121"/>
      <c r="B153" s="96" t="s">
        <v>205</v>
      </c>
      <c r="C153" s="96" t="s">
        <v>206</v>
      </c>
      <c r="D153" s="96" t="s">
        <v>613</v>
      </c>
      <c r="E153" s="96" t="s">
        <v>207</v>
      </c>
      <c r="F153" s="96" t="s">
        <v>208</v>
      </c>
      <c r="G153" s="96" t="s">
        <v>209</v>
      </c>
      <c r="H153" s="96" t="s">
        <v>171</v>
      </c>
      <c r="I153" s="66"/>
      <c r="J153" s="66"/>
      <c r="K153" s="66"/>
      <c r="L153" s="66"/>
      <c r="M153" s="66"/>
      <c r="N153" s="66"/>
      <c r="O153" s="66"/>
      <c r="P153" s="121"/>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row>
    <row r="154" spans="1:58" outlineLevel="1" x14ac:dyDescent="0.2">
      <c r="A154" s="121"/>
      <c r="B154" s="115" t="s">
        <v>671</v>
      </c>
      <c r="C154" s="115" t="s">
        <v>570</v>
      </c>
      <c r="D154" s="116">
        <v>132000</v>
      </c>
      <c r="E154" s="115" t="s">
        <v>210</v>
      </c>
      <c r="F154" s="117">
        <v>1</v>
      </c>
      <c r="G154" s="115"/>
      <c r="H154" s="115"/>
      <c r="I154" s="66"/>
      <c r="J154" s="66"/>
      <c r="K154" s="66"/>
      <c r="L154" s="66"/>
      <c r="M154" s="66"/>
      <c r="N154" s="66"/>
      <c r="O154" s="66"/>
      <c r="P154" s="121"/>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row>
    <row r="155" spans="1:58" outlineLevel="1" x14ac:dyDescent="0.2">
      <c r="A155" s="121"/>
      <c r="B155" s="109" t="s">
        <v>688</v>
      </c>
      <c r="C155" s="109" t="s">
        <v>571</v>
      </c>
      <c r="D155" s="100">
        <v>78000</v>
      </c>
      <c r="E155" s="109" t="s">
        <v>210</v>
      </c>
      <c r="F155" s="110">
        <v>1</v>
      </c>
      <c r="G155" s="109"/>
      <c r="H155" s="109"/>
      <c r="I155" s="66"/>
      <c r="J155" s="66"/>
      <c r="K155" s="66"/>
      <c r="L155" s="66"/>
      <c r="M155" s="66"/>
      <c r="N155" s="66"/>
      <c r="O155" s="66"/>
      <c r="P155" s="121"/>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row>
    <row r="156" spans="1:58" outlineLevel="1" x14ac:dyDescent="0.2">
      <c r="A156" s="121"/>
      <c r="B156" s="109" t="s">
        <v>672</v>
      </c>
      <c r="C156" s="109" t="s">
        <v>212</v>
      </c>
      <c r="D156" s="100">
        <v>96000</v>
      </c>
      <c r="E156" s="109" t="s">
        <v>210</v>
      </c>
      <c r="F156" s="110">
        <v>1</v>
      </c>
      <c r="G156" s="109"/>
      <c r="H156" s="109"/>
      <c r="I156" s="66"/>
      <c r="J156" s="66"/>
      <c r="K156" s="66"/>
      <c r="L156" s="66"/>
      <c r="M156" s="66"/>
      <c r="N156" s="66"/>
      <c r="O156" s="66"/>
      <c r="P156" s="121"/>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row>
    <row r="157" spans="1:58" outlineLevel="1" x14ac:dyDescent="0.2">
      <c r="A157" s="121"/>
      <c r="B157" s="109" t="s">
        <v>673</v>
      </c>
      <c r="C157" s="109" t="s">
        <v>213</v>
      </c>
      <c r="D157" s="100">
        <v>48000</v>
      </c>
      <c r="E157" s="109" t="s">
        <v>216</v>
      </c>
      <c r="F157" s="110">
        <v>3</v>
      </c>
      <c r="G157" s="109"/>
      <c r="H157" s="109"/>
      <c r="I157" s="66"/>
      <c r="J157" s="66"/>
      <c r="K157" s="66"/>
      <c r="L157" s="66"/>
      <c r="M157" s="66"/>
      <c r="N157" s="66"/>
      <c r="O157" s="66"/>
      <c r="P157" s="121"/>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row>
    <row r="158" spans="1:58" outlineLevel="1" x14ac:dyDescent="0.2">
      <c r="A158" s="121"/>
      <c r="B158" s="109" t="s">
        <v>211</v>
      </c>
      <c r="C158" s="109" t="s">
        <v>211</v>
      </c>
      <c r="D158" s="100">
        <v>30000</v>
      </c>
      <c r="E158" s="109" t="s">
        <v>184</v>
      </c>
      <c r="F158" s="110">
        <v>1</v>
      </c>
      <c r="G158" s="109"/>
      <c r="H158" s="109"/>
      <c r="I158" s="66"/>
      <c r="J158" s="66"/>
      <c r="K158" s="66"/>
      <c r="L158" s="66"/>
      <c r="M158" s="66"/>
      <c r="N158" s="66"/>
      <c r="O158" s="66"/>
      <c r="P158" s="121"/>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row>
    <row r="159" spans="1:58" outlineLevel="1" x14ac:dyDescent="0.2">
      <c r="A159" s="121"/>
      <c r="B159" s="109" t="s">
        <v>215</v>
      </c>
      <c r="C159" s="109" t="s">
        <v>214</v>
      </c>
      <c r="D159" s="100">
        <v>36000</v>
      </c>
      <c r="E159" s="109" t="s">
        <v>210</v>
      </c>
      <c r="F159" s="110">
        <v>1</v>
      </c>
      <c r="G159" s="109"/>
      <c r="H159" s="109"/>
      <c r="I159" s="66"/>
      <c r="J159" s="66"/>
      <c r="K159" s="66"/>
      <c r="L159" s="66"/>
      <c r="M159" s="66"/>
      <c r="N159" s="66"/>
      <c r="O159" s="66"/>
      <c r="P159" s="121"/>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row>
    <row r="160" spans="1:58" outlineLevel="1" x14ac:dyDescent="0.2">
      <c r="A160" s="121"/>
      <c r="B160" s="109" t="s">
        <v>674</v>
      </c>
      <c r="C160" s="109" t="s">
        <v>572</v>
      </c>
      <c r="D160" s="100">
        <v>24000</v>
      </c>
      <c r="E160" s="109" t="s">
        <v>210</v>
      </c>
      <c r="F160" s="110">
        <v>1</v>
      </c>
      <c r="G160" s="109"/>
      <c r="H160" s="109"/>
      <c r="I160" s="66"/>
      <c r="J160" s="66"/>
      <c r="K160" s="66"/>
      <c r="L160" s="66"/>
      <c r="M160" s="66"/>
      <c r="N160" s="66"/>
      <c r="O160" s="66"/>
      <c r="P160" s="121"/>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row>
    <row r="161" spans="1:58" outlineLevel="1" x14ac:dyDescent="0.2">
      <c r="A161" s="121"/>
      <c r="B161" s="109" t="s">
        <v>689</v>
      </c>
      <c r="C161" s="109" t="s">
        <v>573</v>
      </c>
      <c r="D161" s="100">
        <v>30000</v>
      </c>
      <c r="E161" s="109" t="s">
        <v>210</v>
      </c>
      <c r="F161" s="110">
        <v>1</v>
      </c>
      <c r="G161" s="109"/>
      <c r="H161" s="109"/>
      <c r="I161" s="66"/>
      <c r="J161" s="66"/>
      <c r="K161" s="66"/>
      <c r="L161" s="66"/>
      <c r="M161" s="66"/>
      <c r="N161" s="66"/>
      <c r="O161" s="66"/>
      <c r="P161" s="12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row>
    <row r="162" spans="1:58" outlineLevel="1" x14ac:dyDescent="0.2">
      <c r="A162" s="121"/>
      <c r="B162" s="109"/>
      <c r="C162" s="109"/>
      <c r="D162" s="100"/>
      <c r="E162" s="109"/>
      <c r="F162" s="110"/>
      <c r="G162" s="109"/>
      <c r="H162" s="109"/>
      <c r="I162" s="66"/>
      <c r="J162" s="66"/>
      <c r="K162" s="66"/>
      <c r="L162" s="66"/>
      <c r="M162" s="66"/>
      <c r="N162" s="66"/>
      <c r="O162" s="66"/>
      <c r="P162" s="121"/>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row>
    <row r="163" spans="1:58" outlineLevel="1" x14ac:dyDescent="0.2">
      <c r="A163" s="121"/>
      <c r="B163" s="109"/>
      <c r="C163" s="109"/>
      <c r="D163" s="100"/>
      <c r="E163" s="109"/>
      <c r="F163" s="110"/>
      <c r="G163" s="109"/>
      <c r="H163" s="109"/>
      <c r="I163" s="66"/>
      <c r="J163" s="66"/>
      <c r="K163" s="66"/>
      <c r="L163" s="66"/>
      <c r="M163" s="66"/>
      <c r="N163" s="66"/>
      <c r="O163" s="66"/>
      <c r="P163" s="121"/>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row>
    <row r="164" spans="1:58" outlineLevel="1" x14ac:dyDescent="0.2">
      <c r="A164" s="121"/>
      <c r="B164" s="109"/>
      <c r="C164" s="109"/>
      <c r="D164" s="100"/>
      <c r="E164" s="109"/>
      <c r="F164" s="110"/>
      <c r="G164" s="109"/>
      <c r="H164" s="109"/>
      <c r="I164" s="66"/>
      <c r="J164" s="66"/>
      <c r="K164" s="66"/>
      <c r="L164" s="66"/>
      <c r="M164" s="66"/>
      <c r="N164" s="66"/>
      <c r="O164" s="66"/>
      <c r="P164" s="121"/>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row>
    <row r="165" spans="1:58" outlineLevel="1" x14ac:dyDescent="0.2">
      <c r="A165" s="121"/>
      <c r="B165" s="109"/>
      <c r="C165" s="109"/>
      <c r="D165" s="100"/>
      <c r="E165" s="109"/>
      <c r="F165" s="110"/>
      <c r="G165" s="109"/>
      <c r="H165" s="109"/>
      <c r="I165" s="66"/>
      <c r="J165" s="66"/>
      <c r="K165" s="66"/>
      <c r="L165" s="66"/>
      <c r="M165" s="66"/>
      <c r="N165" s="66"/>
      <c r="O165" s="66"/>
      <c r="P165" s="121"/>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row>
    <row r="166" spans="1:58" outlineLevel="1" x14ac:dyDescent="0.2">
      <c r="A166" s="121"/>
      <c r="B166" s="109"/>
      <c r="C166" s="109"/>
      <c r="D166" s="100"/>
      <c r="E166" s="109"/>
      <c r="F166" s="110"/>
      <c r="G166" s="109"/>
      <c r="H166" s="109"/>
      <c r="I166" s="66"/>
      <c r="J166" s="66"/>
      <c r="K166" s="66"/>
      <c r="L166" s="66"/>
      <c r="M166" s="66"/>
      <c r="N166" s="66"/>
      <c r="O166" s="66"/>
      <c r="P166" s="121"/>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row>
    <row r="167" spans="1:58" outlineLevel="1" x14ac:dyDescent="0.2">
      <c r="A167" s="121"/>
      <c r="B167" s="109"/>
      <c r="C167" s="109"/>
      <c r="D167" s="100"/>
      <c r="E167" s="109"/>
      <c r="F167" s="110"/>
      <c r="G167" s="109"/>
      <c r="H167" s="109"/>
      <c r="I167" s="66"/>
      <c r="J167" s="66"/>
      <c r="K167" s="66"/>
      <c r="L167" s="66"/>
      <c r="M167" s="66"/>
      <c r="N167" s="66"/>
      <c r="O167" s="66"/>
      <c r="P167" s="121"/>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row>
    <row r="168" spans="1:58" outlineLevel="1" x14ac:dyDescent="0.2">
      <c r="A168" s="121"/>
      <c r="B168" s="109"/>
      <c r="C168" s="109"/>
      <c r="D168" s="100"/>
      <c r="E168" s="109"/>
      <c r="F168" s="110"/>
      <c r="G168" s="109"/>
      <c r="H168" s="109"/>
      <c r="I168" s="66"/>
      <c r="J168" s="66"/>
      <c r="K168" s="66"/>
      <c r="L168" s="66"/>
      <c r="M168" s="66"/>
      <c r="N168" s="66"/>
      <c r="O168" s="66"/>
      <c r="P168" s="121"/>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row>
    <row r="169" spans="1:58" outlineLevel="1" x14ac:dyDescent="0.2">
      <c r="A169" s="121"/>
      <c r="B169" s="109"/>
      <c r="C169" s="109"/>
      <c r="D169" s="100"/>
      <c r="E169" s="109"/>
      <c r="F169" s="110"/>
      <c r="G169" s="109"/>
      <c r="H169" s="109"/>
      <c r="I169" s="66"/>
      <c r="J169" s="66"/>
      <c r="K169" s="66"/>
      <c r="L169" s="66"/>
      <c r="M169" s="66"/>
      <c r="N169" s="66"/>
      <c r="O169" s="66"/>
      <c r="P169" s="121"/>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row>
    <row r="170" spans="1:58" outlineLevel="1" x14ac:dyDescent="0.2">
      <c r="A170" s="121"/>
      <c r="B170" s="109"/>
      <c r="C170" s="109"/>
      <c r="D170" s="100"/>
      <c r="E170" s="109"/>
      <c r="F170" s="110"/>
      <c r="G170" s="109"/>
      <c r="H170" s="109"/>
      <c r="I170" s="66"/>
      <c r="J170" s="66"/>
      <c r="K170" s="66"/>
      <c r="L170" s="66"/>
      <c r="M170" s="66"/>
      <c r="N170" s="66"/>
      <c r="O170" s="66"/>
      <c r="P170" s="121"/>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row>
    <row r="171" spans="1:58" x14ac:dyDescent="0.2">
      <c r="A171" s="121"/>
      <c r="B171" s="66"/>
      <c r="C171" s="66"/>
      <c r="D171" s="66"/>
      <c r="E171" s="66"/>
      <c r="F171" s="66"/>
      <c r="G171" s="66"/>
      <c r="H171" s="66"/>
      <c r="I171" s="66"/>
      <c r="J171" s="66"/>
      <c r="K171" s="66"/>
      <c r="L171" s="66"/>
      <c r="M171" s="66"/>
      <c r="N171" s="66"/>
      <c r="O171" s="66"/>
      <c r="P171" s="12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row>
    <row r="172" spans="1:58" x14ac:dyDescent="0.2">
      <c r="A172" s="121"/>
      <c r="B172" s="188" t="s">
        <v>614</v>
      </c>
      <c r="C172" s="188"/>
      <c r="D172" s="188"/>
      <c r="E172" s="188"/>
      <c r="F172" s="188"/>
      <c r="G172" s="188"/>
      <c r="H172" s="188"/>
      <c r="I172" s="188"/>
      <c r="J172" s="188"/>
      <c r="K172" s="188"/>
      <c r="L172" s="188"/>
      <c r="M172" s="188"/>
      <c r="N172" s="188"/>
      <c r="O172" s="66"/>
      <c r="P172" s="121"/>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row>
    <row r="173" spans="1:58" x14ac:dyDescent="0.2">
      <c r="A173" s="121"/>
      <c r="B173" s="66"/>
      <c r="C173" s="66"/>
      <c r="D173" s="66"/>
      <c r="E173" s="66"/>
      <c r="F173" s="66"/>
      <c r="G173" s="66"/>
      <c r="H173" s="66"/>
      <c r="I173" s="66"/>
      <c r="J173" s="66"/>
      <c r="K173" s="66"/>
      <c r="L173" s="66"/>
      <c r="M173" s="66"/>
      <c r="N173" s="66"/>
      <c r="O173" s="66"/>
      <c r="P173" s="121"/>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row>
    <row r="174" spans="1:58" x14ac:dyDescent="0.2">
      <c r="A174" s="121"/>
      <c r="B174" s="186" t="s">
        <v>685</v>
      </c>
      <c r="C174" s="186"/>
      <c r="D174" s="186"/>
      <c r="E174" s="186"/>
      <c r="F174" s="186"/>
      <c r="G174" s="186"/>
      <c r="H174" s="186"/>
      <c r="I174" s="186"/>
      <c r="J174" s="186"/>
      <c r="K174" s="186"/>
      <c r="L174" s="186"/>
      <c r="M174" s="186"/>
      <c r="N174" s="186"/>
      <c r="O174" s="66"/>
      <c r="P174" s="121"/>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row>
    <row r="175" spans="1:58" x14ac:dyDescent="0.2">
      <c r="A175" s="121"/>
      <c r="B175" s="83" t="s">
        <v>615</v>
      </c>
      <c r="C175" s="96" t="str">
        <f>TEXT(DATE(2000,CHOOSE(MATCH($C$8,{"AU";"NZ";"US"},0),7,4,1)+0,1),"mmm")</f>
        <v>Jul</v>
      </c>
      <c r="D175" s="96" t="str">
        <f>TEXT(DATE(2000,CHOOSE(MATCH($C$8,{"AU";"NZ";"US"},0),7,4,1)+1,1),"mmm")</f>
        <v>Aug</v>
      </c>
      <c r="E175" s="96" t="str">
        <f>TEXT(DATE(2000,CHOOSE(MATCH($C$8,{"AU";"NZ";"US"},0),7,4,1)+2,1),"mmm")</f>
        <v>Sep</v>
      </c>
      <c r="F175" s="96" t="str">
        <f>TEXT(DATE(2000,CHOOSE(MATCH($C$8,{"AU";"NZ";"US"},0),7,4,1)+3,1),"mmm")</f>
        <v>Oct</v>
      </c>
      <c r="G175" s="96" t="str">
        <f>TEXT(DATE(2000,CHOOSE(MATCH($C$8,{"AU";"NZ";"US"},0),7,4,1)+4,1),"mmm")</f>
        <v>Nov</v>
      </c>
      <c r="H175" s="96" t="str">
        <f>TEXT(DATE(2000,CHOOSE(MATCH($C$8,{"AU";"NZ";"US"},0),7,4,1)+5,1),"mmm")</f>
        <v>Dec</v>
      </c>
      <c r="I175" s="96" t="str">
        <f>TEXT(DATE(2000,CHOOSE(MATCH($C$8,{"AU";"NZ";"US"},0),7,4,1)+6,1),"mmm")</f>
        <v>Jan</v>
      </c>
      <c r="J175" s="96" t="str">
        <f>TEXT(DATE(2000,CHOOSE(MATCH($C$8,{"AU";"NZ";"US"},0),7,4,1)+7,1),"mmm")</f>
        <v>Feb</v>
      </c>
      <c r="K175" s="96" t="str">
        <f>TEXT(DATE(2000,CHOOSE(MATCH($C$8,{"AU";"NZ";"US"},0),7,4,1)+8,1),"mmm")</f>
        <v>Mar</v>
      </c>
      <c r="L175" s="96" t="str">
        <f>TEXT(DATE(2000,CHOOSE(MATCH($C$8,{"AU";"NZ";"US"},0),7,4,1)+9,1),"mmm")</f>
        <v>Apr</v>
      </c>
      <c r="M175" s="96" t="str">
        <f>TEXT(DATE(2000,CHOOSE(MATCH($C$8,{"AU";"NZ";"US"},0),7,4,1)+10,1),"mmm")</f>
        <v>May</v>
      </c>
      <c r="N175" s="96" t="str">
        <f>TEXT(DATE(2000,CHOOSE(MATCH($C$8,{"AU";"NZ";"US"},0),7,4,1)+11,1),"mmm")</f>
        <v>Jun</v>
      </c>
      <c r="O175" s="66"/>
      <c r="P175" s="121"/>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row>
    <row r="176" spans="1:58" x14ac:dyDescent="0.2">
      <c r="A176" s="121"/>
      <c r="B176" s="68" t="s">
        <v>238</v>
      </c>
      <c r="C176" s="100"/>
      <c r="D176" s="100"/>
      <c r="E176" s="100"/>
      <c r="F176" s="100"/>
      <c r="G176" s="100"/>
      <c r="H176" s="100"/>
      <c r="I176" s="100"/>
      <c r="J176" s="100"/>
      <c r="K176" s="100"/>
      <c r="L176" s="100"/>
      <c r="M176" s="100"/>
      <c r="N176" s="100"/>
      <c r="O176" s="66"/>
      <c r="P176" s="121"/>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row>
    <row r="177" spans="1:58" x14ac:dyDescent="0.2">
      <c r="A177" s="121"/>
      <c r="B177" s="68" t="s">
        <v>616</v>
      </c>
      <c r="C177" s="100"/>
      <c r="D177" s="100"/>
      <c r="E177" s="100"/>
      <c r="F177" s="100"/>
      <c r="G177" s="100"/>
      <c r="H177" s="100"/>
      <c r="I177" s="100"/>
      <c r="J177" s="100"/>
      <c r="K177" s="100"/>
      <c r="L177" s="100"/>
      <c r="M177" s="100"/>
      <c r="N177" s="100"/>
      <c r="O177" s="66"/>
      <c r="P177" s="121"/>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row>
    <row r="178" spans="1:58" x14ac:dyDescent="0.2">
      <c r="A178" s="121"/>
      <c r="B178" s="68" t="s">
        <v>239</v>
      </c>
      <c r="C178" s="100"/>
      <c r="D178" s="100"/>
      <c r="E178" s="100"/>
      <c r="F178" s="100"/>
      <c r="G178" s="100"/>
      <c r="H178" s="100"/>
      <c r="I178" s="100"/>
      <c r="J178" s="100"/>
      <c r="K178" s="100"/>
      <c r="L178" s="100"/>
      <c r="M178" s="100"/>
      <c r="N178" s="100"/>
      <c r="O178" s="66"/>
      <c r="P178" s="121"/>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row>
    <row r="179" spans="1:58" x14ac:dyDescent="0.2">
      <c r="A179" s="121"/>
      <c r="B179" s="68" t="s">
        <v>240</v>
      </c>
      <c r="C179" s="100"/>
      <c r="D179" s="100"/>
      <c r="E179" s="100"/>
      <c r="F179" s="100"/>
      <c r="G179" s="100"/>
      <c r="H179" s="100"/>
      <c r="I179" s="100"/>
      <c r="J179" s="100"/>
      <c r="K179" s="100"/>
      <c r="L179" s="100"/>
      <c r="M179" s="100"/>
      <c r="N179" s="100"/>
      <c r="O179" s="66"/>
      <c r="P179" s="121"/>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row>
    <row r="180" spans="1:58" x14ac:dyDescent="0.2">
      <c r="A180" s="121"/>
      <c r="B180" s="68" t="s">
        <v>241</v>
      </c>
      <c r="C180" s="100"/>
      <c r="D180" s="100"/>
      <c r="E180" s="100"/>
      <c r="F180" s="100"/>
      <c r="G180" s="100"/>
      <c r="H180" s="100"/>
      <c r="I180" s="100"/>
      <c r="J180" s="100"/>
      <c r="K180" s="100"/>
      <c r="L180" s="100"/>
      <c r="M180" s="100"/>
      <c r="N180" s="100"/>
      <c r="O180" s="66"/>
      <c r="P180" s="121"/>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row>
    <row r="181" spans="1:58" x14ac:dyDescent="0.2">
      <c r="A181" s="121"/>
      <c r="B181" s="97" t="s">
        <v>242</v>
      </c>
      <c r="C181" s="100"/>
      <c r="D181" s="100"/>
      <c r="E181" s="100"/>
      <c r="F181" s="100"/>
      <c r="G181" s="100"/>
      <c r="H181" s="100"/>
      <c r="I181" s="100"/>
      <c r="J181" s="100"/>
      <c r="K181" s="100"/>
      <c r="L181" s="100"/>
      <c r="M181" s="100"/>
      <c r="N181" s="100"/>
      <c r="O181" s="66"/>
      <c r="P181" s="12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row>
    <row r="182" spans="1:58" x14ac:dyDescent="0.2">
      <c r="A182" s="121"/>
      <c r="B182" s="66"/>
      <c r="C182" s="66"/>
      <c r="D182" s="66"/>
      <c r="E182" s="66"/>
      <c r="F182" s="66"/>
      <c r="G182" s="66"/>
      <c r="H182" s="66"/>
      <c r="I182" s="66"/>
      <c r="J182" s="66"/>
      <c r="K182" s="66"/>
      <c r="L182" s="66"/>
      <c r="M182" s="66"/>
      <c r="N182" s="66"/>
      <c r="O182" s="66"/>
      <c r="P182" s="121"/>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row>
    <row r="183" spans="1:58" ht="24" customHeight="1" x14ac:dyDescent="0.2">
      <c r="A183" s="121"/>
      <c r="B183" s="3" t="s">
        <v>82</v>
      </c>
      <c r="C183" s="57"/>
      <c r="D183" s="57"/>
      <c r="E183" s="57"/>
      <c r="F183" s="57"/>
      <c r="G183" s="57"/>
      <c r="H183" s="57"/>
      <c r="I183" s="57"/>
      <c r="J183" s="57"/>
      <c r="K183" s="57"/>
      <c r="L183" s="57"/>
      <c r="M183" s="57"/>
      <c r="N183" s="57"/>
      <c r="O183" s="2" t="s">
        <v>675</v>
      </c>
      <c r="P183" s="121"/>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row>
    <row r="184" spans="1:58" x14ac:dyDescent="0.2">
      <c r="A184" s="66"/>
      <c r="B184" s="66"/>
      <c r="C184" s="66"/>
      <c r="D184" s="66"/>
      <c r="E184" s="66"/>
      <c r="F184" s="66"/>
      <c r="G184" s="66"/>
      <c r="H184" s="66"/>
      <c r="I184" s="66"/>
      <c r="J184" s="66"/>
      <c r="K184" s="66"/>
      <c r="L184" s="66"/>
      <c r="M184" s="66"/>
      <c r="N184" s="66"/>
      <c r="O184" s="66"/>
      <c r="P184" s="66"/>
    </row>
    <row r="185" spans="1:58" x14ac:dyDescent="0.2">
      <c r="A185" s="66"/>
      <c r="B185" s="66"/>
      <c r="C185" s="66"/>
      <c r="D185" s="66"/>
      <c r="E185" s="66"/>
      <c r="F185" s="66"/>
      <c r="G185" s="66"/>
      <c r="H185" s="66"/>
      <c r="I185" s="66"/>
      <c r="J185" s="66"/>
      <c r="K185" s="66"/>
      <c r="L185" s="66"/>
      <c r="M185" s="66"/>
      <c r="N185" s="66"/>
      <c r="O185" s="66"/>
      <c r="P185" s="66"/>
    </row>
    <row r="186" spans="1:58" x14ac:dyDescent="0.2">
      <c r="A186" s="66"/>
      <c r="B186" s="66"/>
      <c r="C186" s="66"/>
      <c r="D186" s="66"/>
      <c r="E186" s="66"/>
      <c r="F186" s="66"/>
      <c r="G186" s="66"/>
      <c r="H186" s="66"/>
      <c r="I186" s="66"/>
      <c r="J186" s="66"/>
      <c r="K186" s="66"/>
      <c r="L186" s="66"/>
      <c r="M186" s="66"/>
      <c r="N186" s="66"/>
      <c r="O186" s="66"/>
      <c r="P186" s="66"/>
    </row>
    <row r="187" spans="1:58" x14ac:dyDescent="0.2">
      <c r="A187" s="66"/>
      <c r="B187" s="66"/>
      <c r="C187" s="66"/>
      <c r="D187" s="66"/>
      <c r="E187" s="66"/>
      <c r="F187" s="66"/>
      <c r="G187" s="66"/>
      <c r="H187" s="66"/>
      <c r="I187" s="66"/>
      <c r="J187" s="66"/>
      <c r="K187" s="66"/>
      <c r="L187" s="66"/>
      <c r="M187" s="66"/>
      <c r="N187" s="66"/>
      <c r="O187" s="66"/>
      <c r="P187" s="66"/>
    </row>
    <row r="188" spans="1:58" x14ac:dyDescent="0.2">
      <c r="A188" s="66"/>
      <c r="B188" s="66"/>
      <c r="C188" s="66"/>
      <c r="D188" s="66"/>
      <c r="E188" s="66"/>
      <c r="F188" s="66"/>
      <c r="G188" s="66"/>
      <c r="H188" s="66"/>
      <c r="I188" s="66"/>
      <c r="J188" s="66"/>
      <c r="K188" s="66"/>
      <c r="L188" s="66"/>
      <c r="M188" s="66"/>
      <c r="N188" s="66"/>
      <c r="O188" s="66"/>
      <c r="P188" s="66"/>
    </row>
    <row r="189" spans="1:58" x14ac:dyDescent="0.2">
      <c r="A189" s="66"/>
      <c r="B189" s="66"/>
      <c r="C189" s="66"/>
      <c r="D189" s="66"/>
      <c r="E189" s="66"/>
      <c r="F189" s="66"/>
      <c r="G189" s="66"/>
      <c r="H189" s="66"/>
      <c r="I189" s="66"/>
      <c r="J189" s="66"/>
      <c r="K189" s="66"/>
      <c r="L189" s="66"/>
      <c r="M189" s="66"/>
      <c r="N189" s="66"/>
      <c r="O189" s="66"/>
      <c r="P189" s="66"/>
    </row>
    <row r="190" spans="1:58" x14ac:dyDescent="0.2">
      <c r="A190" s="66"/>
      <c r="B190" s="66"/>
      <c r="C190" s="66"/>
      <c r="D190" s="66"/>
      <c r="E190" s="66"/>
      <c r="F190" s="66"/>
      <c r="G190" s="66"/>
      <c r="H190" s="66"/>
      <c r="I190" s="66"/>
      <c r="J190" s="66"/>
      <c r="K190" s="66"/>
      <c r="L190" s="66"/>
      <c r="M190" s="66"/>
      <c r="N190" s="66"/>
      <c r="O190" s="66"/>
      <c r="P190" s="66"/>
    </row>
    <row r="191" spans="1:58" x14ac:dyDescent="0.2">
      <c r="A191" s="66"/>
      <c r="B191" s="66"/>
      <c r="C191" s="66"/>
      <c r="D191" s="66"/>
      <c r="E191" s="66"/>
      <c r="F191" s="66"/>
      <c r="G191" s="66"/>
      <c r="H191" s="66"/>
      <c r="I191" s="66"/>
      <c r="J191" s="66"/>
      <c r="K191" s="66"/>
      <c r="L191" s="66"/>
      <c r="M191" s="66"/>
      <c r="N191" s="66"/>
      <c r="O191" s="66"/>
      <c r="P191" s="66"/>
    </row>
    <row r="192" spans="1:58" x14ac:dyDescent="0.2">
      <c r="A192" s="66"/>
      <c r="B192" s="66"/>
      <c r="C192" s="66"/>
      <c r="D192" s="66"/>
      <c r="E192" s="66"/>
      <c r="F192" s="66"/>
      <c r="G192" s="66"/>
      <c r="H192" s="66"/>
      <c r="I192" s="66"/>
      <c r="J192" s="66"/>
      <c r="K192" s="66"/>
      <c r="L192" s="66"/>
      <c r="M192" s="66"/>
      <c r="N192" s="66"/>
      <c r="O192" s="66"/>
      <c r="P192" s="66"/>
      <c r="R192" s="42" t="s">
        <v>632</v>
      </c>
      <c r="U192" s="42">
        <f t="shared" ref="U192:AF192" si="38">SUMIFS(U91:U102,$C$91:$C$102,"Delivery")</f>
        <v>0</v>
      </c>
      <c r="V192" s="42">
        <f t="shared" si="38"/>
        <v>0</v>
      </c>
      <c r="W192" s="42">
        <f t="shared" si="38"/>
        <v>0</v>
      </c>
      <c r="X192" s="42">
        <f t="shared" si="38"/>
        <v>0</v>
      </c>
      <c r="Y192" s="42">
        <f t="shared" si="38"/>
        <v>0</v>
      </c>
      <c r="Z192" s="42">
        <f t="shared" si="38"/>
        <v>0</v>
      </c>
      <c r="AA192" s="42">
        <f t="shared" si="38"/>
        <v>0</v>
      </c>
      <c r="AB192" s="42">
        <f t="shared" si="38"/>
        <v>0</v>
      </c>
      <c r="AC192" s="42">
        <f t="shared" si="38"/>
        <v>0</v>
      </c>
      <c r="AD192" s="42">
        <f t="shared" si="38"/>
        <v>0</v>
      </c>
      <c r="AE192" s="42">
        <f t="shared" si="38"/>
        <v>0</v>
      </c>
      <c r="AF192" s="42">
        <f t="shared" si="38"/>
        <v>0</v>
      </c>
    </row>
    <row r="193" spans="1:32" x14ac:dyDescent="0.2">
      <c r="A193" s="66"/>
      <c r="B193" s="66"/>
      <c r="C193" s="66"/>
      <c r="D193" s="66"/>
      <c r="E193" s="66"/>
      <c r="F193" s="66"/>
      <c r="G193" s="66"/>
      <c r="H193" s="66"/>
      <c r="I193" s="66"/>
      <c r="J193" s="66"/>
      <c r="K193" s="66"/>
      <c r="L193" s="66"/>
      <c r="M193" s="66"/>
      <c r="N193" s="66"/>
      <c r="O193" s="66"/>
      <c r="P193" s="66"/>
      <c r="R193" s="42" t="s">
        <v>633</v>
      </c>
      <c r="U193" s="42">
        <f t="shared" ref="U193:AF193" si="39">SUM(AH91:AH102)</f>
        <v>0</v>
      </c>
      <c r="V193" s="42">
        <f t="shared" si="39"/>
        <v>0</v>
      </c>
      <c r="W193" s="42">
        <f t="shared" si="39"/>
        <v>0</v>
      </c>
      <c r="X193" s="42">
        <f t="shared" si="39"/>
        <v>0</v>
      </c>
      <c r="Y193" s="42">
        <f t="shared" si="39"/>
        <v>0</v>
      </c>
      <c r="Z193" s="42">
        <f t="shared" si="39"/>
        <v>0</v>
      </c>
      <c r="AA193" s="42">
        <f t="shared" si="39"/>
        <v>0</v>
      </c>
      <c r="AB193" s="42">
        <f t="shared" si="39"/>
        <v>0</v>
      </c>
      <c r="AC193" s="42">
        <f t="shared" si="39"/>
        <v>0</v>
      </c>
      <c r="AD193" s="42">
        <f t="shared" si="39"/>
        <v>0</v>
      </c>
      <c r="AE193" s="42">
        <f t="shared" si="39"/>
        <v>0</v>
      </c>
      <c r="AF193" s="42">
        <f t="shared" si="39"/>
        <v>0</v>
      </c>
    </row>
    <row r="194" spans="1:32" x14ac:dyDescent="0.2">
      <c r="A194" s="66"/>
      <c r="B194" s="66"/>
      <c r="C194" s="66"/>
      <c r="D194" s="66"/>
      <c r="E194" s="66"/>
      <c r="F194" s="66"/>
      <c r="G194" s="66"/>
      <c r="H194" s="66"/>
      <c r="I194" s="66"/>
      <c r="J194" s="66"/>
      <c r="K194" s="66"/>
      <c r="L194" s="66"/>
      <c r="M194" s="66"/>
      <c r="N194" s="66"/>
      <c r="O194" s="66"/>
      <c r="P194" s="66"/>
      <c r="R194" s="42" t="s">
        <v>687</v>
      </c>
      <c r="U194" s="42">
        <f t="shared" ref="U194:AF194" si="40">SUM(U91:U102)-U192</f>
        <v>0</v>
      </c>
      <c r="V194" s="42">
        <f t="shared" si="40"/>
        <v>0</v>
      </c>
      <c r="W194" s="42">
        <f t="shared" si="40"/>
        <v>0</v>
      </c>
      <c r="X194" s="42">
        <f t="shared" si="40"/>
        <v>0</v>
      </c>
      <c r="Y194" s="42">
        <f t="shared" si="40"/>
        <v>0</v>
      </c>
      <c r="Z194" s="42">
        <f t="shared" si="40"/>
        <v>0</v>
      </c>
      <c r="AA194" s="42">
        <f t="shared" si="40"/>
        <v>0</v>
      </c>
      <c r="AB194" s="42">
        <f t="shared" si="40"/>
        <v>0</v>
      </c>
      <c r="AC194" s="42">
        <f t="shared" si="40"/>
        <v>0</v>
      </c>
      <c r="AD194" s="42">
        <f t="shared" si="40"/>
        <v>0</v>
      </c>
      <c r="AE194" s="42">
        <f t="shared" si="40"/>
        <v>0</v>
      </c>
      <c r="AF194" s="42">
        <f t="shared" si="40"/>
        <v>0</v>
      </c>
    </row>
    <row r="195" spans="1:32" x14ac:dyDescent="0.2">
      <c r="A195" s="66"/>
      <c r="B195" s="66"/>
      <c r="C195" s="66"/>
      <c r="D195" s="66"/>
      <c r="E195" s="66"/>
      <c r="F195" s="66"/>
      <c r="G195" s="66"/>
      <c r="H195" s="66"/>
      <c r="I195" s="66"/>
      <c r="J195" s="66"/>
      <c r="K195" s="66"/>
      <c r="L195" s="66"/>
      <c r="M195" s="66"/>
      <c r="N195" s="66"/>
      <c r="O195" s="66"/>
      <c r="P195" s="66"/>
    </row>
    <row r="196" spans="1:32" x14ac:dyDescent="0.2">
      <c r="A196" s="66"/>
      <c r="B196" s="66"/>
      <c r="C196" s="66"/>
      <c r="D196" s="66"/>
      <c r="E196" s="66"/>
      <c r="F196" s="66"/>
      <c r="G196" s="66"/>
      <c r="H196" s="66"/>
      <c r="I196" s="66"/>
      <c r="J196" s="66"/>
      <c r="K196" s="66"/>
      <c r="L196" s="66"/>
      <c r="M196" s="66"/>
      <c r="N196" s="66"/>
      <c r="O196" s="66"/>
      <c r="P196" s="66"/>
    </row>
    <row r="197" spans="1:32" x14ac:dyDescent="0.2">
      <c r="A197" s="66"/>
      <c r="B197" s="66"/>
      <c r="C197" s="66"/>
      <c r="D197" s="66"/>
      <c r="E197" s="66"/>
      <c r="F197" s="66"/>
      <c r="G197" s="66"/>
      <c r="H197" s="66"/>
      <c r="I197" s="66"/>
      <c r="J197" s="66"/>
      <c r="K197" s="66"/>
      <c r="L197" s="66"/>
      <c r="M197" s="66"/>
      <c r="N197" s="66"/>
      <c r="O197" s="66"/>
      <c r="P197" s="66"/>
    </row>
    <row r="198" spans="1:32" x14ac:dyDescent="0.2">
      <c r="A198" s="66"/>
      <c r="B198" s="66"/>
      <c r="C198" s="66"/>
      <c r="D198" s="66"/>
      <c r="E198" s="66"/>
      <c r="F198" s="66"/>
      <c r="G198" s="66"/>
      <c r="H198" s="66"/>
      <c r="I198" s="66"/>
      <c r="J198" s="66"/>
      <c r="K198" s="66"/>
      <c r="L198" s="66"/>
      <c r="M198" s="66"/>
      <c r="N198" s="66"/>
      <c r="O198" s="66"/>
      <c r="P198" s="66"/>
    </row>
    <row r="199" spans="1:32" x14ac:dyDescent="0.2">
      <c r="A199" s="66"/>
      <c r="B199" s="66"/>
      <c r="C199" s="66"/>
      <c r="D199" s="66"/>
      <c r="E199" s="66"/>
      <c r="F199" s="66"/>
      <c r="G199" s="66"/>
      <c r="H199" s="66"/>
      <c r="I199" s="66"/>
      <c r="J199" s="66"/>
      <c r="K199" s="66"/>
      <c r="L199" s="66"/>
      <c r="M199" s="66"/>
      <c r="N199" s="66"/>
      <c r="O199" s="66"/>
      <c r="P199" s="66"/>
    </row>
    <row r="200" spans="1:32" x14ac:dyDescent="0.2">
      <c r="A200" s="66"/>
      <c r="B200" s="66"/>
      <c r="C200" s="66"/>
      <c r="D200" s="66"/>
      <c r="E200" s="66"/>
      <c r="F200" s="66"/>
      <c r="G200" s="66"/>
      <c r="H200" s="66"/>
      <c r="I200" s="66"/>
      <c r="J200" s="66"/>
      <c r="K200" s="66"/>
      <c r="L200" s="66"/>
      <c r="M200" s="66"/>
      <c r="N200" s="66"/>
      <c r="O200" s="66"/>
      <c r="P200" s="66"/>
    </row>
    <row r="201" spans="1:32" x14ac:dyDescent="0.2">
      <c r="A201" s="66"/>
      <c r="B201" s="66"/>
      <c r="C201" s="66"/>
      <c r="D201" s="66"/>
      <c r="E201" s="66"/>
      <c r="F201" s="66"/>
      <c r="G201" s="66"/>
      <c r="H201" s="66"/>
      <c r="I201" s="66"/>
      <c r="J201" s="66"/>
      <c r="K201" s="66"/>
      <c r="L201" s="66"/>
      <c r="M201" s="66"/>
      <c r="N201" s="66"/>
      <c r="O201" s="66"/>
      <c r="P201" s="66"/>
      <c r="R201" s="98" t="s">
        <v>620</v>
      </c>
    </row>
    <row r="202" spans="1:32" x14ac:dyDescent="0.2">
      <c r="A202" s="66"/>
      <c r="B202" s="66"/>
      <c r="C202" s="66"/>
      <c r="D202" s="66"/>
      <c r="E202" s="66"/>
      <c r="F202" s="66"/>
      <c r="G202" s="66"/>
      <c r="H202" s="66"/>
      <c r="I202" s="66"/>
      <c r="J202" s="66"/>
      <c r="K202" s="66"/>
      <c r="L202" s="66"/>
      <c r="M202" s="66"/>
      <c r="N202" s="66"/>
      <c r="O202" s="66"/>
      <c r="P202" s="66"/>
      <c r="R202" s="42" t="s">
        <v>647</v>
      </c>
      <c r="U202" s="42">
        <f t="shared" ref="U202:AF202" si="41">SUM(U121:U140)</f>
        <v>204395.25</v>
      </c>
      <c r="V202" s="42">
        <f t="shared" si="41"/>
        <v>186621.75</v>
      </c>
      <c r="W202" s="42">
        <f t="shared" si="41"/>
        <v>214920.75</v>
      </c>
      <c r="X202" s="42">
        <f t="shared" si="41"/>
        <v>218831.25</v>
      </c>
      <c r="Y202" s="42">
        <f t="shared" si="41"/>
        <v>195204.75</v>
      </c>
      <c r="Z202" s="42">
        <f t="shared" si="41"/>
        <v>207018</v>
      </c>
      <c r="AA202" s="42">
        <f t="shared" si="41"/>
        <v>197160</v>
      </c>
      <c r="AB202" s="42">
        <f t="shared" si="41"/>
        <v>197160</v>
      </c>
      <c r="AC202" s="42">
        <f t="shared" si="41"/>
        <v>214920.75</v>
      </c>
      <c r="AD202" s="42">
        <f t="shared" si="41"/>
        <v>190228.5</v>
      </c>
      <c r="AE202" s="42">
        <f t="shared" si="41"/>
        <v>206046.75</v>
      </c>
      <c r="AF202" s="42">
        <f t="shared" si="41"/>
        <v>207989.25</v>
      </c>
    </row>
    <row r="203" spans="1:32" x14ac:dyDescent="0.2">
      <c r="A203" s="66"/>
      <c r="B203" s="66"/>
      <c r="C203" s="66"/>
      <c r="D203" s="66"/>
      <c r="E203" s="66"/>
      <c r="F203" s="66"/>
      <c r="G203" s="66"/>
      <c r="H203" s="66"/>
      <c r="I203" s="66"/>
      <c r="J203" s="66"/>
      <c r="K203" s="66"/>
      <c r="L203" s="66"/>
      <c r="M203" s="66"/>
      <c r="N203" s="66"/>
      <c r="O203" s="66"/>
      <c r="P203" s="66"/>
      <c r="R203" s="42" t="s">
        <v>648</v>
      </c>
      <c r="U203" s="42">
        <f t="shared" ref="U203:AF203" si="42">SUMIFS(AH121:AH140,$C$121:$C$140,"Delivery")</f>
        <v>95293.75</v>
      </c>
      <c r="V203" s="42">
        <f t="shared" si="42"/>
        <v>95293.75</v>
      </c>
      <c r="W203" s="42">
        <f t="shared" si="42"/>
        <v>105168.75</v>
      </c>
      <c r="X203" s="42">
        <f t="shared" si="42"/>
        <v>105168.75</v>
      </c>
      <c r="Y203" s="42">
        <f t="shared" si="42"/>
        <v>105168.75</v>
      </c>
      <c r="Z203" s="42">
        <f t="shared" si="42"/>
        <v>105168.75</v>
      </c>
      <c r="AA203" s="42">
        <f t="shared" si="42"/>
        <v>105168.75</v>
      </c>
      <c r="AB203" s="42">
        <f t="shared" si="42"/>
        <v>105168.75</v>
      </c>
      <c r="AC203" s="42">
        <f t="shared" si="42"/>
        <v>105168.75</v>
      </c>
      <c r="AD203" s="42">
        <f t="shared" si="42"/>
        <v>105168.75</v>
      </c>
      <c r="AE203" s="42">
        <f t="shared" si="42"/>
        <v>105168.75</v>
      </c>
      <c r="AF203" s="42">
        <f t="shared" si="42"/>
        <v>105168.75</v>
      </c>
    </row>
    <row r="204" spans="1:32" x14ac:dyDescent="0.2">
      <c r="A204" s="66"/>
      <c r="B204" s="66"/>
      <c r="C204" s="66"/>
      <c r="D204" s="66"/>
      <c r="E204" s="66"/>
      <c r="F204" s="66"/>
      <c r="G204" s="66"/>
      <c r="H204" s="66"/>
      <c r="I204" s="66"/>
      <c r="J204" s="66"/>
      <c r="K204" s="66"/>
      <c r="L204" s="66"/>
      <c r="M204" s="66"/>
      <c r="N204" s="66"/>
      <c r="O204" s="66"/>
      <c r="P204" s="66"/>
      <c r="R204" s="42" t="s">
        <v>649</v>
      </c>
      <c r="U204" s="42">
        <f t="shared" ref="U204:AF204" si="43">SUM(AU121:AU140)</f>
        <v>9</v>
      </c>
      <c r="V204" s="42">
        <f t="shared" si="43"/>
        <v>9</v>
      </c>
      <c r="W204" s="42">
        <f t="shared" si="43"/>
        <v>10</v>
      </c>
      <c r="X204" s="42">
        <f t="shared" si="43"/>
        <v>10</v>
      </c>
      <c r="Y204" s="42">
        <f t="shared" si="43"/>
        <v>10</v>
      </c>
      <c r="Z204" s="42">
        <f t="shared" si="43"/>
        <v>10</v>
      </c>
      <c r="AA204" s="42">
        <f t="shared" si="43"/>
        <v>10</v>
      </c>
      <c r="AB204" s="42">
        <f t="shared" si="43"/>
        <v>10</v>
      </c>
      <c r="AC204" s="42">
        <f t="shared" si="43"/>
        <v>10</v>
      </c>
      <c r="AD204" s="42">
        <f t="shared" si="43"/>
        <v>10</v>
      </c>
      <c r="AE204" s="42">
        <f t="shared" si="43"/>
        <v>10</v>
      </c>
      <c r="AF204" s="42">
        <f t="shared" si="43"/>
        <v>10</v>
      </c>
    </row>
    <row r="205" spans="1:32" x14ac:dyDescent="0.2">
      <c r="A205" s="66"/>
      <c r="B205" s="66"/>
      <c r="C205" s="66"/>
      <c r="D205" s="66"/>
      <c r="E205" s="66"/>
      <c r="F205" s="66"/>
      <c r="G205" s="66"/>
      <c r="H205" s="66"/>
      <c r="I205" s="66"/>
      <c r="J205" s="66"/>
      <c r="K205" s="66"/>
      <c r="L205" s="66"/>
      <c r="M205" s="66"/>
      <c r="N205" s="66"/>
      <c r="O205" s="66"/>
      <c r="P205" s="66"/>
      <c r="R205" s="42" t="s">
        <v>650</v>
      </c>
      <c r="U205" s="42" cm="1">
        <f t="array" ref="U205">IFERROR(SUMPRODUCT(($B$121:$B$140&lt;&gt;"")*N($E$121:$E$140)*N($I$121:$I$140))/SUMPRODUCT(($B$121:$B$140&lt;&gt;"")*N($E$121:$E$140)),0)</f>
        <v>0</v>
      </c>
      <c r="V205" s="42" cm="1">
        <f t="array" ref="V205">IFERROR(SUMPRODUCT((AV121:AV140)*($I121:$I140))/SUM(AV121:AV140),0)</f>
        <v>0.66222222222222227</v>
      </c>
      <c r="W205" s="42" cm="1">
        <f t="array" ref="W205">IFERROR(SUMPRODUCT((AW121:AW140)*($I121:$I140))/SUM(AW121:AW140),0)</f>
        <v>0.67</v>
      </c>
      <c r="X205" s="42" cm="1">
        <f t="array" ref="X205">IFERROR(SUMPRODUCT((AX121:AX140)*($I121:$I140))/SUM(AX121:AX140),0)</f>
        <v>0.67</v>
      </c>
      <c r="Y205" s="42" cm="1">
        <f t="array" ref="Y205">IFERROR(SUMPRODUCT((AY121:AY140)*($I121:$I140))/SUM(AY121:AY140),0)</f>
        <v>0.67</v>
      </c>
      <c r="Z205" s="42" cm="1">
        <f t="array" ref="Z205">IFERROR(SUMPRODUCT((AZ121:AZ140)*($I121:$I140))/SUM(AZ121:AZ140),0)</f>
        <v>0.67</v>
      </c>
      <c r="AA205" s="42" cm="1">
        <f t="array" ref="AA205">IFERROR(SUMPRODUCT((BA121:BA140)*($I121:$I140))/SUM(BA121:BA140),0)</f>
        <v>0.67</v>
      </c>
      <c r="AB205" s="42" cm="1">
        <f t="array" ref="AB205">IFERROR(SUMPRODUCT((BB121:BB140)*($I121:$I140))/SUM(BB121:BB140),0)</f>
        <v>0.67</v>
      </c>
      <c r="AC205" s="42" cm="1">
        <f t="array" ref="AC205">IFERROR(SUMPRODUCT((BC121:BC140)*($I121:$I140))/SUM(BC121:BC140),0)</f>
        <v>0.67</v>
      </c>
      <c r="AD205" s="42" cm="1">
        <f t="array" ref="AD205">IFERROR(SUMPRODUCT((BD121:BD140)*($I121:$I140))/SUM(BD121:BD140),0)</f>
        <v>0.67</v>
      </c>
      <c r="AE205" s="42" cm="1">
        <f t="array" ref="AE205">IFERROR(SUMPRODUCT((BE121:BE140)*($I121:$I140))/SUM(BE121:BE140),0)</f>
        <v>0.67</v>
      </c>
      <c r="AF205" s="42" cm="1">
        <f t="array" ref="AF205">IFERROR(SUMPRODUCT((BF121:BF140)*($I121:$I140))/SUM(BF121:BF140),0)</f>
        <v>0.67</v>
      </c>
    </row>
    <row r="206" spans="1:32" x14ac:dyDescent="0.2">
      <c r="A206" s="66"/>
      <c r="B206" s="66"/>
      <c r="C206" s="66"/>
      <c r="D206" s="66"/>
      <c r="E206" s="66"/>
      <c r="F206" s="66"/>
      <c r="G206" s="66"/>
      <c r="H206" s="66"/>
      <c r="I206" s="66"/>
      <c r="J206" s="66"/>
      <c r="K206" s="66"/>
      <c r="L206" s="66"/>
      <c r="M206" s="66"/>
      <c r="N206" s="66"/>
      <c r="O206" s="66"/>
      <c r="P206" s="66"/>
      <c r="R206" s="42" t="s">
        <v>651</v>
      </c>
      <c r="U206" s="42" cm="1">
        <f t="array" ref="U206">SUMPRODUCT(($D$121:$D$140=1)*U121:U140)</f>
        <v>80402.25</v>
      </c>
      <c r="V206" s="42" cm="1">
        <f t="array" ref="V206">SUMPRODUCT(($D$121:$D$140=1)*V121:V140)</f>
        <v>73410.75</v>
      </c>
      <c r="W206" s="42" cm="1">
        <f t="array" ref="W206">SUMPRODUCT(($D$121:$D$140=1)*W121:W140)</f>
        <v>76906.5</v>
      </c>
      <c r="X206" s="42" cm="1">
        <f t="array" ref="X206">SUMPRODUCT(($D$121:$D$140=1)*X121:X140)</f>
        <v>76906.5</v>
      </c>
      <c r="Y206" s="42" cm="1">
        <f t="array" ref="Y206">SUMPRODUCT(($D$121:$D$140=1)*Y121:Y140)</f>
        <v>69915</v>
      </c>
      <c r="Z206" s="42" cm="1">
        <f t="array" ref="Z206">SUMPRODUCT(($D$121:$D$140=1)*Z121:Z140)</f>
        <v>73410.75</v>
      </c>
      <c r="AA206" s="42" cm="1">
        <f t="array" ref="AA206">SUMPRODUCT(($D$121:$D$140=1)*AA121:AA140)</f>
        <v>69915</v>
      </c>
      <c r="AB206" s="42" cm="1">
        <f t="array" ref="AB206">SUMPRODUCT(($D$121:$D$140=1)*AB121:AB140)</f>
        <v>69915</v>
      </c>
      <c r="AC206" s="42" cm="1">
        <f t="array" ref="AC206">SUMPRODUCT(($D$121:$D$140=1)*AC121:AC140)</f>
        <v>76906.5</v>
      </c>
      <c r="AD206" s="42" cm="1">
        <f t="array" ref="AD206">SUMPRODUCT(($D$121:$D$140=1)*AD121:AD140)</f>
        <v>66419.25</v>
      </c>
      <c r="AE206" s="42" cm="1">
        <f t="array" ref="AE206">SUMPRODUCT(($D$121:$D$140=1)*AE121:AE140)</f>
        <v>73410.75</v>
      </c>
      <c r="AF206" s="42" cm="1">
        <f t="array" ref="AF206">SUMPRODUCT(($D$121:$D$140=1)*AF121:AF140)</f>
        <v>73410.75</v>
      </c>
    </row>
    <row r="207" spans="1:32" x14ac:dyDescent="0.2">
      <c r="A207" s="66"/>
      <c r="B207" s="66"/>
      <c r="C207" s="66"/>
      <c r="D207" s="66"/>
      <c r="E207" s="66"/>
      <c r="F207" s="66"/>
      <c r="G207" s="66"/>
      <c r="H207" s="66"/>
      <c r="I207" s="66"/>
      <c r="J207" s="66"/>
      <c r="K207" s="66"/>
      <c r="L207" s="66"/>
      <c r="M207" s="66"/>
      <c r="N207" s="66"/>
      <c r="O207" s="66"/>
      <c r="P207" s="66"/>
      <c r="R207" s="42" t="s">
        <v>652</v>
      </c>
      <c r="U207" s="42" cm="1">
        <f t="array" ref="U207">SUMPRODUCT(($D$121:$D$140=2)*U121:U140)</f>
        <v>96669</v>
      </c>
      <c r="V207" s="42" cm="1">
        <f t="array" ref="V207">SUMPRODUCT(($D$121:$D$140=2)*V121:V140)</f>
        <v>88263</v>
      </c>
      <c r="W207" s="42" cm="1">
        <f t="array" ref="W207">SUMPRODUCT(($D$121:$D$140=2)*W121:W140)</f>
        <v>111878.25</v>
      </c>
      <c r="X207" s="42" cm="1">
        <f t="array" ref="X207">SUMPRODUCT(($D$121:$D$140=2)*X121:X140)</f>
        <v>115788.75</v>
      </c>
      <c r="Y207" s="42" cm="1">
        <f t="array" ref="Y207">SUMPRODUCT(($D$121:$D$140=2)*Y121:Y140)</f>
        <v>101529.75</v>
      </c>
      <c r="Z207" s="42" cm="1">
        <f t="array" ref="Z207">SUMPRODUCT(($D$121:$D$140=2)*Z121:Z140)</f>
        <v>108659.25</v>
      </c>
      <c r="AA207" s="42" cm="1">
        <f t="array" ref="AA207">SUMPRODUCT(($D$121:$D$140=2)*AA121:AA140)</f>
        <v>103485</v>
      </c>
      <c r="AB207" s="42" cm="1">
        <f t="array" ref="AB207">SUMPRODUCT(($D$121:$D$140=2)*AB121:AB140)</f>
        <v>103485</v>
      </c>
      <c r="AC207" s="42" cm="1">
        <f t="array" ref="AC207">SUMPRODUCT(($D$121:$D$140=2)*AC121:AC140)</f>
        <v>111878.25</v>
      </c>
      <c r="AD207" s="42" cm="1">
        <f t="array" ref="AD207">SUMPRODUCT(($D$121:$D$140=2)*AD121:AD140)</f>
        <v>101237.25</v>
      </c>
      <c r="AE207" s="42" cm="1">
        <f t="array" ref="AE207">SUMPRODUCT(($D$121:$D$140=2)*AE121:AE140)</f>
        <v>107688</v>
      </c>
      <c r="AF207" s="42" cm="1">
        <f t="array" ref="AF207">SUMPRODUCT(($D$121:$D$140=2)*AF121:AF140)</f>
        <v>109630.5</v>
      </c>
    </row>
    <row r="208" spans="1:32" x14ac:dyDescent="0.2">
      <c r="A208" s="66"/>
      <c r="B208" s="66"/>
      <c r="C208" s="66"/>
      <c r="D208" s="66"/>
      <c r="E208" s="66"/>
      <c r="F208" s="66"/>
      <c r="G208" s="66"/>
      <c r="H208" s="66"/>
      <c r="I208" s="66"/>
      <c r="J208" s="66"/>
      <c r="K208" s="66"/>
      <c r="L208" s="66"/>
      <c r="M208" s="66"/>
      <c r="N208" s="66"/>
      <c r="O208" s="66"/>
      <c r="P208" s="66"/>
      <c r="R208" s="42" t="s">
        <v>653</v>
      </c>
      <c r="U208" s="42" cm="1">
        <f t="array" ref="U208">SUMPRODUCT(($D$121:$D$140=3)*U121:U140)</f>
        <v>27324.000000000004</v>
      </c>
      <c r="V208" s="42" cm="1">
        <f t="array" ref="V208">SUMPRODUCT(($D$121:$D$140=3)*V121:V140)</f>
        <v>24948</v>
      </c>
      <c r="W208" s="42" cm="1">
        <f t="array" ref="W208">SUMPRODUCT(($D$121:$D$140=3)*W121:W140)</f>
        <v>26136</v>
      </c>
      <c r="X208" s="42" cm="1">
        <f t="array" ref="X208">SUMPRODUCT(($D$121:$D$140=3)*X121:X140)</f>
        <v>26136</v>
      </c>
      <c r="Y208" s="42" cm="1">
        <f t="array" ref="Y208">SUMPRODUCT(($D$121:$D$140=3)*Y121:Y140)</f>
        <v>23760</v>
      </c>
      <c r="Z208" s="42" cm="1">
        <f t="array" ref="Z208">SUMPRODUCT(($D$121:$D$140=3)*Z121:Z140)</f>
        <v>24948</v>
      </c>
      <c r="AA208" s="42" cm="1">
        <f t="array" ref="AA208">SUMPRODUCT(($D$121:$D$140=3)*AA121:AA140)</f>
        <v>23760</v>
      </c>
      <c r="AB208" s="42" cm="1">
        <f t="array" ref="AB208">SUMPRODUCT(($D$121:$D$140=3)*AB121:AB140)</f>
        <v>23760</v>
      </c>
      <c r="AC208" s="42" cm="1">
        <f t="array" ref="AC208">SUMPRODUCT(($D$121:$D$140=3)*AC121:AC140)</f>
        <v>26136</v>
      </c>
      <c r="AD208" s="42" cm="1">
        <f t="array" ref="AD208">SUMPRODUCT(($D$121:$D$140=3)*AD121:AD140)</f>
        <v>22572.000000000004</v>
      </c>
      <c r="AE208" s="42" cm="1">
        <f t="array" ref="AE208">SUMPRODUCT(($D$121:$D$140=3)*AE121:AE140)</f>
        <v>24948</v>
      </c>
      <c r="AF208" s="42" cm="1">
        <f t="array" ref="AF208">SUMPRODUCT(($D$121:$D$140=3)*AF121:AF140)</f>
        <v>24948</v>
      </c>
    </row>
    <row r="209" spans="1:32" x14ac:dyDescent="0.2">
      <c r="A209" s="66"/>
      <c r="B209" s="66"/>
      <c r="C209" s="66"/>
      <c r="D209" s="66"/>
      <c r="E209" s="66"/>
      <c r="F209" s="66"/>
      <c r="G209" s="66"/>
      <c r="H209" s="66"/>
      <c r="I209" s="66"/>
      <c r="J209" s="66"/>
      <c r="K209" s="66"/>
      <c r="L209" s="66"/>
      <c r="M209" s="66"/>
      <c r="N209" s="66"/>
      <c r="O209" s="66"/>
      <c r="P209" s="66"/>
      <c r="R209" s="42" t="s">
        <v>654</v>
      </c>
      <c r="U209" s="42" cm="1">
        <f t="array" ref="U209">SUMPRODUCT(($D$121:$D$140=4)*U121:U140)</f>
        <v>0</v>
      </c>
      <c r="V209" s="42" cm="1">
        <f t="array" ref="V209">SUMPRODUCT(($D$121:$D$140=4)*V121:V140)</f>
        <v>0</v>
      </c>
      <c r="W209" s="42" cm="1">
        <f t="array" ref="W209">SUMPRODUCT(($D$121:$D$140=4)*W121:W140)</f>
        <v>0</v>
      </c>
      <c r="X209" s="42" cm="1">
        <f t="array" ref="X209">SUMPRODUCT(($D$121:$D$140=4)*X121:X140)</f>
        <v>0</v>
      </c>
      <c r="Y209" s="42" cm="1">
        <f t="array" ref="Y209">SUMPRODUCT(($D$121:$D$140=4)*Y121:Y140)</f>
        <v>0</v>
      </c>
      <c r="Z209" s="42" cm="1">
        <f t="array" ref="Z209">SUMPRODUCT(($D$121:$D$140=4)*Z121:Z140)</f>
        <v>0</v>
      </c>
      <c r="AA209" s="42" cm="1">
        <f t="array" ref="AA209">SUMPRODUCT(($D$121:$D$140=4)*AA121:AA140)</f>
        <v>0</v>
      </c>
      <c r="AB209" s="42" cm="1">
        <f t="array" ref="AB209">SUMPRODUCT(($D$121:$D$140=4)*AB121:AB140)</f>
        <v>0</v>
      </c>
      <c r="AC209" s="42" cm="1">
        <f t="array" ref="AC209">SUMPRODUCT(($D$121:$D$140=4)*AC121:AC140)</f>
        <v>0</v>
      </c>
      <c r="AD209" s="42" cm="1">
        <f t="array" ref="AD209">SUMPRODUCT(($D$121:$D$140=4)*AD121:AD140)</f>
        <v>0</v>
      </c>
      <c r="AE209" s="42" cm="1">
        <f t="array" ref="AE209">SUMPRODUCT(($D$121:$D$140=4)*AE121:AE140)</f>
        <v>0</v>
      </c>
      <c r="AF209" s="42" cm="1">
        <f t="array" ref="AF209">SUMPRODUCT(($D$121:$D$140=4)*AF121:AF140)</f>
        <v>0</v>
      </c>
    </row>
    <row r="210" spans="1:32" x14ac:dyDescent="0.2">
      <c r="A210" s="66"/>
      <c r="B210" s="66"/>
      <c r="C210" s="66"/>
      <c r="D210" s="66"/>
      <c r="E210" s="66"/>
      <c r="F210" s="66"/>
      <c r="G210" s="66"/>
      <c r="H210" s="66"/>
      <c r="I210" s="66"/>
      <c r="J210" s="66"/>
      <c r="K210" s="66"/>
      <c r="L210" s="66"/>
      <c r="M210" s="66"/>
      <c r="N210" s="66"/>
      <c r="O210" s="66"/>
      <c r="P210" s="66"/>
      <c r="R210" s="42" t="s">
        <v>655</v>
      </c>
      <c r="U210" s="42" cm="1">
        <f t="array" ref="U210">SUMPRODUCT(($D$121:$D$140=5)*U121:U140)</f>
        <v>0</v>
      </c>
      <c r="V210" s="42" cm="1">
        <f t="array" ref="V210">SUMPRODUCT(($D$121:$D$140=5)*V121:V140)</f>
        <v>0</v>
      </c>
      <c r="W210" s="42" cm="1">
        <f t="array" ref="W210">SUMPRODUCT(($D$121:$D$140=5)*W121:W140)</f>
        <v>0</v>
      </c>
      <c r="X210" s="42" cm="1">
        <f t="array" ref="X210">SUMPRODUCT(($D$121:$D$140=5)*X121:X140)</f>
        <v>0</v>
      </c>
      <c r="Y210" s="42" cm="1">
        <f t="array" ref="Y210">SUMPRODUCT(($D$121:$D$140=5)*Y121:Y140)</f>
        <v>0</v>
      </c>
      <c r="Z210" s="42" cm="1">
        <f t="array" ref="Z210">SUMPRODUCT(($D$121:$D$140=5)*Z121:Z140)</f>
        <v>0</v>
      </c>
      <c r="AA210" s="42" cm="1">
        <f t="array" ref="AA210">SUMPRODUCT(($D$121:$D$140=5)*AA121:AA140)</f>
        <v>0</v>
      </c>
      <c r="AB210" s="42" cm="1">
        <f t="array" ref="AB210">SUMPRODUCT(($D$121:$D$140=5)*AB121:AB140)</f>
        <v>0</v>
      </c>
      <c r="AC210" s="42" cm="1">
        <f t="array" ref="AC210">SUMPRODUCT(($D$121:$D$140=5)*AC121:AC140)</f>
        <v>0</v>
      </c>
      <c r="AD210" s="42" cm="1">
        <f t="array" ref="AD210">SUMPRODUCT(($D$121:$D$140=5)*AD121:AD140)</f>
        <v>0</v>
      </c>
      <c r="AE210" s="42" cm="1">
        <f t="array" ref="AE210">SUMPRODUCT(($D$121:$D$140=5)*AE121:AE140)</f>
        <v>0</v>
      </c>
      <c r="AF210" s="42" cm="1">
        <f t="array" ref="AF210">SUMPRODUCT(($D$121:$D$140=5)*AF121:AF140)</f>
        <v>0</v>
      </c>
    </row>
    <row r="211" spans="1:32" x14ac:dyDescent="0.2">
      <c r="A211" s="66"/>
      <c r="B211" s="66"/>
      <c r="C211" s="66"/>
      <c r="D211" s="66"/>
      <c r="E211" s="66"/>
      <c r="F211" s="66"/>
      <c r="G211" s="66"/>
      <c r="H211" s="66"/>
      <c r="I211" s="66"/>
      <c r="J211" s="66"/>
      <c r="K211" s="66"/>
      <c r="L211" s="66"/>
      <c r="M211" s="66"/>
      <c r="N211" s="66"/>
      <c r="O211" s="66"/>
      <c r="P211" s="66"/>
      <c r="U211" s="42">
        <f>SUM(U202:AF202)</f>
        <v>2440497</v>
      </c>
    </row>
    <row r="212" spans="1:32" x14ac:dyDescent="0.2">
      <c r="A212" s="66"/>
      <c r="B212" s="66"/>
      <c r="C212" s="66"/>
      <c r="D212" s="66"/>
      <c r="E212" s="66"/>
      <c r="F212" s="66"/>
      <c r="G212" s="66"/>
      <c r="H212" s="66"/>
      <c r="I212" s="66"/>
      <c r="J212" s="66"/>
      <c r="K212" s="66"/>
      <c r="L212" s="66"/>
      <c r="M212" s="66"/>
      <c r="N212" s="66"/>
      <c r="O212" s="66"/>
      <c r="P212" s="66"/>
      <c r="R212" s="42" t="s">
        <v>686</v>
      </c>
      <c r="U212" s="42">
        <f t="shared" ref="U212:AF212" si="44">SUM(AH121:AH140)-U203</f>
        <v>7406.25</v>
      </c>
      <c r="V212" s="42">
        <f t="shared" si="44"/>
        <v>7406.25</v>
      </c>
      <c r="W212" s="42">
        <f t="shared" si="44"/>
        <v>7406.25</v>
      </c>
      <c r="X212" s="42">
        <f t="shared" si="44"/>
        <v>7406.25</v>
      </c>
      <c r="Y212" s="42">
        <f t="shared" si="44"/>
        <v>7406.25</v>
      </c>
      <c r="Z212" s="42">
        <f t="shared" si="44"/>
        <v>7406.25</v>
      </c>
      <c r="AA212" s="42">
        <f t="shared" si="44"/>
        <v>7406.25</v>
      </c>
      <c r="AB212" s="42">
        <f t="shared" si="44"/>
        <v>7406.25</v>
      </c>
      <c r="AC212" s="42">
        <f t="shared" si="44"/>
        <v>7406.25</v>
      </c>
      <c r="AD212" s="42">
        <f t="shared" si="44"/>
        <v>7406.25</v>
      </c>
      <c r="AE212" s="42">
        <f t="shared" si="44"/>
        <v>7406.25</v>
      </c>
      <c r="AF212" s="42">
        <f t="shared" si="44"/>
        <v>7406.25</v>
      </c>
    </row>
    <row r="213" spans="1:32" x14ac:dyDescent="0.2">
      <c r="A213" s="66"/>
      <c r="B213" s="66"/>
      <c r="C213" s="66"/>
      <c r="D213" s="66"/>
      <c r="E213" s="66"/>
      <c r="F213" s="66"/>
      <c r="G213" s="66"/>
      <c r="H213" s="66"/>
      <c r="I213" s="66"/>
      <c r="J213" s="66"/>
      <c r="K213" s="66"/>
      <c r="L213" s="66"/>
      <c r="M213" s="66"/>
      <c r="N213" s="66"/>
      <c r="O213" s="66"/>
      <c r="P213" s="66"/>
      <c r="R213" s="42" t="s">
        <v>656</v>
      </c>
      <c r="U213" s="42" cm="1">
        <f t="array" ref="U213">SUMPRODUCT((($C$107:$C$112)=1)*($D$107:$D$112)*(1&gt;=IF(N($G$107:$G$112)=0,1,$G$107:$G$112))*(1&lt;=IF(N($H$107:$H$112)=0,12,$H$107:$H$112)))</f>
        <v>0</v>
      </c>
      <c r="V213" s="42" cm="1">
        <f t="array" ref="V213">SUMPRODUCT((($C$107:$C$112)=1)*($D$107:$D$112)*(2&gt;=IF(N($G$107:$G$112)=0,1,$G$107:$G$112))*(2&lt;=IF(N($H$107:$H$112)=0,12,$H$107:$H$112)))</f>
        <v>0</v>
      </c>
      <c r="W213" s="42" cm="1">
        <f t="array" ref="W213">SUMPRODUCT((($C$107:$C$112)=1)*($D$107:$D$112)*(3&gt;=IF(N($G$107:$G$112)=0,1,$G$107:$G$112))*(3&lt;=IF(N($H$107:$H$112)=0,12,$H$107:$H$112)))</f>
        <v>0</v>
      </c>
      <c r="X213" s="42" cm="1">
        <f t="array" ref="X213">SUMPRODUCT((($C$107:$C$112)=1)*($D$107:$D$112)*(4&gt;=IF(N($G$107:$G$112)=0,1,$G$107:$G$112))*(4&lt;=IF(N($H$107:$H$112)=0,12,$H$107:$H$112)))</f>
        <v>0</v>
      </c>
      <c r="Y213" s="42" cm="1">
        <f t="array" ref="Y213">SUMPRODUCT((($C$107:$C$112)=1)*($D$107:$D$112)*(5&gt;=IF(N($G$107:$G$112)=0,1,$G$107:$G$112))*(5&lt;=IF(N($H$107:$H$112)=0,12,$H$107:$H$112)))</f>
        <v>0</v>
      </c>
      <c r="Z213" s="42" cm="1">
        <f t="array" ref="Z213">SUMPRODUCT((($C$107:$C$112)=1)*($D$107:$D$112)*(6&gt;=IF(N($G$107:$G$112)=0,1,$G$107:$G$112))*(6&lt;=IF(N($H$107:$H$112)=0,12,$H$107:$H$112)))</f>
        <v>0</v>
      </c>
      <c r="AA213" s="42" cm="1">
        <f t="array" ref="AA213">SUMPRODUCT((($C$107:$C$112)=1)*($D$107:$D$112)*(7&gt;=IF(N($G$107:$G$112)=0,1,$G$107:$G$112))*(7&lt;=IF(N($H$107:$H$112)=0,12,$H$107:$H$112)))</f>
        <v>0</v>
      </c>
      <c r="AB213" s="42" cm="1">
        <f t="array" ref="AB213">SUMPRODUCT((($C$107:$C$112)=1)*($D$107:$D$112)*(8&gt;=IF(N($G$107:$G$112)=0,1,$G$107:$G$112))*(8&lt;=IF(N($H$107:$H$112)=0,12,$H$107:$H$112)))</f>
        <v>0</v>
      </c>
      <c r="AC213" s="42" cm="1">
        <f t="array" ref="AC213">SUMPRODUCT((($C$107:$C$112)=1)*($D$107:$D$112)*(9&gt;=IF(N($G$107:$G$112)=0,1,$G$107:$G$112))*(9&lt;=IF(N($H$107:$H$112)=0,12,$H$107:$H$112)))</f>
        <v>0</v>
      </c>
      <c r="AD213" s="42" cm="1">
        <f t="array" ref="AD213">SUMPRODUCT((($C$107:$C$112)=1)*($D$107:$D$112)*(10&gt;=IF(N($G$107:$G$112)=0,1,$G$107:$G$112))*(10&lt;=IF(N($H$107:$H$112)=0,12,$H$107:$H$112)))</f>
        <v>0</v>
      </c>
      <c r="AE213" s="42" cm="1">
        <f t="array" ref="AE213">SUMPRODUCT((($C$107:$C$112)=1)*($D$107:$D$112)*(11&gt;=IF(N($G$107:$G$112)=0,1,$G$107:$G$112))*(11&lt;=IF(N($H$107:$H$112)=0,12,$H$107:$H$112)))</f>
        <v>0</v>
      </c>
      <c r="AF213" s="42" cm="1">
        <f t="array" ref="AF213">SUMPRODUCT((($C$107:$C$112)=1)*($D$107:$D$112)*(12&gt;=IF(N($G$107:$G$112)=0,1,$G$107:$G$112))*(12&lt;=IF(N($H$107:$H$112)=0,12,$H$107:$H$112)))</f>
        <v>0</v>
      </c>
    </row>
    <row r="214" spans="1:32" x14ac:dyDescent="0.2">
      <c r="A214" s="66"/>
      <c r="B214" s="66"/>
      <c r="C214" s="66"/>
      <c r="D214" s="66"/>
      <c r="E214" s="66"/>
      <c r="F214" s="66"/>
      <c r="G214" s="66"/>
      <c r="H214" s="66"/>
      <c r="I214" s="66"/>
      <c r="J214" s="66"/>
      <c r="K214" s="66"/>
      <c r="L214" s="66"/>
      <c r="M214" s="66"/>
      <c r="N214" s="66"/>
      <c r="O214" s="66"/>
      <c r="P214" s="66"/>
      <c r="U214" s="42" cm="1">
        <f t="array" ref="U214">SUMPRODUCT((($C$107:$C$112)=2)*($D$107:$D$112)*(1&gt;=IF(N($G$107:$G$112)=0,1,$G$107:$G$112))*(1&lt;=IF(N($H$107:$H$112)=0,12,$H$107:$H$112)))</f>
        <v>0</v>
      </c>
      <c r="V214" s="42" cm="1">
        <f t="array" ref="V214">SUMPRODUCT((($C$107:$C$112)=2)*($D$107:$D$112)*(2&gt;=IF(N($G$107:$G$112)=0,1,$G$107:$G$112))*(2&lt;=IF(N($H$107:$H$112)=0,12,$H$107:$H$112)))</f>
        <v>0</v>
      </c>
      <c r="W214" s="42" cm="1">
        <f t="array" ref="W214">SUMPRODUCT((($C$107:$C$112)=2)*($D$107:$D$112)*(3&gt;=IF(N($G$107:$G$112)=0,1,$G$107:$G$112))*(3&lt;=IF(N($H$107:$H$112)=0,12,$H$107:$H$112)))</f>
        <v>0</v>
      </c>
      <c r="X214" s="42" cm="1">
        <f t="array" ref="X214">SUMPRODUCT((($C$107:$C$112)=2)*($D$107:$D$112)*(4&gt;=IF(N($G$107:$G$112)=0,1,$G$107:$G$112))*(4&lt;=IF(N($H$107:$H$112)=0,12,$H$107:$H$112)))</f>
        <v>0</v>
      </c>
      <c r="Y214" s="42" cm="1">
        <f t="array" ref="Y214">SUMPRODUCT((($C$107:$C$112)=2)*($D$107:$D$112)*(5&gt;=IF(N($G$107:$G$112)=0,1,$G$107:$G$112))*(5&lt;=IF(N($H$107:$H$112)=0,12,$H$107:$H$112)))</f>
        <v>0</v>
      </c>
      <c r="Z214" s="42" cm="1">
        <f t="array" ref="Z214">SUMPRODUCT((($C$107:$C$112)=2)*($D$107:$D$112)*(6&gt;=IF(N($G$107:$G$112)=0,1,$G$107:$G$112))*(6&lt;=IF(N($H$107:$H$112)=0,12,$H$107:$H$112)))</f>
        <v>0</v>
      </c>
      <c r="AA214" s="42" cm="1">
        <f t="array" ref="AA214">SUMPRODUCT((($C$107:$C$112)=2)*($D$107:$D$112)*(7&gt;=IF(N($G$107:$G$112)=0,1,$G$107:$G$112))*(7&lt;=IF(N($H$107:$H$112)=0,12,$H$107:$H$112)))</f>
        <v>0</v>
      </c>
      <c r="AB214" s="42" cm="1">
        <f t="array" ref="AB214">SUMPRODUCT((($C$107:$C$112)=2)*($D$107:$D$112)*(8&gt;=IF(N($G$107:$G$112)=0,1,$G$107:$G$112))*(8&lt;=IF(N($H$107:$H$112)=0,12,$H$107:$H$112)))</f>
        <v>0</v>
      </c>
      <c r="AC214" s="42" cm="1">
        <f t="array" ref="AC214">SUMPRODUCT((($C$107:$C$112)=2)*($D$107:$D$112)*(9&gt;=IF(N($G$107:$G$112)=0,1,$G$107:$G$112))*(9&lt;=IF(N($H$107:$H$112)=0,12,$H$107:$H$112)))</f>
        <v>0</v>
      </c>
      <c r="AD214" s="42" cm="1">
        <f t="array" ref="AD214">SUMPRODUCT((($C$107:$C$112)=2)*($D$107:$D$112)*(10&gt;=IF(N($G$107:$G$112)=0,1,$G$107:$G$112))*(10&lt;=IF(N($H$107:$H$112)=0,12,$H$107:$H$112)))</f>
        <v>0</v>
      </c>
      <c r="AE214" s="42" cm="1">
        <f t="array" ref="AE214">SUMPRODUCT((($C$107:$C$112)=2)*($D$107:$D$112)*(11&gt;=IF(N($G$107:$G$112)=0,1,$G$107:$G$112))*(11&lt;=IF(N($H$107:$H$112)=0,12,$H$107:$H$112)))</f>
        <v>0</v>
      </c>
      <c r="AF214" s="42" cm="1">
        <f t="array" ref="AF214">SUMPRODUCT((($C$107:$C$112)=2)*($D$107:$D$112)*(12&gt;=IF(N($G$107:$G$112)=0,1,$G$107:$G$112))*(12&lt;=IF(N($H$107:$H$112)=0,12,$H$107:$H$112)))</f>
        <v>0</v>
      </c>
    </row>
    <row r="215" spans="1:32" x14ac:dyDescent="0.2">
      <c r="A215" s="66"/>
      <c r="B215" s="66"/>
      <c r="C215" s="66"/>
      <c r="D215" s="66"/>
      <c r="E215" s="66"/>
      <c r="F215" s="66"/>
      <c r="G215" s="66"/>
      <c r="H215" s="66"/>
      <c r="I215" s="66"/>
      <c r="J215" s="66"/>
      <c r="K215" s="66"/>
      <c r="L215" s="66"/>
      <c r="M215" s="66"/>
      <c r="N215" s="66"/>
      <c r="O215" s="66"/>
      <c r="P215" s="66"/>
      <c r="U215" s="42" cm="1">
        <f t="array" ref="U215">SUMPRODUCT((($C$107:$C$112)=3)*($D$107:$D$112)*(1&gt;=IF(N($G$107:$G$112)=0,1,$G$107:$G$112))*(1&lt;=IF(N($H$107:$H$112)=0,12,$H$107:$H$112)))</f>
        <v>0</v>
      </c>
      <c r="V215" s="42" cm="1">
        <f t="array" ref="V215">SUMPRODUCT((($C$107:$C$112)=3)*($D$107:$D$112)*(2&gt;=IF(N($G$107:$G$112)=0,1,$G$107:$G$112))*(2&lt;=IF(N($H$107:$H$112)=0,12,$H$107:$H$112)))</f>
        <v>0</v>
      </c>
      <c r="W215" s="42" cm="1">
        <f t="array" ref="W215">SUMPRODUCT((($C$107:$C$112)=3)*($D$107:$D$112)*(3&gt;=IF(N($G$107:$G$112)=0,1,$G$107:$G$112))*(3&lt;=IF(N($H$107:$H$112)=0,12,$H$107:$H$112)))</f>
        <v>0</v>
      </c>
      <c r="X215" s="42" cm="1">
        <f t="array" ref="X215">SUMPRODUCT((($C$107:$C$112)=3)*($D$107:$D$112)*(4&gt;=IF(N($G$107:$G$112)=0,1,$G$107:$G$112))*(4&lt;=IF(N($H$107:$H$112)=0,12,$H$107:$H$112)))</f>
        <v>0</v>
      </c>
      <c r="Y215" s="42" cm="1">
        <f t="array" ref="Y215">SUMPRODUCT((($C$107:$C$112)=3)*($D$107:$D$112)*(5&gt;=IF(N($G$107:$G$112)=0,1,$G$107:$G$112))*(5&lt;=IF(N($H$107:$H$112)=0,12,$H$107:$H$112)))</f>
        <v>0</v>
      </c>
      <c r="Z215" s="42" cm="1">
        <f t="array" ref="Z215">SUMPRODUCT((($C$107:$C$112)=3)*($D$107:$D$112)*(6&gt;=IF(N($G$107:$G$112)=0,1,$G$107:$G$112))*(6&lt;=IF(N($H$107:$H$112)=0,12,$H$107:$H$112)))</f>
        <v>0</v>
      </c>
      <c r="AA215" s="42" cm="1">
        <f t="array" ref="AA215">SUMPRODUCT((($C$107:$C$112)=3)*($D$107:$D$112)*(7&gt;=IF(N($G$107:$G$112)=0,1,$G$107:$G$112))*(7&lt;=IF(N($H$107:$H$112)=0,12,$H$107:$H$112)))</f>
        <v>0</v>
      </c>
      <c r="AB215" s="42" cm="1">
        <f t="array" ref="AB215">SUMPRODUCT((($C$107:$C$112)=3)*($D$107:$D$112)*(8&gt;=IF(N($G$107:$G$112)=0,1,$G$107:$G$112))*(8&lt;=IF(N($H$107:$H$112)=0,12,$H$107:$H$112)))</f>
        <v>0</v>
      </c>
      <c r="AC215" s="42" cm="1">
        <f t="array" ref="AC215">SUMPRODUCT((($C$107:$C$112)=3)*($D$107:$D$112)*(9&gt;=IF(N($G$107:$G$112)=0,1,$G$107:$G$112))*(9&lt;=IF(N($H$107:$H$112)=0,12,$H$107:$H$112)))</f>
        <v>0</v>
      </c>
      <c r="AD215" s="42" cm="1">
        <f t="array" ref="AD215">SUMPRODUCT((($C$107:$C$112)=3)*($D$107:$D$112)*(10&gt;=IF(N($G$107:$G$112)=0,1,$G$107:$G$112))*(10&lt;=IF(N($H$107:$H$112)=0,12,$H$107:$H$112)))</f>
        <v>0</v>
      </c>
      <c r="AE215" s="42" cm="1">
        <f t="array" ref="AE215">SUMPRODUCT((($C$107:$C$112)=3)*($D$107:$D$112)*(11&gt;=IF(N($G$107:$G$112)=0,1,$G$107:$G$112))*(11&lt;=IF(N($H$107:$H$112)=0,12,$H$107:$H$112)))</f>
        <v>0</v>
      </c>
      <c r="AF215" s="42" cm="1">
        <f t="array" ref="AF215">SUMPRODUCT((($C$107:$C$112)=3)*($D$107:$D$112)*(12&gt;=IF(N($G$107:$G$112)=0,1,$G$107:$G$112))*(12&lt;=IF(N($H$107:$H$112)=0,12,$H$107:$H$112)))</f>
        <v>0</v>
      </c>
    </row>
    <row r="216" spans="1:32" x14ac:dyDescent="0.2">
      <c r="A216" s="66"/>
      <c r="B216" s="66"/>
      <c r="C216" s="66"/>
      <c r="D216" s="66"/>
      <c r="E216" s="66"/>
      <c r="F216" s="66"/>
      <c r="G216" s="66"/>
      <c r="H216" s="66"/>
      <c r="I216" s="66"/>
      <c r="J216" s="66"/>
      <c r="K216" s="66"/>
      <c r="L216" s="66"/>
      <c r="M216" s="66"/>
      <c r="N216" s="66"/>
      <c r="O216" s="66"/>
      <c r="P216" s="66"/>
      <c r="U216" s="42" cm="1">
        <f t="array" ref="U216">SUMPRODUCT((($C$107:$C$112)=4)*($D$107:$D$112)*(1&gt;=IF(N($G$107:$G$112)=0,1,$G$107:$G$112))*(1&lt;=IF(N($H$107:$H$112)=0,12,$H$107:$H$112)))</f>
        <v>0</v>
      </c>
      <c r="V216" s="42" cm="1">
        <f t="array" ref="V216">SUMPRODUCT((($C$107:$C$112)=4)*($D$107:$D$112)*(2&gt;=IF(N($G$107:$G$112)=0,1,$G$107:$G$112))*(2&lt;=IF(N($H$107:$H$112)=0,12,$H$107:$H$112)))</f>
        <v>0</v>
      </c>
      <c r="W216" s="42" cm="1">
        <f t="array" ref="W216">SUMPRODUCT((($C$107:$C$112)=4)*($D$107:$D$112)*(3&gt;=IF(N($G$107:$G$112)=0,1,$G$107:$G$112))*(3&lt;=IF(N($H$107:$H$112)=0,12,$H$107:$H$112)))</f>
        <v>0</v>
      </c>
      <c r="X216" s="42" cm="1">
        <f t="array" ref="X216">SUMPRODUCT((($C$107:$C$112)=4)*($D$107:$D$112)*(4&gt;=IF(N($G$107:$G$112)=0,1,$G$107:$G$112))*(4&lt;=IF(N($H$107:$H$112)=0,12,$H$107:$H$112)))</f>
        <v>0</v>
      </c>
      <c r="Y216" s="42" cm="1">
        <f t="array" ref="Y216">SUMPRODUCT((($C$107:$C$112)=4)*($D$107:$D$112)*(5&gt;=IF(N($G$107:$G$112)=0,1,$G$107:$G$112))*(5&lt;=IF(N($H$107:$H$112)=0,12,$H$107:$H$112)))</f>
        <v>0</v>
      </c>
      <c r="Z216" s="42" cm="1">
        <f t="array" ref="Z216">SUMPRODUCT((($C$107:$C$112)=4)*($D$107:$D$112)*(6&gt;=IF(N($G$107:$G$112)=0,1,$G$107:$G$112))*(6&lt;=IF(N($H$107:$H$112)=0,12,$H$107:$H$112)))</f>
        <v>0</v>
      </c>
      <c r="AA216" s="42" cm="1">
        <f t="array" ref="AA216">SUMPRODUCT((($C$107:$C$112)=4)*($D$107:$D$112)*(7&gt;=IF(N($G$107:$G$112)=0,1,$G$107:$G$112))*(7&lt;=IF(N($H$107:$H$112)=0,12,$H$107:$H$112)))</f>
        <v>0</v>
      </c>
      <c r="AB216" s="42" cm="1">
        <f t="array" ref="AB216">SUMPRODUCT((($C$107:$C$112)=4)*($D$107:$D$112)*(8&gt;=IF(N($G$107:$G$112)=0,1,$G$107:$G$112))*(8&lt;=IF(N($H$107:$H$112)=0,12,$H$107:$H$112)))</f>
        <v>0</v>
      </c>
      <c r="AC216" s="42" cm="1">
        <f t="array" ref="AC216">SUMPRODUCT((($C$107:$C$112)=4)*($D$107:$D$112)*(9&gt;=IF(N($G$107:$G$112)=0,1,$G$107:$G$112))*(9&lt;=IF(N($H$107:$H$112)=0,12,$H$107:$H$112)))</f>
        <v>0</v>
      </c>
      <c r="AD216" s="42" cm="1">
        <f t="array" ref="AD216">SUMPRODUCT((($C$107:$C$112)=4)*($D$107:$D$112)*(10&gt;=IF(N($G$107:$G$112)=0,1,$G$107:$G$112))*(10&lt;=IF(N($H$107:$H$112)=0,12,$H$107:$H$112)))</f>
        <v>0</v>
      </c>
      <c r="AE216" s="42" cm="1">
        <f t="array" ref="AE216">SUMPRODUCT((($C$107:$C$112)=4)*($D$107:$D$112)*(11&gt;=IF(N($G$107:$G$112)=0,1,$G$107:$G$112))*(11&lt;=IF(N($H$107:$H$112)=0,12,$H$107:$H$112)))</f>
        <v>0</v>
      </c>
      <c r="AF216" s="42" cm="1">
        <f t="array" ref="AF216">SUMPRODUCT((($C$107:$C$112)=4)*($D$107:$D$112)*(12&gt;=IF(N($G$107:$G$112)=0,1,$G$107:$G$112))*(12&lt;=IF(N($H$107:$H$112)=0,12,$H$107:$H$112)))</f>
        <v>0</v>
      </c>
    </row>
    <row r="217" spans="1:32" x14ac:dyDescent="0.2">
      <c r="A217" s="66"/>
      <c r="B217" s="66"/>
      <c r="C217" s="66"/>
      <c r="D217" s="66"/>
      <c r="E217" s="66"/>
      <c r="F217" s="66"/>
      <c r="G217" s="66"/>
      <c r="H217" s="66"/>
      <c r="I217" s="66"/>
      <c r="J217" s="66"/>
      <c r="K217" s="66"/>
      <c r="L217" s="66"/>
      <c r="M217" s="66"/>
      <c r="N217" s="66"/>
      <c r="O217" s="66"/>
      <c r="P217" s="66"/>
      <c r="U217" s="42" cm="1">
        <f t="array" ref="U217">SUMPRODUCT((($C$107:$C$112)=5)*($D$107:$D$112)*(1&gt;=IF(N($G$107:$G$112)=0,1,$G$107:$G$112))*(1&lt;=IF(N($H$107:$H$112)=0,12,$H$107:$H$112)))</f>
        <v>0</v>
      </c>
      <c r="V217" s="42" cm="1">
        <f t="array" ref="V217">SUMPRODUCT((($C$107:$C$112)=5)*($D$107:$D$112)*(2&gt;=IF(N($G$107:$G$112)=0,1,$G$107:$G$112))*(2&lt;=IF(N($H$107:$H$112)=0,12,$H$107:$H$112)))</f>
        <v>0</v>
      </c>
      <c r="W217" s="42" cm="1">
        <f t="array" ref="W217">SUMPRODUCT((($C$107:$C$112)=5)*($D$107:$D$112)*(3&gt;=IF(N($G$107:$G$112)=0,1,$G$107:$G$112))*(3&lt;=IF(N($H$107:$H$112)=0,12,$H$107:$H$112)))</f>
        <v>0</v>
      </c>
      <c r="X217" s="42" cm="1">
        <f t="array" ref="X217">SUMPRODUCT((($C$107:$C$112)=5)*($D$107:$D$112)*(4&gt;=IF(N($G$107:$G$112)=0,1,$G$107:$G$112))*(4&lt;=IF(N($H$107:$H$112)=0,12,$H$107:$H$112)))</f>
        <v>0</v>
      </c>
      <c r="Y217" s="42" cm="1">
        <f t="array" ref="Y217">SUMPRODUCT((($C$107:$C$112)=5)*($D$107:$D$112)*(5&gt;=IF(N($G$107:$G$112)=0,1,$G$107:$G$112))*(5&lt;=IF(N($H$107:$H$112)=0,12,$H$107:$H$112)))</f>
        <v>0</v>
      </c>
      <c r="Z217" s="42" cm="1">
        <f t="array" ref="Z217">SUMPRODUCT((($C$107:$C$112)=5)*($D$107:$D$112)*(6&gt;=IF(N($G$107:$G$112)=0,1,$G$107:$G$112))*(6&lt;=IF(N($H$107:$H$112)=0,12,$H$107:$H$112)))</f>
        <v>0</v>
      </c>
      <c r="AA217" s="42" cm="1">
        <f t="array" ref="AA217">SUMPRODUCT((($C$107:$C$112)=5)*($D$107:$D$112)*(7&gt;=IF(N($G$107:$G$112)=0,1,$G$107:$G$112))*(7&lt;=IF(N($H$107:$H$112)=0,12,$H$107:$H$112)))</f>
        <v>0</v>
      </c>
      <c r="AB217" s="42" cm="1">
        <f t="array" ref="AB217">SUMPRODUCT((($C$107:$C$112)=5)*($D$107:$D$112)*(8&gt;=IF(N($G$107:$G$112)=0,1,$G$107:$G$112))*(8&lt;=IF(N($H$107:$H$112)=0,12,$H$107:$H$112)))</f>
        <v>0</v>
      </c>
      <c r="AC217" s="42" cm="1">
        <f t="array" ref="AC217">SUMPRODUCT((($C$107:$C$112)=5)*($D$107:$D$112)*(9&gt;=IF(N($G$107:$G$112)=0,1,$G$107:$G$112))*(9&lt;=IF(N($H$107:$H$112)=0,12,$H$107:$H$112)))</f>
        <v>0</v>
      </c>
      <c r="AD217" s="42" cm="1">
        <f t="array" ref="AD217">SUMPRODUCT((($C$107:$C$112)=5)*($D$107:$D$112)*(10&gt;=IF(N($G$107:$G$112)=0,1,$G$107:$G$112))*(10&lt;=IF(N($H$107:$H$112)=0,12,$H$107:$H$112)))</f>
        <v>0</v>
      </c>
      <c r="AE217" s="42" cm="1">
        <f t="array" ref="AE217">SUMPRODUCT((($C$107:$C$112)=5)*($D$107:$D$112)*(11&gt;=IF(N($G$107:$G$112)=0,1,$G$107:$G$112))*(11&lt;=IF(N($H$107:$H$112)=0,12,$H$107:$H$112)))</f>
        <v>0</v>
      </c>
      <c r="AF217" s="42" cm="1">
        <f t="array" ref="AF217">SUMPRODUCT((($C$107:$C$112)=5)*($D$107:$D$112)*(12&gt;=IF(N($G$107:$G$112)=0,1,$G$107:$G$112))*(12&lt;=IF(N($H$107:$H$112)=0,12,$H$107:$H$112)))</f>
        <v>0</v>
      </c>
    </row>
    <row r="218" spans="1:32" x14ac:dyDescent="0.2">
      <c r="A218" s="66"/>
      <c r="B218" s="66"/>
      <c r="C218" s="66"/>
      <c r="D218" s="66"/>
      <c r="E218" s="66"/>
      <c r="F218" s="66"/>
      <c r="G218" s="66"/>
      <c r="H218" s="66"/>
      <c r="I218" s="66"/>
      <c r="J218" s="66"/>
      <c r="K218" s="66"/>
      <c r="L218" s="66"/>
      <c r="M218" s="66"/>
      <c r="N218" s="66"/>
      <c r="O218" s="66"/>
      <c r="P218" s="66"/>
      <c r="R218" s="42" t="s">
        <v>657</v>
      </c>
      <c r="U218" s="42" cm="1">
        <f t="array" ref="U218">SUMPRODUCT(($E$107:$E$112)*(1&gt;=IF(N($G$107:$G$112)=0,1,$G$107:$G$112))*(1&lt;=IF(N($H$107:$H$112)=0,12,$H$107:$H$112)))</f>
        <v>0</v>
      </c>
      <c r="V218" s="42" cm="1">
        <f t="array" ref="V218">SUMPRODUCT(($E$107:$E$112)*(2&gt;=IF(N($G$107:$G$112)=0,1,$G$107:$G$112))*(2&lt;=IF(N($H$107:$H$112)=0,12,$H$107:$H$112)))</f>
        <v>0</v>
      </c>
      <c r="W218" s="42" cm="1">
        <f t="array" ref="W218">SUMPRODUCT(($E$107:$E$112)*(3&gt;=IF(N($G$107:$G$112)=0,1,$G$107:$G$112))*(3&lt;=IF(N($H$107:$H$112)=0,12,$H$107:$H$112)))</f>
        <v>0</v>
      </c>
      <c r="X218" s="42" cm="1">
        <f t="array" ref="X218">SUMPRODUCT(($E$107:$E$112)*(4&gt;=IF(N($G$107:$G$112)=0,1,$G$107:$G$112))*(4&lt;=IF(N($H$107:$H$112)=0,12,$H$107:$H$112)))</f>
        <v>0</v>
      </c>
      <c r="Y218" s="42" cm="1">
        <f t="array" ref="Y218">SUMPRODUCT(($E$107:$E$112)*(5&gt;=IF(N($G$107:$G$112)=0,1,$G$107:$G$112))*(5&lt;=IF(N($H$107:$H$112)=0,12,$H$107:$H$112)))</f>
        <v>0</v>
      </c>
      <c r="Z218" s="42" cm="1">
        <f t="array" ref="Z218">SUMPRODUCT(($E$107:$E$112)*(6&gt;=IF(N($G$107:$G$112)=0,1,$G$107:$G$112))*(6&lt;=IF(N($H$107:$H$112)=0,12,$H$107:$H$112)))</f>
        <v>0</v>
      </c>
      <c r="AA218" s="42" cm="1">
        <f t="array" ref="AA218">SUMPRODUCT(($E$107:$E$112)*(7&gt;=IF(N($G$107:$G$112)=0,1,$G$107:$G$112))*(7&lt;=IF(N($H$107:$H$112)=0,12,$H$107:$H$112)))</f>
        <v>0</v>
      </c>
      <c r="AB218" s="42" cm="1">
        <f t="array" ref="AB218">SUMPRODUCT(($E$107:$E$112)*(8&gt;=IF(N($G$107:$G$112)=0,1,$G$107:$G$112))*(8&lt;=IF(N($H$107:$H$112)=0,12,$H$107:$H$112)))</f>
        <v>0</v>
      </c>
      <c r="AC218" s="42" cm="1">
        <f t="array" ref="AC218">SUMPRODUCT(($E$107:$E$112)*(9&gt;=IF(N($G$107:$G$112)=0,1,$G$107:$G$112))*(9&lt;=IF(N($H$107:$H$112)=0,12,$H$107:$H$112)))</f>
        <v>0</v>
      </c>
      <c r="AD218" s="42" cm="1">
        <f t="array" ref="AD218">SUMPRODUCT(($E$107:$E$112)*(10&gt;=IF(N($G$107:$G$112)=0,1,$G$107:$G$112))*(10&lt;=IF(N($H$107:$H$112)=0,12,$H$107:$H$112)))</f>
        <v>0</v>
      </c>
      <c r="AE218" s="42" cm="1">
        <f t="array" ref="AE218">SUMPRODUCT(($E$107:$E$112)*(11&gt;=IF(N($G$107:$G$112)=0,1,$G$107:$G$112))*(11&lt;=IF(N($H$107:$H$112)=0,12,$H$107:$H$112)))</f>
        <v>0</v>
      </c>
      <c r="AF218" s="42" cm="1">
        <f t="array" ref="AF218">SUMPRODUCT(($E$107:$E$112)*(12&gt;=IF(N($G$107:$G$112)=0,1,$G$107:$G$112))*(12&lt;=IF(N($H$107:$H$112)=0,12,$H$107:$H$112)))</f>
        <v>0</v>
      </c>
    </row>
    <row r="219" spans="1:32" x14ac:dyDescent="0.2">
      <c r="A219" s="66"/>
      <c r="B219" s="66"/>
      <c r="C219" s="66"/>
      <c r="D219" s="66"/>
      <c r="E219" s="66"/>
      <c r="F219" s="66"/>
      <c r="G219" s="66"/>
      <c r="H219" s="66"/>
      <c r="I219" s="66"/>
      <c r="J219" s="66"/>
      <c r="K219" s="66"/>
      <c r="L219" s="66"/>
      <c r="M219" s="66"/>
      <c r="N219" s="66"/>
      <c r="O219" s="66"/>
      <c r="P219" s="66"/>
      <c r="R219" s="98" t="s">
        <v>658</v>
      </c>
      <c r="U219" s="120">
        <f t="shared" ref="U219:AF219" si="45">C67+U218</f>
        <v>14000</v>
      </c>
      <c r="V219" s="120">
        <f t="shared" si="45"/>
        <v>14000</v>
      </c>
      <c r="W219" s="120">
        <f t="shared" si="45"/>
        <v>14000</v>
      </c>
      <c r="X219" s="120">
        <f t="shared" si="45"/>
        <v>14000</v>
      </c>
      <c r="Y219" s="120">
        <f t="shared" si="45"/>
        <v>14000</v>
      </c>
      <c r="Z219" s="120">
        <f t="shared" si="45"/>
        <v>14000</v>
      </c>
      <c r="AA219" s="120">
        <f t="shared" si="45"/>
        <v>14000</v>
      </c>
      <c r="AB219" s="120">
        <f t="shared" si="45"/>
        <v>14000</v>
      </c>
      <c r="AC219" s="120">
        <f t="shared" si="45"/>
        <v>14000</v>
      </c>
      <c r="AD219" s="120">
        <f t="shared" si="45"/>
        <v>14000</v>
      </c>
      <c r="AE219" s="120">
        <f t="shared" si="45"/>
        <v>14000</v>
      </c>
      <c r="AF219" s="120">
        <f t="shared" si="45"/>
        <v>14000</v>
      </c>
    </row>
    <row r="220" spans="1:32" x14ac:dyDescent="0.2">
      <c r="A220" s="66"/>
      <c r="B220" s="66"/>
      <c r="C220" s="66"/>
      <c r="D220" s="66"/>
      <c r="E220" s="66"/>
      <c r="F220" s="66"/>
      <c r="G220" s="66"/>
      <c r="H220" s="66"/>
      <c r="I220" s="66"/>
      <c r="J220" s="66"/>
      <c r="K220" s="66"/>
      <c r="L220" s="66"/>
      <c r="M220" s="66"/>
      <c r="N220" s="66"/>
      <c r="O220" s="66"/>
      <c r="P220" s="66"/>
      <c r="R220" s="42" t="s">
        <v>621</v>
      </c>
      <c r="U220" s="42">
        <f t="shared" ref="U220:AF224" si="46">IF(inp_build_method="Capacity",U206*$S$8,C82)+U213</f>
        <v>80402.25</v>
      </c>
      <c r="V220" s="42">
        <f t="shared" si="46"/>
        <v>73410.75</v>
      </c>
      <c r="W220" s="42">
        <f t="shared" si="46"/>
        <v>76906.5</v>
      </c>
      <c r="X220" s="42">
        <f t="shared" si="46"/>
        <v>76906.5</v>
      </c>
      <c r="Y220" s="42">
        <f t="shared" si="46"/>
        <v>69915</v>
      </c>
      <c r="Z220" s="42">
        <f t="shared" si="46"/>
        <v>73410.75</v>
      </c>
      <c r="AA220" s="42">
        <f t="shared" si="46"/>
        <v>69915</v>
      </c>
      <c r="AB220" s="42">
        <f t="shared" si="46"/>
        <v>69915</v>
      </c>
      <c r="AC220" s="42">
        <f t="shared" si="46"/>
        <v>76906.5</v>
      </c>
      <c r="AD220" s="42">
        <f t="shared" si="46"/>
        <v>66419.25</v>
      </c>
      <c r="AE220" s="42">
        <f t="shared" si="46"/>
        <v>73410.75</v>
      </c>
      <c r="AF220" s="42">
        <f t="shared" si="46"/>
        <v>73410.75</v>
      </c>
    </row>
    <row r="221" spans="1:32" x14ac:dyDescent="0.2">
      <c r="A221" s="66"/>
      <c r="B221" s="66"/>
      <c r="C221" s="66"/>
      <c r="D221" s="66"/>
      <c r="E221" s="66"/>
      <c r="F221" s="66"/>
      <c r="G221" s="66"/>
      <c r="H221" s="66"/>
      <c r="I221" s="66"/>
      <c r="J221" s="66"/>
      <c r="K221" s="66"/>
      <c r="L221" s="66"/>
      <c r="M221" s="66"/>
      <c r="N221" s="66"/>
      <c r="O221" s="66"/>
      <c r="P221" s="66"/>
      <c r="R221" s="42" t="s">
        <v>622</v>
      </c>
      <c r="U221" s="42">
        <f t="shared" si="46"/>
        <v>96669</v>
      </c>
      <c r="V221" s="42">
        <f t="shared" si="46"/>
        <v>88263</v>
      </c>
      <c r="W221" s="42">
        <f t="shared" si="46"/>
        <v>111878.25</v>
      </c>
      <c r="X221" s="42">
        <f t="shared" si="46"/>
        <v>115788.75</v>
      </c>
      <c r="Y221" s="42">
        <f t="shared" si="46"/>
        <v>101529.75</v>
      </c>
      <c r="Z221" s="42">
        <f t="shared" si="46"/>
        <v>108659.25</v>
      </c>
      <c r="AA221" s="42">
        <f t="shared" si="46"/>
        <v>103485</v>
      </c>
      <c r="AB221" s="42">
        <f t="shared" si="46"/>
        <v>103485</v>
      </c>
      <c r="AC221" s="42">
        <f t="shared" si="46"/>
        <v>111878.25</v>
      </c>
      <c r="AD221" s="42">
        <f t="shared" si="46"/>
        <v>101237.25</v>
      </c>
      <c r="AE221" s="42">
        <f t="shared" si="46"/>
        <v>107688</v>
      </c>
      <c r="AF221" s="42">
        <f t="shared" si="46"/>
        <v>109630.5</v>
      </c>
    </row>
    <row r="222" spans="1:32" x14ac:dyDescent="0.2">
      <c r="A222" s="66"/>
      <c r="B222" s="66"/>
      <c r="C222" s="66"/>
      <c r="D222" s="66"/>
      <c r="E222" s="66"/>
      <c r="F222" s="66"/>
      <c r="G222" s="66"/>
      <c r="H222" s="66"/>
      <c r="I222" s="66"/>
      <c r="J222" s="66"/>
      <c r="K222" s="66"/>
      <c r="L222" s="66"/>
      <c r="M222" s="66"/>
      <c r="N222" s="66"/>
      <c r="O222" s="66"/>
      <c r="P222" s="66"/>
      <c r="R222" s="42" t="s">
        <v>623</v>
      </c>
      <c r="U222" s="42">
        <f t="shared" si="46"/>
        <v>27324.000000000004</v>
      </c>
      <c r="V222" s="42">
        <f t="shared" si="46"/>
        <v>24948</v>
      </c>
      <c r="W222" s="42">
        <f t="shared" si="46"/>
        <v>26136</v>
      </c>
      <c r="X222" s="42">
        <f t="shared" si="46"/>
        <v>26136</v>
      </c>
      <c r="Y222" s="42">
        <f t="shared" si="46"/>
        <v>23760</v>
      </c>
      <c r="Z222" s="42">
        <f t="shared" si="46"/>
        <v>24948</v>
      </c>
      <c r="AA222" s="42">
        <f t="shared" si="46"/>
        <v>23760</v>
      </c>
      <c r="AB222" s="42">
        <f t="shared" si="46"/>
        <v>23760</v>
      </c>
      <c r="AC222" s="42">
        <f t="shared" si="46"/>
        <v>26136</v>
      </c>
      <c r="AD222" s="42">
        <f t="shared" si="46"/>
        <v>22572.000000000004</v>
      </c>
      <c r="AE222" s="42">
        <f t="shared" si="46"/>
        <v>24948</v>
      </c>
      <c r="AF222" s="42">
        <f t="shared" si="46"/>
        <v>24948</v>
      </c>
    </row>
    <row r="223" spans="1:32" x14ac:dyDescent="0.2">
      <c r="A223" s="66"/>
      <c r="B223" s="66"/>
      <c r="C223" s="66"/>
      <c r="D223" s="66"/>
      <c r="E223" s="66"/>
      <c r="F223" s="66"/>
      <c r="G223" s="66"/>
      <c r="H223" s="66"/>
      <c r="I223" s="66"/>
      <c r="J223" s="66"/>
      <c r="K223" s="66"/>
      <c r="L223" s="66"/>
      <c r="M223" s="66"/>
      <c r="N223" s="66"/>
      <c r="O223" s="66"/>
      <c r="P223" s="66"/>
      <c r="R223" s="42" t="s">
        <v>624</v>
      </c>
      <c r="U223" s="42">
        <f t="shared" si="46"/>
        <v>0</v>
      </c>
      <c r="V223" s="42">
        <f t="shared" si="46"/>
        <v>0</v>
      </c>
      <c r="W223" s="42">
        <f t="shared" si="46"/>
        <v>0</v>
      </c>
      <c r="X223" s="42">
        <f t="shared" si="46"/>
        <v>0</v>
      </c>
      <c r="Y223" s="42">
        <f t="shared" si="46"/>
        <v>0</v>
      </c>
      <c r="Z223" s="42">
        <f t="shared" si="46"/>
        <v>0</v>
      </c>
      <c r="AA223" s="42">
        <f t="shared" si="46"/>
        <v>0</v>
      </c>
      <c r="AB223" s="42">
        <f t="shared" si="46"/>
        <v>0</v>
      </c>
      <c r="AC223" s="42">
        <f t="shared" si="46"/>
        <v>0</v>
      </c>
      <c r="AD223" s="42">
        <f t="shared" si="46"/>
        <v>0</v>
      </c>
      <c r="AE223" s="42">
        <f t="shared" si="46"/>
        <v>0</v>
      </c>
      <c r="AF223" s="42">
        <f t="shared" si="46"/>
        <v>0</v>
      </c>
    </row>
    <row r="224" spans="1:32" x14ac:dyDescent="0.2">
      <c r="A224" s="66"/>
      <c r="B224" s="66"/>
      <c r="C224" s="66"/>
      <c r="D224" s="66"/>
      <c r="E224" s="66"/>
      <c r="F224" s="66"/>
      <c r="G224" s="66"/>
      <c r="H224" s="66"/>
      <c r="I224" s="66"/>
      <c r="J224" s="66"/>
      <c r="K224" s="66"/>
      <c r="L224" s="66"/>
      <c r="M224" s="66"/>
      <c r="N224" s="66"/>
      <c r="O224" s="66"/>
      <c r="P224" s="66"/>
      <c r="R224" s="42" t="s">
        <v>625</v>
      </c>
      <c r="U224" s="42">
        <f t="shared" si="46"/>
        <v>0</v>
      </c>
      <c r="V224" s="42">
        <f t="shared" si="46"/>
        <v>0</v>
      </c>
      <c r="W224" s="42">
        <f t="shared" si="46"/>
        <v>0</v>
      </c>
      <c r="X224" s="42">
        <f t="shared" si="46"/>
        <v>0</v>
      </c>
      <c r="Y224" s="42">
        <f t="shared" si="46"/>
        <v>0</v>
      </c>
      <c r="Z224" s="42">
        <f t="shared" si="46"/>
        <v>0</v>
      </c>
      <c r="AA224" s="42">
        <f t="shared" si="46"/>
        <v>0</v>
      </c>
      <c r="AB224" s="42">
        <f t="shared" si="46"/>
        <v>0</v>
      </c>
      <c r="AC224" s="42">
        <f t="shared" si="46"/>
        <v>0</v>
      </c>
      <c r="AD224" s="42">
        <f t="shared" si="46"/>
        <v>0</v>
      </c>
      <c r="AE224" s="42">
        <f t="shared" si="46"/>
        <v>0</v>
      </c>
      <c r="AF224" s="42">
        <f t="shared" si="46"/>
        <v>0</v>
      </c>
    </row>
    <row r="225" spans="1:32" x14ac:dyDescent="0.2">
      <c r="A225" s="66"/>
      <c r="B225" s="66"/>
      <c r="C225" s="66"/>
      <c r="D225" s="66"/>
      <c r="E225" s="66"/>
      <c r="F225" s="66"/>
      <c r="G225" s="66"/>
      <c r="H225" s="66"/>
      <c r="I225" s="66"/>
      <c r="J225" s="66"/>
      <c r="K225" s="66"/>
      <c r="L225" s="66"/>
      <c r="M225" s="66"/>
      <c r="N225" s="66"/>
      <c r="O225" s="66"/>
      <c r="P225" s="66"/>
      <c r="R225" s="42" t="s">
        <v>642</v>
      </c>
      <c r="U225" s="42">
        <f t="shared" ref="U225:AF225" si="47">IF(inp_build_method="Capacity",U203,U192)</f>
        <v>95293.75</v>
      </c>
      <c r="V225" s="42">
        <f t="shared" si="47"/>
        <v>95293.75</v>
      </c>
      <c r="W225" s="42">
        <f t="shared" si="47"/>
        <v>105168.75</v>
      </c>
      <c r="X225" s="42">
        <f t="shared" si="47"/>
        <v>105168.75</v>
      </c>
      <c r="Y225" s="42">
        <f t="shared" si="47"/>
        <v>105168.75</v>
      </c>
      <c r="Z225" s="42">
        <f t="shared" si="47"/>
        <v>105168.75</v>
      </c>
      <c r="AA225" s="42">
        <f t="shared" si="47"/>
        <v>105168.75</v>
      </c>
      <c r="AB225" s="42">
        <f t="shared" si="47"/>
        <v>105168.75</v>
      </c>
      <c r="AC225" s="42">
        <f t="shared" si="47"/>
        <v>105168.75</v>
      </c>
      <c r="AD225" s="42">
        <f t="shared" si="47"/>
        <v>105168.75</v>
      </c>
      <c r="AE225" s="42">
        <f t="shared" si="47"/>
        <v>105168.75</v>
      </c>
      <c r="AF225" s="42">
        <f t="shared" si="47"/>
        <v>105168.75</v>
      </c>
    </row>
    <row r="226" spans="1:32" x14ac:dyDescent="0.2">
      <c r="A226" s="66"/>
      <c r="B226" s="66"/>
      <c r="C226" s="66"/>
      <c r="D226" s="66"/>
      <c r="E226" s="66"/>
      <c r="F226" s="66"/>
      <c r="G226" s="66"/>
      <c r="H226" s="66"/>
      <c r="I226" s="66"/>
      <c r="J226" s="66"/>
      <c r="K226" s="66"/>
      <c r="L226" s="66"/>
      <c r="M226" s="66"/>
      <c r="N226" s="66"/>
      <c r="O226" s="66"/>
      <c r="P226" s="66"/>
      <c r="R226" s="42" t="s">
        <v>643</v>
      </c>
      <c r="U226" s="42">
        <f t="shared" ref="U226:AF226" si="48">IF(inp_build_method="Capacity",U212,U194)</f>
        <v>7406.25</v>
      </c>
      <c r="V226" s="42">
        <f t="shared" si="48"/>
        <v>7406.25</v>
      </c>
      <c r="W226" s="42">
        <f t="shared" si="48"/>
        <v>7406.25</v>
      </c>
      <c r="X226" s="42">
        <f t="shared" si="48"/>
        <v>7406.25</v>
      </c>
      <c r="Y226" s="42">
        <f t="shared" si="48"/>
        <v>7406.25</v>
      </c>
      <c r="Z226" s="42">
        <f t="shared" si="48"/>
        <v>7406.25</v>
      </c>
      <c r="AA226" s="42">
        <f t="shared" si="48"/>
        <v>7406.25</v>
      </c>
      <c r="AB226" s="42">
        <f t="shared" si="48"/>
        <v>7406.25</v>
      </c>
      <c r="AC226" s="42">
        <f t="shared" si="48"/>
        <v>7406.25</v>
      </c>
      <c r="AD226" s="42">
        <f t="shared" si="48"/>
        <v>7406.25</v>
      </c>
      <c r="AE226" s="42">
        <f t="shared" si="48"/>
        <v>7406.25</v>
      </c>
      <c r="AF226" s="42">
        <f t="shared" si="48"/>
        <v>7406.25</v>
      </c>
    </row>
    <row r="227" spans="1:32" x14ac:dyDescent="0.2">
      <c r="A227" s="66"/>
      <c r="B227" s="66"/>
      <c r="C227" s="66"/>
      <c r="D227" s="66"/>
      <c r="E227" s="66"/>
      <c r="F227" s="66"/>
      <c r="G227" s="66"/>
      <c r="H227" s="66"/>
      <c r="I227" s="66"/>
      <c r="J227" s="66"/>
      <c r="K227" s="66"/>
      <c r="L227" s="66"/>
      <c r="M227" s="66"/>
      <c r="N227" s="66"/>
      <c r="O227" s="66"/>
      <c r="P227" s="66"/>
      <c r="R227" s="42" t="s">
        <v>626</v>
      </c>
      <c r="U227" s="42">
        <f t="shared" ref="U227:AF227" si="49">IF(inp_build_method="Capacity",U204,U193)</f>
        <v>9</v>
      </c>
      <c r="V227" s="42">
        <f t="shared" si="49"/>
        <v>9</v>
      </c>
      <c r="W227" s="42">
        <f t="shared" si="49"/>
        <v>10</v>
      </c>
      <c r="X227" s="42">
        <f t="shared" si="49"/>
        <v>10</v>
      </c>
      <c r="Y227" s="42">
        <f t="shared" si="49"/>
        <v>10</v>
      </c>
      <c r="Z227" s="42">
        <f t="shared" si="49"/>
        <v>10</v>
      </c>
      <c r="AA227" s="42">
        <f t="shared" si="49"/>
        <v>10</v>
      </c>
      <c r="AB227" s="42">
        <f t="shared" si="49"/>
        <v>10</v>
      </c>
      <c r="AC227" s="42">
        <f t="shared" si="49"/>
        <v>10</v>
      </c>
      <c r="AD227" s="42">
        <f t="shared" si="49"/>
        <v>10</v>
      </c>
      <c r="AE227" s="42">
        <f t="shared" si="49"/>
        <v>10</v>
      </c>
      <c r="AF227" s="42">
        <f t="shared" si="49"/>
        <v>10</v>
      </c>
    </row>
    <row r="228" spans="1:32" x14ac:dyDescent="0.2">
      <c r="A228" s="66"/>
      <c r="B228" s="66"/>
      <c r="C228" s="66"/>
      <c r="D228" s="66"/>
      <c r="E228" s="66"/>
      <c r="F228" s="66"/>
      <c r="G228" s="66"/>
      <c r="H228" s="66"/>
      <c r="I228" s="66"/>
      <c r="J228" s="66"/>
      <c r="K228" s="66"/>
      <c r="L228" s="66"/>
      <c r="M228" s="66"/>
      <c r="N228" s="66"/>
      <c r="O228" s="66"/>
      <c r="P228" s="66"/>
      <c r="R228" s="42" t="s">
        <v>627</v>
      </c>
      <c r="U228" s="42">
        <f t="shared" ref="U228:AF235" si="50">IF(inp_build_method="Capacity",U240,N(C55))</f>
        <v>11000</v>
      </c>
      <c r="V228" s="42">
        <f t="shared" si="50"/>
        <v>11000</v>
      </c>
      <c r="W228" s="42">
        <f t="shared" si="50"/>
        <v>11000</v>
      </c>
      <c r="X228" s="42">
        <f t="shared" si="50"/>
        <v>11000</v>
      </c>
      <c r="Y228" s="42">
        <f t="shared" si="50"/>
        <v>11000</v>
      </c>
      <c r="Z228" s="42">
        <f t="shared" si="50"/>
        <v>11000</v>
      </c>
      <c r="AA228" s="42">
        <f t="shared" si="50"/>
        <v>11000</v>
      </c>
      <c r="AB228" s="42">
        <f t="shared" si="50"/>
        <v>11000</v>
      </c>
      <c r="AC228" s="42">
        <f t="shared" si="50"/>
        <v>11000</v>
      </c>
      <c r="AD228" s="42">
        <f t="shared" si="50"/>
        <v>11000</v>
      </c>
      <c r="AE228" s="42">
        <f t="shared" si="50"/>
        <v>11000</v>
      </c>
      <c r="AF228" s="42">
        <f t="shared" si="50"/>
        <v>11000</v>
      </c>
    </row>
    <row r="229" spans="1:32" x14ac:dyDescent="0.2">
      <c r="A229" s="66"/>
      <c r="B229" s="66"/>
      <c r="C229" s="66"/>
      <c r="D229" s="66"/>
      <c r="E229" s="66"/>
      <c r="F229" s="66"/>
      <c r="G229" s="66"/>
      <c r="H229" s="66"/>
      <c r="I229" s="66"/>
      <c r="J229" s="66"/>
      <c r="K229" s="66"/>
      <c r="L229" s="66"/>
      <c r="M229" s="66"/>
      <c r="N229" s="66"/>
      <c r="O229" s="66"/>
      <c r="P229" s="66"/>
      <c r="R229" s="42" t="s">
        <v>628</v>
      </c>
      <c r="U229" s="42">
        <f t="shared" si="50"/>
        <v>6500</v>
      </c>
      <c r="V229" s="42">
        <f t="shared" si="50"/>
        <v>6500</v>
      </c>
      <c r="W229" s="42">
        <f t="shared" si="50"/>
        <v>6500</v>
      </c>
      <c r="X229" s="42">
        <f t="shared" si="50"/>
        <v>6500</v>
      </c>
      <c r="Y229" s="42">
        <f t="shared" si="50"/>
        <v>6500</v>
      </c>
      <c r="Z229" s="42">
        <f t="shared" si="50"/>
        <v>6500</v>
      </c>
      <c r="AA229" s="42">
        <f t="shared" si="50"/>
        <v>6500</v>
      </c>
      <c r="AB229" s="42">
        <f t="shared" si="50"/>
        <v>6500</v>
      </c>
      <c r="AC229" s="42">
        <f t="shared" si="50"/>
        <v>6500</v>
      </c>
      <c r="AD229" s="42">
        <f t="shared" si="50"/>
        <v>6500</v>
      </c>
      <c r="AE229" s="42">
        <f t="shared" si="50"/>
        <v>6500</v>
      </c>
      <c r="AF229" s="42">
        <f t="shared" si="50"/>
        <v>6500</v>
      </c>
    </row>
    <row r="230" spans="1:32" x14ac:dyDescent="0.2">
      <c r="A230" s="66"/>
      <c r="B230" s="66"/>
      <c r="C230" s="66"/>
      <c r="D230" s="66"/>
      <c r="E230" s="66"/>
      <c r="F230" s="66"/>
      <c r="G230" s="66"/>
      <c r="H230" s="66"/>
      <c r="I230" s="66"/>
      <c r="J230" s="66"/>
      <c r="K230" s="66"/>
      <c r="L230" s="66"/>
      <c r="M230" s="66"/>
      <c r="N230" s="66"/>
      <c r="O230" s="66"/>
      <c r="P230" s="66"/>
      <c r="R230" s="42" t="s">
        <v>644</v>
      </c>
      <c r="U230" s="42">
        <f t="shared" si="50"/>
        <v>8000</v>
      </c>
      <c r="V230" s="42">
        <f t="shared" si="50"/>
        <v>8000</v>
      </c>
      <c r="W230" s="42">
        <f t="shared" si="50"/>
        <v>8000</v>
      </c>
      <c r="X230" s="42">
        <f t="shared" si="50"/>
        <v>8000</v>
      </c>
      <c r="Y230" s="42">
        <f t="shared" si="50"/>
        <v>8000</v>
      </c>
      <c r="Z230" s="42">
        <f t="shared" si="50"/>
        <v>8000</v>
      </c>
      <c r="AA230" s="42">
        <f t="shared" si="50"/>
        <v>8000</v>
      </c>
      <c r="AB230" s="42">
        <f t="shared" si="50"/>
        <v>8000</v>
      </c>
      <c r="AC230" s="42">
        <f t="shared" si="50"/>
        <v>8000</v>
      </c>
      <c r="AD230" s="42">
        <f t="shared" si="50"/>
        <v>8000</v>
      </c>
      <c r="AE230" s="42">
        <f t="shared" si="50"/>
        <v>8000</v>
      </c>
      <c r="AF230" s="42">
        <f t="shared" si="50"/>
        <v>8000</v>
      </c>
    </row>
    <row r="231" spans="1:32" x14ac:dyDescent="0.2">
      <c r="A231" s="66"/>
      <c r="B231" s="66"/>
      <c r="C231" s="66"/>
      <c r="D231" s="66"/>
      <c r="E231" s="66"/>
      <c r="F231" s="66"/>
      <c r="G231" s="66"/>
      <c r="H231" s="66"/>
      <c r="I231" s="66"/>
      <c r="J231" s="66"/>
      <c r="K231" s="66"/>
      <c r="L231" s="66"/>
      <c r="M231" s="66"/>
      <c r="N231" s="66"/>
      <c r="O231" s="66"/>
      <c r="P231" s="66"/>
      <c r="R231" s="42" t="s">
        <v>645</v>
      </c>
      <c r="U231" s="42">
        <f t="shared" si="50"/>
        <v>0</v>
      </c>
      <c r="V231" s="42">
        <f t="shared" si="50"/>
        <v>0</v>
      </c>
      <c r="W231" s="42">
        <f t="shared" si="50"/>
        <v>12000</v>
      </c>
      <c r="X231" s="42">
        <f t="shared" si="50"/>
        <v>0</v>
      </c>
      <c r="Y231" s="42">
        <f t="shared" si="50"/>
        <v>0</v>
      </c>
      <c r="Z231" s="42">
        <f t="shared" si="50"/>
        <v>12000</v>
      </c>
      <c r="AA231" s="42">
        <f t="shared" si="50"/>
        <v>0</v>
      </c>
      <c r="AB231" s="42">
        <f t="shared" si="50"/>
        <v>0</v>
      </c>
      <c r="AC231" s="42">
        <f t="shared" si="50"/>
        <v>12000</v>
      </c>
      <c r="AD231" s="42">
        <f t="shared" si="50"/>
        <v>0</v>
      </c>
      <c r="AE231" s="42">
        <f t="shared" si="50"/>
        <v>0</v>
      </c>
      <c r="AF231" s="42">
        <f t="shared" si="50"/>
        <v>12000</v>
      </c>
    </row>
    <row r="232" spans="1:32" x14ac:dyDescent="0.2">
      <c r="A232" s="66"/>
      <c r="B232" s="66"/>
      <c r="C232" s="66"/>
      <c r="D232" s="66"/>
      <c r="E232" s="66"/>
      <c r="F232" s="66"/>
      <c r="G232" s="66"/>
      <c r="H232" s="66"/>
      <c r="I232" s="66"/>
      <c r="J232" s="66"/>
      <c r="K232" s="66"/>
      <c r="L232" s="66"/>
      <c r="M232" s="66"/>
      <c r="N232" s="66"/>
      <c r="O232" s="66"/>
      <c r="P232" s="66"/>
      <c r="R232" s="42" t="s">
        <v>629</v>
      </c>
      <c r="U232" s="42">
        <f t="shared" si="50"/>
        <v>30000</v>
      </c>
      <c r="V232" s="42">
        <f t="shared" si="50"/>
        <v>0</v>
      </c>
      <c r="W232" s="42">
        <f t="shared" si="50"/>
        <v>0</v>
      </c>
      <c r="X232" s="42">
        <f t="shared" si="50"/>
        <v>0</v>
      </c>
      <c r="Y232" s="42">
        <f t="shared" si="50"/>
        <v>0</v>
      </c>
      <c r="Z232" s="42">
        <f t="shared" si="50"/>
        <v>0</v>
      </c>
      <c r="AA232" s="42">
        <f t="shared" si="50"/>
        <v>0</v>
      </c>
      <c r="AB232" s="42">
        <f t="shared" si="50"/>
        <v>0</v>
      </c>
      <c r="AC232" s="42">
        <f t="shared" si="50"/>
        <v>0</v>
      </c>
      <c r="AD232" s="42">
        <f t="shared" si="50"/>
        <v>0</v>
      </c>
      <c r="AE232" s="42">
        <f t="shared" si="50"/>
        <v>0</v>
      </c>
      <c r="AF232" s="42">
        <f t="shared" si="50"/>
        <v>0</v>
      </c>
    </row>
    <row r="233" spans="1:32" x14ac:dyDescent="0.2">
      <c r="A233" s="66"/>
      <c r="B233" s="66"/>
      <c r="C233" s="66"/>
      <c r="D233" s="66"/>
      <c r="E233" s="66"/>
      <c r="F233" s="66"/>
      <c r="G233" s="66"/>
      <c r="H233" s="66"/>
      <c r="I233" s="66"/>
      <c r="J233" s="66"/>
      <c r="K233" s="66"/>
      <c r="L233" s="66"/>
      <c r="M233" s="66"/>
      <c r="N233" s="66"/>
      <c r="O233" s="66"/>
      <c r="P233" s="66"/>
      <c r="R233" s="42" t="s">
        <v>630</v>
      </c>
      <c r="U233" s="42">
        <f t="shared" si="50"/>
        <v>3000</v>
      </c>
      <c r="V233" s="42">
        <f t="shared" si="50"/>
        <v>3000</v>
      </c>
      <c r="W233" s="42">
        <f t="shared" si="50"/>
        <v>3000</v>
      </c>
      <c r="X233" s="42">
        <f t="shared" si="50"/>
        <v>3000</v>
      </c>
      <c r="Y233" s="42">
        <f t="shared" si="50"/>
        <v>3000</v>
      </c>
      <c r="Z233" s="42">
        <f t="shared" si="50"/>
        <v>3000</v>
      </c>
      <c r="AA233" s="42">
        <f t="shared" si="50"/>
        <v>3000</v>
      </c>
      <c r="AB233" s="42">
        <f t="shared" si="50"/>
        <v>3000</v>
      </c>
      <c r="AC233" s="42">
        <f t="shared" si="50"/>
        <v>3000</v>
      </c>
      <c r="AD233" s="42">
        <f t="shared" si="50"/>
        <v>3000</v>
      </c>
      <c r="AE233" s="42">
        <f t="shared" si="50"/>
        <v>3000</v>
      </c>
      <c r="AF233" s="42">
        <f t="shared" si="50"/>
        <v>3000</v>
      </c>
    </row>
    <row r="234" spans="1:32" x14ac:dyDescent="0.2">
      <c r="A234" s="66"/>
      <c r="B234" s="66"/>
      <c r="C234" s="66"/>
      <c r="D234" s="66"/>
      <c r="E234" s="66"/>
      <c r="F234" s="66"/>
      <c r="G234" s="66"/>
      <c r="H234" s="66"/>
      <c r="I234" s="66"/>
      <c r="J234" s="66"/>
      <c r="K234" s="66"/>
      <c r="L234" s="66"/>
      <c r="M234" s="66"/>
      <c r="N234" s="66"/>
      <c r="O234" s="66"/>
      <c r="P234" s="66"/>
      <c r="R234" s="42" t="s">
        <v>631</v>
      </c>
      <c r="U234" s="42">
        <f t="shared" si="50"/>
        <v>2000</v>
      </c>
      <c r="V234" s="42">
        <f t="shared" si="50"/>
        <v>2000</v>
      </c>
      <c r="W234" s="42">
        <f t="shared" si="50"/>
        <v>2000</v>
      </c>
      <c r="X234" s="42">
        <f t="shared" si="50"/>
        <v>2000</v>
      </c>
      <c r="Y234" s="42">
        <f t="shared" si="50"/>
        <v>2000</v>
      </c>
      <c r="Z234" s="42">
        <f t="shared" si="50"/>
        <v>2000</v>
      </c>
      <c r="AA234" s="42">
        <f t="shared" si="50"/>
        <v>2000</v>
      </c>
      <c r="AB234" s="42">
        <f t="shared" si="50"/>
        <v>2000</v>
      </c>
      <c r="AC234" s="42">
        <f t="shared" si="50"/>
        <v>2000</v>
      </c>
      <c r="AD234" s="42">
        <f t="shared" si="50"/>
        <v>2000</v>
      </c>
      <c r="AE234" s="42">
        <f t="shared" si="50"/>
        <v>2000</v>
      </c>
      <c r="AF234" s="42">
        <f t="shared" si="50"/>
        <v>2000</v>
      </c>
    </row>
    <row r="235" spans="1:32" x14ac:dyDescent="0.2">
      <c r="A235" s="66"/>
      <c r="B235" s="66"/>
      <c r="C235" s="66"/>
      <c r="D235" s="66"/>
      <c r="E235" s="66"/>
      <c r="F235" s="66"/>
      <c r="G235" s="66"/>
      <c r="H235" s="66"/>
      <c r="I235" s="66"/>
      <c r="J235" s="66"/>
      <c r="K235" s="66"/>
      <c r="L235" s="66"/>
      <c r="M235" s="66"/>
      <c r="N235" s="66"/>
      <c r="O235" s="66"/>
      <c r="P235" s="66"/>
      <c r="R235" s="42" t="s">
        <v>646</v>
      </c>
      <c r="U235" s="42">
        <f t="shared" si="50"/>
        <v>2500</v>
      </c>
      <c r="V235" s="42">
        <f t="shared" si="50"/>
        <v>2500</v>
      </c>
      <c r="W235" s="42">
        <f t="shared" si="50"/>
        <v>2500</v>
      </c>
      <c r="X235" s="42">
        <f t="shared" si="50"/>
        <v>2500</v>
      </c>
      <c r="Y235" s="42">
        <f t="shared" si="50"/>
        <v>2500</v>
      </c>
      <c r="Z235" s="42">
        <f t="shared" si="50"/>
        <v>2500</v>
      </c>
      <c r="AA235" s="42">
        <f t="shared" si="50"/>
        <v>2500</v>
      </c>
      <c r="AB235" s="42">
        <f t="shared" si="50"/>
        <v>2500</v>
      </c>
      <c r="AC235" s="42">
        <f t="shared" si="50"/>
        <v>2500</v>
      </c>
      <c r="AD235" s="42">
        <f t="shared" si="50"/>
        <v>2500</v>
      </c>
      <c r="AE235" s="42">
        <f t="shared" si="50"/>
        <v>2500</v>
      </c>
      <c r="AF235" s="42">
        <f t="shared" si="50"/>
        <v>2500</v>
      </c>
    </row>
    <row r="236" spans="1:32" x14ac:dyDescent="0.2">
      <c r="A236" s="66"/>
      <c r="B236" s="66"/>
      <c r="C236" s="66"/>
      <c r="D236" s="66"/>
      <c r="E236" s="66"/>
      <c r="F236" s="66"/>
      <c r="G236" s="66"/>
      <c r="H236" s="66"/>
      <c r="I236" s="66"/>
      <c r="J236" s="66"/>
      <c r="K236" s="66"/>
      <c r="L236" s="66"/>
      <c r="M236" s="66"/>
      <c r="N236" s="66"/>
      <c r="O236" s="66"/>
      <c r="P236" s="66"/>
    </row>
    <row r="237" spans="1:32" x14ac:dyDescent="0.2">
      <c r="A237" s="66"/>
      <c r="B237" s="66"/>
      <c r="C237" s="66"/>
      <c r="D237" s="66"/>
      <c r="E237" s="66"/>
      <c r="F237" s="66"/>
      <c r="G237" s="66"/>
      <c r="H237" s="66"/>
      <c r="I237" s="66"/>
      <c r="J237" s="66"/>
      <c r="K237" s="66"/>
      <c r="L237" s="66"/>
      <c r="M237" s="66"/>
      <c r="N237" s="66"/>
      <c r="O237" s="66"/>
      <c r="P237" s="66"/>
    </row>
    <row r="238" spans="1:32" x14ac:dyDescent="0.2">
      <c r="A238" s="66"/>
      <c r="B238" s="66"/>
      <c r="C238" s="66"/>
      <c r="D238" s="66"/>
      <c r="E238" s="66"/>
      <c r="F238" s="66"/>
      <c r="G238" s="66"/>
      <c r="H238" s="66"/>
      <c r="I238" s="66"/>
      <c r="J238" s="66"/>
      <c r="K238" s="66"/>
      <c r="L238" s="66"/>
      <c r="M238" s="66"/>
      <c r="N238" s="66"/>
      <c r="O238" s="66"/>
      <c r="P238" s="66"/>
    </row>
    <row r="239" spans="1:32" x14ac:dyDescent="0.2">
      <c r="A239" s="66"/>
      <c r="B239" s="66"/>
      <c r="C239" s="66"/>
      <c r="D239" s="66"/>
      <c r="E239" s="66"/>
      <c r="F239" s="66"/>
      <c r="G239" s="66"/>
      <c r="H239" s="66"/>
      <c r="I239" s="66"/>
      <c r="J239" s="66"/>
      <c r="K239" s="66"/>
      <c r="L239" s="66"/>
      <c r="M239" s="66"/>
      <c r="N239" s="66"/>
      <c r="O239" s="66"/>
      <c r="P239" s="66"/>
    </row>
    <row r="240" spans="1:32" x14ac:dyDescent="0.2">
      <c r="A240" s="66"/>
      <c r="B240" s="66"/>
      <c r="C240" s="66"/>
      <c r="D240" s="66"/>
      <c r="E240" s="66"/>
      <c r="F240" s="66"/>
      <c r="G240" s="66"/>
      <c r="H240" s="66"/>
      <c r="I240" s="66"/>
      <c r="J240" s="66"/>
      <c r="K240" s="66"/>
      <c r="L240" s="66"/>
      <c r="M240" s="66"/>
      <c r="N240" s="66"/>
      <c r="O240" s="66"/>
      <c r="P240" s="66"/>
      <c r="R240" s="42" t="s">
        <v>634</v>
      </c>
      <c r="U240" s="42" cm="1">
        <f t="array" ref="U240">SUMPRODUCT(($C$154:$C$170="Rent &amp; premises")*($D$154:$D$170)*IF($E$154:$E$170="Monthly",1/12,IF($E$154:$E$170="Weekly",1/12,IF($E$154:$E$170="Quarterly",IF(MOD(1-$F$154:$F$170,3)=0,1/4,0),IF(($E$154:$E$170="Annual")+($E$154:$E$170="One-off"),IF($F$154:$F$170=1,1,0),1/12)))))</f>
        <v>11000</v>
      </c>
      <c r="V240" s="42" cm="1">
        <f t="array" ref="V240">SUMPRODUCT(($C$154:$C$170="Rent &amp; premises")*($D$154:$D$170)*IF($E$154:$E$170="Monthly",1/12,IF($E$154:$E$170="Weekly",1/12,IF($E$154:$E$170="Quarterly",IF(MOD(2-$F$154:$F$170,3)=0,1/4,0),IF(($E$154:$E$170="Annual")+($E$154:$E$170="One-off"),IF($F$154:$F$170=2,1,0),1/12)))))</f>
        <v>11000</v>
      </c>
      <c r="W240" s="42" cm="1">
        <f t="array" ref="W240">SUMPRODUCT(($C$154:$C$170="Rent &amp; premises")*($D$154:$D$170)*IF($E$154:$E$170="Monthly",1/12,IF($E$154:$E$170="Weekly",1/12,IF($E$154:$E$170="Quarterly",IF(MOD(3-$F$154:$F$170,3)=0,1/4,0),IF(($E$154:$E$170="Annual")+($E$154:$E$170="One-off"),IF($F$154:$F$170=3,1,0),1/12)))))</f>
        <v>11000</v>
      </c>
      <c r="X240" s="42" cm="1">
        <f t="array" ref="X240">SUMPRODUCT(($C$154:$C$170="Rent &amp; premises")*($D$154:$D$170)*IF($E$154:$E$170="Monthly",1/12,IF($E$154:$E$170="Weekly",1/12,IF($E$154:$E$170="Quarterly",IF(MOD(4-$F$154:$F$170,3)=0,1/4,0),IF(($E$154:$E$170="Annual")+($E$154:$E$170="One-off"),IF($F$154:$F$170=4,1,0),1/12)))))</f>
        <v>11000</v>
      </c>
      <c r="Y240" s="42" cm="1">
        <f t="array" ref="Y240">SUMPRODUCT(($C$154:$C$170="Rent &amp; premises")*($D$154:$D$170)*IF($E$154:$E$170="Monthly",1/12,IF($E$154:$E$170="Weekly",1/12,IF($E$154:$E$170="Quarterly",IF(MOD(5-$F$154:$F$170,3)=0,1/4,0),IF(($E$154:$E$170="Annual")+($E$154:$E$170="One-off"),IF($F$154:$F$170=5,1,0),1/12)))))</f>
        <v>11000</v>
      </c>
      <c r="Z240" s="42" cm="1">
        <f t="array" ref="Z240">SUMPRODUCT(($C$154:$C$170="Rent &amp; premises")*($D$154:$D$170)*IF($E$154:$E$170="Monthly",1/12,IF($E$154:$E$170="Weekly",1/12,IF($E$154:$E$170="Quarterly",IF(MOD(6-$F$154:$F$170,3)=0,1/4,0),IF(($E$154:$E$170="Annual")+($E$154:$E$170="One-off"),IF($F$154:$F$170=6,1,0),1/12)))))</f>
        <v>11000</v>
      </c>
      <c r="AA240" s="42" cm="1">
        <f t="array" ref="AA240">SUMPRODUCT(($C$154:$C$170="Rent &amp; premises")*($D$154:$D$170)*IF($E$154:$E$170="Monthly",1/12,IF($E$154:$E$170="Weekly",1/12,IF($E$154:$E$170="Quarterly",IF(MOD(7-$F$154:$F$170,3)=0,1/4,0),IF(($E$154:$E$170="Annual")+($E$154:$E$170="One-off"),IF($F$154:$F$170=7,1,0),1/12)))))</f>
        <v>11000</v>
      </c>
      <c r="AB240" s="42" cm="1">
        <f t="array" ref="AB240">SUMPRODUCT(($C$154:$C$170="Rent &amp; premises")*($D$154:$D$170)*IF($E$154:$E$170="Monthly",1/12,IF($E$154:$E$170="Weekly",1/12,IF($E$154:$E$170="Quarterly",IF(MOD(8-$F$154:$F$170,3)=0,1/4,0),IF(($E$154:$E$170="Annual")+($E$154:$E$170="One-off"),IF($F$154:$F$170=8,1,0),1/12)))))</f>
        <v>11000</v>
      </c>
      <c r="AC240" s="42" cm="1">
        <f t="array" ref="AC240">SUMPRODUCT(($C$154:$C$170="Rent &amp; premises")*($D$154:$D$170)*IF($E$154:$E$170="Monthly",1/12,IF($E$154:$E$170="Weekly",1/12,IF($E$154:$E$170="Quarterly",IF(MOD(9-$F$154:$F$170,3)=0,1/4,0),IF(($E$154:$E$170="Annual")+($E$154:$E$170="One-off"),IF($F$154:$F$170=9,1,0),1/12)))))</f>
        <v>11000</v>
      </c>
      <c r="AD240" s="42" cm="1">
        <f t="array" ref="AD240">SUMPRODUCT(($C$154:$C$170="Rent &amp; premises")*($D$154:$D$170)*IF($E$154:$E$170="Monthly",1/12,IF($E$154:$E$170="Weekly",1/12,IF($E$154:$E$170="Quarterly",IF(MOD(10-$F$154:$F$170,3)=0,1/4,0),IF(($E$154:$E$170="Annual")+($E$154:$E$170="One-off"),IF($F$154:$F$170=10,1,0),1/12)))))</f>
        <v>11000</v>
      </c>
      <c r="AE240" s="42" cm="1">
        <f t="array" ref="AE240">SUMPRODUCT(($C$154:$C$170="Rent &amp; premises")*($D$154:$D$170)*IF($E$154:$E$170="Monthly",1/12,IF($E$154:$E$170="Weekly",1/12,IF($E$154:$E$170="Quarterly",IF(MOD(11-$F$154:$F$170,3)=0,1/4,0),IF(($E$154:$E$170="Annual")+($E$154:$E$170="One-off"),IF($F$154:$F$170=11,1,0),1/12)))))</f>
        <v>11000</v>
      </c>
      <c r="AF240" s="42" cm="1">
        <f t="array" ref="AF240">SUMPRODUCT(($C$154:$C$170="Rent &amp; premises")*($D$154:$D$170)*IF($E$154:$E$170="Monthly",1/12,IF($E$154:$E$170="Weekly",1/12,IF($E$154:$E$170="Quarterly",IF(MOD(12-$F$154:$F$170,3)=0,1/4,0),IF(($E$154:$E$170="Annual")+($E$154:$E$170="One-off"),IF($F$154:$F$170=12,1,0),1/12)))))</f>
        <v>11000</v>
      </c>
    </row>
    <row r="241" spans="1:32" x14ac:dyDescent="0.2">
      <c r="A241" s="66"/>
      <c r="B241" s="66"/>
      <c r="C241" s="66"/>
      <c r="D241" s="66"/>
      <c r="E241" s="66"/>
      <c r="F241" s="66"/>
      <c r="G241" s="66"/>
      <c r="H241" s="66"/>
      <c r="I241" s="66"/>
      <c r="J241" s="66"/>
      <c r="K241" s="66"/>
      <c r="L241" s="66"/>
      <c r="M241" s="66"/>
      <c r="N241" s="66"/>
      <c r="O241" s="66"/>
      <c r="P241" s="66"/>
      <c r="R241" s="42" t="s">
        <v>635</v>
      </c>
      <c r="U241" s="42" cm="1">
        <f t="array" ref="U241">SUMPRODUCT(($C$154:$C$170="Software &amp; subscriptions")*($D$154:$D$170)*IF($E$154:$E$170="Monthly",1/12,IF($E$154:$E$170="Weekly",1/12,IF($E$154:$E$170="Quarterly",IF(MOD(1-$F$154:$F$170,3)=0,1/4,0),IF(($E$154:$E$170="Annual")+($E$154:$E$170="One-off"),IF($F$154:$F$170=1,1,0),1/12)))))</f>
        <v>6500</v>
      </c>
      <c r="V241" s="42" cm="1">
        <f t="array" ref="V241">SUMPRODUCT(($C$154:$C$170="Software &amp; subscriptions")*($D$154:$D$170)*IF($E$154:$E$170="Monthly",1/12,IF($E$154:$E$170="Weekly",1/12,IF($E$154:$E$170="Quarterly",IF(MOD(2-$F$154:$F$170,3)=0,1/4,0),IF(($E$154:$E$170="Annual")+($E$154:$E$170="One-off"),IF($F$154:$F$170=2,1,0),1/12)))))</f>
        <v>6500</v>
      </c>
      <c r="W241" s="42" cm="1">
        <f t="array" ref="W241">SUMPRODUCT(($C$154:$C$170="Software &amp; subscriptions")*($D$154:$D$170)*IF($E$154:$E$170="Monthly",1/12,IF($E$154:$E$170="Weekly",1/12,IF($E$154:$E$170="Quarterly",IF(MOD(3-$F$154:$F$170,3)=0,1/4,0),IF(($E$154:$E$170="Annual")+($E$154:$E$170="One-off"),IF($F$154:$F$170=3,1,0),1/12)))))</f>
        <v>6500</v>
      </c>
      <c r="X241" s="42" cm="1">
        <f t="array" ref="X241">SUMPRODUCT(($C$154:$C$170="Software &amp; subscriptions")*($D$154:$D$170)*IF($E$154:$E$170="Monthly",1/12,IF($E$154:$E$170="Weekly",1/12,IF($E$154:$E$170="Quarterly",IF(MOD(4-$F$154:$F$170,3)=0,1/4,0),IF(($E$154:$E$170="Annual")+($E$154:$E$170="One-off"),IF($F$154:$F$170=4,1,0),1/12)))))</f>
        <v>6500</v>
      </c>
      <c r="Y241" s="42" cm="1">
        <f t="array" ref="Y241">SUMPRODUCT(($C$154:$C$170="Software &amp; subscriptions")*($D$154:$D$170)*IF($E$154:$E$170="Monthly",1/12,IF($E$154:$E$170="Weekly",1/12,IF($E$154:$E$170="Quarterly",IF(MOD(5-$F$154:$F$170,3)=0,1/4,0),IF(($E$154:$E$170="Annual")+($E$154:$E$170="One-off"),IF($F$154:$F$170=5,1,0),1/12)))))</f>
        <v>6500</v>
      </c>
      <c r="Z241" s="42" cm="1">
        <f t="array" ref="Z241">SUMPRODUCT(($C$154:$C$170="Software &amp; subscriptions")*($D$154:$D$170)*IF($E$154:$E$170="Monthly",1/12,IF($E$154:$E$170="Weekly",1/12,IF($E$154:$E$170="Quarterly",IF(MOD(6-$F$154:$F$170,3)=0,1/4,0),IF(($E$154:$E$170="Annual")+($E$154:$E$170="One-off"),IF($F$154:$F$170=6,1,0),1/12)))))</f>
        <v>6500</v>
      </c>
      <c r="AA241" s="42" cm="1">
        <f t="array" ref="AA241">SUMPRODUCT(($C$154:$C$170="Software &amp; subscriptions")*($D$154:$D$170)*IF($E$154:$E$170="Monthly",1/12,IF($E$154:$E$170="Weekly",1/12,IF($E$154:$E$170="Quarterly",IF(MOD(7-$F$154:$F$170,3)=0,1/4,0),IF(($E$154:$E$170="Annual")+($E$154:$E$170="One-off"),IF($F$154:$F$170=7,1,0),1/12)))))</f>
        <v>6500</v>
      </c>
      <c r="AB241" s="42" cm="1">
        <f t="array" ref="AB241">SUMPRODUCT(($C$154:$C$170="Software &amp; subscriptions")*($D$154:$D$170)*IF($E$154:$E$170="Monthly",1/12,IF($E$154:$E$170="Weekly",1/12,IF($E$154:$E$170="Quarterly",IF(MOD(8-$F$154:$F$170,3)=0,1/4,0),IF(($E$154:$E$170="Annual")+($E$154:$E$170="One-off"),IF($F$154:$F$170=8,1,0),1/12)))))</f>
        <v>6500</v>
      </c>
      <c r="AC241" s="42" cm="1">
        <f t="array" ref="AC241">SUMPRODUCT(($C$154:$C$170="Software &amp; subscriptions")*($D$154:$D$170)*IF($E$154:$E$170="Monthly",1/12,IF($E$154:$E$170="Weekly",1/12,IF($E$154:$E$170="Quarterly",IF(MOD(9-$F$154:$F$170,3)=0,1/4,0),IF(($E$154:$E$170="Annual")+($E$154:$E$170="One-off"),IF($F$154:$F$170=9,1,0),1/12)))))</f>
        <v>6500</v>
      </c>
      <c r="AD241" s="42" cm="1">
        <f t="array" ref="AD241">SUMPRODUCT(($C$154:$C$170="Software &amp; subscriptions")*($D$154:$D$170)*IF($E$154:$E$170="Monthly",1/12,IF($E$154:$E$170="Weekly",1/12,IF($E$154:$E$170="Quarterly",IF(MOD(10-$F$154:$F$170,3)=0,1/4,0),IF(($E$154:$E$170="Annual")+($E$154:$E$170="One-off"),IF($F$154:$F$170=10,1,0),1/12)))))</f>
        <v>6500</v>
      </c>
      <c r="AE241" s="42" cm="1">
        <f t="array" ref="AE241">SUMPRODUCT(($C$154:$C$170="Software &amp; subscriptions")*($D$154:$D$170)*IF($E$154:$E$170="Monthly",1/12,IF($E$154:$E$170="Weekly",1/12,IF($E$154:$E$170="Quarterly",IF(MOD(11-$F$154:$F$170,3)=0,1/4,0),IF(($E$154:$E$170="Annual")+($E$154:$E$170="One-off"),IF($F$154:$F$170=11,1,0),1/12)))))</f>
        <v>6500</v>
      </c>
      <c r="AF241" s="42" cm="1">
        <f t="array" ref="AF241">SUMPRODUCT(($C$154:$C$170="Software &amp; subscriptions")*($D$154:$D$170)*IF($E$154:$E$170="Monthly",1/12,IF($E$154:$E$170="Weekly",1/12,IF($E$154:$E$170="Quarterly",IF(MOD(12-$F$154:$F$170,3)=0,1/4,0),IF(($E$154:$E$170="Annual")+($E$154:$E$170="One-off"),IF($F$154:$F$170=12,1,0),1/12)))))</f>
        <v>6500</v>
      </c>
    </row>
    <row r="242" spans="1:32" x14ac:dyDescent="0.2">
      <c r="A242" s="66"/>
      <c r="B242" s="66"/>
      <c r="C242" s="66"/>
      <c r="D242" s="66"/>
      <c r="E242" s="66"/>
      <c r="F242" s="66"/>
      <c r="G242" s="66"/>
      <c r="H242" s="66"/>
      <c r="I242" s="66"/>
      <c r="J242" s="66"/>
      <c r="K242" s="66"/>
      <c r="L242" s="66"/>
      <c r="M242" s="66"/>
      <c r="N242" s="66"/>
      <c r="O242" s="66"/>
      <c r="P242" s="66"/>
      <c r="R242" s="42" t="s">
        <v>636</v>
      </c>
      <c r="U242" s="42" cm="1">
        <f t="array" ref="U242">SUMPRODUCT(($C$154:$C$170="Sales &amp; marketing")*($D$154:$D$170)*IF($E$154:$E$170="Monthly",1/12,IF($E$154:$E$170="Weekly",1/12,IF($E$154:$E$170="Quarterly",IF(MOD(1-$F$154:$F$170,3)=0,1/4,0),IF(($E$154:$E$170="Annual")+($E$154:$E$170="One-off"),IF($F$154:$F$170=1,1,0),1/12)))))</f>
        <v>8000</v>
      </c>
      <c r="V242" s="42" cm="1">
        <f t="array" ref="V242">SUMPRODUCT(($C$154:$C$170="Sales &amp; marketing")*($D$154:$D$170)*IF($E$154:$E$170="Monthly",1/12,IF($E$154:$E$170="Weekly",1/12,IF($E$154:$E$170="Quarterly",IF(MOD(2-$F$154:$F$170,3)=0,1/4,0),IF(($E$154:$E$170="Annual")+($E$154:$E$170="One-off"),IF($F$154:$F$170=2,1,0),1/12)))))</f>
        <v>8000</v>
      </c>
      <c r="W242" s="42" cm="1">
        <f t="array" ref="W242">SUMPRODUCT(($C$154:$C$170="Sales &amp; marketing")*($D$154:$D$170)*IF($E$154:$E$170="Monthly",1/12,IF($E$154:$E$170="Weekly",1/12,IF($E$154:$E$170="Quarterly",IF(MOD(3-$F$154:$F$170,3)=0,1/4,0),IF(($E$154:$E$170="Annual")+($E$154:$E$170="One-off"),IF($F$154:$F$170=3,1,0),1/12)))))</f>
        <v>8000</v>
      </c>
      <c r="X242" s="42" cm="1">
        <f t="array" ref="X242">SUMPRODUCT(($C$154:$C$170="Sales &amp; marketing")*($D$154:$D$170)*IF($E$154:$E$170="Monthly",1/12,IF($E$154:$E$170="Weekly",1/12,IF($E$154:$E$170="Quarterly",IF(MOD(4-$F$154:$F$170,3)=0,1/4,0),IF(($E$154:$E$170="Annual")+($E$154:$E$170="One-off"),IF($F$154:$F$170=4,1,0),1/12)))))</f>
        <v>8000</v>
      </c>
      <c r="Y242" s="42" cm="1">
        <f t="array" ref="Y242">SUMPRODUCT(($C$154:$C$170="Sales &amp; marketing")*($D$154:$D$170)*IF($E$154:$E$170="Monthly",1/12,IF($E$154:$E$170="Weekly",1/12,IF($E$154:$E$170="Quarterly",IF(MOD(5-$F$154:$F$170,3)=0,1/4,0),IF(($E$154:$E$170="Annual")+($E$154:$E$170="One-off"),IF($F$154:$F$170=5,1,0),1/12)))))</f>
        <v>8000</v>
      </c>
      <c r="Z242" s="42" cm="1">
        <f t="array" ref="Z242">SUMPRODUCT(($C$154:$C$170="Sales &amp; marketing")*($D$154:$D$170)*IF($E$154:$E$170="Monthly",1/12,IF($E$154:$E$170="Weekly",1/12,IF($E$154:$E$170="Quarterly",IF(MOD(6-$F$154:$F$170,3)=0,1/4,0),IF(($E$154:$E$170="Annual")+($E$154:$E$170="One-off"),IF($F$154:$F$170=6,1,0),1/12)))))</f>
        <v>8000</v>
      </c>
      <c r="AA242" s="42" cm="1">
        <f t="array" ref="AA242">SUMPRODUCT(($C$154:$C$170="Sales &amp; marketing")*($D$154:$D$170)*IF($E$154:$E$170="Monthly",1/12,IF($E$154:$E$170="Weekly",1/12,IF($E$154:$E$170="Quarterly",IF(MOD(7-$F$154:$F$170,3)=0,1/4,0),IF(($E$154:$E$170="Annual")+($E$154:$E$170="One-off"),IF($F$154:$F$170=7,1,0),1/12)))))</f>
        <v>8000</v>
      </c>
      <c r="AB242" s="42" cm="1">
        <f t="array" ref="AB242">SUMPRODUCT(($C$154:$C$170="Sales &amp; marketing")*($D$154:$D$170)*IF($E$154:$E$170="Monthly",1/12,IF($E$154:$E$170="Weekly",1/12,IF($E$154:$E$170="Quarterly",IF(MOD(8-$F$154:$F$170,3)=0,1/4,0),IF(($E$154:$E$170="Annual")+($E$154:$E$170="One-off"),IF($F$154:$F$170=8,1,0),1/12)))))</f>
        <v>8000</v>
      </c>
      <c r="AC242" s="42" cm="1">
        <f t="array" ref="AC242">SUMPRODUCT(($C$154:$C$170="Sales &amp; marketing")*($D$154:$D$170)*IF($E$154:$E$170="Monthly",1/12,IF($E$154:$E$170="Weekly",1/12,IF($E$154:$E$170="Quarterly",IF(MOD(9-$F$154:$F$170,3)=0,1/4,0),IF(($E$154:$E$170="Annual")+($E$154:$E$170="One-off"),IF($F$154:$F$170=9,1,0),1/12)))))</f>
        <v>8000</v>
      </c>
      <c r="AD242" s="42" cm="1">
        <f t="array" ref="AD242">SUMPRODUCT(($C$154:$C$170="Sales &amp; marketing")*($D$154:$D$170)*IF($E$154:$E$170="Monthly",1/12,IF($E$154:$E$170="Weekly",1/12,IF($E$154:$E$170="Quarterly",IF(MOD(10-$F$154:$F$170,3)=0,1/4,0),IF(($E$154:$E$170="Annual")+($E$154:$E$170="One-off"),IF($F$154:$F$170=10,1,0),1/12)))))</f>
        <v>8000</v>
      </c>
      <c r="AE242" s="42" cm="1">
        <f t="array" ref="AE242">SUMPRODUCT(($C$154:$C$170="Sales &amp; marketing")*($D$154:$D$170)*IF($E$154:$E$170="Monthly",1/12,IF($E$154:$E$170="Weekly",1/12,IF($E$154:$E$170="Quarterly",IF(MOD(11-$F$154:$F$170,3)=0,1/4,0),IF(($E$154:$E$170="Annual")+($E$154:$E$170="One-off"),IF($F$154:$F$170=11,1,0),1/12)))))</f>
        <v>8000</v>
      </c>
      <c r="AF242" s="42" cm="1">
        <f t="array" ref="AF242">SUMPRODUCT(($C$154:$C$170="Sales &amp; marketing")*($D$154:$D$170)*IF($E$154:$E$170="Monthly",1/12,IF($E$154:$E$170="Weekly",1/12,IF($E$154:$E$170="Quarterly",IF(MOD(12-$F$154:$F$170,3)=0,1/4,0),IF(($E$154:$E$170="Annual")+($E$154:$E$170="One-off"),IF($F$154:$F$170=12,1,0),1/12)))))</f>
        <v>8000</v>
      </c>
    </row>
    <row r="243" spans="1:32" x14ac:dyDescent="0.2">
      <c r="A243" s="66"/>
      <c r="B243" s="66"/>
      <c r="C243" s="66"/>
      <c r="D243" s="66"/>
      <c r="E243" s="66"/>
      <c r="F243" s="66"/>
      <c r="G243" s="66"/>
      <c r="H243" s="66"/>
      <c r="I243" s="66"/>
      <c r="J243" s="66"/>
      <c r="K243" s="66"/>
      <c r="L243" s="66"/>
      <c r="M243" s="66"/>
      <c r="N243" s="66"/>
      <c r="O243" s="66"/>
      <c r="P243" s="66"/>
      <c r="R243" s="42" t="s">
        <v>637</v>
      </c>
      <c r="U243" s="42" cm="1">
        <f t="array" ref="U243">SUMPRODUCT(($C$154:$C$170="Professional fees")*($D$154:$D$170)*IF($E$154:$E$170="Monthly",1/12,IF($E$154:$E$170="Weekly",1/12,IF($E$154:$E$170="Quarterly",IF(MOD(1-$F$154:$F$170,3)=0,1/4,0),IF(($E$154:$E$170="Annual")+($E$154:$E$170="One-off"),IF($F$154:$F$170=1,1,0),1/12)))))</f>
        <v>0</v>
      </c>
      <c r="V243" s="42" cm="1">
        <f t="array" ref="V243">SUMPRODUCT(($C$154:$C$170="Professional fees")*($D$154:$D$170)*IF($E$154:$E$170="Monthly",1/12,IF($E$154:$E$170="Weekly",1/12,IF($E$154:$E$170="Quarterly",IF(MOD(2-$F$154:$F$170,3)=0,1/4,0),IF(($E$154:$E$170="Annual")+($E$154:$E$170="One-off"),IF($F$154:$F$170=2,1,0),1/12)))))</f>
        <v>0</v>
      </c>
      <c r="W243" s="42" cm="1">
        <f t="array" ref="W243">SUMPRODUCT(($C$154:$C$170="Professional fees")*($D$154:$D$170)*IF($E$154:$E$170="Monthly",1/12,IF($E$154:$E$170="Weekly",1/12,IF($E$154:$E$170="Quarterly",IF(MOD(3-$F$154:$F$170,3)=0,1/4,0),IF(($E$154:$E$170="Annual")+($E$154:$E$170="One-off"),IF($F$154:$F$170=3,1,0),1/12)))))</f>
        <v>12000</v>
      </c>
      <c r="X243" s="42" cm="1">
        <f t="array" ref="X243">SUMPRODUCT(($C$154:$C$170="Professional fees")*($D$154:$D$170)*IF($E$154:$E$170="Monthly",1/12,IF($E$154:$E$170="Weekly",1/12,IF($E$154:$E$170="Quarterly",IF(MOD(4-$F$154:$F$170,3)=0,1/4,0),IF(($E$154:$E$170="Annual")+($E$154:$E$170="One-off"),IF($F$154:$F$170=4,1,0),1/12)))))</f>
        <v>0</v>
      </c>
      <c r="Y243" s="42" cm="1">
        <f t="array" ref="Y243">SUMPRODUCT(($C$154:$C$170="Professional fees")*($D$154:$D$170)*IF($E$154:$E$170="Monthly",1/12,IF($E$154:$E$170="Weekly",1/12,IF($E$154:$E$170="Quarterly",IF(MOD(5-$F$154:$F$170,3)=0,1/4,0),IF(($E$154:$E$170="Annual")+($E$154:$E$170="One-off"),IF($F$154:$F$170=5,1,0),1/12)))))</f>
        <v>0</v>
      </c>
      <c r="Z243" s="42" cm="1">
        <f t="array" ref="Z243">SUMPRODUCT(($C$154:$C$170="Professional fees")*($D$154:$D$170)*IF($E$154:$E$170="Monthly",1/12,IF($E$154:$E$170="Weekly",1/12,IF($E$154:$E$170="Quarterly",IF(MOD(6-$F$154:$F$170,3)=0,1/4,0),IF(($E$154:$E$170="Annual")+($E$154:$E$170="One-off"),IF($F$154:$F$170=6,1,0),1/12)))))</f>
        <v>12000</v>
      </c>
      <c r="AA243" s="42" cm="1">
        <f t="array" ref="AA243">SUMPRODUCT(($C$154:$C$170="Professional fees")*($D$154:$D$170)*IF($E$154:$E$170="Monthly",1/12,IF($E$154:$E$170="Weekly",1/12,IF($E$154:$E$170="Quarterly",IF(MOD(7-$F$154:$F$170,3)=0,1/4,0),IF(($E$154:$E$170="Annual")+($E$154:$E$170="One-off"),IF($F$154:$F$170=7,1,0),1/12)))))</f>
        <v>0</v>
      </c>
      <c r="AB243" s="42" cm="1">
        <f t="array" ref="AB243">SUMPRODUCT(($C$154:$C$170="Professional fees")*($D$154:$D$170)*IF($E$154:$E$170="Monthly",1/12,IF($E$154:$E$170="Weekly",1/12,IF($E$154:$E$170="Quarterly",IF(MOD(8-$F$154:$F$170,3)=0,1/4,0),IF(($E$154:$E$170="Annual")+($E$154:$E$170="One-off"),IF($F$154:$F$170=8,1,0),1/12)))))</f>
        <v>0</v>
      </c>
      <c r="AC243" s="42" cm="1">
        <f t="array" ref="AC243">SUMPRODUCT(($C$154:$C$170="Professional fees")*($D$154:$D$170)*IF($E$154:$E$170="Monthly",1/12,IF($E$154:$E$170="Weekly",1/12,IF($E$154:$E$170="Quarterly",IF(MOD(9-$F$154:$F$170,3)=0,1/4,0),IF(($E$154:$E$170="Annual")+($E$154:$E$170="One-off"),IF($F$154:$F$170=9,1,0),1/12)))))</f>
        <v>12000</v>
      </c>
      <c r="AD243" s="42" cm="1">
        <f t="array" ref="AD243">SUMPRODUCT(($C$154:$C$170="Professional fees")*($D$154:$D$170)*IF($E$154:$E$170="Monthly",1/12,IF($E$154:$E$170="Weekly",1/12,IF($E$154:$E$170="Quarterly",IF(MOD(10-$F$154:$F$170,3)=0,1/4,0),IF(($E$154:$E$170="Annual")+($E$154:$E$170="One-off"),IF($F$154:$F$170=10,1,0),1/12)))))</f>
        <v>0</v>
      </c>
      <c r="AE243" s="42" cm="1">
        <f t="array" ref="AE243">SUMPRODUCT(($C$154:$C$170="Professional fees")*($D$154:$D$170)*IF($E$154:$E$170="Monthly",1/12,IF($E$154:$E$170="Weekly",1/12,IF($E$154:$E$170="Quarterly",IF(MOD(11-$F$154:$F$170,3)=0,1/4,0),IF(($E$154:$E$170="Annual")+($E$154:$E$170="One-off"),IF($F$154:$F$170=11,1,0),1/12)))))</f>
        <v>0</v>
      </c>
      <c r="AF243" s="42" cm="1">
        <f t="array" ref="AF243">SUMPRODUCT(($C$154:$C$170="Professional fees")*($D$154:$D$170)*IF($E$154:$E$170="Monthly",1/12,IF($E$154:$E$170="Weekly",1/12,IF($E$154:$E$170="Quarterly",IF(MOD(12-$F$154:$F$170,3)=0,1/4,0),IF(($E$154:$E$170="Annual")+($E$154:$E$170="One-off"),IF($F$154:$F$170=12,1,0),1/12)))))</f>
        <v>12000</v>
      </c>
    </row>
    <row r="244" spans="1:32" x14ac:dyDescent="0.2">
      <c r="A244" s="66"/>
      <c r="B244" s="66"/>
      <c r="C244" s="66"/>
      <c r="D244" s="66"/>
      <c r="E244" s="66"/>
      <c r="F244" s="66"/>
      <c r="G244" s="66"/>
      <c r="H244" s="66"/>
      <c r="I244" s="66"/>
      <c r="J244" s="66"/>
      <c r="K244" s="66"/>
      <c r="L244" s="66"/>
      <c r="M244" s="66"/>
      <c r="N244" s="66"/>
      <c r="O244" s="66"/>
      <c r="P244" s="66"/>
      <c r="R244" s="42" t="s">
        <v>638</v>
      </c>
      <c r="U244" s="42" cm="1">
        <f t="array" ref="U244">SUMPRODUCT(($C$154:$C$170="Insurance")*($D$154:$D$170)*IF($E$154:$E$170="Monthly",1/12,IF($E$154:$E$170="Weekly",1/12,IF($E$154:$E$170="Quarterly",IF(MOD(1-$F$154:$F$170,3)=0,1/4,0),IF(($E$154:$E$170="Annual")+($E$154:$E$170="One-off"),IF($F$154:$F$170=1,1,0),1/12)))))</f>
        <v>30000</v>
      </c>
      <c r="V244" s="42" cm="1">
        <f t="array" ref="V244">SUMPRODUCT(($C$154:$C$170="Insurance")*($D$154:$D$170)*IF($E$154:$E$170="Monthly",1/12,IF($E$154:$E$170="Weekly",1/12,IF($E$154:$E$170="Quarterly",IF(MOD(2-$F$154:$F$170,3)=0,1/4,0),IF(($E$154:$E$170="Annual")+($E$154:$E$170="One-off"),IF($F$154:$F$170=2,1,0),1/12)))))</f>
        <v>0</v>
      </c>
      <c r="W244" s="42" cm="1">
        <f t="array" ref="W244">SUMPRODUCT(($C$154:$C$170="Insurance")*($D$154:$D$170)*IF($E$154:$E$170="Monthly",1/12,IF($E$154:$E$170="Weekly",1/12,IF($E$154:$E$170="Quarterly",IF(MOD(3-$F$154:$F$170,3)=0,1/4,0),IF(($E$154:$E$170="Annual")+($E$154:$E$170="One-off"),IF($F$154:$F$170=3,1,0),1/12)))))</f>
        <v>0</v>
      </c>
      <c r="X244" s="42" cm="1">
        <f t="array" ref="X244">SUMPRODUCT(($C$154:$C$170="Insurance")*($D$154:$D$170)*IF($E$154:$E$170="Monthly",1/12,IF($E$154:$E$170="Weekly",1/12,IF($E$154:$E$170="Quarterly",IF(MOD(4-$F$154:$F$170,3)=0,1/4,0),IF(($E$154:$E$170="Annual")+($E$154:$E$170="One-off"),IF($F$154:$F$170=4,1,0),1/12)))))</f>
        <v>0</v>
      </c>
      <c r="Y244" s="42" cm="1">
        <f t="array" ref="Y244">SUMPRODUCT(($C$154:$C$170="Insurance")*($D$154:$D$170)*IF($E$154:$E$170="Monthly",1/12,IF($E$154:$E$170="Weekly",1/12,IF($E$154:$E$170="Quarterly",IF(MOD(5-$F$154:$F$170,3)=0,1/4,0),IF(($E$154:$E$170="Annual")+($E$154:$E$170="One-off"),IF($F$154:$F$170=5,1,0),1/12)))))</f>
        <v>0</v>
      </c>
      <c r="Z244" s="42" cm="1">
        <f t="array" ref="Z244">SUMPRODUCT(($C$154:$C$170="Insurance")*($D$154:$D$170)*IF($E$154:$E$170="Monthly",1/12,IF($E$154:$E$170="Weekly",1/12,IF($E$154:$E$170="Quarterly",IF(MOD(6-$F$154:$F$170,3)=0,1/4,0),IF(($E$154:$E$170="Annual")+($E$154:$E$170="One-off"),IF($F$154:$F$170=6,1,0),1/12)))))</f>
        <v>0</v>
      </c>
      <c r="AA244" s="42" cm="1">
        <f t="array" ref="AA244">SUMPRODUCT(($C$154:$C$170="Insurance")*($D$154:$D$170)*IF($E$154:$E$170="Monthly",1/12,IF($E$154:$E$170="Weekly",1/12,IF($E$154:$E$170="Quarterly",IF(MOD(7-$F$154:$F$170,3)=0,1/4,0),IF(($E$154:$E$170="Annual")+($E$154:$E$170="One-off"),IF($F$154:$F$170=7,1,0),1/12)))))</f>
        <v>0</v>
      </c>
      <c r="AB244" s="42" cm="1">
        <f t="array" ref="AB244">SUMPRODUCT(($C$154:$C$170="Insurance")*($D$154:$D$170)*IF($E$154:$E$170="Monthly",1/12,IF($E$154:$E$170="Weekly",1/12,IF($E$154:$E$170="Quarterly",IF(MOD(8-$F$154:$F$170,3)=0,1/4,0),IF(($E$154:$E$170="Annual")+($E$154:$E$170="One-off"),IF($F$154:$F$170=8,1,0),1/12)))))</f>
        <v>0</v>
      </c>
      <c r="AC244" s="42" cm="1">
        <f t="array" ref="AC244">SUMPRODUCT(($C$154:$C$170="Insurance")*($D$154:$D$170)*IF($E$154:$E$170="Monthly",1/12,IF($E$154:$E$170="Weekly",1/12,IF($E$154:$E$170="Quarterly",IF(MOD(9-$F$154:$F$170,3)=0,1/4,0),IF(($E$154:$E$170="Annual")+($E$154:$E$170="One-off"),IF($F$154:$F$170=9,1,0),1/12)))))</f>
        <v>0</v>
      </c>
      <c r="AD244" s="42" cm="1">
        <f t="array" ref="AD244">SUMPRODUCT(($C$154:$C$170="Insurance")*($D$154:$D$170)*IF($E$154:$E$170="Monthly",1/12,IF($E$154:$E$170="Weekly",1/12,IF($E$154:$E$170="Quarterly",IF(MOD(10-$F$154:$F$170,3)=0,1/4,0),IF(($E$154:$E$170="Annual")+($E$154:$E$170="One-off"),IF($F$154:$F$170=10,1,0),1/12)))))</f>
        <v>0</v>
      </c>
      <c r="AE244" s="42" cm="1">
        <f t="array" ref="AE244">SUMPRODUCT(($C$154:$C$170="Insurance")*($D$154:$D$170)*IF($E$154:$E$170="Monthly",1/12,IF($E$154:$E$170="Weekly",1/12,IF($E$154:$E$170="Quarterly",IF(MOD(11-$F$154:$F$170,3)=0,1/4,0),IF(($E$154:$E$170="Annual")+($E$154:$E$170="One-off"),IF($F$154:$F$170=11,1,0),1/12)))))</f>
        <v>0</v>
      </c>
      <c r="AF244" s="42" cm="1">
        <f t="array" ref="AF244">SUMPRODUCT(($C$154:$C$170="Insurance")*($D$154:$D$170)*IF($E$154:$E$170="Monthly",1/12,IF($E$154:$E$170="Weekly",1/12,IF($E$154:$E$170="Quarterly",IF(MOD(12-$F$154:$F$170,3)=0,1/4,0),IF(($E$154:$E$170="Annual")+($E$154:$E$170="One-off"),IF($F$154:$F$170=12,1,0),1/12)))))</f>
        <v>0</v>
      </c>
    </row>
    <row r="245" spans="1:32" x14ac:dyDescent="0.2">
      <c r="A245" s="66"/>
      <c r="B245" s="66"/>
      <c r="C245" s="66"/>
      <c r="D245" s="66"/>
      <c r="E245" s="66"/>
      <c r="F245" s="66"/>
      <c r="G245" s="66"/>
      <c r="H245" s="66"/>
      <c r="I245" s="66"/>
      <c r="J245" s="66"/>
      <c r="K245" s="66"/>
      <c r="L245" s="66"/>
      <c r="M245" s="66"/>
      <c r="N245" s="66"/>
      <c r="O245" s="66"/>
      <c r="P245" s="66"/>
      <c r="R245" s="42" t="s">
        <v>639</v>
      </c>
      <c r="U245" s="42" cm="1">
        <f t="array" ref="U245">SUMPRODUCT(($C$154:$C$170="Travel &amp; entertainment")*($D$154:$D$170)*IF($E$154:$E$170="Monthly",1/12,IF($E$154:$E$170="Weekly",1/12,IF($E$154:$E$170="Quarterly",IF(MOD(1-$F$154:$F$170,3)=0,1/4,0),IF(($E$154:$E$170="Annual")+($E$154:$E$170="One-off"),IF($F$154:$F$170=1,1,0),1/12)))))</f>
        <v>3000</v>
      </c>
      <c r="V245" s="42" cm="1">
        <f t="array" ref="V245">SUMPRODUCT(($C$154:$C$170="Travel &amp; entertainment")*($D$154:$D$170)*IF($E$154:$E$170="Monthly",1/12,IF($E$154:$E$170="Weekly",1/12,IF($E$154:$E$170="Quarterly",IF(MOD(2-$F$154:$F$170,3)=0,1/4,0),IF(($E$154:$E$170="Annual")+($E$154:$E$170="One-off"),IF($F$154:$F$170=2,1,0),1/12)))))</f>
        <v>3000</v>
      </c>
      <c r="W245" s="42" cm="1">
        <f t="array" ref="W245">SUMPRODUCT(($C$154:$C$170="Travel &amp; entertainment")*($D$154:$D$170)*IF($E$154:$E$170="Monthly",1/12,IF($E$154:$E$170="Weekly",1/12,IF($E$154:$E$170="Quarterly",IF(MOD(3-$F$154:$F$170,3)=0,1/4,0),IF(($E$154:$E$170="Annual")+($E$154:$E$170="One-off"),IF($F$154:$F$170=3,1,0),1/12)))))</f>
        <v>3000</v>
      </c>
      <c r="X245" s="42" cm="1">
        <f t="array" ref="X245">SUMPRODUCT(($C$154:$C$170="Travel &amp; entertainment")*($D$154:$D$170)*IF($E$154:$E$170="Monthly",1/12,IF($E$154:$E$170="Weekly",1/12,IF($E$154:$E$170="Quarterly",IF(MOD(4-$F$154:$F$170,3)=0,1/4,0),IF(($E$154:$E$170="Annual")+($E$154:$E$170="One-off"),IF($F$154:$F$170=4,1,0),1/12)))))</f>
        <v>3000</v>
      </c>
      <c r="Y245" s="42" cm="1">
        <f t="array" ref="Y245">SUMPRODUCT(($C$154:$C$170="Travel &amp; entertainment")*($D$154:$D$170)*IF($E$154:$E$170="Monthly",1/12,IF($E$154:$E$170="Weekly",1/12,IF($E$154:$E$170="Quarterly",IF(MOD(5-$F$154:$F$170,3)=0,1/4,0),IF(($E$154:$E$170="Annual")+($E$154:$E$170="One-off"),IF($F$154:$F$170=5,1,0),1/12)))))</f>
        <v>3000</v>
      </c>
      <c r="Z245" s="42" cm="1">
        <f t="array" ref="Z245">SUMPRODUCT(($C$154:$C$170="Travel &amp; entertainment")*($D$154:$D$170)*IF($E$154:$E$170="Monthly",1/12,IF($E$154:$E$170="Weekly",1/12,IF($E$154:$E$170="Quarterly",IF(MOD(6-$F$154:$F$170,3)=0,1/4,0),IF(($E$154:$E$170="Annual")+($E$154:$E$170="One-off"),IF($F$154:$F$170=6,1,0),1/12)))))</f>
        <v>3000</v>
      </c>
      <c r="AA245" s="42" cm="1">
        <f t="array" ref="AA245">SUMPRODUCT(($C$154:$C$170="Travel &amp; entertainment")*($D$154:$D$170)*IF($E$154:$E$170="Monthly",1/12,IF($E$154:$E$170="Weekly",1/12,IF($E$154:$E$170="Quarterly",IF(MOD(7-$F$154:$F$170,3)=0,1/4,0),IF(($E$154:$E$170="Annual")+($E$154:$E$170="One-off"),IF($F$154:$F$170=7,1,0),1/12)))))</f>
        <v>3000</v>
      </c>
      <c r="AB245" s="42" cm="1">
        <f t="array" ref="AB245">SUMPRODUCT(($C$154:$C$170="Travel &amp; entertainment")*($D$154:$D$170)*IF($E$154:$E$170="Monthly",1/12,IF($E$154:$E$170="Weekly",1/12,IF($E$154:$E$170="Quarterly",IF(MOD(8-$F$154:$F$170,3)=0,1/4,0),IF(($E$154:$E$170="Annual")+($E$154:$E$170="One-off"),IF($F$154:$F$170=8,1,0),1/12)))))</f>
        <v>3000</v>
      </c>
      <c r="AC245" s="42" cm="1">
        <f t="array" ref="AC245">SUMPRODUCT(($C$154:$C$170="Travel &amp; entertainment")*($D$154:$D$170)*IF($E$154:$E$170="Monthly",1/12,IF($E$154:$E$170="Weekly",1/12,IF($E$154:$E$170="Quarterly",IF(MOD(9-$F$154:$F$170,3)=0,1/4,0),IF(($E$154:$E$170="Annual")+($E$154:$E$170="One-off"),IF($F$154:$F$170=9,1,0),1/12)))))</f>
        <v>3000</v>
      </c>
      <c r="AD245" s="42" cm="1">
        <f t="array" ref="AD245">SUMPRODUCT(($C$154:$C$170="Travel &amp; entertainment")*($D$154:$D$170)*IF($E$154:$E$170="Monthly",1/12,IF($E$154:$E$170="Weekly",1/12,IF($E$154:$E$170="Quarterly",IF(MOD(10-$F$154:$F$170,3)=0,1/4,0),IF(($E$154:$E$170="Annual")+($E$154:$E$170="One-off"),IF($F$154:$F$170=10,1,0),1/12)))))</f>
        <v>3000</v>
      </c>
      <c r="AE245" s="42" cm="1">
        <f t="array" ref="AE245">SUMPRODUCT(($C$154:$C$170="Travel &amp; entertainment")*($D$154:$D$170)*IF($E$154:$E$170="Monthly",1/12,IF($E$154:$E$170="Weekly",1/12,IF($E$154:$E$170="Quarterly",IF(MOD(11-$F$154:$F$170,3)=0,1/4,0),IF(($E$154:$E$170="Annual")+($E$154:$E$170="One-off"),IF($F$154:$F$170=11,1,0),1/12)))))</f>
        <v>3000</v>
      </c>
      <c r="AF245" s="42" cm="1">
        <f t="array" ref="AF245">SUMPRODUCT(($C$154:$C$170="Travel &amp; entertainment")*($D$154:$D$170)*IF($E$154:$E$170="Monthly",1/12,IF($E$154:$E$170="Weekly",1/12,IF($E$154:$E$170="Quarterly",IF(MOD(12-$F$154:$F$170,3)=0,1/4,0),IF(($E$154:$E$170="Annual")+($E$154:$E$170="One-off"),IF($F$154:$F$170=12,1,0),1/12)))))</f>
        <v>3000</v>
      </c>
    </row>
    <row r="246" spans="1:32" x14ac:dyDescent="0.2">
      <c r="A246" s="66"/>
      <c r="B246" s="66"/>
      <c r="C246" s="66"/>
      <c r="D246" s="66"/>
      <c r="E246" s="66"/>
      <c r="F246" s="66"/>
      <c r="G246" s="66"/>
      <c r="H246" s="66"/>
      <c r="I246" s="66"/>
      <c r="J246" s="66"/>
      <c r="K246" s="66"/>
      <c r="L246" s="66"/>
      <c r="M246" s="66"/>
      <c r="N246" s="66"/>
      <c r="O246" s="66"/>
      <c r="P246" s="66"/>
      <c r="R246" s="42" t="s">
        <v>640</v>
      </c>
      <c r="U246" s="42" cm="1">
        <f t="array" ref="U246">SUMPRODUCT(($C$154:$C$170="Communications")*($D$154:$D$170)*IF($E$154:$E$170="Monthly",1/12,IF($E$154:$E$170="Weekly",1/12,IF($E$154:$E$170="Quarterly",IF(MOD(1-$F$154:$F$170,3)=0,1/4,0),IF(($E$154:$E$170="Annual")+($E$154:$E$170="One-off"),IF($F$154:$F$170=1,1,0),1/12)))))</f>
        <v>2000</v>
      </c>
      <c r="V246" s="42" cm="1">
        <f t="array" ref="V246">SUMPRODUCT(($C$154:$C$170="Communications")*($D$154:$D$170)*IF($E$154:$E$170="Monthly",1/12,IF($E$154:$E$170="Weekly",1/12,IF($E$154:$E$170="Quarterly",IF(MOD(2-$F$154:$F$170,3)=0,1/4,0),IF(($E$154:$E$170="Annual")+($E$154:$E$170="One-off"),IF($F$154:$F$170=2,1,0),1/12)))))</f>
        <v>2000</v>
      </c>
      <c r="W246" s="42" cm="1">
        <f t="array" ref="W246">SUMPRODUCT(($C$154:$C$170="Communications")*($D$154:$D$170)*IF($E$154:$E$170="Monthly",1/12,IF($E$154:$E$170="Weekly",1/12,IF($E$154:$E$170="Quarterly",IF(MOD(3-$F$154:$F$170,3)=0,1/4,0),IF(($E$154:$E$170="Annual")+($E$154:$E$170="One-off"),IF($F$154:$F$170=3,1,0),1/12)))))</f>
        <v>2000</v>
      </c>
      <c r="X246" s="42" cm="1">
        <f t="array" ref="X246">SUMPRODUCT(($C$154:$C$170="Communications")*($D$154:$D$170)*IF($E$154:$E$170="Monthly",1/12,IF($E$154:$E$170="Weekly",1/12,IF($E$154:$E$170="Quarterly",IF(MOD(4-$F$154:$F$170,3)=0,1/4,0),IF(($E$154:$E$170="Annual")+($E$154:$E$170="One-off"),IF($F$154:$F$170=4,1,0),1/12)))))</f>
        <v>2000</v>
      </c>
      <c r="Y246" s="42" cm="1">
        <f t="array" ref="Y246">SUMPRODUCT(($C$154:$C$170="Communications")*($D$154:$D$170)*IF($E$154:$E$170="Monthly",1/12,IF($E$154:$E$170="Weekly",1/12,IF($E$154:$E$170="Quarterly",IF(MOD(5-$F$154:$F$170,3)=0,1/4,0),IF(($E$154:$E$170="Annual")+($E$154:$E$170="One-off"),IF($F$154:$F$170=5,1,0),1/12)))))</f>
        <v>2000</v>
      </c>
      <c r="Z246" s="42" cm="1">
        <f t="array" ref="Z246">SUMPRODUCT(($C$154:$C$170="Communications")*($D$154:$D$170)*IF($E$154:$E$170="Monthly",1/12,IF($E$154:$E$170="Weekly",1/12,IF($E$154:$E$170="Quarterly",IF(MOD(6-$F$154:$F$170,3)=0,1/4,0),IF(($E$154:$E$170="Annual")+($E$154:$E$170="One-off"),IF($F$154:$F$170=6,1,0),1/12)))))</f>
        <v>2000</v>
      </c>
      <c r="AA246" s="42" cm="1">
        <f t="array" ref="AA246">SUMPRODUCT(($C$154:$C$170="Communications")*($D$154:$D$170)*IF($E$154:$E$170="Monthly",1/12,IF($E$154:$E$170="Weekly",1/12,IF($E$154:$E$170="Quarterly",IF(MOD(7-$F$154:$F$170,3)=0,1/4,0),IF(($E$154:$E$170="Annual")+($E$154:$E$170="One-off"),IF($F$154:$F$170=7,1,0),1/12)))))</f>
        <v>2000</v>
      </c>
      <c r="AB246" s="42" cm="1">
        <f t="array" ref="AB246">SUMPRODUCT(($C$154:$C$170="Communications")*($D$154:$D$170)*IF($E$154:$E$170="Monthly",1/12,IF($E$154:$E$170="Weekly",1/12,IF($E$154:$E$170="Quarterly",IF(MOD(8-$F$154:$F$170,3)=0,1/4,0),IF(($E$154:$E$170="Annual")+($E$154:$E$170="One-off"),IF($F$154:$F$170=8,1,0),1/12)))))</f>
        <v>2000</v>
      </c>
      <c r="AC246" s="42" cm="1">
        <f t="array" ref="AC246">SUMPRODUCT(($C$154:$C$170="Communications")*($D$154:$D$170)*IF($E$154:$E$170="Monthly",1/12,IF($E$154:$E$170="Weekly",1/12,IF($E$154:$E$170="Quarterly",IF(MOD(9-$F$154:$F$170,3)=0,1/4,0),IF(($E$154:$E$170="Annual")+($E$154:$E$170="One-off"),IF($F$154:$F$170=9,1,0),1/12)))))</f>
        <v>2000</v>
      </c>
      <c r="AD246" s="42" cm="1">
        <f t="array" ref="AD246">SUMPRODUCT(($C$154:$C$170="Communications")*($D$154:$D$170)*IF($E$154:$E$170="Monthly",1/12,IF($E$154:$E$170="Weekly",1/12,IF($E$154:$E$170="Quarterly",IF(MOD(10-$F$154:$F$170,3)=0,1/4,0),IF(($E$154:$E$170="Annual")+($E$154:$E$170="One-off"),IF($F$154:$F$170=10,1,0),1/12)))))</f>
        <v>2000</v>
      </c>
      <c r="AE246" s="42" cm="1">
        <f t="array" ref="AE246">SUMPRODUCT(($C$154:$C$170="Communications")*($D$154:$D$170)*IF($E$154:$E$170="Monthly",1/12,IF($E$154:$E$170="Weekly",1/12,IF($E$154:$E$170="Quarterly",IF(MOD(11-$F$154:$F$170,3)=0,1/4,0),IF(($E$154:$E$170="Annual")+($E$154:$E$170="One-off"),IF($F$154:$F$170=11,1,0),1/12)))))</f>
        <v>2000</v>
      </c>
      <c r="AF246" s="42" cm="1">
        <f t="array" ref="AF246">SUMPRODUCT(($C$154:$C$170="Communications")*($D$154:$D$170)*IF($E$154:$E$170="Monthly",1/12,IF($E$154:$E$170="Weekly",1/12,IF($E$154:$E$170="Quarterly",IF(MOD(12-$F$154:$F$170,3)=0,1/4,0),IF(($E$154:$E$170="Annual")+($E$154:$E$170="One-off"),IF($F$154:$F$170=12,1,0),1/12)))))</f>
        <v>2000</v>
      </c>
    </row>
    <row r="247" spans="1:32" x14ac:dyDescent="0.2">
      <c r="A247" s="66"/>
      <c r="B247" s="66"/>
      <c r="C247" s="66"/>
      <c r="D247" s="66"/>
      <c r="E247" s="66"/>
      <c r="F247" s="66"/>
      <c r="G247" s="66"/>
      <c r="H247" s="66"/>
      <c r="I247" s="66"/>
      <c r="J247" s="66"/>
      <c r="K247" s="66"/>
      <c r="L247" s="66"/>
      <c r="M247" s="66"/>
      <c r="N247" s="66"/>
      <c r="O247" s="66"/>
      <c r="P247" s="66"/>
      <c r="R247" s="42" t="s">
        <v>641</v>
      </c>
      <c r="U247" s="42" cm="1">
        <f t="array" ref="U247">SUMPRODUCT(($C$154:$C$170="Other operating expenses")*($D$154:$D$170)*IF($E$154:$E$170="Monthly",1/12,IF($E$154:$E$170="Weekly",1/12,IF($E$154:$E$170="Quarterly",IF(MOD(1-$F$154:$F$170,3)=0,1/4,0),IF(($E$154:$E$170="Annual")+($E$154:$E$170="One-off"),IF($F$154:$F$170=1,1,0),1/12)))))</f>
        <v>2500</v>
      </c>
      <c r="V247" s="42" cm="1">
        <f t="array" ref="V247">SUMPRODUCT(($C$154:$C$170="Other operating expenses")*($D$154:$D$170)*IF($E$154:$E$170="Monthly",1/12,IF($E$154:$E$170="Weekly",1/12,IF($E$154:$E$170="Quarterly",IF(MOD(2-$F$154:$F$170,3)=0,1/4,0),IF(($E$154:$E$170="Annual")+($E$154:$E$170="One-off"),IF($F$154:$F$170=2,1,0),1/12)))))</f>
        <v>2500</v>
      </c>
      <c r="W247" s="42" cm="1">
        <f t="array" ref="W247">SUMPRODUCT(($C$154:$C$170="Other operating expenses")*($D$154:$D$170)*IF($E$154:$E$170="Monthly",1/12,IF($E$154:$E$170="Weekly",1/12,IF($E$154:$E$170="Quarterly",IF(MOD(3-$F$154:$F$170,3)=0,1/4,0),IF(($E$154:$E$170="Annual")+($E$154:$E$170="One-off"),IF($F$154:$F$170=3,1,0),1/12)))))</f>
        <v>2500</v>
      </c>
      <c r="X247" s="42" cm="1">
        <f t="array" ref="X247">SUMPRODUCT(($C$154:$C$170="Other operating expenses")*($D$154:$D$170)*IF($E$154:$E$170="Monthly",1/12,IF($E$154:$E$170="Weekly",1/12,IF($E$154:$E$170="Quarterly",IF(MOD(4-$F$154:$F$170,3)=0,1/4,0),IF(($E$154:$E$170="Annual")+($E$154:$E$170="One-off"),IF($F$154:$F$170=4,1,0),1/12)))))</f>
        <v>2500</v>
      </c>
      <c r="Y247" s="42" cm="1">
        <f t="array" ref="Y247">SUMPRODUCT(($C$154:$C$170="Other operating expenses")*($D$154:$D$170)*IF($E$154:$E$170="Monthly",1/12,IF($E$154:$E$170="Weekly",1/12,IF($E$154:$E$170="Quarterly",IF(MOD(5-$F$154:$F$170,3)=0,1/4,0),IF(($E$154:$E$170="Annual")+($E$154:$E$170="One-off"),IF($F$154:$F$170=5,1,0),1/12)))))</f>
        <v>2500</v>
      </c>
      <c r="Z247" s="42" cm="1">
        <f t="array" ref="Z247">SUMPRODUCT(($C$154:$C$170="Other operating expenses")*($D$154:$D$170)*IF($E$154:$E$170="Monthly",1/12,IF($E$154:$E$170="Weekly",1/12,IF($E$154:$E$170="Quarterly",IF(MOD(6-$F$154:$F$170,3)=0,1/4,0),IF(($E$154:$E$170="Annual")+($E$154:$E$170="One-off"),IF($F$154:$F$170=6,1,0),1/12)))))</f>
        <v>2500</v>
      </c>
      <c r="AA247" s="42" cm="1">
        <f t="array" ref="AA247">SUMPRODUCT(($C$154:$C$170="Other operating expenses")*($D$154:$D$170)*IF($E$154:$E$170="Monthly",1/12,IF($E$154:$E$170="Weekly",1/12,IF($E$154:$E$170="Quarterly",IF(MOD(7-$F$154:$F$170,3)=0,1/4,0),IF(($E$154:$E$170="Annual")+($E$154:$E$170="One-off"),IF($F$154:$F$170=7,1,0),1/12)))))</f>
        <v>2500</v>
      </c>
      <c r="AB247" s="42" cm="1">
        <f t="array" ref="AB247">SUMPRODUCT(($C$154:$C$170="Other operating expenses")*($D$154:$D$170)*IF($E$154:$E$170="Monthly",1/12,IF($E$154:$E$170="Weekly",1/12,IF($E$154:$E$170="Quarterly",IF(MOD(8-$F$154:$F$170,3)=0,1/4,0),IF(($E$154:$E$170="Annual")+($E$154:$E$170="One-off"),IF($F$154:$F$170=8,1,0),1/12)))))</f>
        <v>2500</v>
      </c>
      <c r="AC247" s="42" cm="1">
        <f t="array" ref="AC247">SUMPRODUCT(($C$154:$C$170="Other operating expenses")*($D$154:$D$170)*IF($E$154:$E$170="Monthly",1/12,IF($E$154:$E$170="Weekly",1/12,IF($E$154:$E$170="Quarterly",IF(MOD(9-$F$154:$F$170,3)=0,1/4,0),IF(($E$154:$E$170="Annual")+($E$154:$E$170="One-off"),IF($F$154:$F$170=9,1,0),1/12)))))</f>
        <v>2500</v>
      </c>
      <c r="AD247" s="42" cm="1">
        <f t="array" ref="AD247">SUMPRODUCT(($C$154:$C$170="Other operating expenses")*($D$154:$D$170)*IF($E$154:$E$170="Monthly",1/12,IF($E$154:$E$170="Weekly",1/12,IF($E$154:$E$170="Quarterly",IF(MOD(10-$F$154:$F$170,3)=0,1/4,0),IF(($E$154:$E$170="Annual")+($E$154:$E$170="One-off"),IF($F$154:$F$170=10,1,0),1/12)))))</f>
        <v>2500</v>
      </c>
      <c r="AE247" s="42" cm="1">
        <f t="array" ref="AE247">SUMPRODUCT(($C$154:$C$170="Other operating expenses")*($D$154:$D$170)*IF($E$154:$E$170="Monthly",1/12,IF($E$154:$E$170="Weekly",1/12,IF($E$154:$E$170="Quarterly",IF(MOD(11-$F$154:$F$170,3)=0,1/4,0),IF(($E$154:$E$170="Annual")+($E$154:$E$170="One-off"),IF($F$154:$F$170=11,1,0),1/12)))))</f>
        <v>2500</v>
      </c>
      <c r="AF247" s="42" cm="1">
        <f t="array" ref="AF247">SUMPRODUCT(($C$154:$C$170="Other operating expenses")*($D$154:$D$170)*IF($E$154:$E$170="Monthly",1/12,IF($E$154:$E$170="Weekly",1/12,IF($E$154:$E$170="Quarterly",IF(MOD(12-$F$154:$F$170,3)=0,1/4,0),IF(($E$154:$E$170="Annual")+($E$154:$E$170="One-off"),IF($F$154:$F$170=12,1,0),1/12)))))</f>
        <v>2500</v>
      </c>
    </row>
    <row r="248" spans="1:32" x14ac:dyDescent="0.2">
      <c r="A248" s="66"/>
      <c r="B248" s="66"/>
      <c r="C248" s="66"/>
      <c r="D248" s="66"/>
      <c r="E248" s="66"/>
      <c r="F248" s="66"/>
      <c r="G248" s="66"/>
      <c r="H248" s="66"/>
      <c r="I248" s="66"/>
      <c r="J248" s="66"/>
      <c r="K248" s="66"/>
      <c r="L248" s="66"/>
      <c r="M248" s="66"/>
      <c r="N248" s="66"/>
      <c r="O248" s="66"/>
      <c r="P248" s="66"/>
    </row>
    <row r="249" spans="1:32" x14ac:dyDescent="0.2">
      <c r="A249" s="66"/>
      <c r="B249" s="66"/>
      <c r="C249" s="66"/>
      <c r="D249" s="66"/>
      <c r="E249" s="66"/>
      <c r="F249" s="66"/>
      <c r="G249" s="66"/>
      <c r="H249" s="66"/>
      <c r="I249" s="66"/>
      <c r="J249" s="66"/>
      <c r="K249" s="66"/>
      <c r="L249" s="66"/>
      <c r="M249" s="66"/>
      <c r="N249" s="66"/>
      <c r="O249" s="66"/>
      <c r="P249" s="66"/>
    </row>
    <row r="250" spans="1:32" x14ac:dyDescent="0.2">
      <c r="A250" s="66"/>
      <c r="B250" s="66"/>
      <c r="C250" s="66"/>
      <c r="D250" s="66"/>
      <c r="E250" s="66"/>
      <c r="F250" s="66"/>
      <c r="G250" s="66"/>
      <c r="H250" s="66"/>
      <c r="I250" s="66"/>
      <c r="J250" s="66"/>
      <c r="K250" s="66"/>
      <c r="L250" s="66"/>
      <c r="M250" s="66"/>
      <c r="N250" s="66"/>
      <c r="O250" s="66"/>
      <c r="P250" s="66"/>
    </row>
    <row r="251" spans="1:32" x14ac:dyDescent="0.2">
      <c r="A251" s="66"/>
      <c r="B251" s="66"/>
      <c r="C251" s="66"/>
      <c r="D251" s="66"/>
      <c r="E251" s="66"/>
      <c r="F251" s="66"/>
      <c r="G251" s="66"/>
      <c r="H251" s="66"/>
      <c r="I251" s="66"/>
      <c r="J251" s="66"/>
      <c r="K251" s="66"/>
      <c r="L251" s="66"/>
      <c r="M251" s="66"/>
      <c r="N251" s="66"/>
      <c r="O251" s="66"/>
      <c r="P251" s="66"/>
    </row>
    <row r="252" spans="1:32" x14ac:dyDescent="0.2">
      <c r="A252" s="66"/>
      <c r="B252" s="66"/>
      <c r="C252" s="66"/>
      <c r="D252" s="66"/>
      <c r="E252" s="66"/>
      <c r="F252" s="66"/>
      <c r="G252" s="66"/>
      <c r="H252" s="66"/>
      <c r="I252" s="66"/>
      <c r="J252" s="66"/>
      <c r="K252" s="66"/>
      <c r="L252" s="66"/>
      <c r="M252" s="66"/>
      <c r="N252" s="66"/>
      <c r="O252" s="66"/>
      <c r="P252" s="66"/>
    </row>
    <row r="253" spans="1:32" x14ac:dyDescent="0.2">
      <c r="A253" s="66"/>
      <c r="B253" s="66"/>
      <c r="C253" s="66"/>
      <c r="D253" s="66"/>
      <c r="E253" s="66"/>
      <c r="F253" s="66"/>
      <c r="G253" s="66"/>
      <c r="H253" s="66"/>
      <c r="I253" s="66"/>
      <c r="J253" s="66"/>
      <c r="K253" s="66"/>
      <c r="L253" s="66"/>
      <c r="M253" s="66"/>
      <c r="N253" s="66"/>
      <c r="O253" s="66"/>
      <c r="P253" s="66"/>
    </row>
    <row r="254" spans="1:32" x14ac:dyDescent="0.2">
      <c r="A254" s="66"/>
      <c r="B254" s="66"/>
      <c r="C254" s="66"/>
      <c r="D254" s="66"/>
      <c r="E254" s="66"/>
      <c r="F254" s="66"/>
      <c r="G254" s="66"/>
      <c r="H254" s="66"/>
      <c r="I254" s="66"/>
      <c r="J254" s="66"/>
      <c r="K254" s="66"/>
      <c r="L254" s="66"/>
      <c r="M254" s="66"/>
      <c r="N254" s="66"/>
      <c r="O254" s="66"/>
      <c r="P254" s="66"/>
    </row>
    <row r="255" spans="1:32" x14ac:dyDescent="0.2">
      <c r="A255" s="66"/>
      <c r="B255" s="66"/>
      <c r="C255" s="66"/>
      <c r="D255" s="66"/>
      <c r="E255" s="66"/>
      <c r="F255" s="66"/>
      <c r="G255" s="66"/>
      <c r="H255" s="66"/>
      <c r="I255" s="66"/>
      <c r="J255" s="66"/>
      <c r="K255" s="66"/>
      <c r="L255" s="66"/>
      <c r="M255" s="66"/>
      <c r="N255" s="66"/>
      <c r="O255" s="66"/>
      <c r="P255" s="66"/>
    </row>
    <row r="256" spans="1:32" x14ac:dyDescent="0.2">
      <c r="A256" s="66"/>
      <c r="B256" s="66"/>
      <c r="C256" s="66"/>
      <c r="D256" s="66"/>
      <c r="E256" s="66"/>
      <c r="F256" s="66"/>
      <c r="G256" s="66"/>
      <c r="H256" s="66"/>
      <c r="I256" s="66"/>
      <c r="J256" s="66"/>
      <c r="K256" s="66"/>
      <c r="L256" s="66"/>
      <c r="M256" s="66"/>
      <c r="N256" s="66"/>
      <c r="O256" s="66"/>
      <c r="P256" s="66"/>
    </row>
    <row r="257" spans="1:16" x14ac:dyDescent="0.2">
      <c r="A257" s="66"/>
      <c r="B257" s="66"/>
      <c r="C257" s="66"/>
      <c r="D257" s="66"/>
      <c r="E257" s="66"/>
      <c r="F257" s="66"/>
      <c r="G257" s="66"/>
      <c r="H257" s="66"/>
      <c r="I257" s="66"/>
      <c r="J257" s="66"/>
      <c r="K257" s="66"/>
      <c r="L257" s="66"/>
      <c r="M257" s="66"/>
      <c r="N257" s="66"/>
      <c r="O257" s="66"/>
      <c r="P257" s="66"/>
    </row>
    <row r="258" spans="1:16" x14ac:dyDescent="0.2">
      <c r="A258" s="66"/>
      <c r="B258" s="66"/>
      <c r="C258" s="66"/>
      <c r="D258" s="66"/>
      <c r="E258" s="66"/>
      <c r="F258" s="66"/>
      <c r="G258" s="66"/>
      <c r="H258" s="66"/>
      <c r="I258" s="66"/>
      <c r="J258" s="66"/>
      <c r="K258" s="66"/>
      <c r="L258" s="66"/>
      <c r="M258" s="66"/>
      <c r="N258" s="66"/>
      <c r="O258" s="66"/>
      <c r="P258" s="66"/>
    </row>
    <row r="259" spans="1:16" x14ac:dyDescent="0.2">
      <c r="A259" s="66"/>
      <c r="B259" s="66"/>
      <c r="C259" s="66"/>
      <c r="D259" s="66"/>
      <c r="E259" s="66"/>
      <c r="F259" s="66"/>
      <c r="G259" s="66"/>
      <c r="H259" s="66"/>
      <c r="I259" s="66"/>
      <c r="J259" s="66"/>
      <c r="K259" s="66"/>
      <c r="L259" s="66"/>
      <c r="M259" s="66"/>
      <c r="N259" s="66"/>
      <c r="O259" s="66"/>
      <c r="P259" s="66"/>
    </row>
    <row r="260" spans="1:16" x14ac:dyDescent="0.2">
      <c r="A260" s="66"/>
      <c r="B260" s="66"/>
      <c r="C260" s="66"/>
      <c r="D260" s="66"/>
      <c r="E260" s="66"/>
      <c r="F260" s="66"/>
      <c r="G260" s="66"/>
      <c r="H260" s="66"/>
      <c r="I260" s="66"/>
      <c r="J260" s="66"/>
      <c r="K260" s="66"/>
      <c r="L260" s="66"/>
      <c r="M260" s="66"/>
      <c r="N260" s="66"/>
      <c r="O260" s="66"/>
      <c r="P260" s="66"/>
    </row>
    <row r="261" spans="1:16" x14ac:dyDescent="0.2">
      <c r="A261" s="66"/>
      <c r="B261" s="66"/>
      <c r="C261" s="66"/>
      <c r="D261" s="66"/>
      <c r="E261" s="66"/>
      <c r="F261" s="66"/>
      <c r="G261" s="66"/>
      <c r="H261" s="66"/>
      <c r="I261" s="66"/>
      <c r="J261" s="66"/>
      <c r="K261" s="66"/>
      <c r="L261" s="66"/>
      <c r="M261" s="66"/>
      <c r="N261" s="66"/>
      <c r="O261" s="66"/>
      <c r="P261" s="66"/>
    </row>
    <row r="262" spans="1:16" x14ac:dyDescent="0.2">
      <c r="A262" s="66"/>
      <c r="B262" s="66"/>
      <c r="C262" s="66"/>
      <c r="D262" s="66"/>
      <c r="E262" s="66"/>
      <c r="F262" s="66"/>
      <c r="G262" s="66"/>
      <c r="H262" s="66"/>
      <c r="I262" s="66"/>
      <c r="J262" s="66"/>
      <c r="K262" s="66"/>
      <c r="L262" s="66"/>
      <c r="M262" s="66"/>
      <c r="N262" s="66"/>
      <c r="O262" s="66"/>
      <c r="P262" s="66"/>
    </row>
    <row r="263" spans="1:16" x14ac:dyDescent="0.2">
      <c r="A263" s="66"/>
      <c r="B263" s="66"/>
      <c r="C263" s="66"/>
      <c r="D263" s="66"/>
      <c r="E263" s="66"/>
      <c r="F263" s="66"/>
      <c r="G263" s="66"/>
      <c r="H263" s="66"/>
      <c r="I263" s="66"/>
      <c r="J263" s="66"/>
      <c r="K263" s="66"/>
      <c r="L263" s="66"/>
      <c r="M263" s="66"/>
      <c r="N263" s="66"/>
      <c r="O263" s="66"/>
      <c r="P263" s="66"/>
    </row>
    <row r="264" spans="1:16" x14ac:dyDescent="0.2">
      <c r="A264" s="66"/>
      <c r="B264" s="66"/>
      <c r="C264" s="66"/>
      <c r="D264" s="66"/>
      <c r="E264" s="66"/>
      <c r="F264" s="66"/>
      <c r="G264" s="66"/>
      <c r="H264" s="66"/>
      <c r="I264" s="66"/>
      <c r="J264" s="66"/>
      <c r="K264" s="66"/>
      <c r="L264" s="66"/>
      <c r="M264" s="66"/>
      <c r="N264" s="66"/>
      <c r="O264" s="66"/>
      <c r="P264" s="66"/>
    </row>
    <row r="265" spans="1:16" x14ac:dyDescent="0.2">
      <c r="A265" s="66"/>
      <c r="B265" s="66"/>
      <c r="C265" s="66"/>
      <c r="D265" s="66"/>
      <c r="E265" s="66"/>
      <c r="F265" s="66"/>
      <c r="G265" s="66"/>
      <c r="H265" s="66"/>
      <c r="I265" s="66"/>
      <c r="J265" s="66"/>
      <c r="K265" s="66"/>
      <c r="L265" s="66"/>
      <c r="M265" s="66"/>
      <c r="N265" s="66"/>
      <c r="O265" s="66"/>
      <c r="P265" s="66"/>
    </row>
    <row r="266" spans="1:16" x14ac:dyDescent="0.2">
      <c r="A266" s="66"/>
      <c r="B266" s="66"/>
      <c r="C266" s="66"/>
      <c r="D266" s="66"/>
      <c r="E266" s="66"/>
      <c r="F266" s="66"/>
      <c r="G266" s="66"/>
      <c r="H266" s="66"/>
      <c r="I266" s="66"/>
      <c r="J266" s="66"/>
      <c r="K266" s="66"/>
      <c r="L266" s="66"/>
      <c r="M266" s="66"/>
      <c r="N266" s="66"/>
      <c r="O266" s="66"/>
      <c r="P266" s="66"/>
    </row>
    <row r="267" spans="1:16" x14ac:dyDescent="0.2">
      <c r="A267" s="66"/>
      <c r="B267" s="66"/>
      <c r="C267" s="66"/>
      <c r="D267" s="66"/>
      <c r="E267" s="66"/>
      <c r="F267" s="66"/>
      <c r="G267" s="66"/>
      <c r="H267" s="66"/>
      <c r="I267" s="66"/>
      <c r="J267" s="66"/>
      <c r="K267" s="66"/>
      <c r="L267" s="66"/>
      <c r="M267" s="66"/>
      <c r="N267" s="66"/>
      <c r="O267" s="66"/>
      <c r="P267" s="66"/>
    </row>
    <row r="268" spans="1:16" x14ac:dyDescent="0.2">
      <c r="A268" s="66"/>
      <c r="B268" s="66"/>
      <c r="C268" s="66"/>
      <c r="D268" s="66"/>
      <c r="E268" s="66"/>
      <c r="F268" s="66"/>
      <c r="G268" s="66"/>
      <c r="H268" s="66"/>
      <c r="I268" s="66"/>
      <c r="J268" s="66"/>
      <c r="K268" s="66"/>
      <c r="L268" s="66"/>
      <c r="M268" s="66"/>
      <c r="N268" s="66"/>
      <c r="O268" s="66"/>
      <c r="P268" s="66"/>
    </row>
    <row r="269" spans="1:16" x14ac:dyDescent="0.2">
      <c r="A269" s="66"/>
      <c r="B269" s="66"/>
      <c r="C269" s="66"/>
      <c r="D269" s="66"/>
      <c r="E269" s="66"/>
      <c r="F269" s="66"/>
      <c r="G269" s="66"/>
      <c r="H269" s="66"/>
      <c r="I269" s="66"/>
      <c r="J269" s="66"/>
      <c r="K269" s="66"/>
      <c r="L269" s="66"/>
      <c r="M269" s="66"/>
      <c r="N269" s="66"/>
      <c r="O269" s="66"/>
      <c r="P269" s="66"/>
    </row>
    <row r="270" spans="1:16" x14ac:dyDescent="0.2">
      <c r="A270" s="66"/>
      <c r="B270" s="66"/>
      <c r="C270" s="66"/>
      <c r="D270" s="66"/>
      <c r="E270" s="66"/>
      <c r="F270" s="66"/>
      <c r="G270" s="66"/>
      <c r="H270" s="66"/>
      <c r="I270" s="66"/>
      <c r="J270" s="66"/>
      <c r="K270" s="66"/>
      <c r="L270" s="66"/>
      <c r="M270" s="66"/>
      <c r="N270" s="66"/>
      <c r="O270" s="66"/>
      <c r="P270" s="66"/>
    </row>
    <row r="271" spans="1:16" x14ac:dyDescent="0.2">
      <c r="A271" s="66"/>
      <c r="B271" s="66"/>
      <c r="C271" s="66"/>
      <c r="D271" s="66"/>
      <c r="E271" s="66"/>
      <c r="F271" s="66"/>
      <c r="G271" s="66"/>
      <c r="H271" s="66"/>
      <c r="I271" s="66"/>
      <c r="J271" s="66"/>
      <c r="K271" s="66"/>
      <c r="L271" s="66"/>
      <c r="M271" s="66"/>
      <c r="N271" s="66"/>
      <c r="O271" s="66"/>
      <c r="P271" s="66"/>
    </row>
    <row r="272" spans="1:16" x14ac:dyDescent="0.2">
      <c r="A272" s="66"/>
      <c r="B272" s="66"/>
      <c r="C272" s="66"/>
      <c r="D272" s="66"/>
      <c r="E272" s="66"/>
      <c r="F272" s="66"/>
      <c r="G272" s="66"/>
      <c r="H272" s="66"/>
      <c r="I272" s="66"/>
      <c r="J272" s="66"/>
      <c r="K272" s="66"/>
      <c r="L272" s="66"/>
      <c r="M272" s="66"/>
      <c r="N272" s="66"/>
      <c r="O272" s="66"/>
      <c r="P272" s="66"/>
    </row>
    <row r="273" spans="1:16" x14ac:dyDescent="0.2">
      <c r="A273" s="66"/>
      <c r="B273" s="66"/>
      <c r="C273" s="66"/>
      <c r="D273" s="66"/>
      <c r="E273" s="66"/>
      <c r="F273" s="66"/>
      <c r="G273" s="66"/>
      <c r="H273" s="66"/>
      <c r="I273" s="66"/>
      <c r="J273" s="66"/>
      <c r="K273" s="66"/>
      <c r="L273" s="66"/>
      <c r="M273" s="66"/>
      <c r="N273" s="66"/>
      <c r="O273" s="66"/>
      <c r="P273" s="66"/>
    </row>
    <row r="274" spans="1:16" x14ac:dyDescent="0.2">
      <c r="A274" s="66"/>
      <c r="B274" s="66"/>
      <c r="C274" s="66"/>
      <c r="D274" s="66"/>
      <c r="E274" s="66"/>
      <c r="F274" s="66"/>
      <c r="G274" s="66"/>
      <c r="H274" s="66"/>
      <c r="I274" s="66"/>
      <c r="J274" s="66"/>
      <c r="K274" s="66"/>
      <c r="L274" s="66"/>
      <c r="M274" s="66"/>
      <c r="N274" s="66"/>
      <c r="O274" s="66"/>
      <c r="P274" s="66"/>
    </row>
    <row r="275" spans="1:16" x14ac:dyDescent="0.2">
      <c r="A275" s="66"/>
      <c r="B275" s="66"/>
      <c r="C275" s="66"/>
      <c r="D275" s="66"/>
      <c r="E275" s="66"/>
      <c r="F275" s="66"/>
      <c r="G275" s="66"/>
      <c r="H275" s="66"/>
      <c r="I275" s="66"/>
      <c r="J275" s="66"/>
      <c r="K275" s="66"/>
      <c r="L275" s="66"/>
      <c r="M275" s="66"/>
      <c r="N275" s="66"/>
      <c r="O275" s="66"/>
      <c r="P275" s="66"/>
    </row>
    <row r="276" spans="1:16" x14ac:dyDescent="0.2">
      <c r="A276" s="66"/>
      <c r="B276" s="66"/>
      <c r="C276" s="66"/>
      <c r="D276" s="66"/>
      <c r="E276" s="66"/>
      <c r="F276" s="66"/>
      <c r="G276" s="66"/>
      <c r="H276" s="66"/>
      <c r="I276" s="66"/>
      <c r="J276" s="66"/>
      <c r="K276" s="66"/>
      <c r="L276" s="66"/>
      <c r="M276" s="66"/>
      <c r="N276" s="66"/>
      <c r="O276" s="66"/>
      <c r="P276" s="66"/>
    </row>
    <row r="277" spans="1:16" x14ac:dyDescent="0.2">
      <c r="A277" s="66"/>
      <c r="B277" s="66"/>
      <c r="C277" s="66"/>
      <c r="D277" s="66"/>
      <c r="E277" s="66"/>
      <c r="F277" s="66"/>
      <c r="G277" s="66"/>
      <c r="H277" s="66"/>
      <c r="I277" s="66"/>
      <c r="J277" s="66"/>
      <c r="K277" s="66"/>
      <c r="L277" s="66"/>
      <c r="M277" s="66"/>
      <c r="N277" s="66"/>
      <c r="O277" s="66"/>
      <c r="P277" s="66"/>
    </row>
    <row r="278" spans="1:16" x14ac:dyDescent="0.2">
      <c r="A278" s="66"/>
      <c r="B278" s="66"/>
      <c r="C278" s="66"/>
      <c r="D278" s="66"/>
      <c r="E278" s="66"/>
      <c r="F278" s="66"/>
      <c r="G278" s="66"/>
      <c r="H278" s="66"/>
      <c r="I278" s="66"/>
      <c r="J278" s="66"/>
      <c r="K278" s="66"/>
      <c r="L278" s="66"/>
      <c r="M278" s="66"/>
      <c r="N278" s="66"/>
      <c r="O278" s="66"/>
      <c r="P278" s="66"/>
    </row>
    <row r="279" spans="1:16" x14ac:dyDescent="0.2">
      <c r="A279" s="66"/>
      <c r="B279" s="66"/>
      <c r="C279" s="66"/>
      <c r="D279" s="66"/>
      <c r="E279" s="66"/>
      <c r="F279" s="66"/>
      <c r="G279" s="66"/>
      <c r="H279" s="66"/>
      <c r="I279" s="66"/>
      <c r="J279" s="66"/>
      <c r="K279" s="66"/>
      <c r="L279" s="66"/>
      <c r="M279" s="66"/>
      <c r="N279" s="66"/>
      <c r="O279" s="66"/>
      <c r="P279" s="66"/>
    </row>
    <row r="280" spans="1:16" x14ac:dyDescent="0.2">
      <c r="A280" s="66"/>
      <c r="B280" s="66"/>
      <c r="C280" s="66"/>
      <c r="D280" s="66"/>
      <c r="E280" s="66"/>
      <c r="F280" s="66"/>
      <c r="G280" s="66"/>
      <c r="H280" s="66"/>
      <c r="I280" s="66"/>
      <c r="J280" s="66"/>
      <c r="K280" s="66"/>
      <c r="L280" s="66"/>
      <c r="M280" s="66"/>
      <c r="N280" s="66"/>
      <c r="O280" s="66"/>
      <c r="P280" s="66"/>
    </row>
    <row r="281" spans="1:16" x14ac:dyDescent="0.2">
      <c r="A281" s="66"/>
      <c r="B281" s="66"/>
      <c r="C281" s="66"/>
      <c r="D281" s="66"/>
      <c r="E281" s="66"/>
      <c r="F281" s="66"/>
      <c r="G281" s="66"/>
      <c r="H281" s="66"/>
      <c r="I281" s="66"/>
      <c r="J281" s="66"/>
      <c r="K281" s="66"/>
      <c r="L281" s="66"/>
      <c r="M281" s="66"/>
      <c r="N281" s="66"/>
      <c r="O281" s="66"/>
      <c r="P281" s="66"/>
    </row>
    <row r="282" spans="1:16" x14ac:dyDescent="0.2">
      <c r="A282" s="66"/>
      <c r="B282" s="66"/>
      <c r="C282" s="66"/>
      <c r="D282" s="66"/>
      <c r="E282" s="66"/>
      <c r="F282" s="66"/>
      <c r="G282" s="66"/>
      <c r="H282" s="66"/>
      <c r="I282" s="66"/>
      <c r="J282" s="66"/>
      <c r="K282" s="66"/>
      <c r="L282" s="66"/>
      <c r="M282" s="66"/>
      <c r="N282" s="66"/>
      <c r="O282" s="66"/>
      <c r="P282" s="66"/>
    </row>
    <row r="283" spans="1:16" x14ac:dyDescent="0.2">
      <c r="A283" s="66"/>
      <c r="B283" s="66"/>
      <c r="C283" s="66"/>
      <c r="D283" s="66"/>
      <c r="E283" s="66"/>
      <c r="F283" s="66"/>
      <c r="G283" s="66"/>
      <c r="H283" s="66"/>
      <c r="I283" s="66"/>
      <c r="J283" s="66"/>
      <c r="K283" s="66"/>
      <c r="L283" s="66"/>
      <c r="M283" s="66"/>
      <c r="N283" s="66"/>
      <c r="O283" s="66"/>
      <c r="P283" s="66"/>
    </row>
    <row r="284" spans="1:16" x14ac:dyDescent="0.2">
      <c r="A284" s="66"/>
      <c r="B284" s="66"/>
      <c r="C284" s="66"/>
      <c r="D284" s="66"/>
      <c r="E284" s="66"/>
      <c r="F284" s="66"/>
      <c r="G284" s="66"/>
      <c r="H284" s="66"/>
      <c r="I284" s="66"/>
      <c r="J284" s="66"/>
      <c r="K284" s="66"/>
      <c r="L284" s="66"/>
      <c r="M284" s="66"/>
      <c r="N284" s="66"/>
      <c r="O284" s="66"/>
      <c r="P284" s="66"/>
    </row>
    <row r="285" spans="1:16" x14ac:dyDescent="0.2">
      <c r="A285" s="66"/>
      <c r="B285" s="66"/>
      <c r="C285" s="66"/>
      <c r="D285" s="66"/>
      <c r="E285" s="66"/>
      <c r="F285" s="66"/>
      <c r="G285" s="66"/>
      <c r="H285" s="66"/>
      <c r="I285" s="66"/>
      <c r="J285" s="66"/>
      <c r="K285" s="66"/>
      <c r="L285" s="66"/>
      <c r="M285" s="66"/>
      <c r="N285" s="66"/>
      <c r="O285" s="66"/>
      <c r="P285" s="66"/>
    </row>
    <row r="286" spans="1:16" x14ac:dyDescent="0.2">
      <c r="A286" s="66"/>
      <c r="B286" s="66"/>
      <c r="C286" s="66"/>
      <c r="D286" s="66"/>
      <c r="E286" s="66"/>
      <c r="F286" s="66"/>
      <c r="G286" s="66"/>
      <c r="H286" s="66"/>
      <c r="I286" s="66"/>
      <c r="J286" s="66"/>
      <c r="K286" s="66"/>
      <c r="L286" s="66"/>
      <c r="M286" s="66"/>
      <c r="N286" s="66"/>
      <c r="O286" s="66"/>
      <c r="P286" s="66"/>
    </row>
    <row r="287" spans="1:16" x14ac:dyDescent="0.2">
      <c r="A287" s="66"/>
      <c r="B287" s="66"/>
      <c r="C287" s="66"/>
      <c r="D287" s="66"/>
      <c r="E287" s="66"/>
      <c r="F287" s="66"/>
      <c r="G287" s="66"/>
      <c r="H287" s="66"/>
      <c r="I287" s="66"/>
      <c r="J287" s="66"/>
      <c r="K287" s="66"/>
      <c r="L287" s="66"/>
      <c r="M287" s="66"/>
      <c r="N287" s="66"/>
      <c r="O287" s="66"/>
      <c r="P287" s="66"/>
    </row>
    <row r="288" spans="1:16" x14ac:dyDescent="0.2">
      <c r="A288" s="66"/>
      <c r="B288" s="66"/>
      <c r="C288" s="66"/>
      <c r="D288" s="66"/>
      <c r="E288" s="66"/>
      <c r="F288" s="66"/>
      <c r="G288" s="66"/>
      <c r="H288" s="66"/>
      <c r="I288" s="66"/>
      <c r="J288" s="66"/>
      <c r="K288" s="66"/>
      <c r="L288" s="66"/>
      <c r="M288" s="66"/>
      <c r="N288" s="66"/>
      <c r="O288" s="66"/>
      <c r="P288" s="66"/>
    </row>
    <row r="289" spans="1:16" x14ac:dyDescent="0.2">
      <c r="A289" s="66"/>
      <c r="B289" s="66"/>
      <c r="C289" s="66"/>
      <c r="D289" s="66"/>
      <c r="E289" s="66"/>
      <c r="F289" s="66"/>
      <c r="G289" s="66"/>
      <c r="H289" s="66"/>
      <c r="I289" s="66"/>
      <c r="J289" s="66"/>
      <c r="K289" s="66"/>
      <c r="L289" s="66"/>
      <c r="M289" s="66"/>
      <c r="N289" s="66"/>
      <c r="O289" s="66"/>
      <c r="P289" s="66"/>
    </row>
    <row r="290" spans="1:16" x14ac:dyDescent="0.2">
      <c r="A290" s="66"/>
      <c r="B290" s="66"/>
      <c r="C290" s="66"/>
      <c r="D290" s="66"/>
      <c r="E290" s="66"/>
      <c r="F290" s="66"/>
      <c r="G290" s="66"/>
      <c r="H290" s="66"/>
      <c r="I290" s="66"/>
      <c r="J290" s="66"/>
      <c r="K290" s="66"/>
      <c r="L290" s="66"/>
      <c r="M290" s="66"/>
      <c r="N290" s="66"/>
      <c r="O290" s="66"/>
      <c r="P290" s="66"/>
    </row>
    <row r="291" spans="1:16" x14ac:dyDescent="0.2">
      <c r="A291" s="66"/>
      <c r="B291" s="66"/>
      <c r="C291" s="66"/>
      <c r="D291" s="66"/>
      <c r="E291" s="66"/>
      <c r="F291" s="66"/>
      <c r="G291" s="66"/>
      <c r="H291" s="66"/>
      <c r="I291" s="66"/>
      <c r="J291" s="66"/>
      <c r="K291" s="66"/>
      <c r="L291" s="66"/>
      <c r="M291" s="66"/>
      <c r="N291" s="66"/>
      <c r="O291" s="66"/>
      <c r="P291" s="66"/>
    </row>
    <row r="292" spans="1:16" x14ac:dyDescent="0.2">
      <c r="A292" s="66"/>
      <c r="B292" s="66"/>
      <c r="C292" s="66"/>
      <c r="D292" s="66"/>
      <c r="E292" s="66"/>
      <c r="F292" s="66"/>
      <c r="G292" s="66"/>
      <c r="H292" s="66"/>
      <c r="I292" s="66"/>
      <c r="J292" s="66"/>
      <c r="K292" s="66"/>
      <c r="L292" s="66"/>
      <c r="M292" s="66"/>
      <c r="N292" s="66"/>
      <c r="O292" s="66"/>
      <c r="P292" s="66"/>
    </row>
    <row r="293" spans="1:16" x14ac:dyDescent="0.2">
      <c r="A293" s="66"/>
      <c r="B293" s="66"/>
      <c r="C293" s="66"/>
      <c r="D293" s="66"/>
      <c r="E293" s="66"/>
      <c r="F293" s="66"/>
      <c r="G293" s="66"/>
      <c r="H293" s="66"/>
      <c r="I293" s="66"/>
      <c r="J293" s="66"/>
      <c r="K293" s="66"/>
      <c r="L293" s="66"/>
      <c r="M293" s="66"/>
      <c r="N293" s="66"/>
      <c r="O293" s="66"/>
      <c r="P293" s="66"/>
    </row>
    <row r="294" spans="1:16" x14ac:dyDescent="0.2">
      <c r="A294" s="66"/>
      <c r="B294" s="66"/>
      <c r="C294" s="66"/>
      <c r="D294" s="66"/>
      <c r="E294" s="66"/>
      <c r="F294" s="66"/>
      <c r="G294" s="66"/>
      <c r="H294" s="66"/>
      <c r="I294" s="66"/>
      <c r="J294" s="66"/>
      <c r="K294" s="66"/>
      <c r="L294" s="66"/>
      <c r="M294" s="66"/>
      <c r="N294" s="66"/>
      <c r="O294" s="66"/>
      <c r="P294" s="66"/>
    </row>
    <row r="295" spans="1:16" x14ac:dyDescent="0.2">
      <c r="A295" s="66"/>
      <c r="B295" s="66"/>
      <c r="C295" s="66"/>
      <c r="D295" s="66"/>
      <c r="E295" s="66"/>
      <c r="F295" s="66"/>
      <c r="G295" s="66"/>
      <c r="H295" s="66"/>
      <c r="I295" s="66"/>
      <c r="J295" s="66"/>
      <c r="K295" s="66"/>
      <c r="L295" s="66"/>
      <c r="M295" s="66"/>
      <c r="N295" s="66"/>
      <c r="O295" s="66"/>
      <c r="P295" s="66"/>
    </row>
    <row r="296" spans="1:16" x14ac:dyDescent="0.2">
      <c r="A296" s="66"/>
      <c r="B296" s="66"/>
      <c r="C296" s="66"/>
      <c r="D296" s="66"/>
      <c r="E296" s="66"/>
      <c r="F296" s="66"/>
      <c r="G296" s="66"/>
      <c r="H296" s="66"/>
      <c r="I296" s="66"/>
      <c r="J296" s="66"/>
      <c r="K296" s="66"/>
      <c r="L296" s="66"/>
      <c r="M296" s="66"/>
      <c r="N296" s="66"/>
      <c r="O296" s="66"/>
      <c r="P296" s="66"/>
    </row>
    <row r="297" spans="1:16" x14ac:dyDescent="0.2">
      <c r="A297" s="66"/>
      <c r="B297" s="66"/>
      <c r="C297" s="66"/>
      <c r="D297" s="66"/>
      <c r="E297" s="66"/>
      <c r="F297" s="66"/>
      <c r="G297" s="66"/>
      <c r="H297" s="66"/>
      <c r="I297" s="66"/>
      <c r="J297" s="66"/>
      <c r="K297" s="66"/>
      <c r="L297" s="66"/>
      <c r="M297" s="66"/>
      <c r="N297" s="66"/>
      <c r="O297" s="66"/>
      <c r="P297" s="66"/>
    </row>
    <row r="298" spans="1:16" x14ac:dyDescent="0.2">
      <c r="A298" s="66"/>
      <c r="B298" s="66"/>
      <c r="C298" s="66"/>
      <c r="D298" s="66"/>
      <c r="E298" s="66"/>
      <c r="F298" s="66"/>
      <c r="G298" s="66"/>
      <c r="H298" s="66"/>
      <c r="I298" s="66"/>
      <c r="J298" s="66"/>
      <c r="K298" s="66"/>
      <c r="L298" s="66"/>
      <c r="M298" s="66"/>
      <c r="N298" s="66"/>
      <c r="O298" s="66"/>
      <c r="P298" s="66"/>
    </row>
    <row r="299" spans="1:16" x14ac:dyDescent="0.2">
      <c r="A299" s="66"/>
      <c r="B299" s="66"/>
      <c r="C299" s="66"/>
      <c r="D299" s="66"/>
      <c r="E299" s="66"/>
      <c r="F299" s="66"/>
      <c r="G299" s="66"/>
      <c r="H299" s="66"/>
      <c r="I299" s="66"/>
      <c r="J299" s="66"/>
      <c r="K299" s="66"/>
      <c r="L299" s="66"/>
      <c r="M299" s="66"/>
      <c r="N299" s="66"/>
      <c r="O299" s="66"/>
      <c r="P299" s="66"/>
    </row>
    <row r="300" spans="1:16" x14ac:dyDescent="0.2">
      <c r="A300" s="66"/>
      <c r="B300" s="66"/>
      <c r="C300" s="66"/>
      <c r="D300" s="66"/>
      <c r="E300" s="66"/>
      <c r="F300" s="66"/>
      <c r="G300" s="66"/>
      <c r="H300" s="66"/>
      <c r="I300" s="66"/>
      <c r="J300" s="66"/>
      <c r="K300" s="66"/>
      <c r="L300" s="66"/>
      <c r="M300" s="66"/>
      <c r="N300" s="66"/>
      <c r="O300" s="66"/>
      <c r="P300" s="66"/>
    </row>
    <row r="301" spans="1:16" x14ac:dyDescent="0.2">
      <c r="A301" s="66"/>
      <c r="B301" s="66"/>
      <c r="C301" s="66"/>
      <c r="D301" s="66"/>
      <c r="E301" s="66"/>
      <c r="F301" s="66"/>
      <c r="G301" s="66"/>
      <c r="H301" s="66"/>
      <c r="I301" s="66"/>
      <c r="J301" s="66"/>
      <c r="K301" s="66"/>
      <c r="L301" s="66"/>
      <c r="M301" s="66"/>
      <c r="N301" s="66"/>
      <c r="O301" s="66"/>
      <c r="P301" s="66"/>
    </row>
    <row r="302" spans="1:16" x14ac:dyDescent="0.2">
      <c r="A302" s="66"/>
      <c r="B302" s="66"/>
      <c r="C302" s="66"/>
      <c r="D302" s="66"/>
      <c r="E302" s="66"/>
      <c r="F302" s="66"/>
      <c r="G302" s="66"/>
      <c r="H302" s="66"/>
      <c r="I302" s="66"/>
      <c r="J302" s="66"/>
      <c r="K302" s="66"/>
      <c r="L302" s="66"/>
      <c r="M302" s="66"/>
      <c r="N302" s="66"/>
      <c r="O302" s="66"/>
      <c r="P302" s="66"/>
    </row>
    <row r="303" spans="1:16" x14ac:dyDescent="0.2">
      <c r="A303" s="66"/>
      <c r="B303" s="66"/>
      <c r="C303" s="66"/>
      <c r="D303" s="66"/>
      <c r="E303" s="66"/>
      <c r="F303" s="66"/>
      <c r="G303" s="66"/>
      <c r="H303" s="66"/>
      <c r="I303" s="66"/>
      <c r="J303" s="66"/>
      <c r="K303" s="66"/>
      <c r="L303" s="66"/>
      <c r="M303" s="66"/>
      <c r="N303" s="66"/>
      <c r="O303" s="66"/>
      <c r="P303" s="66"/>
    </row>
    <row r="304" spans="1:16" x14ac:dyDescent="0.2">
      <c r="A304" s="66"/>
      <c r="B304" s="66"/>
      <c r="C304" s="66"/>
      <c r="D304" s="66"/>
      <c r="E304" s="66"/>
      <c r="F304" s="66"/>
      <c r="G304" s="66"/>
      <c r="H304" s="66"/>
      <c r="I304" s="66"/>
      <c r="J304" s="66"/>
      <c r="K304" s="66"/>
      <c r="L304" s="66"/>
      <c r="M304" s="66"/>
      <c r="N304" s="66"/>
      <c r="O304" s="66"/>
      <c r="P304" s="66"/>
    </row>
    <row r="305" spans="1:16" x14ac:dyDescent="0.2">
      <c r="A305" s="66"/>
      <c r="B305" s="66"/>
      <c r="C305" s="66"/>
      <c r="D305" s="66"/>
      <c r="E305" s="66"/>
      <c r="F305" s="66"/>
      <c r="G305" s="66"/>
      <c r="H305" s="66"/>
      <c r="I305" s="66"/>
      <c r="J305" s="66"/>
      <c r="K305" s="66"/>
      <c r="L305" s="66"/>
      <c r="M305" s="66"/>
      <c r="N305" s="66"/>
      <c r="O305" s="66"/>
      <c r="P305" s="66"/>
    </row>
    <row r="306" spans="1:16" x14ac:dyDescent="0.2">
      <c r="A306" s="66"/>
      <c r="B306" s="66"/>
      <c r="C306" s="66"/>
      <c r="D306" s="66"/>
      <c r="E306" s="66"/>
      <c r="F306" s="66"/>
      <c r="G306" s="66"/>
      <c r="H306" s="66"/>
      <c r="I306" s="66"/>
      <c r="J306" s="66"/>
      <c r="K306" s="66"/>
      <c r="L306" s="66"/>
      <c r="M306" s="66"/>
      <c r="N306" s="66"/>
      <c r="O306" s="66"/>
      <c r="P306" s="66"/>
    </row>
    <row r="307" spans="1:16" x14ac:dyDescent="0.2">
      <c r="A307" s="66"/>
      <c r="B307" s="66"/>
      <c r="C307" s="66"/>
      <c r="D307" s="66"/>
      <c r="E307" s="66"/>
      <c r="F307" s="66"/>
      <c r="G307" s="66"/>
      <c r="H307" s="66"/>
      <c r="I307" s="66"/>
      <c r="J307" s="66"/>
      <c r="K307" s="66"/>
      <c r="L307" s="66"/>
      <c r="M307" s="66"/>
      <c r="N307" s="66"/>
      <c r="O307" s="66"/>
      <c r="P307" s="66"/>
    </row>
    <row r="308" spans="1:16" x14ac:dyDescent="0.2">
      <c r="A308" s="66"/>
      <c r="B308" s="66"/>
      <c r="C308" s="66"/>
      <c r="D308" s="66"/>
      <c r="E308" s="66"/>
      <c r="F308" s="66"/>
      <c r="G308" s="66"/>
      <c r="H308" s="66"/>
      <c r="I308" s="66"/>
      <c r="J308" s="66"/>
      <c r="K308" s="66"/>
      <c r="L308" s="66"/>
      <c r="M308" s="66"/>
      <c r="N308" s="66"/>
      <c r="O308" s="66"/>
      <c r="P308" s="66"/>
    </row>
    <row r="309" spans="1:16" x14ac:dyDescent="0.2">
      <c r="A309" s="66"/>
      <c r="B309" s="66"/>
      <c r="C309" s="66"/>
      <c r="D309" s="66"/>
      <c r="E309" s="66"/>
      <c r="F309" s="66"/>
      <c r="G309" s="66"/>
      <c r="H309" s="66"/>
      <c r="I309" s="66"/>
      <c r="J309" s="66"/>
      <c r="K309" s="66"/>
      <c r="L309" s="66"/>
      <c r="M309" s="66"/>
      <c r="N309" s="66"/>
      <c r="O309" s="66"/>
      <c r="P309" s="66"/>
    </row>
    <row r="310" spans="1:16" x14ac:dyDescent="0.2">
      <c r="A310" s="66"/>
      <c r="B310" s="66"/>
      <c r="C310" s="66"/>
      <c r="D310" s="66"/>
      <c r="E310" s="66"/>
      <c r="F310" s="66"/>
      <c r="G310" s="66"/>
      <c r="H310" s="66"/>
      <c r="I310" s="66"/>
      <c r="J310" s="66"/>
      <c r="K310" s="66"/>
      <c r="L310" s="66"/>
      <c r="M310" s="66"/>
      <c r="N310" s="66"/>
      <c r="O310" s="66"/>
      <c r="P310" s="66"/>
    </row>
    <row r="311" spans="1:16" x14ac:dyDescent="0.2">
      <c r="A311" s="66"/>
      <c r="B311" s="66"/>
      <c r="C311" s="66"/>
      <c r="D311" s="66"/>
      <c r="E311" s="66"/>
      <c r="F311" s="66"/>
      <c r="G311" s="66"/>
      <c r="H311" s="66"/>
      <c r="I311" s="66"/>
      <c r="J311" s="66"/>
      <c r="K311" s="66"/>
      <c r="L311" s="66"/>
      <c r="M311" s="66"/>
      <c r="N311" s="66"/>
      <c r="O311" s="66"/>
      <c r="P311" s="66"/>
    </row>
    <row r="312" spans="1:16" x14ac:dyDescent="0.2">
      <c r="A312" s="66"/>
      <c r="B312" s="66"/>
      <c r="C312" s="66"/>
      <c r="D312" s="66"/>
      <c r="E312" s="66"/>
      <c r="F312" s="66"/>
      <c r="G312" s="66"/>
      <c r="H312" s="66"/>
      <c r="I312" s="66"/>
      <c r="J312" s="66"/>
      <c r="K312" s="66"/>
      <c r="L312" s="66"/>
      <c r="M312" s="66"/>
      <c r="N312" s="66"/>
      <c r="O312" s="66"/>
      <c r="P312" s="66"/>
    </row>
    <row r="313" spans="1:16" x14ac:dyDescent="0.2">
      <c r="A313" s="66"/>
      <c r="B313" s="66"/>
      <c r="C313" s="66"/>
      <c r="D313" s="66"/>
      <c r="E313" s="66"/>
      <c r="F313" s="66"/>
      <c r="G313" s="66"/>
      <c r="H313" s="66"/>
      <c r="I313" s="66"/>
      <c r="J313" s="66"/>
      <c r="K313" s="66"/>
      <c r="L313" s="66"/>
      <c r="M313" s="66"/>
      <c r="N313" s="66"/>
      <c r="O313" s="66"/>
      <c r="P313" s="66"/>
    </row>
    <row r="314" spans="1:16" x14ac:dyDescent="0.2">
      <c r="A314" s="66"/>
      <c r="B314" s="66"/>
      <c r="C314" s="66"/>
      <c r="D314" s="66"/>
      <c r="E314" s="66"/>
      <c r="F314" s="66"/>
      <c r="G314" s="66"/>
      <c r="H314" s="66"/>
      <c r="I314" s="66"/>
      <c r="J314" s="66"/>
      <c r="K314" s="66"/>
      <c r="L314" s="66"/>
      <c r="M314" s="66"/>
      <c r="N314" s="66"/>
      <c r="O314" s="66"/>
      <c r="P314" s="66"/>
    </row>
    <row r="315" spans="1:16" x14ac:dyDescent="0.2">
      <c r="A315" s="66"/>
      <c r="B315" s="66"/>
      <c r="C315" s="66"/>
      <c r="D315" s="66"/>
      <c r="E315" s="66"/>
      <c r="F315" s="66"/>
      <c r="G315" s="66"/>
      <c r="H315" s="66"/>
      <c r="I315" s="66"/>
      <c r="J315" s="66"/>
      <c r="K315" s="66"/>
      <c r="L315" s="66"/>
      <c r="M315" s="66"/>
      <c r="N315" s="66"/>
      <c r="O315" s="66"/>
      <c r="P315" s="66"/>
    </row>
    <row r="316" spans="1:16" x14ac:dyDescent="0.2">
      <c r="A316" s="66"/>
      <c r="B316" s="66"/>
      <c r="C316" s="66"/>
      <c r="D316" s="66"/>
      <c r="E316" s="66"/>
      <c r="F316" s="66"/>
      <c r="G316" s="66"/>
      <c r="H316" s="66"/>
      <c r="I316" s="66"/>
      <c r="J316" s="66"/>
      <c r="K316" s="66"/>
      <c r="L316" s="66"/>
      <c r="M316" s="66"/>
      <c r="N316" s="66"/>
      <c r="O316" s="66"/>
      <c r="P316" s="66"/>
    </row>
    <row r="317" spans="1:16" x14ac:dyDescent="0.2">
      <c r="A317" s="66"/>
      <c r="B317" s="66"/>
      <c r="C317" s="66"/>
      <c r="D317" s="66"/>
      <c r="E317" s="66"/>
      <c r="F317" s="66"/>
      <c r="G317" s="66"/>
      <c r="H317" s="66"/>
      <c r="I317" s="66"/>
      <c r="J317" s="66"/>
      <c r="K317" s="66"/>
      <c r="L317" s="66"/>
      <c r="M317" s="66"/>
      <c r="N317" s="66"/>
      <c r="O317" s="66"/>
      <c r="P317" s="66"/>
    </row>
    <row r="318" spans="1:16" x14ac:dyDescent="0.2">
      <c r="A318" s="66"/>
      <c r="B318" s="66"/>
      <c r="C318" s="66"/>
      <c r="D318" s="66"/>
      <c r="E318" s="66"/>
      <c r="F318" s="66"/>
      <c r="G318" s="66"/>
      <c r="H318" s="66"/>
      <c r="I318" s="66"/>
      <c r="J318" s="66"/>
      <c r="K318" s="66"/>
      <c r="L318" s="66"/>
      <c r="M318" s="66"/>
      <c r="N318" s="66"/>
      <c r="O318" s="66"/>
      <c r="P318" s="66"/>
    </row>
    <row r="319" spans="1:16" x14ac:dyDescent="0.2">
      <c r="A319" s="66"/>
      <c r="B319" s="66"/>
      <c r="C319" s="66"/>
      <c r="D319" s="66"/>
      <c r="E319" s="66"/>
      <c r="F319" s="66"/>
      <c r="G319" s="66"/>
      <c r="H319" s="66"/>
      <c r="I319" s="66"/>
      <c r="J319" s="66"/>
      <c r="K319" s="66"/>
      <c r="L319" s="66"/>
      <c r="M319" s="66"/>
      <c r="N319" s="66"/>
      <c r="O319" s="66"/>
      <c r="P319" s="66"/>
    </row>
    <row r="320" spans="1:16" x14ac:dyDescent="0.2">
      <c r="A320" s="66"/>
      <c r="B320" s="66"/>
      <c r="C320" s="66"/>
      <c r="D320" s="66"/>
      <c r="E320" s="66"/>
      <c r="F320" s="66"/>
      <c r="G320" s="66"/>
      <c r="H320" s="66"/>
      <c r="I320" s="66"/>
      <c r="J320" s="66"/>
      <c r="K320" s="66"/>
      <c r="L320" s="66"/>
      <c r="M320" s="66"/>
      <c r="N320" s="66"/>
      <c r="O320" s="66"/>
      <c r="P320" s="66"/>
    </row>
    <row r="321" spans="1:16" x14ac:dyDescent="0.2">
      <c r="A321" s="66"/>
      <c r="B321" s="66"/>
      <c r="C321" s="66"/>
      <c r="D321" s="66"/>
      <c r="E321" s="66"/>
      <c r="F321" s="66"/>
      <c r="G321" s="66"/>
      <c r="H321" s="66"/>
      <c r="I321" s="66"/>
      <c r="J321" s="66"/>
      <c r="K321" s="66"/>
      <c r="L321" s="66"/>
      <c r="M321" s="66"/>
      <c r="N321" s="66"/>
      <c r="O321" s="66"/>
      <c r="P321" s="66"/>
    </row>
    <row r="322" spans="1:16" x14ac:dyDescent="0.2">
      <c r="A322" s="66"/>
      <c r="B322" s="66"/>
      <c r="C322" s="66"/>
      <c r="D322" s="66"/>
      <c r="E322" s="66"/>
      <c r="F322" s="66"/>
      <c r="G322" s="66"/>
      <c r="H322" s="66"/>
      <c r="I322" s="66"/>
      <c r="J322" s="66"/>
      <c r="K322" s="66"/>
      <c r="L322" s="66"/>
      <c r="M322" s="66"/>
      <c r="N322" s="66"/>
      <c r="O322" s="66"/>
      <c r="P322" s="66"/>
    </row>
    <row r="323" spans="1:16" x14ac:dyDescent="0.2">
      <c r="A323" s="66"/>
      <c r="B323" s="66"/>
      <c r="C323" s="66"/>
      <c r="D323" s="66"/>
      <c r="E323" s="66"/>
      <c r="F323" s="66"/>
      <c r="G323" s="66"/>
      <c r="H323" s="66"/>
      <c r="I323" s="66"/>
      <c r="J323" s="66"/>
      <c r="K323" s="66"/>
      <c r="L323" s="66"/>
      <c r="M323" s="66"/>
      <c r="N323" s="66"/>
      <c r="O323" s="66"/>
      <c r="P323" s="66"/>
    </row>
    <row r="324" spans="1:16" x14ac:dyDescent="0.2">
      <c r="A324" s="66"/>
      <c r="B324" s="66"/>
      <c r="C324" s="66"/>
      <c r="D324" s="66"/>
      <c r="E324" s="66"/>
      <c r="F324" s="66"/>
      <c r="G324" s="66"/>
      <c r="H324" s="66"/>
      <c r="I324" s="66"/>
      <c r="J324" s="66"/>
      <c r="K324" s="66"/>
      <c r="L324" s="66"/>
      <c r="M324" s="66"/>
      <c r="N324" s="66"/>
      <c r="O324" s="66"/>
      <c r="P324" s="66"/>
    </row>
    <row r="325" spans="1:16" x14ac:dyDescent="0.2">
      <c r="A325" s="66"/>
      <c r="B325" s="66"/>
      <c r="C325" s="66"/>
      <c r="D325" s="66"/>
      <c r="E325" s="66"/>
      <c r="F325" s="66"/>
      <c r="G325" s="66"/>
      <c r="H325" s="66"/>
      <c r="I325" s="66"/>
      <c r="J325" s="66"/>
      <c r="K325" s="66"/>
      <c r="L325" s="66"/>
      <c r="M325" s="66"/>
      <c r="N325" s="66"/>
      <c r="O325" s="66"/>
      <c r="P325" s="66"/>
    </row>
    <row r="326" spans="1:16" x14ac:dyDescent="0.2">
      <c r="A326" s="66"/>
      <c r="B326" s="66"/>
      <c r="C326" s="66"/>
      <c r="D326" s="66"/>
      <c r="E326" s="66"/>
      <c r="F326" s="66"/>
      <c r="G326" s="66"/>
      <c r="H326" s="66"/>
      <c r="I326" s="66"/>
      <c r="J326" s="66"/>
      <c r="K326" s="66"/>
      <c r="L326" s="66"/>
      <c r="M326" s="66"/>
      <c r="N326" s="66"/>
      <c r="O326" s="66"/>
      <c r="P326" s="66"/>
    </row>
    <row r="327" spans="1:16" x14ac:dyDescent="0.2">
      <c r="A327" s="66"/>
      <c r="B327" s="66"/>
      <c r="C327" s="66"/>
      <c r="D327" s="66"/>
      <c r="E327" s="66"/>
      <c r="F327" s="66"/>
      <c r="G327" s="66"/>
      <c r="H327" s="66"/>
      <c r="I327" s="66"/>
      <c r="J327" s="66"/>
      <c r="K327" s="66"/>
      <c r="L327" s="66"/>
      <c r="M327" s="66"/>
      <c r="N327" s="66"/>
      <c r="O327" s="66"/>
      <c r="P327" s="66"/>
    </row>
    <row r="328" spans="1:16" x14ac:dyDescent="0.2">
      <c r="A328" s="66"/>
      <c r="B328" s="66"/>
      <c r="C328" s="66"/>
      <c r="D328" s="66"/>
      <c r="E328" s="66"/>
      <c r="F328" s="66"/>
      <c r="G328" s="66"/>
      <c r="H328" s="66"/>
      <c r="I328" s="66"/>
      <c r="J328" s="66"/>
      <c r="K328" s="66"/>
      <c r="L328" s="66"/>
      <c r="M328" s="66"/>
      <c r="N328" s="66"/>
      <c r="O328" s="66"/>
      <c r="P328" s="66"/>
    </row>
    <row r="329" spans="1:16" x14ac:dyDescent="0.2">
      <c r="A329" s="66"/>
      <c r="B329" s="66"/>
      <c r="C329" s="66"/>
      <c r="D329" s="66"/>
      <c r="E329" s="66"/>
      <c r="F329" s="66"/>
      <c r="G329" s="66"/>
      <c r="H329" s="66"/>
      <c r="I329" s="66"/>
      <c r="J329" s="66"/>
      <c r="K329" s="66"/>
      <c r="L329" s="66"/>
      <c r="M329" s="66"/>
      <c r="N329" s="66"/>
      <c r="O329" s="66"/>
      <c r="P329" s="66"/>
    </row>
    <row r="330" spans="1:16" x14ac:dyDescent="0.2">
      <c r="A330" s="66"/>
      <c r="B330" s="66"/>
      <c r="C330" s="66"/>
      <c r="D330" s="66"/>
      <c r="E330" s="66"/>
      <c r="F330" s="66"/>
      <c r="G330" s="66"/>
      <c r="H330" s="66"/>
      <c r="I330" s="66"/>
      <c r="J330" s="66"/>
      <c r="K330" s="66"/>
      <c r="L330" s="66"/>
      <c r="M330" s="66"/>
      <c r="N330" s="66"/>
      <c r="O330" s="66"/>
      <c r="P330" s="66"/>
    </row>
    <row r="331" spans="1:16" x14ac:dyDescent="0.2">
      <c r="A331" s="66"/>
      <c r="B331" s="66"/>
      <c r="C331" s="66"/>
      <c r="D331" s="66"/>
      <c r="E331" s="66"/>
      <c r="F331" s="66"/>
      <c r="G331" s="66"/>
      <c r="H331" s="66"/>
      <c r="I331" s="66"/>
      <c r="J331" s="66"/>
      <c r="K331" s="66"/>
      <c r="L331" s="66"/>
      <c r="M331" s="66"/>
      <c r="N331" s="66"/>
      <c r="O331" s="66"/>
      <c r="P331" s="66"/>
    </row>
    <row r="332" spans="1:16" x14ac:dyDescent="0.2">
      <c r="A332" s="66"/>
      <c r="B332" s="66"/>
      <c r="C332" s="66"/>
      <c r="D332" s="66"/>
      <c r="E332" s="66"/>
      <c r="F332" s="66"/>
      <c r="G332" s="66"/>
      <c r="H332" s="66"/>
      <c r="I332" s="66"/>
      <c r="J332" s="66"/>
      <c r="K332" s="66"/>
      <c r="L332" s="66"/>
      <c r="M332" s="66"/>
      <c r="N332" s="66"/>
      <c r="O332" s="66"/>
      <c r="P332" s="66"/>
    </row>
    <row r="333" spans="1:16" x14ac:dyDescent="0.2">
      <c r="A333" s="66"/>
      <c r="B333" s="66"/>
      <c r="C333" s="66"/>
      <c r="D333" s="66"/>
      <c r="E333" s="66"/>
      <c r="F333" s="66"/>
      <c r="G333" s="66"/>
      <c r="H333" s="66"/>
      <c r="I333" s="66"/>
      <c r="J333" s="66"/>
      <c r="K333" s="66"/>
      <c r="L333" s="66"/>
      <c r="M333" s="66"/>
      <c r="N333" s="66"/>
      <c r="O333" s="66"/>
      <c r="P333" s="66"/>
    </row>
    <row r="334" spans="1:16" x14ac:dyDescent="0.2">
      <c r="A334" s="66"/>
      <c r="B334" s="66"/>
      <c r="C334" s="66"/>
      <c r="D334" s="66"/>
      <c r="E334" s="66"/>
      <c r="F334" s="66"/>
      <c r="G334" s="66"/>
      <c r="H334" s="66"/>
      <c r="I334" s="66"/>
      <c r="J334" s="66"/>
      <c r="K334" s="66"/>
      <c r="L334" s="66"/>
      <c r="M334" s="66"/>
      <c r="N334" s="66"/>
      <c r="O334" s="66"/>
      <c r="P334" s="66"/>
    </row>
    <row r="335" spans="1:16" x14ac:dyDescent="0.2">
      <c r="A335" s="66"/>
      <c r="B335" s="66"/>
      <c r="C335" s="66"/>
      <c r="D335" s="66"/>
      <c r="E335" s="66"/>
      <c r="F335" s="66"/>
      <c r="G335" s="66"/>
      <c r="H335" s="66"/>
      <c r="I335" s="66"/>
      <c r="J335" s="66"/>
      <c r="K335" s="66"/>
      <c r="L335" s="66"/>
      <c r="M335" s="66"/>
      <c r="N335" s="66"/>
      <c r="O335" s="66"/>
      <c r="P335" s="66"/>
    </row>
    <row r="336" spans="1:16" x14ac:dyDescent="0.2">
      <c r="A336" s="66"/>
      <c r="B336" s="66"/>
      <c r="C336" s="66"/>
      <c r="D336" s="66"/>
      <c r="E336" s="66"/>
      <c r="F336" s="66"/>
      <c r="G336" s="66"/>
      <c r="H336" s="66"/>
      <c r="I336" s="66"/>
      <c r="J336" s="66"/>
      <c r="K336" s="66"/>
      <c r="L336" s="66"/>
      <c r="M336" s="66"/>
      <c r="N336" s="66"/>
      <c r="O336" s="66"/>
      <c r="P336" s="66"/>
    </row>
    <row r="337" spans="1:16" x14ac:dyDescent="0.2">
      <c r="A337" s="66"/>
      <c r="B337" s="66"/>
      <c r="C337" s="66"/>
      <c r="D337" s="66"/>
      <c r="E337" s="66"/>
      <c r="F337" s="66"/>
      <c r="G337" s="66"/>
      <c r="H337" s="66"/>
      <c r="I337" s="66"/>
      <c r="J337" s="66"/>
      <c r="K337" s="66"/>
      <c r="L337" s="66"/>
      <c r="M337" s="66"/>
      <c r="N337" s="66"/>
      <c r="O337" s="66"/>
      <c r="P337" s="66"/>
    </row>
    <row r="338" spans="1:16" x14ac:dyDescent="0.2">
      <c r="A338" s="66"/>
      <c r="B338" s="66"/>
      <c r="C338" s="66"/>
      <c r="D338" s="66"/>
      <c r="E338" s="66"/>
      <c r="F338" s="66"/>
      <c r="G338" s="66"/>
      <c r="H338" s="66"/>
      <c r="I338" s="66"/>
      <c r="J338" s="66"/>
      <c r="K338" s="66"/>
      <c r="L338" s="66"/>
      <c r="M338" s="66"/>
      <c r="N338" s="66"/>
      <c r="O338" s="66"/>
      <c r="P338" s="66"/>
    </row>
    <row r="339" spans="1:16" x14ac:dyDescent="0.2">
      <c r="A339" s="66"/>
      <c r="B339" s="66"/>
      <c r="C339" s="66"/>
      <c r="D339" s="66"/>
      <c r="E339" s="66"/>
      <c r="F339" s="66"/>
      <c r="G339" s="66"/>
      <c r="H339" s="66"/>
      <c r="I339" s="66"/>
      <c r="J339" s="66"/>
      <c r="K339" s="66"/>
      <c r="L339" s="66"/>
      <c r="M339" s="66"/>
      <c r="N339" s="66"/>
      <c r="O339" s="66"/>
      <c r="P339" s="66"/>
    </row>
    <row r="340" spans="1:16" x14ac:dyDescent="0.2">
      <c r="A340" s="66"/>
      <c r="B340" s="66"/>
      <c r="C340" s="66"/>
      <c r="D340" s="66"/>
      <c r="E340" s="66"/>
      <c r="F340" s="66"/>
      <c r="G340" s="66"/>
      <c r="H340" s="66"/>
      <c r="I340" s="66"/>
      <c r="J340" s="66"/>
      <c r="K340" s="66"/>
      <c r="L340" s="66"/>
      <c r="M340" s="66"/>
      <c r="N340" s="66"/>
      <c r="O340" s="66"/>
      <c r="P340" s="66"/>
    </row>
    <row r="341" spans="1:16" x14ac:dyDescent="0.2">
      <c r="A341" s="66"/>
      <c r="B341" s="66"/>
      <c r="C341" s="66"/>
      <c r="D341" s="66"/>
      <c r="E341" s="66"/>
      <c r="F341" s="66"/>
      <c r="G341" s="66"/>
      <c r="H341" s="66"/>
      <c r="I341" s="66"/>
      <c r="J341" s="66"/>
      <c r="K341" s="66"/>
      <c r="L341" s="66"/>
      <c r="M341" s="66"/>
      <c r="N341" s="66"/>
      <c r="O341" s="66"/>
      <c r="P341" s="66"/>
    </row>
    <row r="342" spans="1:16" x14ac:dyDescent="0.2">
      <c r="A342" s="66"/>
      <c r="B342" s="66"/>
      <c r="C342" s="66"/>
      <c r="D342" s="66"/>
      <c r="E342" s="66"/>
      <c r="F342" s="66"/>
      <c r="G342" s="66"/>
      <c r="H342" s="66"/>
      <c r="I342" s="66"/>
      <c r="J342" s="66"/>
      <c r="K342" s="66"/>
      <c r="L342" s="66"/>
      <c r="M342" s="66"/>
      <c r="N342" s="66"/>
      <c r="O342" s="66"/>
      <c r="P342" s="66"/>
    </row>
    <row r="343" spans="1:16" x14ac:dyDescent="0.2">
      <c r="A343" s="66"/>
      <c r="B343" s="66"/>
      <c r="C343" s="66"/>
      <c r="D343" s="66"/>
      <c r="E343" s="66"/>
      <c r="F343" s="66"/>
      <c r="G343" s="66"/>
      <c r="H343" s="66"/>
      <c r="I343" s="66"/>
      <c r="J343" s="66"/>
      <c r="K343" s="66"/>
      <c r="L343" s="66"/>
      <c r="M343" s="66"/>
      <c r="N343" s="66"/>
      <c r="O343" s="66"/>
      <c r="P343" s="66"/>
    </row>
    <row r="344" spans="1:16" x14ac:dyDescent="0.2">
      <c r="A344" s="66"/>
      <c r="B344" s="66"/>
      <c r="C344" s="66"/>
      <c r="D344" s="66"/>
      <c r="E344" s="66"/>
      <c r="F344" s="66"/>
      <c r="G344" s="66"/>
      <c r="H344" s="66"/>
      <c r="I344" s="66"/>
      <c r="J344" s="66"/>
      <c r="K344" s="66"/>
      <c r="L344" s="66"/>
      <c r="M344" s="66"/>
      <c r="N344" s="66"/>
      <c r="O344" s="66"/>
      <c r="P344" s="66"/>
    </row>
    <row r="345" spans="1:16" x14ac:dyDescent="0.2">
      <c r="A345" s="66"/>
      <c r="B345" s="66"/>
      <c r="C345" s="66"/>
      <c r="D345" s="66"/>
      <c r="E345" s="66"/>
      <c r="F345" s="66"/>
      <c r="G345" s="66"/>
      <c r="H345" s="66"/>
      <c r="I345" s="66"/>
      <c r="J345" s="66"/>
      <c r="K345" s="66"/>
      <c r="L345" s="66"/>
      <c r="M345" s="66"/>
      <c r="N345" s="66"/>
      <c r="O345" s="66"/>
      <c r="P345" s="66"/>
    </row>
    <row r="346" spans="1:16" x14ac:dyDescent="0.2">
      <c r="A346" s="66"/>
      <c r="B346" s="66"/>
      <c r="C346" s="66"/>
      <c r="D346" s="66"/>
      <c r="E346" s="66"/>
      <c r="F346" s="66"/>
      <c r="G346" s="66"/>
      <c r="H346" s="66"/>
      <c r="I346" s="66"/>
      <c r="J346" s="66"/>
      <c r="K346" s="66"/>
      <c r="L346" s="66"/>
      <c r="M346" s="66"/>
      <c r="N346" s="66"/>
      <c r="O346" s="66"/>
      <c r="P346" s="66"/>
    </row>
    <row r="347" spans="1:16" x14ac:dyDescent="0.2">
      <c r="A347" s="66"/>
      <c r="B347" s="66"/>
      <c r="C347" s="66"/>
      <c r="D347" s="66"/>
      <c r="E347" s="66"/>
      <c r="F347" s="66"/>
      <c r="G347" s="66"/>
      <c r="H347" s="66"/>
      <c r="I347" s="66"/>
      <c r="J347" s="66"/>
      <c r="K347" s="66"/>
      <c r="L347" s="66"/>
      <c r="M347" s="66"/>
      <c r="N347" s="66"/>
      <c r="O347" s="66"/>
      <c r="P347" s="66"/>
    </row>
    <row r="348" spans="1:16" x14ac:dyDescent="0.2">
      <c r="A348" s="66"/>
      <c r="B348" s="66"/>
      <c r="C348" s="66"/>
      <c r="D348" s="66"/>
      <c r="E348" s="66"/>
      <c r="F348" s="66"/>
      <c r="G348" s="66"/>
      <c r="H348" s="66"/>
      <c r="I348" s="66"/>
      <c r="J348" s="66"/>
      <c r="K348" s="66"/>
      <c r="L348" s="66"/>
      <c r="M348" s="66"/>
      <c r="N348" s="66"/>
      <c r="O348" s="66"/>
      <c r="P348" s="66"/>
    </row>
    <row r="349" spans="1:16" x14ac:dyDescent="0.2">
      <c r="A349" s="66"/>
      <c r="B349" s="66"/>
      <c r="C349" s="66"/>
      <c r="D349" s="66"/>
      <c r="E349" s="66"/>
      <c r="F349" s="66"/>
      <c r="G349" s="66"/>
      <c r="H349" s="66"/>
      <c r="I349" s="66"/>
      <c r="J349" s="66"/>
      <c r="K349" s="66"/>
      <c r="L349" s="66"/>
      <c r="M349" s="66"/>
      <c r="N349" s="66"/>
      <c r="O349" s="66"/>
      <c r="P349" s="66"/>
    </row>
    <row r="350" spans="1:16" x14ac:dyDescent="0.2">
      <c r="A350" s="66"/>
      <c r="B350" s="66"/>
      <c r="C350" s="66"/>
      <c r="D350" s="66"/>
      <c r="E350" s="66"/>
      <c r="F350" s="66"/>
      <c r="G350" s="66"/>
      <c r="H350" s="66"/>
      <c r="I350" s="66"/>
      <c r="J350" s="66"/>
      <c r="K350" s="66"/>
      <c r="L350" s="66"/>
      <c r="M350" s="66"/>
      <c r="N350" s="66"/>
      <c r="O350" s="66"/>
      <c r="P350" s="66"/>
    </row>
    <row r="351" spans="1:16" x14ac:dyDescent="0.2">
      <c r="A351" s="66"/>
      <c r="B351" s="66"/>
      <c r="C351" s="66"/>
      <c r="D351" s="66"/>
      <c r="E351" s="66"/>
      <c r="F351" s="66"/>
      <c r="G351" s="66"/>
      <c r="H351" s="66"/>
      <c r="I351" s="66"/>
      <c r="J351" s="66"/>
      <c r="K351" s="66"/>
      <c r="L351" s="66"/>
      <c r="M351" s="66"/>
      <c r="N351" s="66"/>
      <c r="O351" s="66"/>
      <c r="P351" s="66"/>
    </row>
    <row r="352" spans="1:16" x14ac:dyDescent="0.2">
      <c r="A352" s="66"/>
      <c r="B352" s="66"/>
      <c r="C352" s="66"/>
      <c r="D352" s="66"/>
      <c r="E352" s="66"/>
      <c r="F352" s="66"/>
      <c r="G352" s="66"/>
      <c r="H352" s="66"/>
      <c r="I352" s="66"/>
      <c r="J352" s="66"/>
      <c r="K352" s="66"/>
      <c r="L352" s="66"/>
      <c r="M352" s="66"/>
      <c r="N352" s="66"/>
      <c r="O352" s="66"/>
      <c r="P352" s="66"/>
    </row>
    <row r="353" spans="1:16" x14ac:dyDescent="0.2">
      <c r="A353" s="66"/>
      <c r="B353" s="66"/>
      <c r="C353" s="66"/>
      <c r="D353" s="66"/>
      <c r="E353" s="66"/>
      <c r="F353" s="66"/>
      <c r="G353" s="66"/>
      <c r="H353" s="66"/>
      <c r="I353" s="66"/>
      <c r="J353" s="66"/>
      <c r="K353" s="66"/>
      <c r="L353" s="66"/>
      <c r="M353" s="66"/>
      <c r="N353" s="66"/>
      <c r="O353" s="66"/>
      <c r="P353" s="66"/>
    </row>
    <row r="354" spans="1:16" x14ac:dyDescent="0.2">
      <c r="A354" s="66"/>
      <c r="B354" s="66"/>
      <c r="C354" s="66"/>
      <c r="D354" s="66"/>
      <c r="E354" s="66"/>
      <c r="F354" s="66"/>
      <c r="G354" s="66"/>
      <c r="H354" s="66"/>
      <c r="I354" s="66"/>
      <c r="J354" s="66"/>
      <c r="K354" s="66"/>
      <c r="L354" s="66"/>
      <c r="M354" s="66"/>
      <c r="N354" s="66"/>
      <c r="O354" s="66"/>
      <c r="P354" s="66"/>
    </row>
    <row r="355" spans="1:16" x14ac:dyDescent="0.2">
      <c r="A355" s="66"/>
      <c r="B355" s="66"/>
      <c r="C355" s="66"/>
      <c r="D355" s="66"/>
      <c r="E355" s="66"/>
      <c r="F355" s="66"/>
      <c r="G355" s="66"/>
      <c r="H355" s="66"/>
      <c r="I355" s="66"/>
      <c r="J355" s="66"/>
      <c r="K355" s="66"/>
      <c r="L355" s="66"/>
      <c r="M355" s="66"/>
      <c r="N355" s="66"/>
      <c r="O355" s="66"/>
      <c r="P355" s="66"/>
    </row>
    <row r="356" spans="1:16" x14ac:dyDescent="0.2">
      <c r="A356" s="66"/>
      <c r="B356" s="66"/>
      <c r="C356" s="66"/>
      <c r="D356" s="66"/>
      <c r="E356" s="66"/>
      <c r="F356" s="66"/>
      <c r="G356" s="66"/>
      <c r="H356" s="66"/>
      <c r="I356" s="66"/>
      <c r="J356" s="66"/>
      <c r="K356" s="66"/>
      <c r="L356" s="66"/>
      <c r="M356" s="66"/>
      <c r="N356" s="66"/>
      <c r="O356" s="66"/>
      <c r="P356" s="66"/>
    </row>
    <row r="357" spans="1:16" x14ac:dyDescent="0.2">
      <c r="A357" s="66"/>
      <c r="B357" s="66"/>
      <c r="C357" s="66"/>
      <c r="D357" s="66"/>
      <c r="E357" s="66"/>
      <c r="F357" s="66"/>
      <c r="G357" s="66"/>
      <c r="H357" s="66"/>
      <c r="I357" s="66"/>
      <c r="J357" s="66"/>
      <c r="K357" s="66"/>
      <c r="L357" s="66"/>
      <c r="M357" s="66"/>
      <c r="N357" s="66"/>
      <c r="O357" s="66"/>
      <c r="P357" s="66"/>
    </row>
    <row r="358" spans="1:16" x14ac:dyDescent="0.2">
      <c r="A358" s="66"/>
      <c r="B358" s="66"/>
      <c r="C358" s="66"/>
      <c r="D358" s="66"/>
      <c r="E358" s="66"/>
      <c r="F358" s="66"/>
      <c r="G358" s="66"/>
      <c r="H358" s="66"/>
      <c r="I358" s="66"/>
      <c r="J358" s="66"/>
      <c r="K358" s="66"/>
      <c r="L358" s="66"/>
      <c r="M358" s="66"/>
      <c r="N358" s="66"/>
      <c r="O358" s="66"/>
      <c r="P358" s="66"/>
    </row>
    <row r="359" spans="1:16" x14ac:dyDescent="0.2">
      <c r="A359" s="66"/>
      <c r="B359" s="66"/>
      <c r="C359" s="66"/>
      <c r="D359" s="66"/>
      <c r="E359" s="66"/>
      <c r="F359" s="66"/>
      <c r="G359" s="66"/>
      <c r="H359" s="66"/>
      <c r="I359" s="66"/>
      <c r="J359" s="66"/>
      <c r="K359" s="66"/>
      <c r="L359" s="66"/>
      <c r="M359" s="66"/>
      <c r="N359" s="66"/>
      <c r="O359" s="66"/>
      <c r="P359" s="66"/>
    </row>
    <row r="360" spans="1:16" x14ac:dyDescent="0.2">
      <c r="A360" s="66"/>
      <c r="B360" s="66"/>
      <c r="C360" s="66"/>
      <c r="D360" s="66"/>
      <c r="E360" s="66"/>
      <c r="F360" s="66"/>
      <c r="G360" s="66"/>
      <c r="H360" s="66"/>
      <c r="I360" s="66"/>
      <c r="J360" s="66"/>
      <c r="K360" s="66"/>
      <c r="L360" s="66"/>
      <c r="M360" s="66"/>
      <c r="N360" s="66"/>
      <c r="O360" s="66"/>
      <c r="P360" s="66"/>
    </row>
    <row r="361" spans="1:16" x14ac:dyDescent="0.2">
      <c r="A361" s="66"/>
      <c r="B361" s="66"/>
      <c r="C361" s="66"/>
      <c r="D361" s="66"/>
      <c r="E361" s="66"/>
      <c r="F361" s="66"/>
      <c r="G361" s="66"/>
      <c r="H361" s="66"/>
      <c r="I361" s="66"/>
      <c r="J361" s="66"/>
      <c r="K361" s="66"/>
      <c r="L361" s="66"/>
      <c r="M361" s="66"/>
      <c r="N361" s="66"/>
      <c r="O361" s="66"/>
      <c r="P361" s="66"/>
    </row>
    <row r="362" spans="1:16" x14ac:dyDescent="0.2">
      <c r="A362" s="66"/>
      <c r="B362" s="66"/>
      <c r="C362" s="66"/>
      <c r="D362" s="66"/>
      <c r="E362" s="66"/>
      <c r="F362" s="66"/>
      <c r="G362" s="66"/>
      <c r="H362" s="66"/>
      <c r="I362" s="66"/>
      <c r="J362" s="66"/>
      <c r="K362" s="66"/>
      <c r="L362" s="66"/>
      <c r="M362" s="66"/>
      <c r="N362" s="66"/>
      <c r="O362" s="66"/>
      <c r="P362" s="66"/>
    </row>
    <row r="363" spans="1:16" x14ac:dyDescent="0.2">
      <c r="A363" s="66"/>
      <c r="B363" s="66"/>
      <c r="C363" s="66"/>
      <c r="D363" s="66"/>
      <c r="E363" s="66"/>
      <c r="F363" s="66"/>
      <c r="G363" s="66"/>
      <c r="H363" s="66"/>
      <c r="I363" s="66"/>
      <c r="J363" s="66"/>
      <c r="K363" s="66"/>
      <c r="L363" s="66"/>
      <c r="M363" s="66"/>
      <c r="N363" s="66"/>
      <c r="O363" s="66"/>
      <c r="P363" s="66"/>
    </row>
    <row r="364" spans="1:16" x14ac:dyDescent="0.2">
      <c r="A364" s="66"/>
      <c r="B364" s="66"/>
      <c r="C364" s="66"/>
      <c r="D364" s="66"/>
      <c r="E364" s="66"/>
      <c r="F364" s="66"/>
      <c r="G364" s="66"/>
      <c r="H364" s="66"/>
      <c r="I364" s="66"/>
      <c r="J364" s="66"/>
      <c r="K364" s="66"/>
      <c r="L364" s="66"/>
      <c r="M364" s="66"/>
      <c r="N364" s="66"/>
      <c r="O364" s="66"/>
      <c r="P364" s="66"/>
    </row>
    <row r="365" spans="1:16" x14ac:dyDescent="0.2">
      <c r="A365" s="66"/>
      <c r="B365" s="66"/>
      <c r="C365" s="66"/>
      <c r="D365" s="66"/>
      <c r="E365" s="66"/>
      <c r="F365" s="66"/>
      <c r="G365" s="66"/>
      <c r="H365" s="66"/>
      <c r="I365" s="66"/>
      <c r="J365" s="66"/>
      <c r="K365" s="66"/>
      <c r="L365" s="66"/>
      <c r="M365" s="66"/>
      <c r="N365" s="66"/>
      <c r="O365" s="66"/>
      <c r="P365" s="66"/>
    </row>
    <row r="366" spans="1:16" x14ac:dyDescent="0.2">
      <c r="A366" s="66"/>
      <c r="B366" s="66"/>
      <c r="C366" s="66"/>
      <c r="D366" s="66"/>
      <c r="E366" s="66"/>
      <c r="F366" s="66"/>
      <c r="G366" s="66"/>
      <c r="H366" s="66"/>
      <c r="I366" s="66"/>
      <c r="J366" s="66"/>
      <c r="K366" s="66"/>
      <c r="L366" s="66"/>
      <c r="M366" s="66"/>
      <c r="N366" s="66"/>
      <c r="O366" s="66"/>
      <c r="P366" s="66"/>
    </row>
    <row r="367" spans="1:16" x14ac:dyDescent="0.2">
      <c r="A367" s="66"/>
      <c r="B367" s="66"/>
      <c r="C367" s="66"/>
      <c r="D367" s="66"/>
      <c r="E367" s="66"/>
      <c r="F367" s="66"/>
      <c r="G367" s="66"/>
      <c r="H367" s="66"/>
      <c r="I367" s="66"/>
      <c r="J367" s="66"/>
      <c r="K367" s="66"/>
      <c r="L367" s="66"/>
      <c r="M367" s="66"/>
      <c r="N367" s="66"/>
      <c r="O367" s="66"/>
      <c r="P367" s="66"/>
    </row>
    <row r="368" spans="1:16" x14ac:dyDescent="0.2">
      <c r="A368" s="66"/>
      <c r="B368" s="66"/>
      <c r="C368" s="66"/>
      <c r="D368" s="66"/>
      <c r="E368" s="66"/>
      <c r="F368" s="66"/>
      <c r="G368" s="66"/>
      <c r="H368" s="66"/>
      <c r="I368" s="66"/>
      <c r="J368" s="66"/>
      <c r="K368" s="66"/>
      <c r="L368" s="66"/>
      <c r="M368" s="66"/>
      <c r="N368" s="66"/>
      <c r="O368" s="66"/>
      <c r="P368" s="66"/>
    </row>
    <row r="369" spans="1:16" x14ac:dyDescent="0.2">
      <c r="A369" s="66"/>
      <c r="B369" s="66"/>
      <c r="C369" s="66"/>
      <c r="D369" s="66"/>
      <c r="E369" s="66"/>
      <c r="F369" s="66"/>
      <c r="G369" s="66"/>
      <c r="H369" s="66"/>
      <c r="I369" s="66"/>
      <c r="J369" s="66"/>
      <c r="K369" s="66"/>
      <c r="L369" s="66"/>
      <c r="M369" s="66"/>
      <c r="N369" s="66"/>
      <c r="O369" s="66"/>
      <c r="P369" s="66"/>
    </row>
    <row r="370" spans="1:16" x14ac:dyDescent="0.2">
      <c r="A370" s="66"/>
      <c r="B370" s="66"/>
      <c r="C370" s="66"/>
      <c r="D370" s="66"/>
      <c r="E370" s="66"/>
      <c r="F370" s="66"/>
      <c r="G370" s="66"/>
      <c r="H370" s="66"/>
      <c r="I370" s="66"/>
      <c r="J370" s="66"/>
      <c r="K370" s="66"/>
      <c r="L370" s="66"/>
      <c r="M370" s="66"/>
      <c r="N370" s="66"/>
      <c r="O370" s="66"/>
      <c r="P370" s="66"/>
    </row>
    <row r="371" spans="1:16" x14ac:dyDescent="0.2">
      <c r="A371" s="66"/>
      <c r="B371" s="66"/>
      <c r="C371" s="66"/>
      <c r="D371" s="66"/>
      <c r="E371" s="66"/>
      <c r="F371" s="66"/>
      <c r="G371" s="66"/>
      <c r="H371" s="66"/>
      <c r="I371" s="66"/>
      <c r="J371" s="66"/>
      <c r="K371" s="66"/>
      <c r="L371" s="66"/>
      <c r="M371" s="66"/>
      <c r="N371" s="66"/>
      <c r="O371" s="66"/>
      <c r="P371" s="66"/>
    </row>
    <row r="372" spans="1:16" x14ac:dyDescent="0.2">
      <c r="A372" s="66"/>
      <c r="B372" s="66"/>
      <c r="C372" s="66"/>
      <c r="D372" s="66"/>
      <c r="E372" s="66"/>
      <c r="F372" s="66"/>
      <c r="G372" s="66"/>
      <c r="H372" s="66"/>
      <c r="I372" s="66"/>
      <c r="J372" s="66"/>
      <c r="K372" s="66"/>
      <c r="L372" s="66"/>
      <c r="M372" s="66"/>
      <c r="N372" s="66"/>
      <c r="O372" s="66"/>
      <c r="P372" s="66"/>
    </row>
    <row r="373" spans="1:16" x14ac:dyDescent="0.2">
      <c r="A373" s="66"/>
      <c r="B373" s="66"/>
      <c r="C373" s="66"/>
      <c r="D373" s="66"/>
      <c r="E373" s="66"/>
      <c r="F373" s="66"/>
      <c r="G373" s="66"/>
      <c r="H373" s="66"/>
      <c r="I373" s="66"/>
      <c r="J373" s="66"/>
      <c r="K373" s="66"/>
      <c r="L373" s="66"/>
      <c r="M373" s="66"/>
      <c r="N373" s="66"/>
      <c r="O373" s="66"/>
      <c r="P373" s="66"/>
    </row>
    <row r="374" spans="1:16" x14ac:dyDescent="0.2">
      <c r="A374" s="66"/>
      <c r="B374" s="66"/>
      <c r="C374" s="66"/>
      <c r="D374" s="66"/>
      <c r="E374" s="66"/>
      <c r="F374" s="66"/>
      <c r="G374" s="66"/>
      <c r="H374" s="66"/>
      <c r="I374" s="66"/>
      <c r="J374" s="66"/>
      <c r="K374" s="66"/>
      <c r="L374" s="66"/>
      <c r="M374" s="66"/>
      <c r="N374" s="66"/>
      <c r="O374" s="66"/>
      <c r="P374" s="66"/>
    </row>
    <row r="375" spans="1:16" x14ac:dyDescent="0.2">
      <c r="A375" s="66"/>
      <c r="B375" s="66"/>
      <c r="C375" s="66"/>
      <c r="D375" s="66"/>
      <c r="E375" s="66"/>
      <c r="F375" s="66"/>
      <c r="G375" s="66"/>
      <c r="H375" s="66"/>
      <c r="I375" s="66"/>
      <c r="J375" s="66"/>
      <c r="K375" s="66"/>
      <c r="L375" s="66"/>
      <c r="M375" s="66"/>
      <c r="N375" s="66"/>
      <c r="O375" s="66"/>
      <c r="P375" s="66"/>
    </row>
    <row r="376" spans="1:16" x14ac:dyDescent="0.2">
      <c r="A376" s="66"/>
      <c r="B376" s="66"/>
      <c r="C376" s="66"/>
      <c r="D376" s="66"/>
      <c r="E376" s="66"/>
      <c r="F376" s="66"/>
      <c r="G376" s="66"/>
      <c r="H376" s="66"/>
      <c r="I376" s="66"/>
      <c r="J376" s="66"/>
      <c r="K376" s="66"/>
      <c r="L376" s="66"/>
      <c r="M376" s="66"/>
      <c r="N376" s="66"/>
      <c r="O376" s="66"/>
      <c r="P376" s="66"/>
    </row>
    <row r="377" spans="1:16" x14ac:dyDescent="0.2">
      <c r="A377" s="66"/>
      <c r="B377" s="66"/>
      <c r="C377" s="66"/>
      <c r="D377" s="66"/>
      <c r="E377" s="66"/>
      <c r="F377" s="66"/>
      <c r="G377" s="66"/>
      <c r="H377" s="66"/>
      <c r="I377" s="66"/>
      <c r="J377" s="66"/>
      <c r="K377" s="66"/>
      <c r="L377" s="66"/>
      <c r="M377" s="66"/>
      <c r="N377" s="66"/>
      <c r="O377" s="66"/>
      <c r="P377" s="66"/>
    </row>
    <row r="378" spans="1:16" x14ac:dyDescent="0.2">
      <c r="A378" s="66"/>
      <c r="B378" s="66"/>
      <c r="C378" s="66"/>
      <c r="D378" s="66"/>
      <c r="E378" s="66"/>
      <c r="F378" s="66"/>
      <c r="G378" s="66"/>
      <c r="H378" s="66"/>
      <c r="I378" s="66"/>
      <c r="J378" s="66"/>
      <c r="K378" s="66"/>
      <c r="L378" s="66"/>
      <c r="M378" s="66"/>
      <c r="N378" s="66"/>
      <c r="O378" s="66"/>
      <c r="P378" s="66"/>
    </row>
    <row r="379" spans="1:16" x14ac:dyDescent="0.2">
      <c r="A379" s="66"/>
      <c r="B379" s="66"/>
      <c r="C379" s="66"/>
      <c r="D379" s="66"/>
      <c r="E379" s="66"/>
      <c r="F379" s="66"/>
      <c r="G379" s="66"/>
      <c r="H379" s="66"/>
      <c r="I379" s="66"/>
      <c r="J379" s="66"/>
      <c r="K379" s="66"/>
      <c r="L379" s="66"/>
      <c r="M379" s="66"/>
      <c r="N379" s="66"/>
      <c r="O379" s="66"/>
      <c r="P379" s="66"/>
    </row>
    <row r="380" spans="1:16" x14ac:dyDescent="0.2">
      <c r="A380" s="66"/>
      <c r="B380" s="66"/>
      <c r="C380" s="66"/>
      <c r="D380" s="66"/>
      <c r="E380" s="66"/>
      <c r="F380" s="66"/>
      <c r="G380" s="66"/>
      <c r="H380" s="66"/>
      <c r="I380" s="66"/>
      <c r="J380" s="66"/>
      <c r="K380" s="66"/>
      <c r="L380" s="66"/>
      <c r="M380" s="66"/>
      <c r="N380" s="66"/>
      <c r="O380" s="66"/>
      <c r="P380" s="66"/>
    </row>
    <row r="381" spans="1:16" x14ac:dyDescent="0.2">
      <c r="A381" s="66"/>
      <c r="B381" s="66"/>
      <c r="C381" s="66"/>
      <c r="D381" s="66"/>
      <c r="E381" s="66"/>
      <c r="F381" s="66"/>
      <c r="G381" s="66"/>
      <c r="H381" s="66"/>
      <c r="I381" s="66"/>
      <c r="J381" s="66"/>
      <c r="K381" s="66"/>
      <c r="L381" s="66"/>
      <c r="M381" s="66"/>
      <c r="N381" s="66"/>
      <c r="O381" s="66"/>
      <c r="P381" s="66"/>
    </row>
    <row r="382" spans="1:16" x14ac:dyDescent="0.2">
      <c r="A382" s="66"/>
      <c r="B382" s="66"/>
      <c r="C382" s="66"/>
      <c r="D382" s="66"/>
      <c r="E382" s="66"/>
      <c r="F382" s="66"/>
      <c r="G382" s="66"/>
      <c r="H382" s="66"/>
      <c r="I382" s="66"/>
      <c r="J382" s="66"/>
      <c r="K382" s="66"/>
      <c r="L382" s="66"/>
      <c r="M382" s="66"/>
      <c r="N382" s="66"/>
      <c r="O382" s="66"/>
      <c r="P382" s="66"/>
    </row>
    <row r="383" spans="1:16" x14ac:dyDescent="0.2">
      <c r="A383" s="66"/>
      <c r="B383" s="66"/>
      <c r="C383" s="66"/>
      <c r="D383" s="66"/>
      <c r="E383" s="66"/>
      <c r="F383" s="66"/>
      <c r="G383" s="66"/>
      <c r="H383" s="66"/>
      <c r="I383" s="66"/>
      <c r="J383" s="66"/>
      <c r="K383" s="66"/>
      <c r="L383" s="66"/>
      <c r="M383" s="66"/>
      <c r="N383" s="66"/>
      <c r="O383" s="66"/>
      <c r="P383" s="66"/>
    </row>
    <row r="384" spans="1:16" x14ac:dyDescent="0.2">
      <c r="A384" s="66"/>
      <c r="B384" s="66"/>
      <c r="C384" s="66"/>
      <c r="D384" s="66"/>
      <c r="E384" s="66"/>
      <c r="F384" s="66"/>
      <c r="G384" s="66"/>
      <c r="H384" s="66"/>
      <c r="I384" s="66"/>
      <c r="J384" s="66"/>
      <c r="K384" s="66"/>
      <c r="L384" s="66"/>
      <c r="M384" s="66"/>
      <c r="N384" s="66"/>
      <c r="O384" s="66"/>
      <c r="P384" s="66"/>
    </row>
    <row r="385" spans="1:16" x14ac:dyDescent="0.2">
      <c r="A385" s="66"/>
      <c r="B385" s="66"/>
      <c r="C385" s="66"/>
      <c r="D385" s="66"/>
      <c r="E385" s="66"/>
      <c r="F385" s="66"/>
      <c r="G385" s="66"/>
      <c r="H385" s="66"/>
      <c r="I385" s="66"/>
      <c r="J385" s="66"/>
      <c r="K385" s="66"/>
      <c r="L385" s="66"/>
      <c r="M385" s="66"/>
      <c r="N385" s="66"/>
      <c r="O385" s="66"/>
      <c r="P385" s="66"/>
    </row>
    <row r="386" spans="1:16" x14ac:dyDescent="0.2">
      <c r="A386" s="66"/>
      <c r="B386" s="66"/>
      <c r="C386" s="66"/>
      <c r="D386" s="66"/>
      <c r="E386" s="66"/>
      <c r="F386" s="66"/>
      <c r="G386" s="66"/>
      <c r="H386" s="66"/>
      <c r="I386" s="66"/>
      <c r="J386" s="66"/>
      <c r="K386" s="66"/>
      <c r="L386" s="66"/>
      <c r="M386" s="66"/>
      <c r="N386" s="66"/>
      <c r="O386" s="66"/>
      <c r="P386" s="66"/>
    </row>
    <row r="387" spans="1:16" x14ac:dyDescent="0.2">
      <c r="A387" s="66"/>
      <c r="B387" s="66"/>
      <c r="C387" s="66"/>
      <c r="D387" s="66"/>
      <c r="E387" s="66"/>
      <c r="F387" s="66"/>
      <c r="G387" s="66"/>
      <c r="H387" s="66"/>
      <c r="I387" s="66"/>
      <c r="J387" s="66"/>
      <c r="K387" s="66"/>
      <c r="L387" s="66"/>
      <c r="M387" s="66"/>
      <c r="N387" s="66"/>
      <c r="O387" s="66"/>
      <c r="P387" s="66"/>
    </row>
    <row r="388" spans="1:16" x14ac:dyDescent="0.2">
      <c r="A388" s="66"/>
      <c r="B388" s="66"/>
      <c r="C388" s="66"/>
      <c r="D388" s="66"/>
      <c r="E388" s="66"/>
      <c r="F388" s="66"/>
      <c r="G388" s="66"/>
      <c r="H388" s="66"/>
      <c r="I388" s="66"/>
      <c r="J388" s="66"/>
      <c r="K388" s="66"/>
      <c r="L388" s="66"/>
      <c r="M388" s="66"/>
      <c r="N388" s="66"/>
      <c r="O388" s="66"/>
      <c r="P388" s="66"/>
    </row>
    <row r="389" spans="1:16" x14ac:dyDescent="0.2">
      <c r="A389" s="66"/>
      <c r="B389" s="66"/>
      <c r="C389" s="66"/>
      <c r="D389" s="66"/>
      <c r="E389" s="66"/>
      <c r="F389" s="66"/>
      <c r="G389" s="66"/>
      <c r="H389" s="66"/>
      <c r="I389" s="66"/>
      <c r="J389" s="66"/>
      <c r="K389" s="66"/>
      <c r="L389" s="66"/>
      <c r="M389" s="66"/>
      <c r="N389" s="66"/>
      <c r="O389" s="66"/>
      <c r="P389" s="66"/>
    </row>
    <row r="390" spans="1:16" x14ac:dyDescent="0.2">
      <c r="A390" s="66"/>
      <c r="B390" s="66"/>
      <c r="C390" s="66"/>
      <c r="D390" s="66"/>
      <c r="E390" s="66"/>
      <c r="F390" s="66"/>
      <c r="G390" s="66"/>
      <c r="H390" s="66"/>
      <c r="I390" s="66"/>
      <c r="J390" s="66"/>
      <c r="K390" s="66"/>
      <c r="L390" s="66"/>
      <c r="M390" s="66"/>
      <c r="N390" s="66"/>
      <c r="O390" s="66"/>
      <c r="P390" s="66"/>
    </row>
    <row r="391" spans="1:16" x14ac:dyDescent="0.2">
      <c r="A391" s="66"/>
      <c r="B391" s="66"/>
      <c r="C391" s="66"/>
      <c r="D391" s="66"/>
      <c r="E391" s="66"/>
      <c r="F391" s="66"/>
      <c r="G391" s="66"/>
      <c r="H391" s="66"/>
      <c r="I391" s="66"/>
      <c r="J391" s="66"/>
      <c r="K391" s="66"/>
      <c r="L391" s="66"/>
      <c r="M391" s="66"/>
      <c r="N391" s="66"/>
      <c r="O391" s="66"/>
      <c r="P391" s="66"/>
    </row>
    <row r="392" spans="1:16" x14ac:dyDescent="0.2">
      <c r="A392" s="66"/>
      <c r="B392" s="66"/>
      <c r="C392" s="66"/>
      <c r="D392" s="66"/>
      <c r="E392" s="66"/>
      <c r="F392" s="66"/>
      <c r="G392" s="66"/>
      <c r="H392" s="66"/>
      <c r="I392" s="66"/>
      <c r="J392" s="66"/>
      <c r="K392" s="66"/>
      <c r="L392" s="66"/>
      <c r="M392" s="66"/>
      <c r="N392" s="66"/>
      <c r="O392" s="66"/>
      <c r="P392" s="66"/>
    </row>
    <row r="393" spans="1:16" x14ac:dyDescent="0.2">
      <c r="A393" s="66"/>
      <c r="B393" s="66"/>
      <c r="C393" s="66"/>
      <c r="D393" s="66"/>
      <c r="E393" s="66"/>
      <c r="F393" s="66"/>
      <c r="G393" s="66"/>
      <c r="H393" s="66"/>
      <c r="I393" s="66"/>
      <c r="J393" s="66"/>
      <c r="K393" s="66"/>
      <c r="L393" s="66"/>
      <c r="M393" s="66"/>
      <c r="N393" s="66"/>
      <c r="O393" s="66"/>
      <c r="P393" s="66"/>
    </row>
    <row r="394" spans="1:16" x14ac:dyDescent="0.2">
      <c r="A394" s="66"/>
      <c r="B394" s="66"/>
      <c r="C394" s="66"/>
      <c r="D394" s="66"/>
      <c r="E394" s="66"/>
      <c r="F394" s="66"/>
      <c r="G394" s="66"/>
      <c r="H394" s="66"/>
      <c r="I394" s="66"/>
      <c r="J394" s="66"/>
      <c r="K394" s="66"/>
      <c r="L394" s="66"/>
      <c r="M394" s="66"/>
      <c r="N394" s="66"/>
      <c r="O394" s="66"/>
      <c r="P394" s="66"/>
    </row>
    <row r="395" spans="1:16" x14ac:dyDescent="0.2">
      <c r="A395" s="66"/>
      <c r="B395" s="66"/>
      <c r="C395" s="66"/>
      <c r="D395" s="66"/>
      <c r="E395" s="66"/>
      <c r="F395" s="66"/>
      <c r="G395" s="66"/>
      <c r="H395" s="66"/>
      <c r="I395" s="66"/>
      <c r="J395" s="66"/>
      <c r="K395" s="66"/>
      <c r="L395" s="66"/>
      <c r="M395" s="66"/>
      <c r="N395" s="66"/>
      <c r="O395" s="66"/>
      <c r="P395" s="66"/>
    </row>
    <row r="396" spans="1:16" x14ac:dyDescent="0.2">
      <c r="A396" s="66"/>
      <c r="B396" s="66"/>
      <c r="C396" s="66"/>
      <c r="D396" s="66"/>
      <c r="E396" s="66"/>
      <c r="F396" s="66"/>
      <c r="G396" s="66"/>
      <c r="H396" s="66"/>
      <c r="I396" s="66"/>
      <c r="J396" s="66"/>
      <c r="K396" s="66"/>
      <c r="L396" s="66"/>
      <c r="M396" s="66"/>
      <c r="N396" s="66"/>
      <c r="O396" s="66"/>
      <c r="P396" s="66"/>
    </row>
    <row r="397" spans="1:16" x14ac:dyDescent="0.2">
      <c r="A397" s="66"/>
      <c r="B397" s="66"/>
      <c r="C397" s="66"/>
      <c r="D397" s="66"/>
      <c r="E397" s="66"/>
      <c r="F397" s="66"/>
      <c r="G397" s="66"/>
      <c r="H397" s="66"/>
      <c r="I397" s="66"/>
      <c r="J397" s="66"/>
      <c r="K397" s="66"/>
      <c r="L397" s="66"/>
      <c r="M397" s="66"/>
      <c r="N397" s="66"/>
      <c r="O397" s="66"/>
      <c r="P397" s="66"/>
    </row>
    <row r="398" spans="1:16" x14ac:dyDescent="0.2">
      <c r="A398" s="66"/>
      <c r="B398" s="66"/>
      <c r="C398" s="66"/>
      <c r="D398" s="66"/>
      <c r="E398" s="66"/>
      <c r="F398" s="66"/>
      <c r="G398" s="66"/>
      <c r="H398" s="66"/>
      <c r="I398" s="66"/>
      <c r="J398" s="66"/>
      <c r="K398" s="66"/>
      <c r="L398" s="66"/>
      <c r="M398" s="66"/>
      <c r="N398" s="66"/>
      <c r="O398" s="66"/>
      <c r="P398" s="66"/>
    </row>
    <row r="399" spans="1:16" x14ac:dyDescent="0.2">
      <c r="A399" s="66"/>
      <c r="B399" s="66"/>
      <c r="C399" s="66"/>
      <c r="D399" s="66"/>
      <c r="E399" s="66"/>
      <c r="F399" s="66"/>
      <c r="G399" s="66"/>
      <c r="H399" s="66"/>
      <c r="I399" s="66"/>
      <c r="J399" s="66"/>
      <c r="K399" s="66"/>
      <c r="L399" s="66"/>
      <c r="M399" s="66"/>
      <c r="N399" s="66"/>
      <c r="O399" s="66"/>
      <c r="P399" s="66"/>
    </row>
    <row r="400" spans="1:16" x14ac:dyDescent="0.2">
      <c r="A400" s="66"/>
      <c r="B400" s="66"/>
      <c r="C400" s="66"/>
      <c r="D400" s="66"/>
      <c r="E400" s="66"/>
      <c r="F400" s="66"/>
      <c r="G400" s="66"/>
      <c r="H400" s="66"/>
      <c r="I400" s="66"/>
      <c r="J400" s="66"/>
      <c r="K400" s="66"/>
      <c r="L400" s="66"/>
      <c r="M400" s="66"/>
      <c r="N400" s="66"/>
      <c r="O400" s="66"/>
      <c r="P400" s="66"/>
    </row>
  </sheetData>
  <sheetProtection formatCells="0" formatColumns="0" formatRows="0" sort="0" autoFilter="0"/>
  <mergeCells count="31">
    <mergeCell ref="B40:N40"/>
    <mergeCell ref="B3:N3"/>
    <mergeCell ref="B7:N7"/>
    <mergeCell ref="B16:N16"/>
    <mergeCell ref="E18:N18"/>
    <mergeCell ref="E19:N19"/>
    <mergeCell ref="B20:N20"/>
    <mergeCell ref="B22:N22"/>
    <mergeCell ref="F24:N24"/>
    <mergeCell ref="B29:N29"/>
    <mergeCell ref="B38:N38"/>
    <mergeCell ref="B115:N115"/>
    <mergeCell ref="E47:N47"/>
    <mergeCell ref="B54:N54"/>
    <mergeCell ref="E64:N64"/>
    <mergeCell ref="B66:N66"/>
    <mergeCell ref="B72:N72"/>
    <mergeCell ref="B78:N78"/>
    <mergeCell ref="B79:N79"/>
    <mergeCell ref="B80:N80"/>
    <mergeCell ref="B104:O104"/>
    <mergeCell ref="B105:O105"/>
    <mergeCell ref="B114:N114"/>
    <mergeCell ref="B172:N172"/>
    <mergeCell ref="B174:N174"/>
    <mergeCell ref="E116:N116"/>
    <mergeCell ref="B118:N118"/>
    <mergeCell ref="B142:N142"/>
    <mergeCell ref="I143:N143"/>
    <mergeCell ref="B151:N151"/>
    <mergeCell ref="B152:N152"/>
  </mergeCells>
  <conditionalFormatting sqref="B79">
    <cfRule type="expression" dxfId="7" priority="3">
      <formula>$C$18="Planned"</formula>
    </cfRule>
    <cfRule type="expression" dxfId="6" priority="4">
      <formula>$C$18="Capacity"</formula>
    </cfRule>
  </conditionalFormatting>
  <conditionalFormatting sqref="B115">
    <cfRule type="expression" dxfId="5" priority="5">
      <formula>$C$18="Capacity"</formula>
    </cfRule>
    <cfRule type="expression" dxfId="4" priority="6">
      <formula>$C$18="Planned"</formula>
    </cfRule>
  </conditionalFormatting>
  <conditionalFormatting sqref="B78:O78 B79 O79 B80:O112">
    <cfRule type="expression" dxfId="3" priority="1">
      <formula>$C$18="Capacity"</formula>
    </cfRule>
  </conditionalFormatting>
  <conditionalFormatting sqref="B114:O114 B115 O115 B116:O142 B143:I143 O143 B144:O170">
    <cfRule type="expression" dxfId="2" priority="2">
      <formula>$C$18="Planned"</formula>
    </cfRule>
  </conditionalFormatting>
  <conditionalFormatting sqref="E18">
    <cfRule type="expression" dxfId="1" priority="7">
      <formula>$C$18="Planned"</formula>
    </cfRule>
  </conditionalFormatting>
  <conditionalFormatting sqref="E19">
    <cfRule type="expression" dxfId="0" priority="8">
      <formula>$C$18="Capacity"</formula>
    </cfRule>
  </conditionalFormatting>
  <dataValidations count="3">
    <dataValidation type="list" allowBlank="1" showInputMessage="1" showErrorMessage="1" sqref="E121:E140" xr:uid="{565167E7-12AE-794F-B490-8CAB415BEA8E}">
      <formula1>cal_jurisdictions</formula1>
    </dataValidation>
    <dataValidation type="list" allowBlank="1" showInputMessage="1" showErrorMessage="1" sqref="C18" xr:uid="{C0611D9B-1DCF-3842-8586-345C2DBAA3C0}">
      <formula1>"Planned,Capacity"</formula1>
    </dataValidation>
    <dataValidation type="list" allowBlank="1" showInputMessage="1" showErrorMessage="1" sqref="C8" xr:uid="{49311B72-DE47-2E4B-BE7A-BFB47A97C9D2}">
      <formula1>"AU,NZ,US"</formula1>
    </dataValidation>
  </dataValidations>
  <printOptions horizontalCentered="1"/>
  <pageMargins left="0.4" right="0.4" top="0.5" bottom="0.5" header="0.3" footer="0.3"/>
  <pageSetup fitToHeight="0"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1E50FF"/>
  </sheetPr>
  <dimension ref="A1:BZ2217"/>
  <sheetViews>
    <sheetView showGridLines="0" workbookViewId="0">
      <selection activeCell="R7" sqref="R7"/>
    </sheetView>
  </sheetViews>
  <sheetFormatPr baseColWidth="10" defaultColWidth="8.83203125" defaultRowHeight="15" x14ac:dyDescent="0.2"/>
  <cols>
    <col min="1" max="1" width="2" style="42" customWidth="1"/>
    <col min="2" max="2" width="30" style="42" customWidth="1"/>
    <col min="3" max="3" width="11.1640625" style="42" bestFit="1" customWidth="1"/>
    <col min="4" max="14" width="9" style="42" customWidth="1"/>
    <col min="15" max="16384" width="8.83203125" style="42"/>
  </cols>
  <sheetData>
    <row r="1" spans="1:78" x14ac:dyDescent="0.2">
      <c r="A1" s="20"/>
      <c r="B1" s="21" t="s">
        <v>247</v>
      </c>
      <c r="C1" s="20"/>
      <c r="D1" s="20"/>
      <c r="E1" s="20"/>
      <c r="F1" s="20"/>
      <c r="G1" s="20"/>
      <c r="H1" s="20"/>
      <c r="I1" s="20"/>
      <c r="J1" s="20"/>
      <c r="K1" s="20"/>
      <c r="L1" s="20"/>
      <c r="M1" s="20"/>
      <c r="N1" s="20"/>
      <c r="O1" s="20"/>
      <c r="BZ1"/>
    </row>
    <row r="2" spans="1:78" x14ac:dyDescent="0.2">
      <c r="A2" s="20"/>
      <c r="B2" s="22" t="s">
        <v>248</v>
      </c>
      <c r="C2" s="20"/>
      <c r="D2" s="20"/>
      <c r="E2" s="20"/>
      <c r="F2" s="20"/>
      <c r="G2" s="20"/>
      <c r="H2" s="20"/>
      <c r="I2" s="20"/>
      <c r="J2" s="20"/>
      <c r="K2" s="20"/>
      <c r="L2" s="20"/>
      <c r="M2" s="20"/>
      <c r="N2" s="20"/>
      <c r="BZ2"/>
    </row>
    <row r="3" spans="1:78" x14ac:dyDescent="0.2">
      <c r="A3" s="20"/>
      <c r="B3" s="20"/>
      <c r="C3" s="20"/>
      <c r="D3" s="20"/>
      <c r="E3" s="20"/>
      <c r="F3" s="20"/>
      <c r="G3" s="20"/>
      <c r="H3" s="20"/>
      <c r="I3" s="20"/>
      <c r="J3" s="20"/>
      <c r="K3" s="20"/>
      <c r="L3" s="20"/>
      <c r="M3" s="20"/>
      <c r="N3" s="20"/>
      <c r="O3" s="20"/>
      <c r="BZ3"/>
    </row>
    <row r="4" spans="1:78" x14ac:dyDescent="0.2">
      <c r="A4" s="20"/>
      <c r="B4" s="23" t="s">
        <v>249</v>
      </c>
      <c r="C4" s="24">
        <v>45839</v>
      </c>
      <c r="D4" s="20"/>
      <c r="E4" s="20"/>
      <c r="F4" s="40" t="s">
        <v>5</v>
      </c>
      <c r="G4" s="39" t="s">
        <v>6</v>
      </c>
      <c r="H4" s="36"/>
      <c r="I4" s="37" t="s">
        <v>7</v>
      </c>
      <c r="J4" s="36"/>
      <c r="K4" s="38" t="s">
        <v>522</v>
      </c>
      <c r="L4" s="20"/>
      <c r="M4" s="20"/>
      <c r="N4" s="20"/>
      <c r="O4" s="20"/>
    </row>
    <row r="5" spans="1:78" x14ac:dyDescent="0.2">
      <c r="A5" s="20"/>
      <c r="B5" s="20"/>
      <c r="C5" s="20"/>
      <c r="D5" s="20"/>
      <c r="E5" s="20"/>
      <c r="F5" s="20"/>
      <c r="G5" s="20"/>
      <c r="H5" s="20"/>
      <c r="I5" s="20"/>
      <c r="J5" s="20"/>
      <c r="K5" s="20"/>
      <c r="L5" s="20"/>
      <c r="M5" s="20"/>
      <c r="N5" s="20"/>
      <c r="O5" s="20"/>
    </row>
    <row r="6" spans="1:78" x14ac:dyDescent="0.2">
      <c r="A6" s="20"/>
      <c r="B6" s="21" t="s">
        <v>250</v>
      </c>
      <c r="C6" s="25" t="s">
        <v>172</v>
      </c>
      <c r="D6" s="25" t="s">
        <v>173</v>
      </c>
      <c r="E6" s="25" t="s">
        <v>174</v>
      </c>
      <c r="F6" s="25" t="s">
        <v>175</v>
      </c>
      <c r="G6" s="25" t="s">
        <v>176</v>
      </c>
      <c r="H6" s="25" t="s">
        <v>177</v>
      </c>
      <c r="I6" s="25" t="s">
        <v>178</v>
      </c>
      <c r="J6" s="25" t="s">
        <v>179</v>
      </c>
      <c r="K6" s="25" t="s">
        <v>180</v>
      </c>
      <c r="L6" s="25" t="s">
        <v>181</v>
      </c>
      <c r="M6" s="25" t="s">
        <v>182</v>
      </c>
      <c r="N6" s="25" t="s">
        <v>183</v>
      </c>
      <c r="O6" s="20"/>
    </row>
    <row r="7" spans="1:78" x14ac:dyDescent="0.2">
      <c r="A7" s="20"/>
      <c r="B7" s="21" t="s">
        <v>251</v>
      </c>
      <c r="C7" s="26">
        <f>$C$4</f>
        <v>45839</v>
      </c>
      <c r="D7" s="26">
        <f>EDATE($C$4,1)</f>
        <v>45870</v>
      </c>
      <c r="E7" s="26">
        <f>EDATE($C$4,2)</f>
        <v>45901</v>
      </c>
      <c r="F7" s="26">
        <f>EDATE($C$4,3)</f>
        <v>45931</v>
      </c>
      <c r="G7" s="26">
        <f>EDATE($C$4,4)</f>
        <v>45962</v>
      </c>
      <c r="H7" s="26">
        <f>EDATE($C$4,5)</f>
        <v>45992</v>
      </c>
      <c r="I7" s="26">
        <f>EDATE($C$4,6)</f>
        <v>46023</v>
      </c>
      <c r="J7" s="26">
        <f>EDATE($C$4,7)</f>
        <v>46054</v>
      </c>
      <c r="K7" s="26">
        <f>EDATE($C$4,8)</f>
        <v>46082</v>
      </c>
      <c r="L7" s="26">
        <f>EDATE($C$4,9)</f>
        <v>46113</v>
      </c>
      <c r="M7" s="26">
        <f>EDATE($C$4,10)</f>
        <v>46143</v>
      </c>
      <c r="N7" s="26">
        <f>EDATE($C$4,11)</f>
        <v>46174</v>
      </c>
      <c r="O7" s="20"/>
    </row>
    <row r="8" spans="1:78" x14ac:dyDescent="0.2">
      <c r="A8" s="20"/>
      <c r="B8" s="21" t="s">
        <v>252</v>
      </c>
      <c r="C8" s="27" t="str">
        <f t="shared" ref="C8:N8" si="0">TEXT(C7,"yyyy-mm")</f>
        <v>2025-07</v>
      </c>
      <c r="D8" s="27" t="str">
        <f t="shared" si="0"/>
        <v>2025-08</v>
      </c>
      <c r="E8" s="27" t="str">
        <f t="shared" si="0"/>
        <v>2025-09</v>
      </c>
      <c r="F8" s="27" t="str">
        <f t="shared" si="0"/>
        <v>2025-10</v>
      </c>
      <c r="G8" s="27" t="str">
        <f t="shared" si="0"/>
        <v>2025-11</v>
      </c>
      <c r="H8" s="27" t="str">
        <f t="shared" si="0"/>
        <v>2025-12</v>
      </c>
      <c r="I8" s="27" t="str">
        <f t="shared" si="0"/>
        <v>2026-01</v>
      </c>
      <c r="J8" s="27" t="str">
        <f t="shared" si="0"/>
        <v>2026-02</v>
      </c>
      <c r="K8" s="27" t="str">
        <f t="shared" si="0"/>
        <v>2026-03</v>
      </c>
      <c r="L8" s="27" t="str">
        <f t="shared" si="0"/>
        <v>2026-04</v>
      </c>
      <c r="M8" s="27" t="str">
        <f t="shared" si="0"/>
        <v>2026-05</v>
      </c>
      <c r="N8" s="27" t="str">
        <f t="shared" si="0"/>
        <v>2026-06</v>
      </c>
      <c r="O8" s="20"/>
    </row>
    <row r="9" spans="1:78" x14ac:dyDescent="0.2">
      <c r="A9" s="20"/>
      <c r="B9" s="20"/>
      <c r="C9" s="20"/>
      <c r="D9" s="20"/>
      <c r="E9" s="20"/>
      <c r="F9" s="20"/>
      <c r="G9" s="20"/>
      <c r="H9" s="20"/>
      <c r="I9" s="20"/>
      <c r="J9" s="20"/>
      <c r="K9" s="20"/>
      <c r="L9" s="20"/>
      <c r="M9" s="20"/>
      <c r="N9" s="20"/>
      <c r="O9" s="20"/>
    </row>
    <row r="10" spans="1:78" x14ac:dyDescent="0.2">
      <c r="A10" s="20"/>
      <c r="B10" s="28" t="s">
        <v>253</v>
      </c>
      <c r="C10" s="20"/>
      <c r="D10" s="20"/>
      <c r="E10" s="20"/>
      <c r="F10" s="20"/>
      <c r="G10" s="20"/>
      <c r="H10" s="20"/>
      <c r="I10" s="20"/>
      <c r="J10" s="20"/>
      <c r="K10" s="20"/>
      <c r="L10" s="20"/>
      <c r="M10" s="20"/>
      <c r="N10" s="20"/>
      <c r="O10" s="20"/>
    </row>
    <row r="11" spans="1:78" x14ac:dyDescent="0.2">
      <c r="A11" s="20"/>
      <c r="B11" s="21" t="s">
        <v>189</v>
      </c>
      <c r="C11" s="25" t="s">
        <v>172</v>
      </c>
      <c r="D11" s="25" t="s">
        <v>173</v>
      </c>
      <c r="E11" s="25" t="s">
        <v>174</v>
      </c>
      <c r="F11" s="25" t="s">
        <v>175</v>
      </c>
      <c r="G11" s="25" t="s">
        <v>176</v>
      </c>
      <c r="H11" s="25" t="s">
        <v>177</v>
      </c>
      <c r="I11" s="25" t="s">
        <v>178</v>
      </c>
      <c r="J11" s="25" t="s">
        <v>179</v>
      </c>
      <c r="K11" s="25" t="s">
        <v>180</v>
      </c>
      <c r="L11" s="25" t="s">
        <v>181</v>
      </c>
      <c r="M11" s="25" t="s">
        <v>182</v>
      </c>
      <c r="N11" s="25" t="s">
        <v>183</v>
      </c>
      <c r="O11" s="20"/>
    </row>
    <row r="12" spans="1:78" x14ac:dyDescent="0.2">
      <c r="A12" s="20"/>
      <c r="B12" s="23" t="s">
        <v>197</v>
      </c>
      <c r="C12" s="29">
        <f t="shared" ref="C12:N21" si="1">INDEX($C$45:$BV$71,MATCH($B12,$B$45:$B$71,0),MATCH(C$8,$C$44:$BV$44,0))</f>
        <v>23</v>
      </c>
      <c r="D12" s="29">
        <f t="shared" si="1"/>
        <v>21</v>
      </c>
      <c r="E12" s="29">
        <f t="shared" si="1"/>
        <v>22</v>
      </c>
      <c r="F12" s="29">
        <f t="shared" si="1"/>
        <v>22</v>
      </c>
      <c r="G12" s="29">
        <f t="shared" si="1"/>
        <v>20</v>
      </c>
      <c r="H12" s="29">
        <f t="shared" si="1"/>
        <v>21</v>
      </c>
      <c r="I12" s="29">
        <f t="shared" si="1"/>
        <v>20</v>
      </c>
      <c r="J12" s="29">
        <f t="shared" si="1"/>
        <v>20</v>
      </c>
      <c r="K12" s="29">
        <f t="shared" si="1"/>
        <v>22</v>
      </c>
      <c r="L12" s="29">
        <f t="shared" si="1"/>
        <v>19</v>
      </c>
      <c r="M12" s="29">
        <f t="shared" si="1"/>
        <v>21</v>
      </c>
      <c r="N12" s="29">
        <f t="shared" si="1"/>
        <v>21</v>
      </c>
      <c r="O12" s="20"/>
    </row>
    <row r="13" spans="1:78" x14ac:dyDescent="0.2">
      <c r="A13" s="20"/>
      <c r="B13" s="23" t="s">
        <v>199</v>
      </c>
      <c r="C13" s="29">
        <f t="shared" si="1"/>
        <v>23</v>
      </c>
      <c r="D13" s="29">
        <f t="shared" si="1"/>
        <v>21</v>
      </c>
      <c r="E13" s="29">
        <f t="shared" si="1"/>
        <v>21</v>
      </c>
      <c r="F13" s="29">
        <f t="shared" si="1"/>
        <v>23</v>
      </c>
      <c r="G13" s="29">
        <f t="shared" si="1"/>
        <v>19</v>
      </c>
      <c r="H13" s="29">
        <f t="shared" si="1"/>
        <v>21</v>
      </c>
      <c r="I13" s="29">
        <f t="shared" si="1"/>
        <v>20</v>
      </c>
      <c r="J13" s="29">
        <f t="shared" si="1"/>
        <v>20</v>
      </c>
      <c r="K13" s="29">
        <f t="shared" si="1"/>
        <v>21</v>
      </c>
      <c r="L13" s="29">
        <f t="shared" si="1"/>
        <v>20</v>
      </c>
      <c r="M13" s="29">
        <f t="shared" si="1"/>
        <v>21</v>
      </c>
      <c r="N13" s="29">
        <f t="shared" si="1"/>
        <v>21</v>
      </c>
      <c r="O13" s="20"/>
    </row>
    <row r="14" spans="1:78" x14ac:dyDescent="0.2">
      <c r="A14" s="20"/>
      <c r="B14" s="23" t="s">
        <v>202</v>
      </c>
      <c r="C14" s="29">
        <f t="shared" si="1"/>
        <v>23</v>
      </c>
      <c r="D14" s="29">
        <f t="shared" si="1"/>
        <v>20</v>
      </c>
      <c r="E14" s="29">
        <f t="shared" si="1"/>
        <v>22</v>
      </c>
      <c r="F14" s="29">
        <f t="shared" si="1"/>
        <v>22</v>
      </c>
      <c r="G14" s="29">
        <f t="shared" si="1"/>
        <v>20</v>
      </c>
      <c r="H14" s="29">
        <f t="shared" si="1"/>
        <v>21</v>
      </c>
      <c r="I14" s="29">
        <f t="shared" si="1"/>
        <v>20</v>
      </c>
      <c r="J14" s="29">
        <f t="shared" si="1"/>
        <v>20</v>
      </c>
      <c r="K14" s="29">
        <f t="shared" si="1"/>
        <v>22</v>
      </c>
      <c r="L14" s="29">
        <f t="shared" si="1"/>
        <v>20</v>
      </c>
      <c r="M14" s="29">
        <f t="shared" si="1"/>
        <v>20</v>
      </c>
      <c r="N14" s="29">
        <f t="shared" si="1"/>
        <v>22</v>
      </c>
      <c r="O14" s="20"/>
    </row>
    <row r="15" spans="1:78" x14ac:dyDescent="0.2">
      <c r="A15" s="20"/>
      <c r="B15" s="23" t="s">
        <v>254</v>
      </c>
      <c r="C15" s="29">
        <f t="shared" si="1"/>
        <v>23</v>
      </c>
      <c r="D15" s="29">
        <f t="shared" si="1"/>
        <v>21</v>
      </c>
      <c r="E15" s="29">
        <f t="shared" si="1"/>
        <v>21</v>
      </c>
      <c r="F15" s="29">
        <f t="shared" si="1"/>
        <v>23</v>
      </c>
      <c r="G15" s="29">
        <f t="shared" si="1"/>
        <v>20</v>
      </c>
      <c r="H15" s="29">
        <f t="shared" si="1"/>
        <v>21</v>
      </c>
      <c r="I15" s="29">
        <f t="shared" si="1"/>
        <v>20</v>
      </c>
      <c r="J15" s="29">
        <f t="shared" si="1"/>
        <v>20</v>
      </c>
      <c r="K15" s="29">
        <f t="shared" si="1"/>
        <v>21</v>
      </c>
      <c r="L15" s="29">
        <f t="shared" si="1"/>
        <v>19</v>
      </c>
      <c r="M15" s="29">
        <f t="shared" si="1"/>
        <v>21</v>
      </c>
      <c r="N15" s="29">
        <f t="shared" si="1"/>
        <v>21</v>
      </c>
      <c r="O15" s="20"/>
    </row>
    <row r="16" spans="1:78" x14ac:dyDescent="0.2">
      <c r="A16" s="20"/>
      <c r="B16" s="23" t="s">
        <v>255</v>
      </c>
      <c r="C16" s="29">
        <f t="shared" si="1"/>
        <v>23</v>
      </c>
      <c r="D16" s="29">
        <f t="shared" si="1"/>
        <v>21</v>
      </c>
      <c r="E16" s="29">
        <f t="shared" si="1"/>
        <v>22</v>
      </c>
      <c r="F16" s="29">
        <f t="shared" si="1"/>
        <v>22</v>
      </c>
      <c r="G16" s="29">
        <f t="shared" si="1"/>
        <v>20</v>
      </c>
      <c r="H16" s="29">
        <f t="shared" si="1"/>
        <v>21</v>
      </c>
      <c r="I16" s="29">
        <f t="shared" si="1"/>
        <v>20</v>
      </c>
      <c r="J16" s="29">
        <f t="shared" si="1"/>
        <v>20</v>
      </c>
      <c r="K16" s="29">
        <f t="shared" si="1"/>
        <v>21</v>
      </c>
      <c r="L16" s="29">
        <f t="shared" si="1"/>
        <v>20</v>
      </c>
      <c r="M16" s="29">
        <f t="shared" si="1"/>
        <v>21</v>
      </c>
      <c r="N16" s="29">
        <f t="shared" si="1"/>
        <v>21</v>
      </c>
      <c r="O16" s="20"/>
    </row>
    <row r="17" spans="1:15" x14ac:dyDescent="0.2">
      <c r="A17" s="20"/>
      <c r="B17" s="23" t="s">
        <v>256</v>
      </c>
      <c r="C17" s="29">
        <f t="shared" si="1"/>
        <v>23</v>
      </c>
      <c r="D17" s="29">
        <f t="shared" si="1"/>
        <v>21</v>
      </c>
      <c r="E17" s="29">
        <f t="shared" si="1"/>
        <v>22</v>
      </c>
      <c r="F17" s="29">
        <f t="shared" si="1"/>
        <v>23</v>
      </c>
      <c r="G17" s="29">
        <f t="shared" si="1"/>
        <v>20</v>
      </c>
      <c r="H17" s="29">
        <f t="shared" si="1"/>
        <v>21</v>
      </c>
      <c r="I17" s="29">
        <f t="shared" si="1"/>
        <v>20</v>
      </c>
      <c r="J17" s="29">
        <f t="shared" si="1"/>
        <v>20</v>
      </c>
      <c r="K17" s="29">
        <f t="shared" si="1"/>
        <v>21</v>
      </c>
      <c r="L17" s="29">
        <f t="shared" si="1"/>
        <v>20</v>
      </c>
      <c r="M17" s="29">
        <f t="shared" si="1"/>
        <v>21</v>
      </c>
      <c r="N17" s="29">
        <f t="shared" si="1"/>
        <v>21</v>
      </c>
      <c r="O17" s="20"/>
    </row>
    <row r="18" spans="1:15" x14ac:dyDescent="0.2">
      <c r="A18" s="20"/>
      <c r="B18" s="23" t="s">
        <v>257</v>
      </c>
      <c r="C18" s="29">
        <f t="shared" si="1"/>
        <v>23</v>
      </c>
      <c r="D18" s="29">
        <f t="shared" si="1"/>
        <v>21</v>
      </c>
      <c r="E18" s="29">
        <f t="shared" si="1"/>
        <v>22</v>
      </c>
      <c r="F18" s="29">
        <f t="shared" si="1"/>
        <v>22</v>
      </c>
      <c r="G18" s="29">
        <f t="shared" si="1"/>
        <v>20</v>
      </c>
      <c r="H18" s="29">
        <f t="shared" si="1"/>
        <v>21</v>
      </c>
      <c r="I18" s="29">
        <f t="shared" si="1"/>
        <v>20</v>
      </c>
      <c r="J18" s="29">
        <f t="shared" si="1"/>
        <v>20</v>
      </c>
      <c r="K18" s="29">
        <f t="shared" si="1"/>
        <v>21</v>
      </c>
      <c r="L18" s="29">
        <f t="shared" si="1"/>
        <v>19</v>
      </c>
      <c r="M18" s="29">
        <f t="shared" si="1"/>
        <v>21</v>
      </c>
      <c r="N18" s="29">
        <f t="shared" si="1"/>
        <v>20</v>
      </c>
      <c r="O18" s="20"/>
    </row>
    <row r="19" spans="1:15" x14ac:dyDescent="0.2">
      <c r="A19" s="20"/>
      <c r="B19" s="23" t="s">
        <v>258</v>
      </c>
      <c r="C19" s="29">
        <f t="shared" si="1"/>
        <v>23</v>
      </c>
      <c r="D19" s="29">
        <f t="shared" si="1"/>
        <v>20</v>
      </c>
      <c r="E19" s="29">
        <f t="shared" si="1"/>
        <v>22</v>
      </c>
      <c r="F19" s="29">
        <f t="shared" si="1"/>
        <v>23</v>
      </c>
      <c r="G19" s="29">
        <f t="shared" si="1"/>
        <v>20</v>
      </c>
      <c r="H19" s="29">
        <f t="shared" si="1"/>
        <v>21</v>
      </c>
      <c r="I19" s="29">
        <f t="shared" si="1"/>
        <v>20</v>
      </c>
      <c r="J19" s="29">
        <f t="shared" si="1"/>
        <v>20</v>
      </c>
      <c r="K19" s="29">
        <f t="shared" si="1"/>
        <v>22</v>
      </c>
      <c r="L19" s="29">
        <f t="shared" si="1"/>
        <v>20</v>
      </c>
      <c r="M19" s="29">
        <f t="shared" si="1"/>
        <v>20</v>
      </c>
      <c r="N19" s="29">
        <f t="shared" si="1"/>
        <v>21</v>
      </c>
      <c r="O19" s="20"/>
    </row>
    <row r="20" spans="1:15" x14ac:dyDescent="0.2">
      <c r="A20" s="20"/>
      <c r="B20" s="23" t="s">
        <v>259</v>
      </c>
      <c r="C20" s="29">
        <f t="shared" si="1"/>
        <v>23</v>
      </c>
      <c r="D20" s="29">
        <f t="shared" si="1"/>
        <v>21</v>
      </c>
      <c r="E20" s="29">
        <f t="shared" si="1"/>
        <v>22</v>
      </c>
      <c r="F20" s="29">
        <f t="shared" si="1"/>
        <v>22</v>
      </c>
      <c r="G20" s="29">
        <f t="shared" si="1"/>
        <v>20</v>
      </c>
      <c r="H20" s="29">
        <f t="shared" si="1"/>
        <v>21</v>
      </c>
      <c r="I20" s="29">
        <f t="shared" si="1"/>
        <v>20</v>
      </c>
      <c r="J20" s="29">
        <f t="shared" si="1"/>
        <v>19</v>
      </c>
      <c r="K20" s="29">
        <f t="shared" si="1"/>
        <v>22</v>
      </c>
      <c r="L20" s="29">
        <f t="shared" si="1"/>
        <v>19</v>
      </c>
      <c r="M20" s="29">
        <f t="shared" si="1"/>
        <v>21</v>
      </c>
      <c r="N20" s="29">
        <f t="shared" si="1"/>
        <v>21</v>
      </c>
      <c r="O20" s="20"/>
    </row>
    <row r="21" spans="1:15" x14ac:dyDescent="0.2">
      <c r="A21" s="20"/>
      <c r="B21" s="23" t="s">
        <v>203</v>
      </c>
      <c r="C21" s="29">
        <f t="shared" si="1"/>
        <v>23</v>
      </c>
      <c r="D21" s="29">
        <f t="shared" si="1"/>
        <v>21</v>
      </c>
      <c r="E21" s="29">
        <f t="shared" si="1"/>
        <v>22</v>
      </c>
      <c r="F21" s="29">
        <f t="shared" si="1"/>
        <v>22</v>
      </c>
      <c r="G21" s="29">
        <f t="shared" si="1"/>
        <v>20</v>
      </c>
      <c r="H21" s="29">
        <f t="shared" si="1"/>
        <v>21</v>
      </c>
      <c r="I21" s="29">
        <f t="shared" si="1"/>
        <v>19</v>
      </c>
      <c r="J21" s="29">
        <f t="shared" si="1"/>
        <v>19</v>
      </c>
      <c r="K21" s="29">
        <f t="shared" si="1"/>
        <v>22</v>
      </c>
      <c r="L21" s="29">
        <f t="shared" si="1"/>
        <v>19</v>
      </c>
      <c r="M21" s="29">
        <f t="shared" si="1"/>
        <v>21</v>
      </c>
      <c r="N21" s="29">
        <f t="shared" si="1"/>
        <v>21</v>
      </c>
      <c r="O21" s="20"/>
    </row>
    <row r="22" spans="1:15" x14ac:dyDescent="0.2">
      <c r="A22" s="20"/>
      <c r="B22" s="23" t="s">
        <v>260</v>
      </c>
      <c r="C22" s="29">
        <f t="shared" ref="C22:N31" si="2">INDEX($C$45:$BV$71,MATCH($B22,$B$45:$B$71,0),MATCH(C$8,$C$44:$BV$44,0))</f>
        <v>23</v>
      </c>
      <c r="D22" s="29">
        <f t="shared" si="2"/>
        <v>21</v>
      </c>
      <c r="E22" s="29">
        <f t="shared" si="2"/>
        <v>22</v>
      </c>
      <c r="F22" s="29">
        <f t="shared" si="2"/>
        <v>22</v>
      </c>
      <c r="G22" s="29">
        <f t="shared" si="2"/>
        <v>20</v>
      </c>
      <c r="H22" s="29">
        <f t="shared" si="2"/>
        <v>21</v>
      </c>
      <c r="I22" s="29">
        <f t="shared" si="2"/>
        <v>19</v>
      </c>
      <c r="J22" s="29">
        <f t="shared" si="2"/>
        <v>19</v>
      </c>
      <c r="K22" s="29">
        <f t="shared" si="2"/>
        <v>22</v>
      </c>
      <c r="L22" s="29">
        <f t="shared" si="2"/>
        <v>19</v>
      </c>
      <c r="M22" s="29">
        <f t="shared" si="2"/>
        <v>21</v>
      </c>
      <c r="N22" s="29">
        <f t="shared" si="2"/>
        <v>21</v>
      </c>
      <c r="O22" s="20"/>
    </row>
    <row r="23" spans="1:15" x14ac:dyDescent="0.2">
      <c r="A23" s="20"/>
      <c r="B23" s="23" t="s">
        <v>261</v>
      </c>
      <c r="C23" s="29">
        <f t="shared" si="2"/>
        <v>23</v>
      </c>
      <c r="D23" s="29">
        <f t="shared" si="2"/>
        <v>21</v>
      </c>
      <c r="E23" s="29">
        <f t="shared" si="2"/>
        <v>22</v>
      </c>
      <c r="F23" s="29">
        <f t="shared" si="2"/>
        <v>22</v>
      </c>
      <c r="G23" s="29">
        <f t="shared" si="2"/>
        <v>19</v>
      </c>
      <c r="H23" s="29">
        <f t="shared" si="2"/>
        <v>21</v>
      </c>
      <c r="I23" s="29">
        <f t="shared" si="2"/>
        <v>20</v>
      </c>
      <c r="J23" s="29">
        <f t="shared" si="2"/>
        <v>19</v>
      </c>
      <c r="K23" s="29">
        <f t="shared" si="2"/>
        <v>22</v>
      </c>
      <c r="L23" s="29">
        <f t="shared" si="2"/>
        <v>19</v>
      </c>
      <c r="M23" s="29">
        <f t="shared" si="2"/>
        <v>21</v>
      </c>
      <c r="N23" s="29">
        <f t="shared" si="2"/>
        <v>21</v>
      </c>
      <c r="O23" s="20"/>
    </row>
    <row r="24" spans="1:15" x14ac:dyDescent="0.2">
      <c r="A24" s="20"/>
      <c r="B24" s="23" t="s">
        <v>262</v>
      </c>
      <c r="C24" s="29">
        <f t="shared" si="2"/>
        <v>23</v>
      </c>
      <c r="D24" s="29">
        <f t="shared" si="2"/>
        <v>21</v>
      </c>
      <c r="E24" s="29">
        <f t="shared" si="2"/>
        <v>22</v>
      </c>
      <c r="F24" s="29">
        <f t="shared" si="2"/>
        <v>22</v>
      </c>
      <c r="G24" s="29">
        <f t="shared" si="2"/>
        <v>20</v>
      </c>
      <c r="H24" s="29">
        <f t="shared" si="2"/>
        <v>21</v>
      </c>
      <c r="I24" s="29">
        <f t="shared" si="2"/>
        <v>20</v>
      </c>
      <c r="J24" s="29">
        <f t="shared" si="2"/>
        <v>19</v>
      </c>
      <c r="K24" s="29">
        <f t="shared" si="2"/>
        <v>21</v>
      </c>
      <c r="L24" s="29">
        <f t="shared" si="2"/>
        <v>19</v>
      </c>
      <c r="M24" s="29">
        <f t="shared" si="2"/>
        <v>21</v>
      </c>
      <c r="N24" s="29">
        <f t="shared" si="2"/>
        <v>21</v>
      </c>
      <c r="O24" s="20"/>
    </row>
    <row r="25" spans="1:15" x14ac:dyDescent="0.2">
      <c r="A25" s="20"/>
      <c r="B25" s="23" t="s">
        <v>263</v>
      </c>
      <c r="C25" s="29">
        <f t="shared" si="2"/>
        <v>22</v>
      </c>
      <c r="D25" s="29">
        <f t="shared" si="2"/>
        <v>21</v>
      </c>
      <c r="E25" s="29">
        <f t="shared" si="2"/>
        <v>21</v>
      </c>
      <c r="F25" s="29">
        <f t="shared" si="2"/>
        <v>22</v>
      </c>
      <c r="G25" s="29">
        <f t="shared" si="2"/>
        <v>18</v>
      </c>
      <c r="H25" s="29">
        <f t="shared" si="2"/>
        <v>22</v>
      </c>
      <c r="I25" s="29">
        <f t="shared" si="2"/>
        <v>20</v>
      </c>
      <c r="J25" s="29">
        <f t="shared" si="2"/>
        <v>19</v>
      </c>
      <c r="K25" s="29">
        <f t="shared" si="2"/>
        <v>22</v>
      </c>
      <c r="L25" s="29">
        <f t="shared" si="2"/>
        <v>22</v>
      </c>
      <c r="M25" s="29">
        <f t="shared" si="2"/>
        <v>20</v>
      </c>
      <c r="N25" s="29">
        <f t="shared" si="2"/>
        <v>21</v>
      </c>
      <c r="O25" s="20"/>
    </row>
    <row r="26" spans="1:15" x14ac:dyDescent="0.2">
      <c r="A26" s="20"/>
      <c r="B26" s="23" t="s">
        <v>264</v>
      </c>
      <c r="C26" s="29">
        <f t="shared" si="2"/>
        <v>22</v>
      </c>
      <c r="D26" s="29">
        <f t="shared" si="2"/>
        <v>21</v>
      </c>
      <c r="E26" s="29">
        <f t="shared" si="2"/>
        <v>21</v>
      </c>
      <c r="F26" s="29">
        <f t="shared" si="2"/>
        <v>23</v>
      </c>
      <c r="G26" s="29">
        <f t="shared" si="2"/>
        <v>17</v>
      </c>
      <c r="H26" s="29">
        <f t="shared" si="2"/>
        <v>22</v>
      </c>
      <c r="I26" s="29">
        <f t="shared" si="2"/>
        <v>20</v>
      </c>
      <c r="J26" s="29">
        <f t="shared" si="2"/>
        <v>19</v>
      </c>
      <c r="K26" s="29">
        <f t="shared" si="2"/>
        <v>21</v>
      </c>
      <c r="L26" s="29">
        <f t="shared" si="2"/>
        <v>22</v>
      </c>
      <c r="M26" s="29">
        <f t="shared" si="2"/>
        <v>20</v>
      </c>
      <c r="N26" s="29">
        <f t="shared" si="2"/>
        <v>21</v>
      </c>
      <c r="O26" s="20"/>
    </row>
    <row r="27" spans="1:15" x14ac:dyDescent="0.2">
      <c r="A27" s="20"/>
      <c r="B27" s="23" t="s">
        <v>265</v>
      </c>
      <c r="C27" s="29">
        <f t="shared" si="2"/>
        <v>22</v>
      </c>
      <c r="D27" s="29">
        <f t="shared" si="2"/>
        <v>21</v>
      </c>
      <c r="E27" s="29">
        <f t="shared" si="2"/>
        <v>21</v>
      </c>
      <c r="F27" s="29">
        <f t="shared" si="2"/>
        <v>22</v>
      </c>
      <c r="G27" s="29">
        <f t="shared" si="2"/>
        <v>17</v>
      </c>
      <c r="H27" s="29">
        <f t="shared" si="2"/>
        <v>22</v>
      </c>
      <c r="I27" s="29">
        <f t="shared" si="2"/>
        <v>20</v>
      </c>
      <c r="J27" s="29">
        <f t="shared" si="2"/>
        <v>18</v>
      </c>
      <c r="K27" s="29">
        <f t="shared" si="2"/>
        <v>22</v>
      </c>
      <c r="L27" s="29">
        <f t="shared" si="2"/>
        <v>22</v>
      </c>
      <c r="M27" s="29">
        <f t="shared" si="2"/>
        <v>20</v>
      </c>
      <c r="N27" s="29">
        <f t="shared" si="2"/>
        <v>21</v>
      </c>
      <c r="O27" s="20"/>
    </row>
    <row r="28" spans="1:15" x14ac:dyDescent="0.2">
      <c r="A28" s="20"/>
      <c r="B28" s="23" t="s">
        <v>266</v>
      </c>
      <c r="C28" s="29">
        <f t="shared" si="2"/>
        <v>22</v>
      </c>
      <c r="D28" s="29">
        <f t="shared" si="2"/>
        <v>20</v>
      </c>
      <c r="E28" s="29">
        <f t="shared" si="2"/>
        <v>21</v>
      </c>
      <c r="F28" s="29">
        <f t="shared" si="2"/>
        <v>23</v>
      </c>
      <c r="G28" s="29">
        <f t="shared" si="2"/>
        <v>17</v>
      </c>
      <c r="H28" s="29">
        <f t="shared" si="2"/>
        <v>20</v>
      </c>
      <c r="I28" s="29">
        <f t="shared" si="2"/>
        <v>20</v>
      </c>
      <c r="J28" s="29">
        <f t="shared" si="2"/>
        <v>19</v>
      </c>
      <c r="K28" s="29">
        <f t="shared" si="2"/>
        <v>20</v>
      </c>
      <c r="L28" s="29">
        <f t="shared" si="2"/>
        <v>20</v>
      </c>
      <c r="M28" s="29">
        <f t="shared" si="2"/>
        <v>20</v>
      </c>
      <c r="N28" s="29">
        <f t="shared" si="2"/>
        <v>21</v>
      </c>
      <c r="O28" s="20"/>
    </row>
    <row r="29" spans="1:15" x14ac:dyDescent="0.2">
      <c r="A29" s="20"/>
      <c r="B29" s="23" t="s">
        <v>267</v>
      </c>
      <c r="C29" s="29">
        <f t="shared" si="2"/>
        <v>22</v>
      </c>
      <c r="D29" s="29">
        <f t="shared" si="2"/>
        <v>21</v>
      </c>
      <c r="E29" s="29">
        <f t="shared" si="2"/>
        <v>21</v>
      </c>
      <c r="F29" s="29">
        <f t="shared" si="2"/>
        <v>22</v>
      </c>
      <c r="G29" s="29">
        <f t="shared" si="2"/>
        <v>18</v>
      </c>
      <c r="H29" s="29">
        <f t="shared" si="2"/>
        <v>22</v>
      </c>
      <c r="I29" s="29">
        <f t="shared" si="2"/>
        <v>20</v>
      </c>
      <c r="J29" s="29">
        <f t="shared" si="2"/>
        <v>19</v>
      </c>
      <c r="K29" s="29">
        <f t="shared" si="2"/>
        <v>22</v>
      </c>
      <c r="L29" s="29">
        <f t="shared" si="2"/>
        <v>21</v>
      </c>
      <c r="M29" s="29">
        <f t="shared" si="2"/>
        <v>20</v>
      </c>
      <c r="N29" s="29">
        <f t="shared" si="2"/>
        <v>21</v>
      </c>
      <c r="O29" s="20"/>
    </row>
    <row r="30" spans="1:15" x14ac:dyDescent="0.2">
      <c r="A30" s="20"/>
      <c r="B30" s="23" t="s">
        <v>268</v>
      </c>
      <c r="C30" s="29">
        <f t="shared" si="2"/>
        <v>22</v>
      </c>
      <c r="D30" s="29">
        <f t="shared" si="2"/>
        <v>21</v>
      </c>
      <c r="E30" s="29">
        <f t="shared" si="2"/>
        <v>21</v>
      </c>
      <c r="F30" s="29">
        <f t="shared" si="2"/>
        <v>22</v>
      </c>
      <c r="G30" s="29">
        <f t="shared" si="2"/>
        <v>18</v>
      </c>
      <c r="H30" s="29">
        <f t="shared" si="2"/>
        <v>22</v>
      </c>
      <c r="I30" s="29">
        <f t="shared" si="2"/>
        <v>20</v>
      </c>
      <c r="J30" s="29">
        <f t="shared" si="2"/>
        <v>18</v>
      </c>
      <c r="K30" s="29">
        <f t="shared" si="2"/>
        <v>21</v>
      </c>
      <c r="L30" s="29">
        <f t="shared" si="2"/>
        <v>22</v>
      </c>
      <c r="M30" s="29">
        <f t="shared" si="2"/>
        <v>20</v>
      </c>
      <c r="N30" s="29">
        <f t="shared" si="2"/>
        <v>21</v>
      </c>
      <c r="O30" s="20"/>
    </row>
    <row r="31" spans="1:15" x14ac:dyDescent="0.2">
      <c r="A31" s="20"/>
      <c r="B31" s="23" t="s">
        <v>200</v>
      </c>
      <c r="C31" s="29">
        <f t="shared" si="2"/>
        <v>23</v>
      </c>
      <c r="D31" s="29">
        <f t="shared" si="2"/>
        <v>19</v>
      </c>
      <c r="E31" s="29">
        <f t="shared" si="2"/>
        <v>22</v>
      </c>
      <c r="F31" s="29">
        <f t="shared" si="2"/>
        <v>22</v>
      </c>
      <c r="G31" s="29">
        <f t="shared" si="2"/>
        <v>20</v>
      </c>
      <c r="H31" s="29">
        <f t="shared" si="2"/>
        <v>18</v>
      </c>
      <c r="I31" s="29">
        <f t="shared" si="2"/>
        <v>21</v>
      </c>
      <c r="J31" s="29">
        <f t="shared" si="2"/>
        <v>19</v>
      </c>
      <c r="K31" s="29">
        <f t="shared" si="2"/>
        <v>21</v>
      </c>
      <c r="L31" s="29">
        <f t="shared" si="2"/>
        <v>19</v>
      </c>
      <c r="M31" s="29">
        <f t="shared" si="2"/>
        <v>19</v>
      </c>
      <c r="N31" s="29">
        <f t="shared" si="2"/>
        <v>21</v>
      </c>
      <c r="O31" s="20"/>
    </row>
    <row r="32" spans="1:15" x14ac:dyDescent="0.2">
      <c r="A32" s="20"/>
      <c r="B32" s="23" t="s">
        <v>201</v>
      </c>
      <c r="C32" s="29">
        <f t="shared" ref="C32:N38" si="3">INDEX($C$45:$BV$71,MATCH($B32,$B$45:$B$71,0),MATCH(C$8,$C$44:$BV$44,0))</f>
        <v>23</v>
      </c>
      <c r="D32" s="29">
        <f t="shared" si="3"/>
        <v>20</v>
      </c>
      <c r="E32" s="29">
        <f t="shared" si="3"/>
        <v>21</v>
      </c>
      <c r="F32" s="29">
        <f t="shared" si="3"/>
        <v>21</v>
      </c>
      <c r="G32" s="29">
        <f t="shared" si="3"/>
        <v>19</v>
      </c>
      <c r="H32" s="29">
        <f t="shared" si="3"/>
        <v>22</v>
      </c>
      <c r="I32" s="29">
        <f t="shared" si="3"/>
        <v>21</v>
      </c>
      <c r="J32" s="29">
        <f t="shared" si="3"/>
        <v>20</v>
      </c>
      <c r="K32" s="29">
        <f t="shared" si="3"/>
        <v>21</v>
      </c>
      <c r="L32" s="29">
        <f t="shared" si="3"/>
        <v>21</v>
      </c>
      <c r="M32" s="29">
        <f t="shared" si="3"/>
        <v>19</v>
      </c>
      <c r="N32" s="29">
        <f t="shared" si="3"/>
        <v>21</v>
      </c>
      <c r="O32" s="20"/>
    </row>
    <row r="33" spans="1:74" x14ac:dyDescent="0.2">
      <c r="A33" s="20"/>
      <c r="B33" s="23" t="s">
        <v>204</v>
      </c>
      <c r="C33" s="29">
        <f t="shared" si="3"/>
        <v>22</v>
      </c>
      <c r="D33" s="29">
        <f t="shared" si="3"/>
        <v>20</v>
      </c>
      <c r="E33" s="29">
        <f t="shared" si="3"/>
        <v>21</v>
      </c>
      <c r="F33" s="29">
        <f t="shared" si="3"/>
        <v>21</v>
      </c>
      <c r="G33" s="29">
        <f t="shared" si="3"/>
        <v>19</v>
      </c>
      <c r="H33" s="29">
        <f t="shared" si="3"/>
        <v>21</v>
      </c>
      <c r="I33" s="29">
        <f t="shared" si="3"/>
        <v>21</v>
      </c>
      <c r="J33" s="29">
        <f t="shared" si="3"/>
        <v>19</v>
      </c>
      <c r="K33" s="29">
        <f t="shared" si="3"/>
        <v>21</v>
      </c>
      <c r="L33" s="29">
        <f t="shared" si="3"/>
        <v>18</v>
      </c>
      <c r="M33" s="29">
        <f t="shared" si="3"/>
        <v>19</v>
      </c>
      <c r="N33" s="29">
        <f t="shared" si="3"/>
        <v>21</v>
      </c>
      <c r="O33" s="20"/>
    </row>
    <row r="34" spans="1:74" x14ac:dyDescent="0.2">
      <c r="A34" s="20"/>
      <c r="B34" s="23" t="s">
        <v>269</v>
      </c>
      <c r="C34" s="29">
        <f t="shared" si="3"/>
        <v>23</v>
      </c>
      <c r="D34" s="29">
        <f t="shared" si="3"/>
        <v>21</v>
      </c>
      <c r="E34" s="29">
        <f t="shared" si="3"/>
        <v>20</v>
      </c>
      <c r="F34" s="29">
        <f t="shared" si="3"/>
        <v>23</v>
      </c>
      <c r="G34" s="29">
        <f t="shared" si="3"/>
        <v>20</v>
      </c>
      <c r="H34" s="29">
        <f t="shared" si="3"/>
        <v>23</v>
      </c>
      <c r="I34" s="29">
        <f t="shared" si="3"/>
        <v>21</v>
      </c>
      <c r="J34" s="29">
        <f t="shared" si="3"/>
        <v>15</v>
      </c>
      <c r="K34" s="29">
        <f t="shared" si="3"/>
        <v>22</v>
      </c>
      <c r="L34" s="29">
        <f t="shared" si="3"/>
        <v>20</v>
      </c>
      <c r="M34" s="29">
        <f t="shared" si="3"/>
        <v>20</v>
      </c>
      <c r="N34" s="29">
        <f t="shared" si="3"/>
        <v>22</v>
      </c>
      <c r="O34" s="20"/>
    </row>
    <row r="35" spans="1:74" x14ac:dyDescent="0.2">
      <c r="A35" s="20"/>
      <c r="B35" s="23" t="s">
        <v>270</v>
      </c>
      <c r="C35" s="29">
        <f t="shared" si="3"/>
        <v>23</v>
      </c>
      <c r="D35" s="29">
        <f t="shared" si="3"/>
        <v>21</v>
      </c>
      <c r="E35" s="29">
        <f t="shared" si="3"/>
        <v>21</v>
      </c>
      <c r="F35" s="29">
        <f t="shared" si="3"/>
        <v>23</v>
      </c>
      <c r="G35" s="29">
        <f t="shared" si="3"/>
        <v>20</v>
      </c>
      <c r="H35" s="29">
        <f t="shared" si="3"/>
        <v>20</v>
      </c>
      <c r="I35" s="29">
        <f t="shared" si="3"/>
        <v>21</v>
      </c>
      <c r="J35" s="29">
        <f t="shared" si="3"/>
        <v>20</v>
      </c>
      <c r="K35" s="29">
        <f t="shared" si="3"/>
        <v>22</v>
      </c>
      <c r="L35" s="29">
        <f t="shared" si="3"/>
        <v>19</v>
      </c>
      <c r="M35" s="29">
        <f t="shared" si="3"/>
        <v>20</v>
      </c>
      <c r="N35" s="29">
        <f t="shared" si="3"/>
        <v>21</v>
      </c>
      <c r="O35" s="20"/>
    </row>
    <row r="36" spans="1:74" x14ac:dyDescent="0.2">
      <c r="A36" s="20"/>
      <c r="B36" s="23" t="s">
        <v>271</v>
      </c>
      <c r="C36" s="29">
        <f t="shared" si="3"/>
        <v>23</v>
      </c>
      <c r="D36" s="29">
        <f t="shared" si="3"/>
        <v>20</v>
      </c>
      <c r="E36" s="29">
        <f t="shared" si="3"/>
        <v>22</v>
      </c>
      <c r="F36" s="29">
        <f t="shared" si="3"/>
        <v>23</v>
      </c>
      <c r="G36" s="29">
        <f t="shared" si="3"/>
        <v>19</v>
      </c>
      <c r="H36" s="29">
        <f t="shared" si="3"/>
        <v>20</v>
      </c>
      <c r="I36" s="29">
        <f t="shared" si="3"/>
        <v>20</v>
      </c>
      <c r="J36" s="29">
        <f t="shared" si="3"/>
        <v>20</v>
      </c>
      <c r="K36" s="29">
        <f t="shared" si="3"/>
        <v>22</v>
      </c>
      <c r="L36" s="29">
        <f t="shared" si="3"/>
        <v>21</v>
      </c>
      <c r="M36" s="29">
        <f t="shared" si="3"/>
        <v>20</v>
      </c>
      <c r="N36" s="29">
        <f t="shared" si="3"/>
        <v>21</v>
      </c>
      <c r="O36" s="20"/>
    </row>
    <row r="37" spans="1:74" x14ac:dyDescent="0.2">
      <c r="A37" s="20"/>
      <c r="B37" s="23" t="s">
        <v>272</v>
      </c>
      <c r="C37" s="29">
        <f t="shared" si="3"/>
        <v>23</v>
      </c>
      <c r="D37" s="29">
        <f t="shared" si="3"/>
        <v>20</v>
      </c>
      <c r="E37" s="29">
        <f t="shared" si="3"/>
        <v>22</v>
      </c>
      <c r="F37" s="29">
        <f t="shared" si="3"/>
        <v>23</v>
      </c>
      <c r="G37" s="29">
        <f t="shared" si="3"/>
        <v>20</v>
      </c>
      <c r="H37" s="29">
        <f t="shared" si="3"/>
        <v>21</v>
      </c>
      <c r="I37" s="29">
        <f t="shared" si="3"/>
        <v>21</v>
      </c>
      <c r="J37" s="29">
        <f t="shared" si="3"/>
        <v>20</v>
      </c>
      <c r="K37" s="29">
        <f t="shared" si="3"/>
        <v>22</v>
      </c>
      <c r="L37" s="29">
        <f t="shared" si="3"/>
        <v>20</v>
      </c>
      <c r="M37" s="29">
        <f t="shared" si="3"/>
        <v>19</v>
      </c>
      <c r="N37" s="29">
        <f t="shared" si="3"/>
        <v>22</v>
      </c>
      <c r="O37" s="20"/>
    </row>
    <row r="38" spans="1:74" x14ac:dyDescent="0.2">
      <c r="A38" s="20"/>
      <c r="B38" s="23" t="s">
        <v>273</v>
      </c>
      <c r="C38" s="29">
        <f t="shared" si="3"/>
        <v>22</v>
      </c>
      <c r="D38" s="29">
        <f t="shared" si="3"/>
        <v>21</v>
      </c>
      <c r="E38" s="29">
        <f t="shared" si="3"/>
        <v>21</v>
      </c>
      <c r="F38" s="29">
        <f t="shared" si="3"/>
        <v>22</v>
      </c>
      <c r="G38" s="29">
        <f t="shared" si="3"/>
        <v>20</v>
      </c>
      <c r="H38" s="29">
        <f t="shared" si="3"/>
        <v>21</v>
      </c>
      <c r="I38" s="29">
        <f t="shared" si="3"/>
        <v>21</v>
      </c>
      <c r="J38" s="29">
        <f t="shared" si="3"/>
        <v>19</v>
      </c>
      <c r="K38" s="29">
        <f t="shared" si="3"/>
        <v>22</v>
      </c>
      <c r="L38" s="29">
        <f t="shared" si="3"/>
        <v>21</v>
      </c>
      <c r="M38" s="29">
        <f t="shared" si="3"/>
        <v>20</v>
      </c>
      <c r="N38" s="29">
        <f t="shared" si="3"/>
        <v>22</v>
      </c>
      <c r="O38" s="20"/>
    </row>
    <row r="39" spans="1:74" x14ac:dyDescent="0.2">
      <c r="A39" s="20"/>
      <c r="B39" s="20"/>
      <c r="C39" s="20"/>
      <c r="D39" s="20"/>
      <c r="E39" s="20"/>
      <c r="F39" s="20"/>
      <c r="G39" s="20"/>
      <c r="H39" s="20"/>
      <c r="I39" s="20"/>
      <c r="J39" s="20"/>
      <c r="K39" s="20"/>
      <c r="L39" s="20"/>
      <c r="M39" s="20"/>
      <c r="N39" s="20"/>
      <c r="O39" s="20"/>
    </row>
    <row r="40" spans="1:74" x14ac:dyDescent="0.2">
      <c r="A40" s="20"/>
      <c r="B40" s="20"/>
      <c r="C40" s="20"/>
      <c r="D40" s="20"/>
      <c r="E40" s="20"/>
      <c r="F40" s="20"/>
      <c r="G40" s="20"/>
      <c r="H40" s="20"/>
      <c r="I40" s="20"/>
      <c r="J40" s="20"/>
      <c r="K40" s="20"/>
      <c r="L40" s="20"/>
      <c r="M40" s="20"/>
      <c r="N40" s="20"/>
      <c r="O40" s="20"/>
    </row>
    <row r="41" spans="1:74" x14ac:dyDescent="0.2">
      <c r="A41" s="20"/>
      <c r="B41" s="20"/>
      <c r="C41" s="20"/>
      <c r="D41" s="20"/>
      <c r="E41" s="20"/>
      <c r="F41" s="20"/>
      <c r="G41" s="20"/>
      <c r="H41" s="20"/>
      <c r="I41" s="20"/>
      <c r="J41" s="20"/>
      <c r="K41" s="20"/>
      <c r="L41" s="20"/>
      <c r="M41" s="20"/>
      <c r="N41" s="20"/>
      <c r="O41" s="20"/>
    </row>
    <row r="42" spans="1:74" x14ac:dyDescent="0.2">
      <c r="A42" s="20"/>
      <c r="B42" s="20"/>
      <c r="C42" s="20"/>
      <c r="D42" s="20"/>
      <c r="E42" s="20"/>
      <c r="F42" s="20"/>
      <c r="G42" s="20"/>
      <c r="H42" s="20"/>
      <c r="I42" s="20"/>
      <c r="J42" s="20"/>
      <c r="K42" s="20"/>
      <c r="L42" s="20"/>
      <c r="M42" s="20"/>
      <c r="N42" s="20"/>
      <c r="O42" s="20"/>
    </row>
    <row r="43" spans="1:74" x14ac:dyDescent="0.2">
      <c r="A43" s="20"/>
      <c r="B43" s="28" t="s">
        <v>274</v>
      </c>
      <c r="C43" s="20"/>
      <c r="D43" s="20"/>
      <c r="E43" s="20"/>
      <c r="F43" s="20"/>
      <c r="G43" s="20"/>
      <c r="H43" s="20"/>
      <c r="I43" s="20"/>
      <c r="J43" s="20"/>
      <c r="K43" s="20"/>
      <c r="L43" s="20"/>
      <c r="M43" s="20"/>
      <c r="N43" s="20"/>
      <c r="O43" s="20"/>
    </row>
    <row r="44" spans="1:74" x14ac:dyDescent="0.2">
      <c r="A44" s="20"/>
      <c r="B44" s="30" t="s">
        <v>189</v>
      </c>
      <c r="C44" s="31" t="s">
        <v>275</v>
      </c>
      <c r="D44" s="31" t="s">
        <v>276</v>
      </c>
      <c r="E44" s="31" t="s">
        <v>277</v>
      </c>
      <c r="F44" s="31" t="s">
        <v>278</v>
      </c>
      <c r="G44" s="31" t="s">
        <v>279</v>
      </c>
      <c r="H44" s="31" t="s">
        <v>280</v>
      </c>
      <c r="I44" s="31" t="s">
        <v>281</v>
      </c>
      <c r="J44" s="31" t="s">
        <v>282</v>
      </c>
      <c r="K44" s="31" t="s">
        <v>283</v>
      </c>
      <c r="L44" s="31" t="s">
        <v>284</v>
      </c>
      <c r="M44" s="31" t="s">
        <v>285</v>
      </c>
      <c r="N44" s="31" t="s">
        <v>286</v>
      </c>
      <c r="O44" s="31" t="s">
        <v>287</v>
      </c>
      <c r="P44" s="60" t="s">
        <v>288</v>
      </c>
      <c r="Q44" s="60" t="s">
        <v>289</v>
      </c>
      <c r="R44" s="60" t="s">
        <v>290</v>
      </c>
      <c r="S44" s="60" t="s">
        <v>291</v>
      </c>
      <c r="T44" s="60" t="s">
        <v>292</v>
      </c>
      <c r="U44" s="60" t="s">
        <v>293</v>
      </c>
      <c r="V44" s="60" t="s">
        <v>294</v>
      </c>
      <c r="W44" s="60" t="s">
        <v>295</v>
      </c>
      <c r="X44" s="60" t="s">
        <v>296</v>
      </c>
      <c r="Y44" s="60" t="s">
        <v>297</v>
      </c>
      <c r="Z44" s="60" t="s">
        <v>298</v>
      </c>
      <c r="AA44" s="60" t="s">
        <v>299</v>
      </c>
      <c r="AB44" s="60" t="s">
        <v>300</v>
      </c>
      <c r="AC44" s="60" t="s">
        <v>301</v>
      </c>
      <c r="AD44" s="60" t="s">
        <v>302</v>
      </c>
      <c r="AE44" s="60" t="s">
        <v>303</v>
      </c>
      <c r="AF44" s="60" t="s">
        <v>304</v>
      </c>
      <c r="AG44" s="60" t="s">
        <v>305</v>
      </c>
      <c r="AH44" s="60" t="s">
        <v>306</v>
      </c>
      <c r="AI44" s="60" t="s">
        <v>307</v>
      </c>
      <c r="AJ44" s="60" t="s">
        <v>308</v>
      </c>
      <c r="AK44" s="60" t="s">
        <v>309</v>
      </c>
      <c r="AL44" s="60" t="s">
        <v>310</v>
      </c>
      <c r="AM44" s="60" t="s">
        <v>311</v>
      </c>
      <c r="AN44" s="60" t="s">
        <v>312</v>
      </c>
      <c r="AO44" s="60" t="s">
        <v>313</v>
      </c>
      <c r="AP44" s="60" t="s">
        <v>314</v>
      </c>
      <c r="AQ44" s="60" t="s">
        <v>315</v>
      </c>
      <c r="AR44" s="60" t="s">
        <v>316</v>
      </c>
      <c r="AS44" s="60" t="s">
        <v>317</v>
      </c>
      <c r="AT44" s="60" t="s">
        <v>318</v>
      </c>
      <c r="AU44" s="60" t="s">
        <v>319</v>
      </c>
      <c r="AV44" s="60" t="s">
        <v>320</v>
      </c>
      <c r="AW44" s="60" t="s">
        <v>321</v>
      </c>
      <c r="AX44" s="60" t="s">
        <v>322</v>
      </c>
      <c r="AY44" s="60" t="s">
        <v>323</v>
      </c>
      <c r="AZ44" s="60" t="s">
        <v>324</v>
      </c>
      <c r="BA44" s="60" t="s">
        <v>325</v>
      </c>
      <c r="BB44" s="60" t="s">
        <v>326</v>
      </c>
      <c r="BC44" s="60" t="s">
        <v>327</v>
      </c>
      <c r="BD44" s="60" t="s">
        <v>328</v>
      </c>
      <c r="BE44" s="60" t="s">
        <v>329</v>
      </c>
      <c r="BF44" s="60" t="s">
        <v>330</v>
      </c>
      <c r="BG44" s="60" t="s">
        <v>331</v>
      </c>
      <c r="BH44" s="60" t="s">
        <v>332</v>
      </c>
      <c r="BI44" s="60" t="s">
        <v>333</v>
      </c>
      <c r="BJ44" s="60" t="s">
        <v>334</v>
      </c>
      <c r="BK44" s="60" t="s">
        <v>335</v>
      </c>
      <c r="BL44" s="60" t="s">
        <v>336</v>
      </c>
      <c r="BM44" s="60" t="s">
        <v>337</v>
      </c>
      <c r="BN44" s="60" t="s">
        <v>338</v>
      </c>
      <c r="BO44" s="60" t="s">
        <v>339</v>
      </c>
      <c r="BP44" s="60" t="s">
        <v>340</v>
      </c>
      <c r="BQ44" s="60" t="s">
        <v>341</v>
      </c>
      <c r="BR44" s="60" t="s">
        <v>342</v>
      </c>
      <c r="BS44" s="60" t="s">
        <v>343</v>
      </c>
      <c r="BT44" s="60" t="s">
        <v>344</v>
      </c>
      <c r="BU44" s="60" t="s">
        <v>345</v>
      </c>
      <c r="BV44" s="60" t="s">
        <v>346</v>
      </c>
    </row>
    <row r="45" spans="1:74" x14ac:dyDescent="0.2">
      <c r="A45" s="20"/>
      <c r="B45" s="22" t="s">
        <v>197</v>
      </c>
      <c r="C45" s="32">
        <v>21</v>
      </c>
      <c r="D45" s="32">
        <v>20</v>
      </c>
      <c r="E45" s="32">
        <v>21</v>
      </c>
      <c r="F45" s="32">
        <v>19</v>
      </c>
      <c r="G45" s="32">
        <v>22</v>
      </c>
      <c r="H45" s="32">
        <v>20</v>
      </c>
      <c r="I45" s="32">
        <v>23</v>
      </c>
      <c r="J45" s="32">
        <v>21</v>
      </c>
      <c r="K45" s="32">
        <v>22</v>
      </c>
      <c r="L45" s="32">
        <v>22</v>
      </c>
      <c r="M45" s="32">
        <v>20</v>
      </c>
      <c r="N45" s="32">
        <v>21</v>
      </c>
      <c r="O45" s="32">
        <v>20</v>
      </c>
      <c r="P45" s="61">
        <v>20</v>
      </c>
      <c r="Q45" s="61">
        <v>22</v>
      </c>
      <c r="R45" s="61">
        <v>19</v>
      </c>
      <c r="S45" s="61">
        <v>21</v>
      </c>
      <c r="T45" s="61">
        <v>21</v>
      </c>
      <c r="U45" s="61">
        <v>23</v>
      </c>
      <c r="V45" s="61">
        <v>21</v>
      </c>
      <c r="W45" s="61">
        <v>22</v>
      </c>
      <c r="X45" s="61">
        <v>21</v>
      </c>
      <c r="Y45" s="61">
        <v>21</v>
      </c>
      <c r="Z45" s="61">
        <v>21</v>
      </c>
      <c r="AA45" s="61">
        <v>19</v>
      </c>
      <c r="AB45" s="61">
        <v>20</v>
      </c>
      <c r="AC45" s="61">
        <v>21</v>
      </c>
      <c r="AD45" s="61">
        <v>21</v>
      </c>
      <c r="AE45" s="61">
        <v>21</v>
      </c>
      <c r="AF45" s="61">
        <v>21</v>
      </c>
      <c r="AG45" s="61">
        <v>22</v>
      </c>
      <c r="AH45" s="61">
        <v>22</v>
      </c>
      <c r="AI45" s="61">
        <v>22</v>
      </c>
      <c r="AJ45" s="61">
        <v>20</v>
      </c>
      <c r="AK45" s="61">
        <v>22</v>
      </c>
      <c r="AL45" s="61">
        <v>21</v>
      </c>
      <c r="AM45" s="61">
        <v>19</v>
      </c>
      <c r="AN45" s="61">
        <v>21</v>
      </c>
      <c r="AO45" s="61">
        <v>23</v>
      </c>
      <c r="AP45" s="61">
        <v>17</v>
      </c>
      <c r="AQ45" s="61">
        <v>23</v>
      </c>
      <c r="AR45" s="61">
        <v>21</v>
      </c>
      <c r="AS45" s="61">
        <v>21</v>
      </c>
      <c r="AT45" s="61">
        <v>23</v>
      </c>
      <c r="AU45" s="61">
        <v>21</v>
      </c>
      <c r="AV45" s="61">
        <v>21</v>
      </c>
      <c r="AW45" s="61">
        <v>22</v>
      </c>
      <c r="AX45" s="61">
        <v>19</v>
      </c>
      <c r="AY45" s="61">
        <v>21</v>
      </c>
      <c r="AZ45" s="61">
        <v>20</v>
      </c>
      <c r="BA45" s="61">
        <v>21</v>
      </c>
      <c r="BB45" s="61">
        <v>19</v>
      </c>
      <c r="BC45" s="61">
        <v>23</v>
      </c>
      <c r="BD45" s="61">
        <v>20</v>
      </c>
      <c r="BE45" s="61">
        <v>22</v>
      </c>
      <c r="BF45" s="61">
        <v>23</v>
      </c>
      <c r="BG45" s="61">
        <v>20</v>
      </c>
      <c r="BH45" s="61">
        <v>22</v>
      </c>
      <c r="BI45" s="61">
        <v>22</v>
      </c>
      <c r="BJ45" s="61">
        <v>19</v>
      </c>
      <c r="BK45" s="61">
        <v>21</v>
      </c>
      <c r="BL45" s="61">
        <v>20</v>
      </c>
      <c r="BM45" s="61">
        <v>21</v>
      </c>
      <c r="BN45" s="61">
        <v>19</v>
      </c>
      <c r="BO45" s="61">
        <v>23</v>
      </c>
      <c r="BP45" s="61">
        <v>19</v>
      </c>
      <c r="BQ45" s="61">
        <v>23</v>
      </c>
      <c r="BR45" s="61">
        <v>22</v>
      </c>
      <c r="BS45" s="61">
        <v>21</v>
      </c>
      <c r="BT45" s="61">
        <v>22</v>
      </c>
      <c r="BU45" s="61">
        <v>21</v>
      </c>
      <c r="BV45" s="61">
        <v>20</v>
      </c>
    </row>
    <row r="46" spans="1:74" x14ac:dyDescent="0.2">
      <c r="A46" s="20"/>
      <c r="B46" s="22" t="s">
        <v>199</v>
      </c>
      <c r="C46" s="32">
        <v>21</v>
      </c>
      <c r="D46" s="32">
        <v>20</v>
      </c>
      <c r="E46" s="32">
        <v>20</v>
      </c>
      <c r="F46" s="32">
        <v>19</v>
      </c>
      <c r="G46" s="32">
        <v>22</v>
      </c>
      <c r="H46" s="32">
        <v>20</v>
      </c>
      <c r="I46" s="32">
        <v>23</v>
      </c>
      <c r="J46" s="32">
        <v>21</v>
      </c>
      <c r="K46" s="32">
        <v>21</v>
      </c>
      <c r="L46" s="32">
        <v>23</v>
      </c>
      <c r="M46" s="32">
        <v>19</v>
      </c>
      <c r="N46" s="32">
        <v>21</v>
      </c>
      <c r="O46" s="32">
        <v>20</v>
      </c>
      <c r="P46" s="61">
        <v>20</v>
      </c>
      <c r="Q46" s="61">
        <v>21</v>
      </c>
      <c r="R46" s="61">
        <v>20</v>
      </c>
      <c r="S46" s="61">
        <v>21</v>
      </c>
      <c r="T46" s="61">
        <v>21</v>
      </c>
      <c r="U46" s="61">
        <v>23</v>
      </c>
      <c r="V46" s="61">
        <v>21</v>
      </c>
      <c r="W46" s="61">
        <v>21</v>
      </c>
      <c r="X46" s="61">
        <v>22</v>
      </c>
      <c r="Y46" s="61">
        <v>20</v>
      </c>
      <c r="Z46" s="61">
        <v>21</v>
      </c>
      <c r="AA46" s="61">
        <v>19</v>
      </c>
      <c r="AB46" s="61">
        <v>20</v>
      </c>
      <c r="AC46" s="61">
        <v>20</v>
      </c>
      <c r="AD46" s="61">
        <v>22</v>
      </c>
      <c r="AE46" s="61">
        <v>21</v>
      </c>
      <c r="AF46" s="61">
        <v>21</v>
      </c>
      <c r="AG46" s="61">
        <v>22</v>
      </c>
      <c r="AH46" s="61">
        <v>22</v>
      </c>
      <c r="AI46" s="61">
        <v>21</v>
      </c>
      <c r="AJ46" s="61">
        <v>21</v>
      </c>
      <c r="AK46" s="61">
        <v>21</v>
      </c>
      <c r="AL46" s="61">
        <v>21</v>
      </c>
      <c r="AM46" s="61">
        <v>19</v>
      </c>
      <c r="AN46" s="61">
        <v>21</v>
      </c>
      <c r="AO46" s="61">
        <v>22</v>
      </c>
      <c r="AP46" s="61">
        <v>17</v>
      </c>
      <c r="AQ46" s="61">
        <v>23</v>
      </c>
      <c r="AR46" s="61">
        <v>21</v>
      </c>
      <c r="AS46" s="61">
        <v>21</v>
      </c>
      <c r="AT46" s="61">
        <v>23</v>
      </c>
      <c r="AU46" s="61">
        <v>20</v>
      </c>
      <c r="AV46" s="61">
        <v>22</v>
      </c>
      <c r="AW46" s="61">
        <v>21</v>
      </c>
      <c r="AX46" s="61">
        <v>19</v>
      </c>
      <c r="AY46" s="61">
        <v>21</v>
      </c>
      <c r="AZ46" s="61">
        <v>20</v>
      </c>
      <c r="BA46" s="61">
        <v>20</v>
      </c>
      <c r="BB46" s="61">
        <v>19</v>
      </c>
      <c r="BC46" s="61">
        <v>23</v>
      </c>
      <c r="BD46" s="61">
        <v>20</v>
      </c>
      <c r="BE46" s="61">
        <v>22</v>
      </c>
      <c r="BF46" s="61">
        <v>23</v>
      </c>
      <c r="BG46" s="61">
        <v>19</v>
      </c>
      <c r="BH46" s="61">
        <v>23</v>
      </c>
      <c r="BI46" s="61">
        <v>21</v>
      </c>
      <c r="BJ46" s="61">
        <v>19</v>
      </c>
      <c r="BK46" s="61">
        <v>21</v>
      </c>
      <c r="BL46" s="61">
        <v>20</v>
      </c>
      <c r="BM46" s="61">
        <v>20</v>
      </c>
      <c r="BN46" s="61">
        <v>19</v>
      </c>
      <c r="BO46" s="61">
        <v>23</v>
      </c>
      <c r="BP46" s="61">
        <v>19</v>
      </c>
      <c r="BQ46" s="61">
        <v>23</v>
      </c>
      <c r="BR46" s="61">
        <v>22</v>
      </c>
      <c r="BS46" s="61">
        <v>20</v>
      </c>
      <c r="BT46" s="61">
        <v>23</v>
      </c>
      <c r="BU46" s="61">
        <v>20</v>
      </c>
      <c r="BV46" s="61">
        <v>20</v>
      </c>
    </row>
    <row r="47" spans="1:74" x14ac:dyDescent="0.2">
      <c r="A47" s="20"/>
      <c r="B47" s="22" t="s">
        <v>202</v>
      </c>
      <c r="C47" s="32">
        <v>21</v>
      </c>
      <c r="D47" s="32">
        <v>20</v>
      </c>
      <c r="E47" s="32">
        <v>21</v>
      </c>
      <c r="F47" s="32">
        <v>19</v>
      </c>
      <c r="G47" s="32">
        <v>21</v>
      </c>
      <c r="H47" s="32">
        <v>21</v>
      </c>
      <c r="I47" s="32">
        <v>23</v>
      </c>
      <c r="J47" s="32">
        <v>20</v>
      </c>
      <c r="K47" s="32">
        <v>22</v>
      </c>
      <c r="L47" s="32">
        <v>22</v>
      </c>
      <c r="M47" s="32">
        <v>20</v>
      </c>
      <c r="N47" s="32">
        <v>21</v>
      </c>
      <c r="O47" s="32">
        <v>20</v>
      </c>
      <c r="P47" s="61">
        <v>20</v>
      </c>
      <c r="Q47" s="61">
        <v>22</v>
      </c>
      <c r="R47" s="61">
        <v>20</v>
      </c>
      <c r="S47" s="61">
        <v>20</v>
      </c>
      <c r="T47" s="61">
        <v>22</v>
      </c>
      <c r="U47" s="61">
        <v>23</v>
      </c>
      <c r="V47" s="61">
        <v>20</v>
      </c>
      <c r="W47" s="61">
        <v>22</v>
      </c>
      <c r="X47" s="61">
        <v>21</v>
      </c>
      <c r="Y47" s="61">
        <v>21</v>
      </c>
      <c r="Z47" s="61">
        <v>21</v>
      </c>
      <c r="AA47" s="61">
        <v>19</v>
      </c>
      <c r="AB47" s="61">
        <v>20</v>
      </c>
      <c r="AC47" s="61">
        <v>21</v>
      </c>
      <c r="AD47" s="61">
        <v>21</v>
      </c>
      <c r="AE47" s="61">
        <v>20</v>
      </c>
      <c r="AF47" s="61">
        <v>22</v>
      </c>
      <c r="AG47" s="61">
        <v>22</v>
      </c>
      <c r="AH47" s="61">
        <v>21</v>
      </c>
      <c r="AI47" s="61">
        <v>22</v>
      </c>
      <c r="AJ47" s="61">
        <v>20</v>
      </c>
      <c r="AK47" s="61">
        <v>22</v>
      </c>
      <c r="AL47" s="61">
        <v>21</v>
      </c>
      <c r="AM47" s="61">
        <v>19</v>
      </c>
      <c r="AN47" s="61">
        <v>21</v>
      </c>
      <c r="AO47" s="61">
        <v>23</v>
      </c>
      <c r="AP47" s="61">
        <v>17</v>
      </c>
      <c r="AQ47" s="61">
        <v>22</v>
      </c>
      <c r="AR47" s="61">
        <v>22</v>
      </c>
      <c r="AS47" s="61">
        <v>21</v>
      </c>
      <c r="AT47" s="61">
        <v>22</v>
      </c>
      <c r="AU47" s="61">
        <v>21</v>
      </c>
      <c r="AV47" s="61">
        <v>21</v>
      </c>
      <c r="AW47" s="61">
        <v>22</v>
      </c>
      <c r="AX47" s="61">
        <v>19</v>
      </c>
      <c r="AY47" s="61">
        <v>21</v>
      </c>
      <c r="AZ47" s="61">
        <v>20</v>
      </c>
      <c r="BA47" s="61">
        <v>21</v>
      </c>
      <c r="BB47" s="61">
        <v>19</v>
      </c>
      <c r="BC47" s="61">
        <v>22</v>
      </c>
      <c r="BD47" s="61">
        <v>21</v>
      </c>
      <c r="BE47" s="61">
        <v>22</v>
      </c>
      <c r="BF47" s="61">
        <v>22</v>
      </c>
      <c r="BG47" s="61">
        <v>20</v>
      </c>
      <c r="BH47" s="61">
        <v>22</v>
      </c>
      <c r="BI47" s="61">
        <v>22</v>
      </c>
      <c r="BJ47" s="61">
        <v>19</v>
      </c>
      <c r="BK47" s="61">
        <v>21</v>
      </c>
      <c r="BL47" s="61">
        <v>20</v>
      </c>
      <c r="BM47" s="61">
        <v>21</v>
      </c>
      <c r="BN47" s="61">
        <v>19</v>
      </c>
      <c r="BO47" s="61">
        <v>22</v>
      </c>
      <c r="BP47" s="61">
        <v>20</v>
      </c>
      <c r="BQ47" s="61">
        <v>23</v>
      </c>
      <c r="BR47" s="61">
        <v>21</v>
      </c>
      <c r="BS47" s="61">
        <v>21</v>
      </c>
      <c r="BT47" s="61">
        <v>22</v>
      </c>
      <c r="BU47" s="61">
        <v>21</v>
      </c>
      <c r="BV47" s="61">
        <v>20</v>
      </c>
    </row>
    <row r="48" spans="1:74" x14ac:dyDescent="0.2">
      <c r="A48" s="20"/>
      <c r="B48" s="22" t="s">
        <v>254</v>
      </c>
      <c r="C48" s="32">
        <v>21</v>
      </c>
      <c r="D48" s="32">
        <v>20</v>
      </c>
      <c r="E48" s="32">
        <v>20</v>
      </c>
      <c r="F48" s="32">
        <v>19</v>
      </c>
      <c r="G48" s="32">
        <v>22</v>
      </c>
      <c r="H48" s="32">
        <v>20</v>
      </c>
      <c r="I48" s="32">
        <v>23</v>
      </c>
      <c r="J48" s="32">
        <v>21</v>
      </c>
      <c r="K48" s="32">
        <v>21</v>
      </c>
      <c r="L48" s="32">
        <v>23</v>
      </c>
      <c r="M48" s="32">
        <v>20</v>
      </c>
      <c r="N48" s="32">
        <v>21</v>
      </c>
      <c r="O48" s="32">
        <v>20</v>
      </c>
      <c r="P48" s="61">
        <v>20</v>
      </c>
      <c r="Q48" s="61">
        <v>21</v>
      </c>
      <c r="R48" s="61">
        <v>19</v>
      </c>
      <c r="S48" s="61">
        <v>21</v>
      </c>
      <c r="T48" s="61">
        <v>21</v>
      </c>
      <c r="U48" s="61">
        <v>23</v>
      </c>
      <c r="V48" s="61">
        <v>21</v>
      </c>
      <c r="W48" s="61">
        <v>21</v>
      </c>
      <c r="X48" s="61">
        <v>22</v>
      </c>
      <c r="Y48" s="61">
        <v>21</v>
      </c>
      <c r="Z48" s="61">
        <v>21</v>
      </c>
      <c r="AA48" s="61">
        <v>19</v>
      </c>
      <c r="AB48" s="61">
        <v>20</v>
      </c>
      <c r="AC48" s="61">
        <v>20</v>
      </c>
      <c r="AD48" s="61">
        <v>21</v>
      </c>
      <c r="AE48" s="61">
        <v>21</v>
      </c>
      <c r="AF48" s="61">
        <v>21</v>
      </c>
      <c r="AG48" s="61">
        <v>22</v>
      </c>
      <c r="AH48" s="61">
        <v>22</v>
      </c>
      <c r="AI48" s="61">
        <v>21</v>
      </c>
      <c r="AJ48" s="61">
        <v>21</v>
      </c>
      <c r="AK48" s="61">
        <v>22</v>
      </c>
      <c r="AL48" s="61">
        <v>21</v>
      </c>
      <c r="AM48" s="61">
        <v>19</v>
      </c>
      <c r="AN48" s="61">
        <v>21</v>
      </c>
      <c r="AO48" s="61">
        <v>22</v>
      </c>
      <c r="AP48" s="61">
        <v>17</v>
      </c>
      <c r="AQ48" s="61">
        <v>23</v>
      </c>
      <c r="AR48" s="61">
        <v>21</v>
      </c>
      <c r="AS48" s="61">
        <v>21</v>
      </c>
      <c r="AT48" s="61">
        <v>23</v>
      </c>
      <c r="AU48" s="61">
        <v>20</v>
      </c>
      <c r="AV48" s="61">
        <v>22</v>
      </c>
      <c r="AW48" s="61">
        <v>22</v>
      </c>
      <c r="AX48" s="61">
        <v>19</v>
      </c>
      <c r="AY48" s="61">
        <v>21</v>
      </c>
      <c r="AZ48" s="61">
        <v>20</v>
      </c>
      <c r="BA48" s="61">
        <v>20</v>
      </c>
      <c r="BB48" s="61">
        <v>19</v>
      </c>
      <c r="BC48" s="61">
        <v>23</v>
      </c>
      <c r="BD48" s="61">
        <v>20</v>
      </c>
      <c r="BE48" s="61">
        <v>22</v>
      </c>
      <c r="BF48" s="61">
        <v>23</v>
      </c>
      <c r="BG48" s="61">
        <v>19</v>
      </c>
      <c r="BH48" s="61">
        <v>23</v>
      </c>
      <c r="BI48" s="61">
        <v>22</v>
      </c>
      <c r="BJ48" s="61">
        <v>19</v>
      </c>
      <c r="BK48" s="61">
        <v>21</v>
      </c>
      <c r="BL48" s="61">
        <v>20</v>
      </c>
      <c r="BM48" s="61">
        <v>20</v>
      </c>
      <c r="BN48" s="61">
        <v>19</v>
      </c>
      <c r="BO48" s="61">
        <v>23</v>
      </c>
      <c r="BP48" s="61">
        <v>19</v>
      </c>
      <c r="BQ48" s="61">
        <v>23</v>
      </c>
      <c r="BR48" s="61">
        <v>22</v>
      </c>
      <c r="BS48" s="61">
        <v>20</v>
      </c>
      <c r="BT48" s="61">
        <v>23</v>
      </c>
      <c r="BU48" s="61">
        <v>21</v>
      </c>
      <c r="BV48" s="61">
        <v>20</v>
      </c>
    </row>
    <row r="49" spans="1:74" x14ac:dyDescent="0.2">
      <c r="A49" s="20"/>
      <c r="B49" s="22" t="s">
        <v>255</v>
      </c>
      <c r="C49" s="32">
        <v>21</v>
      </c>
      <c r="D49" s="32">
        <v>20</v>
      </c>
      <c r="E49" s="32">
        <v>20</v>
      </c>
      <c r="F49" s="32">
        <v>19</v>
      </c>
      <c r="G49" s="32">
        <v>22</v>
      </c>
      <c r="H49" s="32">
        <v>20</v>
      </c>
      <c r="I49" s="32">
        <v>23</v>
      </c>
      <c r="J49" s="32">
        <v>21</v>
      </c>
      <c r="K49" s="32">
        <v>22</v>
      </c>
      <c r="L49" s="32">
        <v>22</v>
      </c>
      <c r="M49" s="32">
        <v>20</v>
      </c>
      <c r="N49" s="32">
        <v>21</v>
      </c>
      <c r="O49" s="32">
        <v>20</v>
      </c>
      <c r="P49" s="61">
        <v>20</v>
      </c>
      <c r="Q49" s="61">
        <v>21</v>
      </c>
      <c r="R49" s="61">
        <v>20</v>
      </c>
      <c r="S49" s="61">
        <v>21</v>
      </c>
      <c r="T49" s="61">
        <v>21</v>
      </c>
      <c r="U49" s="61">
        <v>23</v>
      </c>
      <c r="V49" s="61">
        <v>21</v>
      </c>
      <c r="W49" s="61">
        <v>22</v>
      </c>
      <c r="X49" s="61">
        <v>21</v>
      </c>
      <c r="Y49" s="61">
        <v>21</v>
      </c>
      <c r="Z49" s="61">
        <v>21</v>
      </c>
      <c r="AA49" s="61">
        <v>19</v>
      </c>
      <c r="AB49" s="61">
        <v>20</v>
      </c>
      <c r="AC49" s="61">
        <v>20</v>
      </c>
      <c r="AD49" s="61">
        <v>22</v>
      </c>
      <c r="AE49" s="61">
        <v>21</v>
      </c>
      <c r="AF49" s="61">
        <v>21</v>
      </c>
      <c r="AG49" s="61">
        <v>22</v>
      </c>
      <c r="AH49" s="61">
        <v>22</v>
      </c>
      <c r="AI49" s="61">
        <v>22</v>
      </c>
      <c r="AJ49" s="61">
        <v>20</v>
      </c>
      <c r="AK49" s="61">
        <v>22</v>
      </c>
      <c r="AL49" s="61">
        <v>21</v>
      </c>
      <c r="AM49" s="61">
        <v>19</v>
      </c>
      <c r="AN49" s="61">
        <v>21</v>
      </c>
      <c r="AO49" s="61">
        <v>22</v>
      </c>
      <c r="AP49" s="61">
        <v>17</v>
      </c>
      <c r="AQ49" s="61">
        <v>23</v>
      </c>
      <c r="AR49" s="61">
        <v>21</v>
      </c>
      <c r="AS49" s="61">
        <v>21</v>
      </c>
      <c r="AT49" s="61">
        <v>23</v>
      </c>
      <c r="AU49" s="61">
        <v>21</v>
      </c>
      <c r="AV49" s="61">
        <v>21</v>
      </c>
      <c r="AW49" s="61">
        <v>22</v>
      </c>
      <c r="AX49" s="61">
        <v>19</v>
      </c>
      <c r="AY49" s="61">
        <v>21</v>
      </c>
      <c r="AZ49" s="61">
        <v>20</v>
      </c>
      <c r="BA49" s="61">
        <v>20</v>
      </c>
      <c r="BB49" s="61">
        <v>19</v>
      </c>
      <c r="BC49" s="61">
        <v>23</v>
      </c>
      <c r="BD49" s="61">
        <v>20</v>
      </c>
      <c r="BE49" s="61">
        <v>22</v>
      </c>
      <c r="BF49" s="61">
        <v>23</v>
      </c>
      <c r="BG49" s="61">
        <v>20</v>
      </c>
      <c r="BH49" s="61">
        <v>22</v>
      </c>
      <c r="BI49" s="61">
        <v>22</v>
      </c>
      <c r="BJ49" s="61">
        <v>19</v>
      </c>
      <c r="BK49" s="61">
        <v>21</v>
      </c>
      <c r="BL49" s="61">
        <v>20</v>
      </c>
      <c r="BM49" s="61">
        <v>20</v>
      </c>
      <c r="BN49" s="61">
        <v>19</v>
      </c>
      <c r="BO49" s="61">
        <v>23</v>
      </c>
      <c r="BP49" s="61">
        <v>19</v>
      </c>
      <c r="BQ49" s="61">
        <v>23</v>
      </c>
      <c r="BR49" s="61">
        <v>22</v>
      </c>
      <c r="BS49" s="61">
        <v>21</v>
      </c>
      <c r="BT49" s="61">
        <v>22</v>
      </c>
      <c r="BU49" s="61">
        <v>21</v>
      </c>
      <c r="BV49" s="61">
        <v>20</v>
      </c>
    </row>
    <row r="50" spans="1:74" x14ac:dyDescent="0.2">
      <c r="A50" s="20"/>
      <c r="B50" s="22" t="s">
        <v>256</v>
      </c>
      <c r="C50" s="32">
        <v>21</v>
      </c>
      <c r="D50" s="32">
        <v>20</v>
      </c>
      <c r="E50" s="32">
        <v>20</v>
      </c>
      <c r="F50" s="32">
        <v>19</v>
      </c>
      <c r="G50" s="32">
        <v>22</v>
      </c>
      <c r="H50" s="32">
        <v>20</v>
      </c>
      <c r="I50" s="32">
        <v>23</v>
      </c>
      <c r="J50" s="32">
        <v>21</v>
      </c>
      <c r="K50" s="32">
        <v>22</v>
      </c>
      <c r="L50" s="32">
        <v>23</v>
      </c>
      <c r="M50" s="32">
        <v>20</v>
      </c>
      <c r="N50" s="32">
        <v>21</v>
      </c>
      <c r="O50" s="32">
        <v>20</v>
      </c>
      <c r="P50" s="61">
        <v>20</v>
      </c>
      <c r="Q50" s="61">
        <v>21</v>
      </c>
      <c r="R50" s="61">
        <v>20</v>
      </c>
      <c r="S50" s="61">
        <v>21</v>
      </c>
      <c r="T50" s="61">
        <v>21</v>
      </c>
      <c r="U50" s="61">
        <v>23</v>
      </c>
      <c r="V50" s="61">
        <v>21</v>
      </c>
      <c r="W50" s="61">
        <v>22</v>
      </c>
      <c r="X50" s="61">
        <v>22</v>
      </c>
      <c r="Y50" s="61">
        <v>21</v>
      </c>
      <c r="Z50" s="61">
        <v>21</v>
      </c>
      <c r="AA50" s="61">
        <v>19</v>
      </c>
      <c r="AB50" s="61">
        <v>20</v>
      </c>
      <c r="AC50" s="61">
        <v>20</v>
      </c>
      <c r="AD50" s="61">
        <v>22</v>
      </c>
      <c r="AE50" s="61">
        <v>21</v>
      </c>
      <c r="AF50" s="61">
        <v>21</v>
      </c>
      <c r="AG50" s="61">
        <v>22</v>
      </c>
      <c r="AH50" s="61">
        <v>22</v>
      </c>
      <c r="AI50" s="61">
        <v>22</v>
      </c>
      <c r="AJ50" s="61">
        <v>21</v>
      </c>
      <c r="AK50" s="61">
        <v>22</v>
      </c>
      <c r="AL50" s="61">
        <v>21</v>
      </c>
      <c r="AM50" s="61">
        <v>19</v>
      </c>
      <c r="AN50" s="61">
        <v>21</v>
      </c>
      <c r="AO50" s="61">
        <v>22</v>
      </c>
      <c r="AP50" s="61">
        <v>17</v>
      </c>
      <c r="AQ50" s="61">
        <v>23</v>
      </c>
      <c r="AR50" s="61">
        <v>21</v>
      </c>
      <c r="AS50" s="61">
        <v>21</v>
      </c>
      <c r="AT50" s="61">
        <v>23</v>
      </c>
      <c r="AU50" s="61">
        <v>21</v>
      </c>
      <c r="AV50" s="61">
        <v>22</v>
      </c>
      <c r="AW50" s="61">
        <v>22</v>
      </c>
      <c r="AX50" s="61">
        <v>19</v>
      </c>
      <c r="AY50" s="61">
        <v>21</v>
      </c>
      <c r="AZ50" s="61">
        <v>20</v>
      </c>
      <c r="BA50" s="61">
        <v>20</v>
      </c>
      <c r="BB50" s="61">
        <v>19</v>
      </c>
      <c r="BC50" s="61">
        <v>23</v>
      </c>
      <c r="BD50" s="61">
        <v>20</v>
      </c>
      <c r="BE50" s="61">
        <v>22</v>
      </c>
      <c r="BF50" s="61">
        <v>23</v>
      </c>
      <c r="BG50" s="61">
        <v>20</v>
      </c>
      <c r="BH50" s="61">
        <v>23</v>
      </c>
      <c r="BI50" s="61">
        <v>22</v>
      </c>
      <c r="BJ50" s="61">
        <v>19</v>
      </c>
      <c r="BK50" s="61">
        <v>21</v>
      </c>
      <c r="BL50" s="61">
        <v>20</v>
      </c>
      <c r="BM50" s="61">
        <v>20</v>
      </c>
      <c r="BN50" s="61">
        <v>19</v>
      </c>
      <c r="BO50" s="61">
        <v>23</v>
      </c>
      <c r="BP50" s="61">
        <v>19</v>
      </c>
      <c r="BQ50" s="61">
        <v>23</v>
      </c>
      <c r="BR50" s="61">
        <v>22</v>
      </c>
      <c r="BS50" s="61">
        <v>21</v>
      </c>
      <c r="BT50" s="61">
        <v>23</v>
      </c>
      <c r="BU50" s="61">
        <v>21</v>
      </c>
      <c r="BV50" s="61">
        <v>20</v>
      </c>
    </row>
    <row r="51" spans="1:74" x14ac:dyDescent="0.2">
      <c r="A51" s="20"/>
      <c r="B51" s="22" t="s">
        <v>257</v>
      </c>
      <c r="C51" s="32">
        <v>21</v>
      </c>
      <c r="D51" s="32">
        <v>20</v>
      </c>
      <c r="E51" s="32">
        <v>20</v>
      </c>
      <c r="F51" s="32">
        <v>19</v>
      </c>
      <c r="G51" s="32">
        <v>22</v>
      </c>
      <c r="H51" s="32">
        <v>19</v>
      </c>
      <c r="I51" s="32">
        <v>23</v>
      </c>
      <c r="J51" s="32">
        <v>21</v>
      </c>
      <c r="K51" s="32">
        <v>22</v>
      </c>
      <c r="L51" s="32">
        <v>22</v>
      </c>
      <c r="M51" s="32">
        <v>20</v>
      </c>
      <c r="N51" s="32">
        <v>21</v>
      </c>
      <c r="O51" s="32">
        <v>20</v>
      </c>
      <c r="P51" s="61">
        <v>20</v>
      </c>
      <c r="Q51" s="61">
        <v>21</v>
      </c>
      <c r="R51" s="61">
        <v>19</v>
      </c>
      <c r="S51" s="61">
        <v>21</v>
      </c>
      <c r="T51" s="61">
        <v>20</v>
      </c>
      <c r="U51" s="61">
        <v>23</v>
      </c>
      <c r="V51" s="61">
        <v>21</v>
      </c>
      <c r="W51" s="61">
        <v>22</v>
      </c>
      <c r="X51" s="61">
        <v>21</v>
      </c>
      <c r="Y51" s="61">
        <v>21</v>
      </c>
      <c r="Z51" s="61">
        <v>21</v>
      </c>
      <c r="AA51" s="61">
        <v>19</v>
      </c>
      <c r="AB51" s="61">
        <v>20</v>
      </c>
      <c r="AC51" s="61">
        <v>20</v>
      </c>
      <c r="AD51" s="61">
        <v>21</v>
      </c>
      <c r="AE51" s="61">
        <v>20</v>
      </c>
      <c r="AF51" s="61">
        <v>21</v>
      </c>
      <c r="AG51" s="61">
        <v>22</v>
      </c>
      <c r="AH51" s="61">
        <v>22</v>
      </c>
      <c r="AI51" s="61">
        <v>22</v>
      </c>
      <c r="AJ51" s="61">
        <v>20</v>
      </c>
      <c r="AK51" s="61">
        <v>22</v>
      </c>
      <c r="AL51" s="61">
        <v>21</v>
      </c>
      <c r="AM51" s="61">
        <v>19</v>
      </c>
      <c r="AN51" s="61">
        <v>21</v>
      </c>
      <c r="AO51" s="61">
        <v>22</v>
      </c>
      <c r="AP51" s="61">
        <v>17</v>
      </c>
      <c r="AQ51" s="61">
        <v>22</v>
      </c>
      <c r="AR51" s="61">
        <v>21</v>
      </c>
      <c r="AS51" s="61">
        <v>21</v>
      </c>
      <c r="AT51" s="61">
        <v>23</v>
      </c>
      <c r="AU51" s="61">
        <v>21</v>
      </c>
      <c r="AV51" s="61">
        <v>21</v>
      </c>
      <c r="AW51" s="61">
        <v>22</v>
      </c>
      <c r="AX51" s="61">
        <v>19</v>
      </c>
      <c r="AY51" s="61">
        <v>21</v>
      </c>
      <c r="AZ51" s="61">
        <v>20</v>
      </c>
      <c r="BA51" s="61">
        <v>20</v>
      </c>
      <c r="BB51" s="61">
        <v>19</v>
      </c>
      <c r="BC51" s="61">
        <v>22</v>
      </c>
      <c r="BD51" s="61">
        <v>20</v>
      </c>
      <c r="BE51" s="61">
        <v>22</v>
      </c>
      <c r="BF51" s="61">
        <v>23</v>
      </c>
      <c r="BG51" s="61">
        <v>20</v>
      </c>
      <c r="BH51" s="61">
        <v>22</v>
      </c>
      <c r="BI51" s="61">
        <v>22</v>
      </c>
      <c r="BJ51" s="61">
        <v>19</v>
      </c>
      <c r="BK51" s="61">
        <v>21</v>
      </c>
      <c r="BL51" s="61">
        <v>20</v>
      </c>
      <c r="BM51" s="61">
        <v>20</v>
      </c>
      <c r="BN51" s="61">
        <v>19</v>
      </c>
      <c r="BO51" s="61">
        <v>22</v>
      </c>
      <c r="BP51" s="61">
        <v>19</v>
      </c>
      <c r="BQ51" s="61">
        <v>23</v>
      </c>
      <c r="BR51" s="61">
        <v>22</v>
      </c>
      <c r="BS51" s="61">
        <v>21</v>
      </c>
      <c r="BT51" s="61">
        <v>22</v>
      </c>
      <c r="BU51" s="61">
        <v>21</v>
      </c>
      <c r="BV51" s="61">
        <v>20</v>
      </c>
    </row>
    <row r="52" spans="1:74" x14ac:dyDescent="0.2">
      <c r="A52" s="20"/>
      <c r="B52" s="22" t="s">
        <v>258</v>
      </c>
      <c r="C52" s="32">
        <v>21</v>
      </c>
      <c r="D52" s="32">
        <v>20</v>
      </c>
      <c r="E52" s="32">
        <v>21</v>
      </c>
      <c r="F52" s="32">
        <v>19</v>
      </c>
      <c r="G52" s="32">
        <v>21</v>
      </c>
      <c r="H52" s="32">
        <v>20</v>
      </c>
      <c r="I52" s="32">
        <v>23</v>
      </c>
      <c r="J52" s="32">
        <v>20</v>
      </c>
      <c r="K52" s="32">
        <v>22</v>
      </c>
      <c r="L52" s="32">
        <v>23</v>
      </c>
      <c r="M52" s="32">
        <v>20</v>
      </c>
      <c r="N52" s="32">
        <v>21</v>
      </c>
      <c r="O52" s="32">
        <v>20</v>
      </c>
      <c r="P52" s="61">
        <v>20</v>
      </c>
      <c r="Q52" s="61">
        <v>22</v>
      </c>
      <c r="R52" s="61">
        <v>20</v>
      </c>
      <c r="S52" s="61">
        <v>20</v>
      </c>
      <c r="T52" s="61">
        <v>21</v>
      </c>
      <c r="U52" s="61">
        <v>23</v>
      </c>
      <c r="V52" s="61">
        <v>20</v>
      </c>
      <c r="W52" s="61">
        <v>22</v>
      </c>
      <c r="X52" s="61">
        <v>22</v>
      </c>
      <c r="Y52" s="61">
        <v>21</v>
      </c>
      <c r="Z52" s="61">
        <v>21</v>
      </c>
      <c r="AA52" s="61">
        <v>19</v>
      </c>
      <c r="AB52" s="61">
        <v>20</v>
      </c>
      <c r="AC52" s="61">
        <v>21</v>
      </c>
      <c r="AD52" s="61">
        <v>21</v>
      </c>
      <c r="AE52" s="61">
        <v>20</v>
      </c>
      <c r="AF52" s="61">
        <v>21</v>
      </c>
      <c r="AG52" s="61">
        <v>22</v>
      </c>
      <c r="AH52" s="61">
        <v>21</v>
      </c>
      <c r="AI52" s="61">
        <v>22</v>
      </c>
      <c r="AJ52" s="61">
        <v>21</v>
      </c>
      <c r="AK52" s="61">
        <v>22</v>
      </c>
      <c r="AL52" s="61">
        <v>21</v>
      </c>
      <c r="AM52" s="61">
        <v>19</v>
      </c>
      <c r="AN52" s="61">
        <v>21</v>
      </c>
      <c r="AO52" s="61">
        <v>23</v>
      </c>
      <c r="AP52" s="61">
        <v>17</v>
      </c>
      <c r="AQ52" s="61">
        <v>22</v>
      </c>
      <c r="AR52" s="61">
        <v>21</v>
      </c>
      <c r="AS52" s="61">
        <v>21</v>
      </c>
      <c r="AT52" s="61">
        <v>22</v>
      </c>
      <c r="AU52" s="61">
        <v>21</v>
      </c>
      <c r="AV52" s="61">
        <v>22</v>
      </c>
      <c r="AW52" s="61">
        <v>22</v>
      </c>
      <c r="AX52" s="61">
        <v>19</v>
      </c>
      <c r="AY52" s="61">
        <v>21</v>
      </c>
      <c r="AZ52" s="61">
        <v>20</v>
      </c>
      <c r="BA52" s="61">
        <v>21</v>
      </c>
      <c r="BB52" s="61">
        <v>19</v>
      </c>
      <c r="BC52" s="61">
        <v>22</v>
      </c>
      <c r="BD52" s="61">
        <v>20</v>
      </c>
      <c r="BE52" s="61">
        <v>22</v>
      </c>
      <c r="BF52" s="61">
        <v>22</v>
      </c>
      <c r="BG52" s="61">
        <v>20</v>
      </c>
      <c r="BH52" s="61">
        <v>23</v>
      </c>
      <c r="BI52" s="61">
        <v>22</v>
      </c>
      <c r="BJ52" s="61">
        <v>19</v>
      </c>
      <c r="BK52" s="61">
        <v>21</v>
      </c>
      <c r="BL52" s="61">
        <v>20</v>
      </c>
      <c r="BM52" s="61">
        <v>21</v>
      </c>
      <c r="BN52" s="61">
        <v>19</v>
      </c>
      <c r="BO52" s="61">
        <v>22</v>
      </c>
      <c r="BP52" s="61">
        <v>19</v>
      </c>
      <c r="BQ52" s="61">
        <v>23</v>
      </c>
      <c r="BR52" s="61">
        <v>21</v>
      </c>
      <c r="BS52" s="61">
        <v>21</v>
      </c>
      <c r="BT52" s="61">
        <v>23</v>
      </c>
      <c r="BU52" s="61">
        <v>21</v>
      </c>
      <c r="BV52" s="61">
        <v>20</v>
      </c>
    </row>
    <row r="53" spans="1:74" x14ac:dyDescent="0.2">
      <c r="A53" s="20"/>
      <c r="B53" s="22" t="s">
        <v>259</v>
      </c>
      <c r="C53" s="32">
        <v>21</v>
      </c>
      <c r="D53" s="32">
        <v>19</v>
      </c>
      <c r="E53" s="32">
        <v>21</v>
      </c>
      <c r="F53" s="32">
        <v>19</v>
      </c>
      <c r="G53" s="32">
        <v>22</v>
      </c>
      <c r="H53" s="32">
        <v>19</v>
      </c>
      <c r="I53" s="32">
        <v>23</v>
      </c>
      <c r="J53" s="32">
        <v>21</v>
      </c>
      <c r="K53" s="32">
        <v>22</v>
      </c>
      <c r="L53" s="32">
        <v>22</v>
      </c>
      <c r="M53" s="32">
        <v>20</v>
      </c>
      <c r="N53" s="32">
        <v>21</v>
      </c>
      <c r="O53" s="32">
        <v>20</v>
      </c>
      <c r="P53" s="61">
        <v>19</v>
      </c>
      <c r="Q53" s="61">
        <v>22</v>
      </c>
      <c r="R53" s="61">
        <v>19</v>
      </c>
      <c r="S53" s="61">
        <v>21</v>
      </c>
      <c r="T53" s="61">
        <v>21</v>
      </c>
      <c r="U53" s="61">
        <v>22</v>
      </c>
      <c r="V53" s="61">
        <v>21</v>
      </c>
      <c r="W53" s="61">
        <v>22</v>
      </c>
      <c r="X53" s="61">
        <v>21</v>
      </c>
      <c r="Y53" s="61">
        <v>21</v>
      </c>
      <c r="Z53" s="61">
        <v>21</v>
      </c>
      <c r="AA53" s="61">
        <v>19</v>
      </c>
      <c r="AB53" s="61">
        <v>19</v>
      </c>
      <c r="AC53" s="61">
        <v>21</v>
      </c>
      <c r="AD53" s="61">
        <v>21</v>
      </c>
      <c r="AE53" s="61">
        <v>21</v>
      </c>
      <c r="AF53" s="61">
        <v>20</v>
      </c>
      <c r="AG53" s="61">
        <v>22</v>
      </c>
      <c r="AH53" s="61">
        <v>22</v>
      </c>
      <c r="AI53" s="61">
        <v>22</v>
      </c>
      <c r="AJ53" s="61">
        <v>20</v>
      </c>
      <c r="AK53" s="61">
        <v>22</v>
      </c>
      <c r="AL53" s="61">
        <v>21</v>
      </c>
      <c r="AM53" s="61">
        <v>19</v>
      </c>
      <c r="AN53" s="61">
        <v>20</v>
      </c>
      <c r="AO53" s="61">
        <v>23</v>
      </c>
      <c r="AP53" s="61">
        <v>17</v>
      </c>
      <c r="AQ53" s="61">
        <v>23</v>
      </c>
      <c r="AR53" s="61">
        <v>21</v>
      </c>
      <c r="AS53" s="61">
        <v>20</v>
      </c>
      <c r="AT53" s="61">
        <v>23</v>
      </c>
      <c r="AU53" s="61">
        <v>21</v>
      </c>
      <c r="AV53" s="61">
        <v>21</v>
      </c>
      <c r="AW53" s="61">
        <v>22</v>
      </c>
      <c r="AX53" s="61">
        <v>19</v>
      </c>
      <c r="AY53" s="61">
        <v>21</v>
      </c>
      <c r="AZ53" s="61">
        <v>19</v>
      </c>
      <c r="BA53" s="61">
        <v>21</v>
      </c>
      <c r="BB53" s="61">
        <v>19</v>
      </c>
      <c r="BC53" s="61">
        <v>23</v>
      </c>
      <c r="BD53" s="61">
        <v>20</v>
      </c>
      <c r="BE53" s="61">
        <v>21</v>
      </c>
      <c r="BF53" s="61">
        <v>23</v>
      </c>
      <c r="BG53" s="61">
        <v>20</v>
      </c>
      <c r="BH53" s="61">
        <v>22</v>
      </c>
      <c r="BI53" s="61">
        <v>22</v>
      </c>
      <c r="BJ53" s="61">
        <v>19</v>
      </c>
      <c r="BK53" s="61">
        <v>21</v>
      </c>
      <c r="BL53" s="61">
        <v>19</v>
      </c>
      <c r="BM53" s="61">
        <v>21</v>
      </c>
      <c r="BN53" s="61">
        <v>19</v>
      </c>
      <c r="BO53" s="61">
        <v>23</v>
      </c>
      <c r="BP53" s="61">
        <v>18</v>
      </c>
      <c r="BQ53" s="61">
        <v>23</v>
      </c>
      <c r="BR53" s="61">
        <v>22</v>
      </c>
      <c r="BS53" s="61">
        <v>21</v>
      </c>
      <c r="BT53" s="61">
        <v>22</v>
      </c>
      <c r="BU53" s="61">
        <v>21</v>
      </c>
      <c r="BV53" s="61">
        <v>20</v>
      </c>
    </row>
    <row r="54" spans="1:74" x14ac:dyDescent="0.2">
      <c r="A54" s="20"/>
      <c r="B54" s="22" t="s">
        <v>203</v>
      </c>
      <c r="C54" s="32">
        <v>20</v>
      </c>
      <c r="D54" s="32">
        <v>19</v>
      </c>
      <c r="E54" s="32">
        <v>21</v>
      </c>
      <c r="F54" s="32">
        <v>19</v>
      </c>
      <c r="G54" s="32">
        <v>22</v>
      </c>
      <c r="H54" s="32">
        <v>19</v>
      </c>
      <c r="I54" s="32">
        <v>23</v>
      </c>
      <c r="J54" s="32">
        <v>21</v>
      </c>
      <c r="K54" s="32">
        <v>22</v>
      </c>
      <c r="L54" s="32">
        <v>22</v>
      </c>
      <c r="M54" s="32">
        <v>20</v>
      </c>
      <c r="N54" s="32">
        <v>21</v>
      </c>
      <c r="O54" s="32">
        <v>19</v>
      </c>
      <c r="P54" s="61">
        <v>19</v>
      </c>
      <c r="Q54" s="61">
        <v>22</v>
      </c>
      <c r="R54" s="61">
        <v>19</v>
      </c>
      <c r="S54" s="61">
        <v>21</v>
      </c>
      <c r="T54" s="61">
        <v>21</v>
      </c>
      <c r="U54" s="61">
        <v>22</v>
      </c>
      <c r="V54" s="61">
        <v>21</v>
      </c>
      <c r="W54" s="61">
        <v>22</v>
      </c>
      <c r="X54" s="61">
        <v>21</v>
      </c>
      <c r="Y54" s="61">
        <v>21</v>
      </c>
      <c r="Z54" s="61">
        <v>21</v>
      </c>
      <c r="AA54" s="61">
        <v>19</v>
      </c>
      <c r="AB54" s="61">
        <v>18</v>
      </c>
      <c r="AC54" s="61">
        <v>21</v>
      </c>
      <c r="AD54" s="61">
        <v>21</v>
      </c>
      <c r="AE54" s="61">
        <v>21</v>
      </c>
      <c r="AF54" s="61">
        <v>20</v>
      </c>
      <c r="AG54" s="61">
        <v>22</v>
      </c>
      <c r="AH54" s="61">
        <v>22</v>
      </c>
      <c r="AI54" s="61">
        <v>22</v>
      </c>
      <c r="AJ54" s="61">
        <v>20</v>
      </c>
      <c r="AK54" s="61">
        <v>22</v>
      </c>
      <c r="AL54" s="61">
        <v>21</v>
      </c>
      <c r="AM54" s="61">
        <v>18</v>
      </c>
      <c r="AN54" s="61">
        <v>20</v>
      </c>
      <c r="AO54" s="61">
        <v>23</v>
      </c>
      <c r="AP54" s="61">
        <v>17</v>
      </c>
      <c r="AQ54" s="61">
        <v>23</v>
      </c>
      <c r="AR54" s="61">
        <v>21</v>
      </c>
      <c r="AS54" s="61">
        <v>20</v>
      </c>
      <c r="AT54" s="61">
        <v>23</v>
      </c>
      <c r="AU54" s="61">
        <v>21</v>
      </c>
      <c r="AV54" s="61">
        <v>21</v>
      </c>
      <c r="AW54" s="61">
        <v>22</v>
      </c>
      <c r="AX54" s="61">
        <v>19</v>
      </c>
      <c r="AY54" s="61">
        <v>20</v>
      </c>
      <c r="AZ54" s="61">
        <v>19</v>
      </c>
      <c r="BA54" s="61">
        <v>21</v>
      </c>
      <c r="BB54" s="61">
        <v>19</v>
      </c>
      <c r="BC54" s="61">
        <v>23</v>
      </c>
      <c r="BD54" s="61">
        <v>20</v>
      </c>
      <c r="BE54" s="61">
        <v>21</v>
      </c>
      <c r="BF54" s="61">
        <v>23</v>
      </c>
      <c r="BG54" s="61">
        <v>20</v>
      </c>
      <c r="BH54" s="61">
        <v>22</v>
      </c>
      <c r="BI54" s="61">
        <v>22</v>
      </c>
      <c r="BJ54" s="61">
        <v>19</v>
      </c>
      <c r="BK54" s="61">
        <v>20</v>
      </c>
      <c r="BL54" s="61">
        <v>19</v>
      </c>
      <c r="BM54" s="61">
        <v>21</v>
      </c>
      <c r="BN54" s="61">
        <v>19</v>
      </c>
      <c r="BO54" s="61">
        <v>23</v>
      </c>
      <c r="BP54" s="61">
        <v>18</v>
      </c>
      <c r="BQ54" s="61">
        <v>23</v>
      </c>
      <c r="BR54" s="61">
        <v>22</v>
      </c>
      <c r="BS54" s="61">
        <v>21</v>
      </c>
      <c r="BT54" s="61">
        <v>22</v>
      </c>
      <c r="BU54" s="61">
        <v>21</v>
      </c>
      <c r="BV54" s="61">
        <v>20</v>
      </c>
    </row>
    <row r="55" spans="1:74" x14ac:dyDescent="0.2">
      <c r="A55" s="20"/>
      <c r="B55" s="22" t="s">
        <v>260</v>
      </c>
      <c r="C55" s="32">
        <v>20</v>
      </c>
      <c r="D55" s="32">
        <v>19</v>
      </c>
      <c r="E55" s="32">
        <v>21</v>
      </c>
      <c r="F55" s="32">
        <v>19</v>
      </c>
      <c r="G55" s="32">
        <v>22</v>
      </c>
      <c r="H55" s="32">
        <v>19</v>
      </c>
      <c r="I55" s="32">
        <v>23</v>
      </c>
      <c r="J55" s="32">
        <v>21</v>
      </c>
      <c r="K55" s="32">
        <v>22</v>
      </c>
      <c r="L55" s="32">
        <v>22</v>
      </c>
      <c r="M55" s="32">
        <v>20</v>
      </c>
      <c r="N55" s="32">
        <v>21</v>
      </c>
      <c r="O55" s="32">
        <v>19</v>
      </c>
      <c r="P55" s="61">
        <v>19</v>
      </c>
      <c r="Q55" s="61">
        <v>22</v>
      </c>
      <c r="R55" s="61">
        <v>19</v>
      </c>
      <c r="S55" s="61">
        <v>21</v>
      </c>
      <c r="T55" s="61">
        <v>21</v>
      </c>
      <c r="U55" s="61">
        <v>22</v>
      </c>
      <c r="V55" s="61">
        <v>21</v>
      </c>
      <c r="W55" s="61">
        <v>22</v>
      </c>
      <c r="X55" s="61">
        <v>21</v>
      </c>
      <c r="Y55" s="61">
        <v>21</v>
      </c>
      <c r="Z55" s="61">
        <v>21</v>
      </c>
      <c r="AA55" s="61">
        <v>18</v>
      </c>
      <c r="AB55" s="61">
        <v>19</v>
      </c>
      <c r="AC55" s="61">
        <v>21</v>
      </c>
      <c r="AD55" s="61">
        <v>21</v>
      </c>
      <c r="AE55" s="61">
        <v>21</v>
      </c>
      <c r="AF55" s="61">
        <v>20</v>
      </c>
      <c r="AG55" s="61">
        <v>22</v>
      </c>
      <c r="AH55" s="61">
        <v>22</v>
      </c>
      <c r="AI55" s="61">
        <v>22</v>
      </c>
      <c r="AJ55" s="61">
        <v>20</v>
      </c>
      <c r="AK55" s="61">
        <v>22</v>
      </c>
      <c r="AL55" s="61">
        <v>21</v>
      </c>
      <c r="AM55" s="61">
        <v>18</v>
      </c>
      <c r="AN55" s="61">
        <v>20</v>
      </c>
      <c r="AO55" s="61">
        <v>23</v>
      </c>
      <c r="AP55" s="61">
        <v>17</v>
      </c>
      <c r="AQ55" s="61">
        <v>23</v>
      </c>
      <c r="AR55" s="61">
        <v>21</v>
      </c>
      <c r="AS55" s="61">
        <v>20</v>
      </c>
      <c r="AT55" s="61">
        <v>23</v>
      </c>
      <c r="AU55" s="61">
        <v>21</v>
      </c>
      <c r="AV55" s="61">
        <v>21</v>
      </c>
      <c r="AW55" s="61">
        <v>22</v>
      </c>
      <c r="AX55" s="61">
        <v>19</v>
      </c>
      <c r="AY55" s="61">
        <v>20</v>
      </c>
      <c r="AZ55" s="61">
        <v>19</v>
      </c>
      <c r="BA55" s="61">
        <v>21</v>
      </c>
      <c r="BB55" s="61">
        <v>19</v>
      </c>
      <c r="BC55" s="61">
        <v>23</v>
      </c>
      <c r="BD55" s="61">
        <v>20</v>
      </c>
      <c r="BE55" s="61">
        <v>21</v>
      </c>
      <c r="BF55" s="61">
        <v>23</v>
      </c>
      <c r="BG55" s="61">
        <v>20</v>
      </c>
      <c r="BH55" s="61">
        <v>22</v>
      </c>
      <c r="BI55" s="61">
        <v>22</v>
      </c>
      <c r="BJ55" s="61">
        <v>19</v>
      </c>
      <c r="BK55" s="61">
        <v>20</v>
      </c>
      <c r="BL55" s="61">
        <v>19</v>
      </c>
      <c r="BM55" s="61">
        <v>21</v>
      </c>
      <c r="BN55" s="61">
        <v>19</v>
      </c>
      <c r="BO55" s="61">
        <v>23</v>
      </c>
      <c r="BP55" s="61">
        <v>18</v>
      </c>
      <c r="BQ55" s="61">
        <v>23</v>
      </c>
      <c r="BR55" s="61">
        <v>22</v>
      </c>
      <c r="BS55" s="61">
        <v>21</v>
      </c>
      <c r="BT55" s="61">
        <v>22</v>
      </c>
      <c r="BU55" s="61">
        <v>21</v>
      </c>
      <c r="BV55" s="61">
        <v>20</v>
      </c>
    </row>
    <row r="56" spans="1:74" x14ac:dyDescent="0.2">
      <c r="A56" s="20"/>
      <c r="B56" s="22" t="s">
        <v>261</v>
      </c>
      <c r="C56" s="32">
        <v>21</v>
      </c>
      <c r="D56" s="32">
        <v>19</v>
      </c>
      <c r="E56" s="32">
        <v>21</v>
      </c>
      <c r="F56" s="32">
        <v>19</v>
      </c>
      <c r="G56" s="32">
        <v>22</v>
      </c>
      <c r="H56" s="32">
        <v>19</v>
      </c>
      <c r="I56" s="32">
        <v>23</v>
      </c>
      <c r="J56" s="32">
        <v>21</v>
      </c>
      <c r="K56" s="32">
        <v>22</v>
      </c>
      <c r="L56" s="32">
        <v>22</v>
      </c>
      <c r="M56" s="32">
        <v>19</v>
      </c>
      <c r="N56" s="32">
        <v>21</v>
      </c>
      <c r="O56" s="32">
        <v>20</v>
      </c>
      <c r="P56" s="61">
        <v>19</v>
      </c>
      <c r="Q56" s="61">
        <v>22</v>
      </c>
      <c r="R56" s="61">
        <v>19</v>
      </c>
      <c r="S56" s="61">
        <v>21</v>
      </c>
      <c r="T56" s="61">
        <v>21</v>
      </c>
      <c r="U56" s="61">
        <v>22</v>
      </c>
      <c r="V56" s="61">
        <v>21</v>
      </c>
      <c r="W56" s="61">
        <v>22</v>
      </c>
      <c r="X56" s="61">
        <v>21</v>
      </c>
      <c r="Y56" s="61">
        <v>20</v>
      </c>
      <c r="Z56" s="61">
        <v>21</v>
      </c>
      <c r="AA56" s="61">
        <v>19</v>
      </c>
      <c r="AB56" s="61">
        <v>19</v>
      </c>
      <c r="AC56" s="61">
        <v>21</v>
      </c>
      <c r="AD56" s="61">
        <v>21</v>
      </c>
      <c r="AE56" s="61">
        <v>21</v>
      </c>
      <c r="AF56" s="61">
        <v>20</v>
      </c>
      <c r="AG56" s="61">
        <v>22</v>
      </c>
      <c r="AH56" s="61">
        <v>22</v>
      </c>
      <c r="AI56" s="61">
        <v>22</v>
      </c>
      <c r="AJ56" s="61">
        <v>20</v>
      </c>
      <c r="AK56" s="61">
        <v>21</v>
      </c>
      <c r="AL56" s="61">
        <v>21</v>
      </c>
      <c r="AM56" s="61">
        <v>19</v>
      </c>
      <c r="AN56" s="61">
        <v>20</v>
      </c>
      <c r="AO56" s="61">
        <v>23</v>
      </c>
      <c r="AP56" s="61">
        <v>17</v>
      </c>
      <c r="AQ56" s="61">
        <v>23</v>
      </c>
      <c r="AR56" s="61">
        <v>21</v>
      </c>
      <c r="AS56" s="61">
        <v>20</v>
      </c>
      <c r="AT56" s="61">
        <v>23</v>
      </c>
      <c r="AU56" s="61">
        <v>21</v>
      </c>
      <c r="AV56" s="61">
        <v>21</v>
      </c>
      <c r="AW56" s="61">
        <v>21</v>
      </c>
      <c r="AX56" s="61">
        <v>19</v>
      </c>
      <c r="AY56" s="61">
        <v>21</v>
      </c>
      <c r="AZ56" s="61">
        <v>19</v>
      </c>
      <c r="BA56" s="61">
        <v>21</v>
      </c>
      <c r="BB56" s="61">
        <v>19</v>
      </c>
      <c r="BC56" s="61">
        <v>23</v>
      </c>
      <c r="BD56" s="61">
        <v>20</v>
      </c>
      <c r="BE56" s="61">
        <v>21</v>
      </c>
      <c r="BF56" s="61">
        <v>23</v>
      </c>
      <c r="BG56" s="61">
        <v>20</v>
      </c>
      <c r="BH56" s="61">
        <v>22</v>
      </c>
      <c r="BI56" s="61">
        <v>21</v>
      </c>
      <c r="BJ56" s="61">
        <v>19</v>
      </c>
      <c r="BK56" s="61">
        <v>21</v>
      </c>
      <c r="BL56" s="61">
        <v>19</v>
      </c>
      <c r="BM56" s="61">
        <v>21</v>
      </c>
      <c r="BN56" s="61">
        <v>19</v>
      </c>
      <c r="BO56" s="61">
        <v>23</v>
      </c>
      <c r="BP56" s="61">
        <v>18</v>
      </c>
      <c r="BQ56" s="61">
        <v>23</v>
      </c>
      <c r="BR56" s="61">
        <v>22</v>
      </c>
      <c r="BS56" s="61">
        <v>21</v>
      </c>
      <c r="BT56" s="61">
        <v>22</v>
      </c>
      <c r="BU56" s="61">
        <v>20</v>
      </c>
      <c r="BV56" s="61">
        <v>20</v>
      </c>
    </row>
    <row r="57" spans="1:74" x14ac:dyDescent="0.2">
      <c r="A57" s="20"/>
      <c r="B57" s="22" t="s">
        <v>262</v>
      </c>
      <c r="C57" s="32">
        <v>21</v>
      </c>
      <c r="D57" s="32">
        <v>19</v>
      </c>
      <c r="E57" s="32">
        <v>20</v>
      </c>
      <c r="F57" s="32">
        <v>19</v>
      </c>
      <c r="G57" s="32">
        <v>22</v>
      </c>
      <c r="H57" s="32">
        <v>19</v>
      </c>
      <c r="I57" s="32">
        <v>23</v>
      </c>
      <c r="J57" s="32">
        <v>21</v>
      </c>
      <c r="K57" s="32">
        <v>22</v>
      </c>
      <c r="L57" s="32">
        <v>22</v>
      </c>
      <c r="M57" s="32">
        <v>20</v>
      </c>
      <c r="N57" s="32">
        <v>21</v>
      </c>
      <c r="O57" s="32">
        <v>20</v>
      </c>
      <c r="P57" s="61">
        <v>19</v>
      </c>
      <c r="Q57" s="61">
        <v>21</v>
      </c>
      <c r="R57" s="61">
        <v>19</v>
      </c>
      <c r="S57" s="61">
        <v>21</v>
      </c>
      <c r="T57" s="61">
        <v>21</v>
      </c>
      <c r="U57" s="61">
        <v>22</v>
      </c>
      <c r="V57" s="61">
        <v>21</v>
      </c>
      <c r="W57" s="61">
        <v>22</v>
      </c>
      <c r="X57" s="61">
        <v>21</v>
      </c>
      <c r="Y57" s="61">
        <v>21</v>
      </c>
      <c r="Z57" s="61">
        <v>21</v>
      </c>
      <c r="AA57" s="61">
        <v>19</v>
      </c>
      <c r="AB57" s="61">
        <v>19</v>
      </c>
      <c r="AC57" s="61">
        <v>20</v>
      </c>
      <c r="AD57" s="61">
        <v>21</v>
      </c>
      <c r="AE57" s="61">
        <v>21</v>
      </c>
      <c r="AF57" s="61">
        <v>20</v>
      </c>
      <c r="AG57" s="61">
        <v>22</v>
      </c>
      <c r="AH57" s="61">
        <v>22</v>
      </c>
      <c r="AI57" s="61">
        <v>22</v>
      </c>
      <c r="AJ57" s="61">
        <v>20</v>
      </c>
      <c r="AK57" s="61">
        <v>22</v>
      </c>
      <c r="AL57" s="61">
        <v>21</v>
      </c>
      <c r="AM57" s="61">
        <v>19</v>
      </c>
      <c r="AN57" s="61">
        <v>20</v>
      </c>
      <c r="AO57" s="61">
        <v>22</v>
      </c>
      <c r="AP57" s="61">
        <v>17</v>
      </c>
      <c r="AQ57" s="61">
        <v>23</v>
      </c>
      <c r="AR57" s="61">
        <v>21</v>
      </c>
      <c r="AS57" s="61">
        <v>20</v>
      </c>
      <c r="AT57" s="61">
        <v>23</v>
      </c>
      <c r="AU57" s="61">
        <v>21</v>
      </c>
      <c r="AV57" s="61">
        <v>21</v>
      </c>
      <c r="AW57" s="61">
        <v>22</v>
      </c>
      <c r="AX57" s="61">
        <v>19</v>
      </c>
      <c r="AY57" s="61">
        <v>21</v>
      </c>
      <c r="AZ57" s="61">
        <v>19</v>
      </c>
      <c r="BA57" s="61">
        <v>20</v>
      </c>
      <c r="BB57" s="61">
        <v>19</v>
      </c>
      <c r="BC57" s="61">
        <v>23</v>
      </c>
      <c r="BD57" s="61">
        <v>20</v>
      </c>
      <c r="BE57" s="61">
        <v>21</v>
      </c>
      <c r="BF57" s="61">
        <v>23</v>
      </c>
      <c r="BG57" s="61">
        <v>20</v>
      </c>
      <c r="BH57" s="61">
        <v>22</v>
      </c>
      <c r="BI57" s="61">
        <v>22</v>
      </c>
      <c r="BJ57" s="61">
        <v>19</v>
      </c>
      <c r="BK57" s="61">
        <v>21</v>
      </c>
      <c r="BL57" s="61">
        <v>19</v>
      </c>
      <c r="BM57" s="61">
        <v>20</v>
      </c>
      <c r="BN57" s="61">
        <v>19</v>
      </c>
      <c r="BO57" s="61">
        <v>23</v>
      </c>
      <c r="BP57" s="61">
        <v>18</v>
      </c>
      <c r="BQ57" s="61">
        <v>23</v>
      </c>
      <c r="BR57" s="61">
        <v>22</v>
      </c>
      <c r="BS57" s="61">
        <v>21</v>
      </c>
      <c r="BT57" s="61">
        <v>22</v>
      </c>
      <c r="BU57" s="61">
        <v>21</v>
      </c>
      <c r="BV57" s="61">
        <v>20</v>
      </c>
    </row>
    <row r="58" spans="1:74" x14ac:dyDescent="0.2">
      <c r="A58" s="20"/>
      <c r="B58" s="22" t="s">
        <v>263</v>
      </c>
      <c r="C58" s="32">
        <v>21</v>
      </c>
      <c r="D58" s="32">
        <v>19</v>
      </c>
      <c r="E58" s="32">
        <v>21</v>
      </c>
      <c r="F58" s="32">
        <v>22</v>
      </c>
      <c r="G58" s="32">
        <v>21</v>
      </c>
      <c r="H58" s="32">
        <v>20</v>
      </c>
      <c r="I58" s="32">
        <v>22</v>
      </c>
      <c r="J58" s="32">
        <v>21</v>
      </c>
      <c r="K58" s="32">
        <v>21</v>
      </c>
      <c r="L58" s="32">
        <v>22</v>
      </c>
      <c r="M58" s="32">
        <v>18</v>
      </c>
      <c r="N58" s="32">
        <v>22</v>
      </c>
      <c r="O58" s="32">
        <v>20</v>
      </c>
      <c r="P58" s="61">
        <v>19</v>
      </c>
      <c r="Q58" s="61">
        <v>22</v>
      </c>
      <c r="R58" s="61">
        <v>22</v>
      </c>
      <c r="S58" s="61">
        <v>20</v>
      </c>
      <c r="T58" s="61">
        <v>21</v>
      </c>
      <c r="U58" s="61">
        <v>22</v>
      </c>
      <c r="V58" s="61">
        <v>21</v>
      </c>
      <c r="W58" s="61">
        <v>21</v>
      </c>
      <c r="X58" s="61">
        <v>21</v>
      </c>
      <c r="Y58" s="61">
        <v>19</v>
      </c>
      <c r="Z58" s="61">
        <v>22</v>
      </c>
      <c r="AA58" s="61">
        <v>19</v>
      </c>
      <c r="AB58" s="61">
        <v>19</v>
      </c>
      <c r="AC58" s="61">
        <v>23</v>
      </c>
      <c r="AD58" s="61">
        <v>22</v>
      </c>
      <c r="AE58" s="61">
        <v>20</v>
      </c>
      <c r="AF58" s="61">
        <v>21</v>
      </c>
      <c r="AG58" s="61">
        <v>21</v>
      </c>
      <c r="AH58" s="61">
        <v>22</v>
      </c>
      <c r="AI58" s="61">
        <v>21</v>
      </c>
      <c r="AJ58" s="61">
        <v>20</v>
      </c>
      <c r="AK58" s="61">
        <v>20</v>
      </c>
      <c r="AL58" s="61">
        <v>21</v>
      </c>
      <c r="AM58" s="61">
        <v>20</v>
      </c>
      <c r="AN58" s="61">
        <v>20</v>
      </c>
      <c r="AO58" s="61">
        <v>23</v>
      </c>
      <c r="AP58" s="61">
        <v>20</v>
      </c>
      <c r="AQ58" s="61">
        <v>22</v>
      </c>
      <c r="AR58" s="61">
        <v>21</v>
      </c>
      <c r="AS58" s="61">
        <v>20</v>
      </c>
      <c r="AT58" s="61">
        <v>23</v>
      </c>
      <c r="AU58" s="61">
        <v>20</v>
      </c>
      <c r="AV58" s="61">
        <v>21</v>
      </c>
      <c r="AW58" s="61">
        <v>20</v>
      </c>
      <c r="AX58" s="61">
        <v>20</v>
      </c>
      <c r="AY58" s="61">
        <v>21</v>
      </c>
      <c r="AZ58" s="61">
        <v>19</v>
      </c>
      <c r="BA58" s="61">
        <v>22</v>
      </c>
      <c r="BB58" s="61">
        <v>21</v>
      </c>
      <c r="BC58" s="61">
        <v>22</v>
      </c>
      <c r="BD58" s="61">
        <v>20</v>
      </c>
      <c r="BE58" s="61">
        <v>21</v>
      </c>
      <c r="BF58" s="61">
        <v>23</v>
      </c>
      <c r="BG58" s="61">
        <v>19</v>
      </c>
      <c r="BH58" s="61">
        <v>22</v>
      </c>
      <c r="BI58" s="61">
        <v>20</v>
      </c>
      <c r="BJ58" s="61">
        <v>20</v>
      </c>
      <c r="BK58" s="61">
        <v>21</v>
      </c>
      <c r="BL58" s="61">
        <v>19</v>
      </c>
      <c r="BM58" s="61">
        <v>21</v>
      </c>
      <c r="BN58" s="61">
        <v>22</v>
      </c>
      <c r="BO58" s="61">
        <v>22</v>
      </c>
      <c r="BP58" s="61">
        <v>19</v>
      </c>
      <c r="BQ58" s="61">
        <v>22</v>
      </c>
      <c r="BR58" s="61">
        <v>22</v>
      </c>
      <c r="BS58" s="61">
        <v>20</v>
      </c>
      <c r="BT58" s="61">
        <v>22</v>
      </c>
      <c r="BU58" s="61">
        <v>19</v>
      </c>
      <c r="BV58" s="61">
        <v>21</v>
      </c>
    </row>
    <row r="59" spans="1:74" x14ac:dyDescent="0.2">
      <c r="A59" s="20"/>
      <c r="B59" s="22" t="s">
        <v>264</v>
      </c>
      <c r="C59" s="32">
        <v>21</v>
      </c>
      <c r="D59" s="32">
        <v>19</v>
      </c>
      <c r="E59" s="32">
        <v>20</v>
      </c>
      <c r="F59" s="32">
        <v>22</v>
      </c>
      <c r="G59" s="32">
        <v>21</v>
      </c>
      <c r="H59" s="32">
        <v>20</v>
      </c>
      <c r="I59" s="32">
        <v>22</v>
      </c>
      <c r="J59" s="32">
        <v>21</v>
      </c>
      <c r="K59" s="32">
        <v>21</v>
      </c>
      <c r="L59" s="32">
        <v>23</v>
      </c>
      <c r="M59" s="32">
        <v>17</v>
      </c>
      <c r="N59" s="32">
        <v>22</v>
      </c>
      <c r="O59" s="32">
        <v>20</v>
      </c>
      <c r="P59" s="61">
        <v>19</v>
      </c>
      <c r="Q59" s="61">
        <v>21</v>
      </c>
      <c r="R59" s="61">
        <v>22</v>
      </c>
      <c r="S59" s="61">
        <v>20</v>
      </c>
      <c r="T59" s="61">
        <v>21</v>
      </c>
      <c r="U59" s="61">
        <v>22</v>
      </c>
      <c r="V59" s="61">
        <v>21</v>
      </c>
      <c r="W59" s="61">
        <v>21</v>
      </c>
      <c r="X59" s="61">
        <v>22</v>
      </c>
      <c r="Y59" s="61">
        <v>18</v>
      </c>
      <c r="Z59" s="61">
        <v>22</v>
      </c>
      <c r="AA59" s="61">
        <v>19</v>
      </c>
      <c r="AB59" s="61">
        <v>19</v>
      </c>
      <c r="AC59" s="61">
        <v>22</v>
      </c>
      <c r="AD59" s="61">
        <v>22</v>
      </c>
      <c r="AE59" s="61">
        <v>20</v>
      </c>
      <c r="AF59" s="61">
        <v>21</v>
      </c>
      <c r="AG59" s="61">
        <v>21</v>
      </c>
      <c r="AH59" s="61">
        <v>22</v>
      </c>
      <c r="AI59" s="61">
        <v>21</v>
      </c>
      <c r="AJ59" s="61">
        <v>20</v>
      </c>
      <c r="AK59" s="61">
        <v>19</v>
      </c>
      <c r="AL59" s="61">
        <v>21</v>
      </c>
      <c r="AM59" s="61">
        <v>20</v>
      </c>
      <c r="AN59" s="61">
        <v>19</v>
      </c>
      <c r="AO59" s="61">
        <v>22</v>
      </c>
      <c r="AP59" s="61">
        <v>20</v>
      </c>
      <c r="AQ59" s="61">
        <v>22</v>
      </c>
      <c r="AR59" s="61">
        <v>21</v>
      </c>
      <c r="AS59" s="61">
        <v>20</v>
      </c>
      <c r="AT59" s="61">
        <v>23</v>
      </c>
      <c r="AU59" s="61">
        <v>20</v>
      </c>
      <c r="AV59" s="61">
        <v>21</v>
      </c>
      <c r="AW59" s="61">
        <v>19</v>
      </c>
      <c r="AX59" s="61">
        <v>20</v>
      </c>
      <c r="AY59" s="61">
        <v>21</v>
      </c>
      <c r="AZ59" s="61">
        <v>18</v>
      </c>
      <c r="BA59" s="61">
        <v>22</v>
      </c>
      <c r="BB59" s="61">
        <v>21</v>
      </c>
      <c r="BC59" s="61">
        <v>22</v>
      </c>
      <c r="BD59" s="61">
        <v>20</v>
      </c>
      <c r="BE59" s="61">
        <v>21</v>
      </c>
      <c r="BF59" s="61">
        <v>23</v>
      </c>
      <c r="BG59" s="61">
        <v>19</v>
      </c>
      <c r="BH59" s="61">
        <v>23</v>
      </c>
      <c r="BI59" s="61">
        <v>18</v>
      </c>
      <c r="BJ59" s="61">
        <v>20</v>
      </c>
      <c r="BK59" s="61">
        <v>21</v>
      </c>
      <c r="BL59" s="61">
        <v>18</v>
      </c>
      <c r="BM59" s="61">
        <v>21</v>
      </c>
      <c r="BN59" s="61">
        <v>21</v>
      </c>
      <c r="BO59" s="61">
        <v>22</v>
      </c>
      <c r="BP59" s="61">
        <v>19</v>
      </c>
      <c r="BQ59" s="61">
        <v>22</v>
      </c>
      <c r="BR59" s="61">
        <v>22</v>
      </c>
      <c r="BS59" s="61">
        <v>20</v>
      </c>
      <c r="BT59" s="61">
        <v>23</v>
      </c>
      <c r="BU59" s="61">
        <v>18</v>
      </c>
      <c r="BV59" s="61">
        <v>21</v>
      </c>
    </row>
    <row r="60" spans="1:74" x14ac:dyDescent="0.2">
      <c r="A60" s="20"/>
      <c r="B60" s="22" t="s">
        <v>265</v>
      </c>
      <c r="C60" s="32">
        <v>21</v>
      </c>
      <c r="D60" s="32">
        <v>18</v>
      </c>
      <c r="E60" s="32">
        <v>21</v>
      </c>
      <c r="F60" s="32">
        <v>22</v>
      </c>
      <c r="G60" s="32">
        <v>21</v>
      </c>
      <c r="H60" s="32">
        <v>20</v>
      </c>
      <c r="I60" s="32">
        <v>22</v>
      </c>
      <c r="J60" s="32">
        <v>21</v>
      </c>
      <c r="K60" s="32">
        <v>21</v>
      </c>
      <c r="L60" s="32">
        <v>22</v>
      </c>
      <c r="M60" s="32">
        <v>17</v>
      </c>
      <c r="N60" s="32">
        <v>22</v>
      </c>
      <c r="O60" s="32">
        <v>20</v>
      </c>
      <c r="P60" s="61">
        <v>18</v>
      </c>
      <c r="Q60" s="61">
        <v>22</v>
      </c>
      <c r="R60" s="61">
        <v>22</v>
      </c>
      <c r="S60" s="61">
        <v>20</v>
      </c>
      <c r="T60" s="61">
        <v>21</v>
      </c>
      <c r="U60" s="61">
        <v>22</v>
      </c>
      <c r="V60" s="61">
        <v>21</v>
      </c>
      <c r="W60" s="61">
        <v>21</v>
      </c>
      <c r="X60" s="61">
        <v>21</v>
      </c>
      <c r="Y60" s="61">
        <v>18</v>
      </c>
      <c r="Z60" s="61">
        <v>22</v>
      </c>
      <c r="AA60" s="61">
        <v>19</v>
      </c>
      <c r="AB60" s="61">
        <v>18</v>
      </c>
      <c r="AC60" s="61">
        <v>23</v>
      </c>
      <c r="AD60" s="61">
        <v>22</v>
      </c>
      <c r="AE60" s="61">
        <v>20</v>
      </c>
      <c r="AF60" s="61">
        <v>21</v>
      </c>
      <c r="AG60" s="61">
        <v>21</v>
      </c>
      <c r="AH60" s="61">
        <v>22</v>
      </c>
      <c r="AI60" s="61">
        <v>21</v>
      </c>
      <c r="AJ60" s="61">
        <v>20</v>
      </c>
      <c r="AK60" s="61">
        <v>19</v>
      </c>
      <c r="AL60" s="61">
        <v>21</v>
      </c>
      <c r="AM60" s="61">
        <v>20</v>
      </c>
      <c r="AN60" s="61">
        <v>18</v>
      </c>
      <c r="AO60" s="61">
        <v>23</v>
      </c>
      <c r="AP60" s="61">
        <v>20</v>
      </c>
      <c r="AQ60" s="61">
        <v>22</v>
      </c>
      <c r="AR60" s="61">
        <v>21</v>
      </c>
      <c r="AS60" s="61">
        <v>20</v>
      </c>
      <c r="AT60" s="61">
        <v>23</v>
      </c>
      <c r="AU60" s="61">
        <v>20</v>
      </c>
      <c r="AV60" s="61">
        <v>21</v>
      </c>
      <c r="AW60" s="61">
        <v>19</v>
      </c>
      <c r="AX60" s="61">
        <v>20</v>
      </c>
      <c r="AY60" s="61">
        <v>21</v>
      </c>
      <c r="AZ60" s="61">
        <v>17</v>
      </c>
      <c r="BA60" s="61">
        <v>22</v>
      </c>
      <c r="BB60" s="61">
        <v>21</v>
      </c>
      <c r="BC60" s="61">
        <v>22</v>
      </c>
      <c r="BD60" s="61">
        <v>20</v>
      </c>
      <c r="BE60" s="61">
        <v>21</v>
      </c>
      <c r="BF60" s="61">
        <v>23</v>
      </c>
      <c r="BG60" s="61">
        <v>19</v>
      </c>
      <c r="BH60" s="61">
        <v>22</v>
      </c>
      <c r="BI60" s="61">
        <v>19</v>
      </c>
      <c r="BJ60" s="61">
        <v>20</v>
      </c>
      <c r="BK60" s="61">
        <v>21</v>
      </c>
      <c r="BL60" s="61">
        <v>17</v>
      </c>
      <c r="BM60" s="61">
        <v>21</v>
      </c>
      <c r="BN60" s="61">
        <v>22</v>
      </c>
      <c r="BO60" s="61">
        <v>22</v>
      </c>
      <c r="BP60" s="61">
        <v>19</v>
      </c>
      <c r="BQ60" s="61">
        <v>22</v>
      </c>
      <c r="BR60" s="61">
        <v>22</v>
      </c>
      <c r="BS60" s="61">
        <v>20</v>
      </c>
      <c r="BT60" s="61">
        <v>22</v>
      </c>
      <c r="BU60" s="61">
        <v>18</v>
      </c>
      <c r="BV60" s="61">
        <v>21</v>
      </c>
    </row>
    <row r="61" spans="1:74" x14ac:dyDescent="0.2">
      <c r="A61" s="20"/>
      <c r="B61" s="22" t="s">
        <v>266</v>
      </c>
      <c r="C61" s="32">
        <v>21</v>
      </c>
      <c r="D61" s="32">
        <v>19</v>
      </c>
      <c r="E61" s="32">
        <v>20</v>
      </c>
      <c r="F61" s="32">
        <v>20</v>
      </c>
      <c r="G61" s="32">
        <v>21</v>
      </c>
      <c r="H61" s="32">
        <v>20</v>
      </c>
      <c r="I61" s="32">
        <v>22</v>
      </c>
      <c r="J61" s="32">
        <v>20</v>
      </c>
      <c r="K61" s="32">
        <v>21</v>
      </c>
      <c r="L61" s="32">
        <v>23</v>
      </c>
      <c r="M61" s="32">
        <v>17</v>
      </c>
      <c r="N61" s="32">
        <v>20</v>
      </c>
      <c r="O61" s="32">
        <v>20</v>
      </c>
      <c r="P61" s="61">
        <v>19</v>
      </c>
      <c r="Q61" s="61">
        <v>20</v>
      </c>
      <c r="R61" s="61">
        <v>20</v>
      </c>
      <c r="S61" s="61">
        <v>20</v>
      </c>
      <c r="T61" s="61">
        <v>21</v>
      </c>
      <c r="U61" s="61">
        <v>22</v>
      </c>
      <c r="V61" s="61">
        <v>20</v>
      </c>
      <c r="W61" s="61">
        <v>21</v>
      </c>
      <c r="X61" s="61">
        <v>22</v>
      </c>
      <c r="Y61" s="61">
        <v>18</v>
      </c>
      <c r="Z61" s="61">
        <v>21</v>
      </c>
      <c r="AA61" s="61">
        <v>18</v>
      </c>
      <c r="AB61" s="61">
        <v>19</v>
      </c>
      <c r="AC61" s="61">
        <v>20</v>
      </c>
      <c r="AD61" s="61">
        <v>21</v>
      </c>
      <c r="AE61" s="61">
        <v>20</v>
      </c>
      <c r="AF61" s="61">
        <v>21</v>
      </c>
      <c r="AG61" s="61">
        <v>21</v>
      </c>
      <c r="AH61" s="61">
        <v>21</v>
      </c>
      <c r="AI61" s="61">
        <v>21</v>
      </c>
      <c r="AJ61" s="61">
        <v>21</v>
      </c>
      <c r="AK61" s="61">
        <v>19</v>
      </c>
      <c r="AL61" s="61">
        <v>20</v>
      </c>
      <c r="AM61" s="61">
        <v>19</v>
      </c>
      <c r="AN61" s="61">
        <v>20</v>
      </c>
      <c r="AO61" s="61">
        <v>21</v>
      </c>
      <c r="AP61" s="61">
        <v>18</v>
      </c>
      <c r="AQ61" s="61">
        <v>22</v>
      </c>
      <c r="AR61" s="61">
        <v>21</v>
      </c>
      <c r="AS61" s="61">
        <v>20</v>
      </c>
      <c r="AT61" s="61">
        <v>23</v>
      </c>
      <c r="AU61" s="61">
        <v>20</v>
      </c>
      <c r="AV61" s="61">
        <v>22</v>
      </c>
      <c r="AW61" s="61">
        <v>19</v>
      </c>
      <c r="AX61" s="61">
        <v>18</v>
      </c>
      <c r="AY61" s="61">
        <v>20</v>
      </c>
      <c r="AZ61" s="61">
        <v>19</v>
      </c>
      <c r="BA61" s="61">
        <v>20</v>
      </c>
      <c r="BB61" s="61">
        <v>21</v>
      </c>
      <c r="BC61" s="61">
        <v>22</v>
      </c>
      <c r="BD61" s="61">
        <v>20</v>
      </c>
      <c r="BE61" s="61">
        <v>21</v>
      </c>
      <c r="BF61" s="61">
        <v>22</v>
      </c>
      <c r="BG61" s="61">
        <v>19</v>
      </c>
      <c r="BH61" s="61">
        <v>23</v>
      </c>
      <c r="BI61" s="61">
        <v>19</v>
      </c>
      <c r="BJ61" s="61">
        <v>18</v>
      </c>
      <c r="BK61" s="61">
        <v>21</v>
      </c>
      <c r="BL61" s="61">
        <v>19</v>
      </c>
      <c r="BM61" s="61">
        <v>21</v>
      </c>
      <c r="BN61" s="61">
        <v>21</v>
      </c>
      <c r="BO61" s="61">
        <v>22</v>
      </c>
      <c r="BP61" s="61">
        <v>19</v>
      </c>
      <c r="BQ61" s="61">
        <v>22</v>
      </c>
      <c r="BR61" s="61">
        <v>21</v>
      </c>
      <c r="BS61" s="61">
        <v>20</v>
      </c>
      <c r="BT61" s="61">
        <v>23</v>
      </c>
      <c r="BU61" s="61">
        <v>18</v>
      </c>
      <c r="BV61" s="61">
        <v>19</v>
      </c>
    </row>
    <row r="62" spans="1:74" x14ac:dyDescent="0.2">
      <c r="A62" s="20"/>
      <c r="B62" s="22" t="s">
        <v>267</v>
      </c>
      <c r="C62" s="32">
        <v>21</v>
      </c>
      <c r="D62" s="32">
        <v>19</v>
      </c>
      <c r="E62" s="32">
        <v>21</v>
      </c>
      <c r="F62" s="32">
        <v>21</v>
      </c>
      <c r="G62" s="32">
        <v>21</v>
      </c>
      <c r="H62" s="32">
        <v>20</v>
      </c>
      <c r="I62" s="32">
        <v>22</v>
      </c>
      <c r="J62" s="32">
        <v>21</v>
      </c>
      <c r="K62" s="32">
        <v>21</v>
      </c>
      <c r="L62" s="32">
        <v>22</v>
      </c>
      <c r="M62" s="32">
        <v>18</v>
      </c>
      <c r="N62" s="32">
        <v>22</v>
      </c>
      <c r="O62" s="32">
        <v>20</v>
      </c>
      <c r="P62" s="61">
        <v>19</v>
      </c>
      <c r="Q62" s="61">
        <v>22</v>
      </c>
      <c r="R62" s="61">
        <v>21</v>
      </c>
      <c r="S62" s="61">
        <v>20</v>
      </c>
      <c r="T62" s="61">
        <v>21</v>
      </c>
      <c r="U62" s="61">
        <v>23</v>
      </c>
      <c r="V62" s="61">
        <v>21</v>
      </c>
      <c r="W62" s="61">
        <v>21</v>
      </c>
      <c r="X62" s="61">
        <v>21</v>
      </c>
      <c r="Y62" s="61">
        <v>19</v>
      </c>
      <c r="Z62" s="61">
        <v>22</v>
      </c>
      <c r="AA62" s="61">
        <v>19</v>
      </c>
      <c r="AB62" s="61">
        <v>19</v>
      </c>
      <c r="AC62" s="61">
        <v>23</v>
      </c>
      <c r="AD62" s="61">
        <v>21</v>
      </c>
      <c r="AE62" s="61">
        <v>20</v>
      </c>
      <c r="AF62" s="61">
        <v>22</v>
      </c>
      <c r="AG62" s="61">
        <v>21</v>
      </c>
      <c r="AH62" s="61">
        <v>22</v>
      </c>
      <c r="AI62" s="61">
        <v>21</v>
      </c>
      <c r="AJ62" s="61">
        <v>20</v>
      </c>
      <c r="AK62" s="61">
        <v>20</v>
      </c>
      <c r="AL62" s="61">
        <v>23</v>
      </c>
      <c r="AM62" s="61">
        <v>20</v>
      </c>
      <c r="AN62" s="61">
        <v>20</v>
      </c>
      <c r="AO62" s="61">
        <v>23</v>
      </c>
      <c r="AP62" s="61">
        <v>19</v>
      </c>
      <c r="AQ62" s="61">
        <v>22</v>
      </c>
      <c r="AR62" s="61">
        <v>21</v>
      </c>
      <c r="AS62" s="61">
        <v>20</v>
      </c>
      <c r="AT62" s="61">
        <v>23</v>
      </c>
      <c r="AU62" s="61">
        <v>20</v>
      </c>
      <c r="AV62" s="61">
        <v>21</v>
      </c>
      <c r="AW62" s="61">
        <v>21</v>
      </c>
      <c r="AX62" s="61">
        <v>20</v>
      </c>
      <c r="AY62" s="61">
        <v>21</v>
      </c>
      <c r="AZ62" s="61">
        <v>19</v>
      </c>
      <c r="BA62" s="61">
        <v>22</v>
      </c>
      <c r="BB62" s="61">
        <v>20</v>
      </c>
      <c r="BC62" s="61">
        <v>22</v>
      </c>
      <c r="BD62" s="61">
        <v>20</v>
      </c>
      <c r="BE62" s="61">
        <v>21</v>
      </c>
      <c r="BF62" s="61">
        <v>23</v>
      </c>
      <c r="BG62" s="61">
        <v>19</v>
      </c>
      <c r="BH62" s="61">
        <v>22</v>
      </c>
      <c r="BI62" s="61">
        <v>20</v>
      </c>
      <c r="BJ62" s="61">
        <v>20</v>
      </c>
      <c r="BK62" s="61">
        <v>21</v>
      </c>
      <c r="BL62" s="61">
        <v>19</v>
      </c>
      <c r="BM62" s="61">
        <v>21</v>
      </c>
      <c r="BN62" s="61">
        <v>21</v>
      </c>
      <c r="BO62" s="61">
        <v>22</v>
      </c>
      <c r="BP62" s="61">
        <v>19</v>
      </c>
      <c r="BQ62" s="61">
        <v>22</v>
      </c>
      <c r="BR62" s="61">
        <v>22</v>
      </c>
      <c r="BS62" s="61">
        <v>20</v>
      </c>
      <c r="BT62" s="61">
        <v>22</v>
      </c>
      <c r="BU62" s="61">
        <v>19</v>
      </c>
      <c r="BV62" s="61">
        <v>21</v>
      </c>
    </row>
    <row r="63" spans="1:74" x14ac:dyDescent="0.2">
      <c r="A63" s="20"/>
      <c r="B63" s="22" t="s">
        <v>268</v>
      </c>
      <c r="C63" s="32">
        <v>21</v>
      </c>
      <c r="D63" s="32">
        <v>18</v>
      </c>
      <c r="E63" s="32">
        <v>20</v>
      </c>
      <c r="F63" s="32">
        <v>22</v>
      </c>
      <c r="G63" s="32">
        <v>21</v>
      </c>
      <c r="H63" s="32">
        <v>20</v>
      </c>
      <c r="I63" s="32">
        <v>22</v>
      </c>
      <c r="J63" s="32">
        <v>21</v>
      </c>
      <c r="K63" s="32">
        <v>21</v>
      </c>
      <c r="L63" s="32">
        <v>22</v>
      </c>
      <c r="M63" s="32">
        <v>18</v>
      </c>
      <c r="N63" s="32">
        <v>22</v>
      </c>
      <c r="O63" s="32">
        <v>20</v>
      </c>
      <c r="P63" s="61">
        <v>18</v>
      </c>
      <c r="Q63" s="61">
        <v>21</v>
      </c>
      <c r="R63" s="61">
        <v>22</v>
      </c>
      <c r="S63" s="61">
        <v>20</v>
      </c>
      <c r="T63" s="61">
        <v>21</v>
      </c>
      <c r="U63" s="61">
        <v>22</v>
      </c>
      <c r="V63" s="61">
        <v>21</v>
      </c>
      <c r="W63" s="61">
        <v>21</v>
      </c>
      <c r="X63" s="61">
        <v>21</v>
      </c>
      <c r="Y63" s="61">
        <v>18</v>
      </c>
      <c r="Z63" s="61">
        <v>22</v>
      </c>
      <c r="AA63" s="61">
        <v>19</v>
      </c>
      <c r="AB63" s="61">
        <v>18</v>
      </c>
      <c r="AC63" s="61">
        <v>22</v>
      </c>
      <c r="AD63" s="61">
        <v>22</v>
      </c>
      <c r="AE63" s="61">
        <v>20</v>
      </c>
      <c r="AF63" s="61">
        <v>21</v>
      </c>
      <c r="AG63" s="61">
        <v>21</v>
      </c>
      <c r="AH63" s="61">
        <v>22</v>
      </c>
      <c r="AI63" s="61">
        <v>21</v>
      </c>
      <c r="AJ63" s="61">
        <v>20</v>
      </c>
      <c r="AK63" s="61">
        <v>20</v>
      </c>
      <c r="AL63" s="61">
        <v>21</v>
      </c>
      <c r="AM63" s="61">
        <v>20</v>
      </c>
      <c r="AN63" s="61">
        <v>19</v>
      </c>
      <c r="AO63" s="61">
        <v>22</v>
      </c>
      <c r="AP63" s="61">
        <v>20</v>
      </c>
      <c r="AQ63" s="61">
        <v>22</v>
      </c>
      <c r="AR63" s="61">
        <v>21</v>
      </c>
      <c r="AS63" s="61">
        <v>20</v>
      </c>
      <c r="AT63" s="61">
        <v>23</v>
      </c>
      <c r="AU63" s="61">
        <v>20</v>
      </c>
      <c r="AV63" s="61">
        <v>21</v>
      </c>
      <c r="AW63" s="61">
        <v>19</v>
      </c>
      <c r="AX63" s="61">
        <v>20</v>
      </c>
      <c r="AY63" s="61">
        <v>21</v>
      </c>
      <c r="AZ63" s="61">
        <v>18</v>
      </c>
      <c r="BA63" s="61">
        <v>21</v>
      </c>
      <c r="BB63" s="61">
        <v>21</v>
      </c>
      <c r="BC63" s="61">
        <v>22</v>
      </c>
      <c r="BD63" s="61">
        <v>20</v>
      </c>
      <c r="BE63" s="61">
        <v>21</v>
      </c>
      <c r="BF63" s="61">
        <v>23</v>
      </c>
      <c r="BG63" s="61">
        <v>19</v>
      </c>
      <c r="BH63" s="61">
        <v>22</v>
      </c>
      <c r="BI63" s="61">
        <v>20</v>
      </c>
      <c r="BJ63" s="61">
        <v>20</v>
      </c>
      <c r="BK63" s="61">
        <v>21</v>
      </c>
      <c r="BL63" s="61">
        <v>18</v>
      </c>
      <c r="BM63" s="61">
        <v>20</v>
      </c>
      <c r="BN63" s="61">
        <v>22</v>
      </c>
      <c r="BO63" s="61">
        <v>22</v>
      </c>
      <c r="BP63" s="61">
        <v>19</v>
      </c>
      <c r="BQ63" s="61">
        <v>22</v>
      </c>
      <c r="BR63" s="61">
        <v>22</v>
      </c>
      <c r="BS63" s="61">
        <v>20</v>
      </c>
      <c r="BT63" s="61">
        <v>22</v>
      </c>
      <c r="BU63" s="61">
        <v>18</v>
      </c>
      <c r="BV63" s="61">
        <v>21</v>
      </c>
    </row>
    <row r="64" spans="1:74" x14ac:dyDescent="0.2">
      <c r="A64" s="20"/>
      <c r="B64" s="22" t="s">
        <v>200</v>
      </c>
      <c r="C64" s="32">
        <v>21</v>
      </c>
      <c r="D64" s="32">
        <v>20</v>
      </c>
      <c r="E64" s="32">
        <v>21</v>
      </c>
      <c r="F64" s="32">
        <v>18</v>
      </c>
      <c r="G64" s="32">
        <v>20</v>
      </c>
      <c r="H64" s="32">
        <v>19</v>
      </c>
      <c r="I64" s="32">
        <v>23</v>
      </c>
      <c r="J64" s="32">
        <v>19</v>
      </c>
      <c r="K64" s="32">
        <v>22</v>
      </c>
      <c r="L64" s="32">
        <v>22</v>
      </c>
      <c r="M64" s="32">
        <v>20</v>
      </c>
      <c r="N64" s="32">
        <v>18</v>
      </c>
      <c r="O64" s="32">
        <v>21</v>
      </c>
      <c r="P64" s="61">
        <v>19</v>
      </c>
      <c r="Q64" s="61">
        <v>21</v>
      </c>
      <c r="R64" s="61">
        <v>19</v>
      </c>
      <c r="S64" s="61">
        <v>19</v>
      </c>
      <c r="T64" s="61">
        <v>21</v>
      </c>
      <c r="U64" s="61">
        <v>23</v>
      </c>
      <c r="V64" s="61">
        <v>19</v>
      </c>
      <c r="W64" s="61">
        <v>22</v>
      </c>
      <c r="X64" s="61">
        <v>22</v>
      </c>
      <c r="Y64" s="61">
        <v>19</v>
      </c>
      <c r="Z64" s="61">
        <v>18</v>
      </c>
      <c r="AA64" s="61">
        <v>20</v>
      </c>
      <c r="AB64" s="61">
        <v>20</v>
      </c>
      <c r="AC64" s="61">
        <v>20</v>
      </c>
      <c r="AD64" s="61">
        <v>21</v>
      </c>
      <c r="AE64" s="61">
        <v>21</v>
      </c>
      <c r="AF64" s="61">
        <v>22</v>
      </c>
      <c r="AG64" s="61">
        <v>22</v>
      </c>
      <c r="AH64" s="61">
        <v>21</v>
      </c>
      <c r="AI64" s="61">
        <v>22</v>
      </c>
      <c r="AJ64" s="61">
        <v>21</v>
      </c>
      <c r="AK64" s="61">
        <v>20</v>
      </c>
      <c r="AL64" s="61">
        <v>20</v>
      </c>
      <c r="AM64" s="61">
        <v>20</v>
      </c>
      <c r="AN64" s="61">
        <v>21</v>
      </c>
      <c r="AO64" s="61">
        <v>23</v>
      </c>
      <c r="AP64" s="61">
        <v>18</v>
      </c>
      <c r="AQ64" s="61">
        <v>21</v>
      </c>
      <c r="AR64" s="61">
        <v>21</v>
      </c>
      <c r="AS64" s="61">
        <v>21</v>
      </c>
      <c r="AT64" s="61">
        <v>21</v>
      </c>
      <c r="AU64" s="61">
        <v>21</v>
      </c>
      <c r="AV64" s="61">
        <v>22</v>
      </c>
      <c r="AW64" s="61">
        <v>20</v>
      </c>
      <c r="AX64" s="61">
        <v>19</v>
      </c>
      <c r="AY64" s="61">
        <v>22</v>
      </c>
      <c r="AZ64" s="61">
        <v>18</v>
      </c>
      <c r="BA64" s="61">
        <v>20</v>
      </c>
      <c r="BB64" s="61">
        <v>19</v>
      </c>
      <c r="BC64" s="61">
        <v>22</v>
      </c>
      <c r="BD64" s="61">
        <v>20</v>
      </c>
      <c r="BE64" s="61">
        <v>22</v>
      </c>
      <c r="BF64" s="61">
        <v>21</v>
      </c>
      <c r="BG64" s="61">
        <v>20</v>
      </c>
      <c r="BH64" s="61">
        <v>23</v>
      </c>
      <c r="BI64" s="61">
        <v>20</v>
      </c>
      <c r="BJ64" s="61">
        <v>19</v>
      </c>
      <c r="BK64" s="61">
        <v>22</v>
      </c>
      <c r="BL64" s="61">
        <v>19</v>
      </c>
      <c r="BM64" s="61">
        <v>21</v>
      </c>
      <c r="BN64" s="61">
        <v>19</v>
      </c>
      <c r="BO64" s="61">
        <v>22</v>
      </c>
      <c r="BP64" s="61">
        <v>19</v>
      </c>
      <c r="BQ64" s="61">
        <v>23</v>
      </c>
      <c r="BR64" s="61">
        <v>20</v>
      </c>
      <c r="BS64" s="61">
        <v>21</v>
      </c>
      <c r="BT64" s="61">
        <v>23</v>
      </c>
      <c r="BU64" s="61">
        <v>20</v>
      </c>
      <c r="BV64" s="61">
        <v>19</v>
      </c>
    </row>
    <row r="65" spans="1:74" x14ac:dyDescent="0.2">
      <c r="A65" s="20"/>
      <c r="B65" s="22" t="s">
        <v>201</v>
      </c>
      <c r="C65" s="32">
        <v>23</v>
      </c>
      <c r="D65" s="32">
        <v>19</v>
      </c>
      <c r="E65" s="32">
        <v>20</v>
      </c>
      <c r="F65" s="32">
        <v>20</v>
      </c>
      <c r="G65" s="32">
        <v>21</v>
      </c>
      <c r="H65" s="32">
        <v>21</v>
      </c>
      <c r="I65" s="32">
        <v>23</v>
      </c>
      <c r="J65" s="32">
        <v>20</v>
      </c>
      <c r="K65" s="32">
        <v>21</v>
      </c>
      <c r="L65" s="32">
        <v>21</v>
      </c>
      <c r="M65" s="32">
        <v>19</v>
      </c>
      <c r="N65" s="32">
        <v>22</v>
      </c>
      <c r="O65" s="32">
        <v>21</v>
      </c>
      <c r="P65" s="61">
        <v>20</v>
      </c>
      <c r="Q65" s="61">
        <v>21</v>
      </c>
      <c r="R65" s="61">
        <v>21</v>
      </c>
      <c r="S65" s="61">
        <v>19</v>
      </c>
      <c r="T65" s="61">
        <v>21</v>
      </c>
      <c r="U65" s="61">
        <v>23</v>
      </c>
      <c r="V65" s="61">
        <v>20</v>
      </c>
      <c r="W65" s="61">
        <v>21</v>
      </c>
      <c r="X65" s="61">
        <v>20</v>
      </c>
      <c r="Y65" s="61">
        <v>20</v>
      </c>
      <c r="Z65" s="61">
        <v>22</v>
      </c>
      <c r="AA65" s="61">
        <v>20</v>
      </c>
      <c r="AB65" s="61">
        <v>20</v>
      </c>
      <c r="AC65" s="61">
        <v>21</v>
      </c>
      <c r="AD65" s="61">
        <v>22</v>
      </c>
      <c r="AE65" s="61">
        <v>19</v>
      </c>
      <c r="AF65" s="61">
        <v>21</v>
      </c>
      <c r="AG65" s="61">
        <v>22</v>
      </c>
      <c r="AH65" s="61">
        <v>21</v>
      </c>
      <c r="AI65" s="61">
        <v>22</v>
      </c>
      <c r="AJ65" s="61">
        <v>20</v>
      </c>
      <c r="AK65" s="61">
        <v>22</v>
      </c>
      <c r="AL65" s="61">
        <v>23</v>
      </c>
      <c r="AM65" s="61">
        <v>20</v>
      </c>
      <c r="AN65" s="61">
        <v>20</v>
      </c>
      <c r="AO65" s="61">
        <v>23</v>
      </c>
      <c r="AP65" s="61">
        <v>18</v>
      </c>
      <c r="AQ65" s="61">
        <v>22</v>
      </c>
      <c r="AR65" s="61">
        <v>22</v>
      </c>
      <c r="AS65" s="61">
        <v>21</v>
      </c>
      <c r="AT65" s="61">
        <v>21</v>
      </c>
      <c r="AU65" s="61">
        <v>20</v>
      </c>
      <c r="AV65" s="61">
        <v>20</v>
      </c>
      <c r="AW65" s="61">
        <v>21</v>
      </c>
      <c r="AX65" s="61">
        <v>20</v>
      </c>
      <c r="AY65" s="61">
        <v>22</v>
      </c>
      <c r="AZ65" s="61">
        <v>19</v>
      </c>
      <c r="BA65" s="61">
        <v>21</v>
      </c>
      <c r="BB65" s="61">
        <v>19</v>
      </c>
      <c r="BC65" s="61">
        <v>22</v>
      </c>
      <c r="BD65" s="61">
        <v>21</v>
      </c>
      <c r="BE65" s="61">
        <v>21</v>
      </c>
      <c r="BF65" s="61">
        <v>22</v>
      </c>
      <c r="BG65" s="61">
        <v>20</v>
      </c>
      <c r="BH65" s="61">
        <v>21</v>
      </c>
      <c r="BI65" s="61">
        <v>20</v>
      </c>
      <c r="BJ65" s="61">
        <v>20</v>
      </c>
      <c r="BK65" s="61">
        <v>23</v>
      </c>
      <c r="BL65" s="61">
        <v>19</v>
      </c>
      <c r="BM65" s="61">
        <v>21</v>
      </c>
      <c r="BN65" s="61">
        <v>20</v>
      </c>
      <c r="BO65" s="61">
        <v>21</v>
      </c>
      <c r="BP65" s="61">
        <v>20</v>
      </c>
      <c r="BQ65" s="61">
        <v>23</v>
      </c>
      <c r="BR65" s="61">
        <v>20</v>
      </c>
      <c r="BS65" s="61">
        <v>21</v>
      </c>
      <c r="BT65" s="61">
        <v>22</v>
      </c>
      <c r="BU65" s="61">
        <v>21</v>
      </c>
      <c r="BV65" s="61">
        <v>21</v>
      </c>
    </row>
    <row r="66" spans="1:74" x14ac:dyDescent="0.2">
      <c r="A66" s="20"/>
      <c r="B66" s="22" t="s">
        <v>204</v>
      </c>
      <c r="C66" s="32">
        <v>21</v>
      </c>
      <c r="D66" s="32">
        <v>17</v>
      </c>
      <c r="E66" s="32">
        <v>19</v>
      </c>
      <c r="F66" s="32">
        <v>20</v>
      </c>
      <c r="G66" s="32">
        <v>19</v>
      </c>
      <c r="H66" s="32">
        <v>20</v>
      </c>
      <c r="I66" s="32">
        <v>22</v>
      </c>
      <c r="J66" s="32">
        <v>20</v>
      </c>
      <c r="K66" s="32">
        <v>21</v>
      </c>
      <c r="L66" s="32">
        <v>21</v>
      </c>
      <c r="M66" s="32">
        <v>19</v>
      </c>
      <c r="N66" s="32">
        <v>21</v>
      </c>
      <c r="O66" s="32">
        <v>21</v>
      </c>
      <c r="P66" s="61">
        <v>19</v>
      </c>
      <c r="Q66" s="61">
        <v>21</v>
      </c>
      <c r="R66" s="61">
        <v>18</v>
      </c>
      <c r="S66" s="61">
        <v>19</v>
      </c>
      <c r="T66" s="61">
        <v>21</v>
      </c>
      <c r="U66" s="61">
        <v>22</v>
      </c>
      <c r="V66" s="61">
        <v>19</v>
      </c>
      <c r="W66" s="61">
        <v>22</v>
      </c>
      <c r="X66" s="61">
        <v>22</v>
      </c>
      <c r="Y66" s="61">
        <v>20</v>
      </c>
      <c r="Z66" s="61">
        <v>21</v>
      </c>
      <c r="AA66" s="61">
        <v>21</v>
      </c>
      <c r="AB66" s="61">
        <v>20</v>
      </c>
      <c r="AC66" s="61">
        <v>23</v>
      </c>
      <c r="AD66" s="61">
        <v>22</v>
      </c>
      <c r="AE66" s="61">
        <v>21</v>
      </c>
      <c r="AF66" s="61">
        <v>22</v>
      </c>
      <c r="AG66" s="61">
        <v>22</v>
      </c>
      <c r="AH66" s="61">
        <v>22</v>
      </c>
      <c r="AI66" s="61">
        <v>22</v>
      </c>
      <c r="AJ66" s="61">
        <v>21</v>
      </c>
      <c r="AK66" s="61">
        <v>22</v>
      </c>
      <c r="AL66" s="61">
        <v>23</v>
      </c>
      <c r="AM66" s="61">
        <v>21</v>
      </c>
      <c r="AN66" s="61">
        <v>21</v>
      </c>
      <c r="AO66" s="61">
        <v>23</v>
      </c>
      <c r="AP66" s="61">
        <v>20</v>
      </c>
      <c r="AQ66" s="61">
        <v>23</v>
      </c>
      <c r="AR66" s="61">
        <v>22</v>
      </c>
      <c r="AS66" s="61">
        <v>21</v>
      </c>
      <c r="AT66" s="61">
        <v>23</v>
      </c>
      <c r="AU66" s="61">
        <v>21</v>
      </c>
      <c r="AV66" s="61">
        <v>22</v>
      </c>
      <c r="AW66" s="61">
        <v>22</v>
      </c>
      <c r="AX66" s="61">
        <v>21</v>
      </c>
      <c r="AY66" s="61">
        <v>23</v>
      </c>
      <c r="AZ66" s="61">
        <v>20</v>
      </c>
      <c r="BA66" s="61">
        <v>22</v>
      </c>
      <c r="BB66" s="61">
        <v>21</v>
      </c>
      <c r="BC66" s="61">
        <v>23</v>
      </c>
      <c r="BD66" s="61">
        <v>21</v>
      </c>
      <c r="BE66" s="61">
        <v>22</v>
      </c>
      <c r="BF66" s="61">
        <v>23</v>
      </c>
      <c r="BG66" s="61">
        <v>20</v>
      </c>
      <c r="BH66" s="61">
        <v>23</v>
      </c>
      <c r="BI66" s="61">
        <v>22</v>
      </c>
      <c r="BJ66" s="61">
        <v>21</v>
      </c>
      <c r="BK66" s="61">
        <v>23</v>
      </c>
      <c r="BL66" s="61">
        <v>20</v>
      </c>
      <c r="BM66" s="61">
        <v>21</v>
      </c>
      <c r="BN66" s="61">
        <v>22</v>
      </c>
      <c r="BO66" s="61">
        <v>23</v>
      </c>
      <c r="BP66" s="61">
        <v>20</v>
      </c>
      <c r="BQ66" s="61">
        <v>23</v>
      </c>
      <c r="BR66" s="61">
        <v>22</v>
      </c>
      <c r="BS66" s="61">
        <v>21</v>
      </c>
      <c r="BT66" s="61">
        <v>23</v>
      </c>
      <c r="BU66" s="61">
        <v>21</v>
      </c>
      <c r="BV66" s="61">
        <v>22</v>
      </c>
    </row>
    <row r="67" spans="1:74" x14ac:dyDescent="0.2">
      <c r="A67" s="20"/>
      <c r="B67" s="22" t="s">
        <v>269</v>
      </c>
      <c r="C67" s="32">
        <v>17</v>
      </c>
      <c r="D67" s="32">
        <v>20</v>
      </c>
      <c r="E67" s="32">
        <v>21</v>
      </c>
      <c r="F67" s="32">
        <v>20</v>
      </c>
      <c r="G67" s="32">
        <v>21</v>
      </c>
      <c r="H67" s="32">
        <v>21</v>
      </c>
      <c r="I67" s="32">
        <v>23</v>
      </c>
      <c r="J67" s="32">
        <v>21</v>
      </c>
      <c r="K67" s="32">
        <v>20</v>
      </c>
      <c r="L67" s="32">
        <v>23</v>
      </c>
      <c r="M67" s="32">
        <v>20</v>
      </c>
      <c r="N67" s="32">
        <v>23</v>
      </c>
      <c r="O67" s="32">
        <v>21</v>
      </c>
      <c r="P67" s="61">
        <v>15</v>
      </c>
      <c r="Q67" s="61">
        <v>22</v>
      </c>
      <c r="R67" s="61">
        <v>20</v>
      </c>
      <c r="S67" s="61">
        <v>20</v>
      </c>
      <c r="T67" s="61">
        <v>22</v>
      </c>
      <c r="U67" s="61">
        <v>23</v>
      </c>
      <c r="V67" s="61">
        <v>21</v>
      </c>
      <c r="W67" s="61">
        <v>20</v>
      </c>
      <c r="X67" s="61">
        <v>22</v>
      </c>
      <c r="Y67" s="61">
        <v>21</v>
      </c>
      <c r="Z67" s="61">
        <v>23</v>
      </c>
      <c r="AA67" s="61">
        <v>20</v>
      </c>
      <c r="AB67" s="61">
        <v>15</v>
      </c>
      <c r="AC67" s="61">
        <v>23</v>
      </c>
      <c r="AD67" s="61">
        <v>20</v>
      </c>
      <c r="AE67" s="61">
        <v>20</v>
      </c>
      <c r="AF67" s="61">
        <v>22</v>
      </c>
      <c r="AG67" s="61">
        <v>22</v>
      </c>
      <c r="AH67" s="61">
        <v>22</v>
      </c>
      <c r="AI67" s="61">
        <v>20</v>
      </c>
      <c r="AJ67" s="61">
        <v>21</v>
      </c>
      <c r="AK67" s="61">
        <v>22</v>
      </c>
      <c r="AL67" s="61">
        <v>23</v>
      </c>
      <c r="AM67" s="61">
        <v>15</v>
      </c>
      <c r="AN67" s="61">
        <v>21</v>
      </c>
      <c r="AO67" s="61">
        <v>23</v>
      </c>
      <c r="AP67" s="61">
        <v>19</v>
      </c>
      <c r="AQ67" s="61">
        <v>21</v>
      </c>
      <c r="AR67" s="61">
        <v>22</v>
      </c>
      <c r="AS67" s="61">
        <v>21</v>
      </c>
      <c r="AT67" s="61">
        <v>23</v>
      </c>
      <c r="AU67" s="61">
        <v>19</v>
      </c>
      <c r="AV67" s="61">
        <v>22</v>
      </c>
      <c r="AW67" s="61">
        <v>22</v>
      </c>
      <c r="AX67" s="61">
        <v>21</v>
      </c>
      <c r="AY67" s="61">
        <v>22</v>
      </c>
      <c r="AZ67" s="61">
        <v>15</v>
      </c>
      <c r="BA67" s="61">
        <v>22</v>
      </c>
      <c r="BB67" s="61">
        <v>19</v>
      </c>
      <c r="BC67" s="61">
        <v>22</v>
      </c>
      <c r="BD67" s="61">
        <v>21</v>
      </c>
      <c r="BE67" s="61">
        <v>22</v>
      </c>
      <c r="BF67" s="61">
        <v>23</v>
      </c>
      <c r="BG67" s="61">
        <v>18</v>
      </c>
      <c r="BH67" s="61">
        <v>23</v>
      </c>
      <c r="BI67" s="61">
        <v>22</v>
      </c>
      <c r="BJ67" s="61">
        <v>21</v>
      </c>
      <c r="BK67" s="61">
        <v>21</v>
      </c>
      <c r="BL67" s="61">
        <v>16</v>
      </c>
      <c r="BM67" s="61">
        <v>21</v>
      </c>
      <c r="BN67" s="61">
        <v>20</v>
      </c>
      <c r="BO67" s="61">
        <v>22</v>
      </c>
      <c r="BP67" s="61">
        <v>20</v>
      </c>
      <c r="BQ67" s="61">
        <v>23</v>
      </c>
      <c r="BR67" s="61">
        <v>22</v>
      </c>
      <c r="BS67" s="61">
        <v>19</v>
      </c>
      <c r="BT67" s="61">
        <v>23</v>
      </c>
      <c r="BU67" s="61">
        <v>21</v>
      </c>
      <c r="BV67" s="61">
        <v>22</v>
      </c>
    </row>
    <row r="68" spans="1:74" x14ac:dyDescent="0.2">
      <c r="A68" s="20"/>
      <c r="B68" s="22" t="s">
        <v>270</v>
      </c>
      <c r="C68" s="32">
        <v>22</v>
      </c>
      <c r="D68" s="32">
        <v>20</v>
      </c>
      <c r="E68" s="32">
        <v>20</v>
      </c>
      <c r="F68" s="32">
        <v>19</v>
      </c>
      <c r="G68" s="32">
        <v>21</v>
      </c>
      <c r="H68" s="32">
        <v>20</v>
      </c>
      <c r="I68" s="32">
        <v>23</v>
      </c>
      <c r="J68" s="32">
        <v>21</v>
      </c>
      <c r="K68" s="32">
        <v>21</v>
      </c>
      <c r="L68" s="32">
        <v>23</v>
      </c>
      <c r="M68" s="32">
        <v>20</v>
      </c>
      <c r="N68" s="32">
        <v>20</v>
      </c>
      <c r="O68" s="32">
        <v>21</v>
      </c>
      <c r="P68" s="61">
        <v>20</v>
      </c>
      <c r="Q68" s="61">
        <v>22</v>
      </c>
      <c r="R68" s="61">
        <v>19</v>
      </c>
      <c r="S68" s="61">
        <v>20</v>
      </c>
      <c r="T68" s="61">
        <v>21</v>
      </c>
      <c r="U68" s="61">
        <v>23</v>
      </c>
      <c r="V68" s="61">
        <v>20</v>
      </c>
      <c r="W68" s="61">
        <v>21</v>
      </c>
      <c r="X68" s="61">
        <v>22</v>
      </c>
      <c r="Y68" s="61">
        <v>21</v>
      </c>
      <c r="Z68" s="61">
        <v>21</v>
      </c>
      <c r="AA68" s="61">
        <v>20</v>
      </c>
      <c r="AB68" s="61">
        <v>20</v>
      </c>
      <c r="AC68" s="61">
        <v>20</v>
      </c>
      <c r="AD68" s="61">
        <v>21</v>
      </c>
      <c r="AE68" s="61">
        <v>21</v>
      </c>
      <c r="AF68" s="61">
        <v>21</v>
      </c>
      <c r="AG68" s="61">
        <v>22</v>
      </c>
      <c r="AH68" s="61">
        <v>21</v>
      </c>
      <c r="AI68" s="61">
        <v>21</v>
      </c>
      <c r="AJ68" s="61">
        <v>21</v>
      </c>
      <c r="AK68" s="61">
        <v>22</v>
      </c>
      <c r="AL68" s="61">
        <v>21</v>
      </c>
      <c r="AM68" s="61">
        <v>21</v>
      </c>
      <c r="AN68" s="61">
        <v>21</v>
      </c>
      <c r="AO68" s="61">
        <v>22</v>
      </c>
      <c r="AP68" s="61">
        <v>17</v>
      </c>
      <c r="AQ68" s="61">
        <v>22</v>
      </c>
      <c r="AR68" s="61">
        <v>21</v>
      </c>
      <c r="AS68" s="61">
        <v>21</v>
      </c>
      <c r="AT68" s="61">
        <v>22</v>
      </c>
      <c r="AU68" s="61">
        <v>20</v>
      </c>
      <c r="AV68" s="61">
        <v>22</v>
      </c>
      <c r="AW68" s="61">
        <v>22</v>
      </c>
      <c r="AX68" s="61">
        <v>19</v>
      </c>
      <c r="AY68" s="61">
        <v>22</v>
      </c>
      <c r="AZ68" s="61">
        <v>20</v>
      </c>
      <c r="BA68" s="61">
        <v>20</v>
      </c>
      <c r="BB68" s="61">
        <v>19</v>
      </c>
      <c r="BC68" s="61">
        <v>22</v>
      </c>
      <c r="BD68" s="61">
        <v>21</v>
      </c>
      <c r="BE68" s="61">
        <v>22</v>
      </c>
      <c r="BF68" s="61">
        <v>22</v>
      </c>
      <c r="BG68" s="61">
        <v>19</v>
      </c>
      <c r="BH68" s="61">
        <v>23</v>
      </c>
      <c r="BI68" s="61">
        <v>22</v>
      </c>
      <c r="BJ68" s="61">
        <v>18</v>
      </c>
      <c r="BK68" s="61">
        <v>22</v>
      </c>
      <c r="BL68" s="61">
        <v>20</v>
      </c>
      <c r="BM68" s="61">
        <v>20</v>
      </c>
      <c r="BN68" s="61">
        <v>20</v>
      </c>
      <c r="BO68" s="61">
        <v>22</v>
      </c>
      <c r="BP68" s="61">
        <v>19</v>
      </c>
      <c r="BQ68" s="61">
        <v>23</v>
      </c>
      <c r="BR68" s="61">
        <v>21</v>
      </c>
      <c r="BS68" s="61">
        <v>20</v>
      </c>
      <c r="BT68" s="61">
        <v>23</v>
      </c>
      <c r="BU68" s="61">
        <v>21</v>
      </c>
      <c r="BV68" s="61">
        <v>19</v>
      </c>
    </row>
    <row r="69" spans="1:74" x14ac:dyDescent="0.2">
      <c r="A69" s="20"/>
      <c r="B69" s="22" t="s">
        <v>271</v>
      </c>
      <c r="C69" s="32">
        <v>21</v>
      </c>
      <c r="D69" s="32">
        <v>20</v>
      </c>
      <c r="E69" s="32">
        <v>21</v>
      </c>
      <c r="F69" s="32">
        <v>21</v>
      </c>
      <c r="G69" s="32">
        <v>21</v>
      </c>
      <c r="H69" s="32">
        <v>20</v>
      </c>
      <c r="I69" s="32">
        <v>23</v>
      </c>
      <c r="J69" s="32">
        <v>20</v>
      </c>
      <c r="K69" s="32">
        <v>22</v>
      </c>
      <c r="L69" s="32">
        <v>23</v>
      </c>
      <c r="M69" s="32">
        <v>19</v>
      </c>
      <c r="N69" s="32">
        <v>20</v>
      </c>
      <c r="O69" s="32">
        <v>20</v>
      </c>
      <c r="P69" s="61">
        <v>20</v>
      </c>
      <c r="Q69" s="61">
        <v>22</v>
      </c>
      <c r="R69" s="61">
        <v>21</v>
      </c>
      <c r="S69" s="61">
        <v>20</v>
      </c>
      <c r="T69" s="61">
        <v>21</v>
      </c>
      <c r="U69" s="61">
        <v>23</v>
      </c>
      <c r="V69" s="61">
        <v>21</v>
      </c>
      <c r="W69" s="61">
        <v>22</v>
      </c>
      <c r="X69" s="61">
        <v>22</v>
      </c>
      <c r="Y69" s="61">
        <v>20</v>
      </c>
      <c r="Z69" s="61">
        <v>21</v>
      </c>
      <c r="AA69" s="61">
        <v>19</v>
      </c>
      <c r="AB69" s="61">
        <v>20</v>
      </c>
      <c r="AC69" s="61">
        <v>22</v>
      </c>
      <c r="AD69" s="61">
        <v>22</v>
      </c>
      <c r="AE69" s="61">
        <v>19</v>
      </c>
      <c r="AF69" s="61">
        <v>22</v>
      </c>
      <c r="AG69" s="61">
        <v>22</v>
      </c>
      <c r="AH69" s="61">
        <v>22</v>
      </c>
      <c r="AI69" s="61">
        <v>22</v>
      </c>
      <c r="AJ69" s="61">
        <v>21</v>
      </c>
      <c r="AK69" s="61">
        <v>20</v>
      </c>
      <c r="AL69" s="61">
        <v>22</v>
      </c>
      <c r="AM69" s="61">
        <v>20</v>
      </c>
      <c r="AN69" s="61">
        <v>21</v>
      </c>
      <c r="AO69" s="61">
        <v>23</v>
      </c>
      <c r="AP69" s="61">
        <v>19</v>
      </c>
      <c r="AQ69" s="61">
        <v>21</v>
      </c>
      <c r="AR69" s="61">
        <v>21</v>
      </c>
      <c r="AS69" s="61">
        <v>21</v>
      </c>
      <c r="AT69" s="61">
        <v>22</v>
      </c>
      <c r="AU69" s="61">
        <v>21</v>
      </c>
      <c r="AV69" s="61">
        <v>22</v>
      </c>
      <c r="AW69" s="61">
        <v>21</v>
      </c>
      <c r="AX69" s="61">
        <v>19</v>
      </c>
      <c r="AY69" s="61">
        <v>22</v>
      </c>
      <c r="AZ69" s="61">
        <v>20</v>
      </c>
      <c r="BA69" s="61">
        <v>22</v>
      </c>
      <c r="BB69" s="61">
        <v>20</v>
      </c>
      <c r="BC69" s="61">
        <v>20</v>
      </c>
      <c r="BD69" s="61">
        <v>21</v>
      </c>
      <c r="BE69" s="61">
        <v>22</v>
      </c>
      <c r="BF69" s="61">
        <v>22</v>
      </c>
      <c r="BG69" s="61">
        <v>20</v>
      </c>
      <c r="BH69" s="61">
        <v>23</v>
      </c>
      <c r="BI69" s="61">
        <v>21</v>
      </c>
      <c r="BJ69" s="61">
        <v>18</v>
      </c>
      <c r="BK69" s="61">
        <v>22</v>
      </c>
      <c r="BL69" s="61">
        <v>20</v>
      </c>
      <c r="BM69" s="61">
        <v>21</v>
      </c>
      <c r="BN69" s="61">
        <v>21</v>
      </c>
      <c r="BO69" s="61">
        <v>21</v>
      </c>
      <c r="BP69" s="61">
        <v>19</v>
      </c>
      <c r="BQ69" s="61">
        <v>23</v>
      </c>
      <c r="BR69" s="61">
        <v>21</v>
      </c>
      <c r="BS69" s="61">
        <v>21</v>
      </c>
      <c r="BT69" s="61">
        <v>23</v>
      </c>
      <c r="BU69" s="61">
        <v>19</v>
      </c>
      <c r="BV69" s="61">
        <v>19</v>
      </c>
    </row>
    <row r="70" spans="1:74" x14ac:dyDescent="0.2">
      <c r="A70" s="20"/>
      <c r="B70" s="22" t="s">
        <v>272</v>
      </c>
      <c r="C70" s="32">
        <v>22</v>
      </c>
      <c r="D70" s="32">
        <v>20</v>
      </c>
      <c r="E70" s="32">
        <v>21</v>
      </c>
      <c r="F70" s="32">
        <v>20</v>
      </c>
      <c r="G70" s="32">
        <v>20</v>
      </c>
      <c r="H70" s="32">
        <v>21</v>
      </c>
      <c r="I70" s="32">
        <v>23</v>
      </c>
      <c r="J70" s="32">
        <v>20</v>
      </c>
      <c r="K70" s="32">
        <v>22</v>
      </c>
      <c r="L70" s="32">
        <v>23</v>
      </c>
      <c r="M70" s="32">
        <v>20</v>
      </c>
      <c r="N70" s="32">
        <v>21</v>
      </c>
      <c r="O70" s="32">
        <v>21</v>
      </c>
      <c r="P70" s="61">
        <v>20</v>
      </c>
      <c r="Q70" s="61">
        <v>22</v>
      </c>
      <c r="R70" s="61">
        <v>20</v>
      </c>
      <c r="S70" s="61">
        <v>19</v>
      </c>
      <c r="T70" s="61">
        <v>22</v>
      </c>
      <c r="U70" s="61">
        <v>23</v>
      </c>
      <c r="V70" s="61">
        <v>20</v>
      </c>
      <c r="W70" s="61">
        <v>22</v>
      </c>
      <c r="X70" s="61">
        <v>22</v>
      </c>
      <c r="Y70" s="61">
        <v>21</v>
      </c>
      <c r="Z70" s="61">
        <v>21</v>
      </c>
      <c r="AA70" s="61">
        <v>20</v>
      </c>
      <c r="AB70" s="61">
        <v>20</v>
      </c>
      <c r="AC70" s="61">
        <v>21</v>
      </c>
      <c r="AD70" s="61">
        <v>22</v>
      </c>
      <c r="AE70" s="61">
        <v>19</v>
      </c>
      <c r="AF70" s="61">
        <v>22</v>
      </c>
      <c r="AG70" s="61">
        <v>22</v>
      </c>
      <c r="AH70" s="61">
        <v>21</v>
      </c>
      <c r="AI70" s="61">
        <v>22</v>
      </c>
      <c r="AJ70" s="61">
        <v>21</v>
      </c>
      <c r="AK70" s="61">
        <v>22</v>
      </c>
      <c r="AL70" s="61">
        <v>21</v>
      </c>
      <c r="AM70" s="61">
        <v>20</v>
      </c>
      <c r="AN70" s="61">
        <v>21</v>
      </c>
      <c r="AO70" s="61">
        <v>23</v>
      </c>
      <c r="AP70" s="61">
        <v>18</v>
      </c>
      <c r="AQ70" s="61">
        <v>21</v>
      </c>
      <c r="AR70" s="61">
        <v>22</v>
      </c>
      <c r="AS70" s="61">
        <v>21</v>
      </c>
      <c r="AT70" s="61">
        <v>22</v>
      </c>
      <c r="AU70" s="61">
        <v>21</v>
      </c>
      <c r="AV70" s="61">
        <v>22</v>
      </c>
      <c r="AW70" s="61">
        <v>22</v>
      </c>
      <c r="AX70" s="61">
        <v>19</v>
      </c>
      <c r="AY70" s="61">
        <v>22</v>
      </c>
      <c r="AZ70" s="61">
        <v>20</v>
      </c>
      <c r="BA70" s="61">
        <v>21</v>
      </c>
      <c r="BB70" s="61">
        <v>20</v>
      </c>
      <c r="BC70" s="61">
        <v>21</v>
      </c>
      <c r="BD70" s="61">
        <v>21</v>
      </c>
      <c r="BE70" s="61">
        <v>22</v>
      </c>
      <c r="BF70" s="61">
        <v>22</v>
      </c>
      <c r="BG70" s="61">
        <v>20</v>
      </c>
      <c r="BH70" s="61">
        <v>23</v>
      </c>
      <c r="BI70" s="61">
        <v>22</v>
      </c>
      <c r="BJ70" s="61">
        <v>19</v>
      </c>
      <c r="BK70" s="61">
        <v>22</v>
      </c>
      <c r="BL70" s="61">
        <v>20</v>
      </c>
      <c r="BM70" s="61">
        <v>21</v>
      </c>
      <c r="BN70" s="61">
        <v>20</v>
      </c>
      <c r="BO70" s="61">
        <v>21</v>
      </c>
      <c r="BP70" s="61">
        <v>20</v>
      </c>
      <c r="BQ70" s="61">
        <v>23</v>
      </c>
      <c r="BR70" s="61">
        <v>21</v>
      </c>
      <c r="BS70" s="61">
        <v>21</v>
      </c>
      <c r="BT70" s="61">
        <v>23</v>
      </c>
      <c r="BU70" s="61">
        <v>21</v>
      </c>
      <c r="BV70" s="61">
        <v>20</v>
      </c>
    </row>
    <row r="71" spans="1:74" x14ac:dyDescent="0.2">
      <c r="A71" s="20"/>
      <c r="B71" s="22" t="s">
        <v>273</v>
      </c>
      <c r="C71" s="32">
        <v>22</v>
      </c>
      <c r="D71" s="32">
        <v>19</v>
      </c>
      <c r="E71" s="32">
        <v>21</v>
      </c>
      <c r="F71" s="32">
        <v>21</v>
      </c>
      <c r="G71" s="32">
        <v>21</v>
      </c>
      <c r="H71" s="32">
        <v>21</v>
      </c>
      <c r="I71" s="32">
        <v>22</v>
      </c>
      <c r="J71" s="32">
        <v>21</v>
      </c>
      <c r="K71" s="32">
        <v>21</v>
      </c>
      <c r="L71" s="32">
        <v>22</v>
      </c>
      <c r="M71" s="32">
        <v>20</v>
      </c>
      <c r="N71" s="32">
        <v>21</v>
      </c>
      <c r="O71" s="32">
        <v>21</v>
      </c>
      <c r="P71" s="61">
        <v>19</v>
      </c>
      <c r="Q71" s="61">
        <v>22</v>
      </c>
      <c r="R71" s="61">
        <v>21</v>
      </c>
      <c r="S71" s="61">
        <v>20</v>
      </c>
      <c r="T71" s="61">
        <v>22</v>
      </c>
      <c r="U71" s="61">
        <v>22</v>
      </c>
      <c r="V71" s="61">
        <v>21</v>
      </c>
      <c r="W71" s="61">
        <v>21</v>
      </c>
      <c r="X71" s="61">
        <v>21</v>
      </c>
      <c r="Y71" s="61">
        <v>21</v>
      </c>
      <c r="Z71" s="61">
        <v>22</v>
      </c>
      <c r="AA71" s="61">
        <v>20</v>
      </c>
      <c r="AB71" s="61">
        <v>19</v>
      </c>
      <c r="AC71" s="61">
        <v>22</v>
      </c>
      <c r="AD71" s="61">
        <v>22</v>
      </c>
      <c r="AE71" s="61">
        <v>20</v>
      </c>
      <c r="AF71" s="61">
        <v>22</v>
      </c>
      <c r="AG71" s="61">
        <v>21</v>
      </c>
      <c r="AH71" s="61">
        <v>22</v>
      </c>
      <c r="AI71" s="61">
        <v>21</v>
      </c>
      <c r="AJ71" s="61">
        <v>20</v>
      </c>
      <c r="AK71" s="61">
        <v>22</v>
      </c>
      <c r="AL71" s="61">
        <v>21</v>
      </c>
      <c r="AM71" s="61">
        <v>20</v>
      </c>
      <c r="AN71" s="61">
        <v>20</v>
      </c>
      <c r="AO71" s="61">
        <v>23</v>
      </c>
      <c r="AP71" s="61">
        <v>19</v>
      </c>
      <c r="AQ71" s="61">
        <v>22</v>
      </c>
      <c r="AR71" s="61">
        <v>22</v>
      </c>
      <c r="AS71" s="61">
        <v>21</v>
      </c>
      <c r="AT71" s="61">
        <v>23</v>
      </c>
      <c r="AU71" s="61">
        <v>20</v>
      </c>
      <c r="AV71" s="61">
        <v>21</v>
      </c>
      <c r="AW71" s="61">
        <v>22</v>
      </c>
      <c r="AX71" s="61">
        <v>19</v>
      </c>
      <c r="AY71" s="61">
        <v>22</v>
      </c>
      <c r="AZ71" s="61">
        <v>19</v>
      </c>
      <c r="BA71" s="61">
        <v>21</v>
      </c>
      <c r="BB71" s="61">
        <v>21</v>
      </c>
      <c r="BC71" s="61">
        <v>22</v>
      </c>
      <c r="BD71" s="61">
        <v>21</v>
      </c>
      <c r="BE71" s="61">
        <v>22</v>
      </c>
      <c r="BF71" s="61">
        <v>23</v>
      </c>
      <c r="BG71" s="61">
        <v>19</v>
      </c>
      <c r="BH71" s="61">
        <v>22</v>
      </c>
      <c r="BI71" s="61">
        <v>22</v>
      </c>
      <c r="BJ71" s="61">
        <v>19</v>
      </c>
      <c r="BK71" s="61">
        <v>22</v>
      </c>
      <c r="BL71" s="61">
        <v>19</v>
      </c>
      <c r="BM71" s="61">
        <v>21</v>
      </c>
      <c r="BN71" s="61">
        <v>21</v>
      </c>
      <c r="BO71" s="61">
        <v>22</v>
      </c>
      <c r="BP71" s="61">
        <v>20</v>
      </c>
      <c r="BQ71" s="61">
        <v>22</v>
      </c>
      <c r="BR71" s="61">
        <v>22</v>
      </c>
      <c r="BS71" s="61">
        <v>20</v>
      </c>
      <c r="BT71" s="61">
        <v>22</v>
      </c>
      <c r="BU71" s="61">
        <v>21</v>
      </c>
      <c r="BV71" s="61">
        <v>20</v>
      </c>
    </row>
    <row r="72" spans="1:74" x14ac:dyDescent="0.2">
      <c r="A72" s="20"/>
      <c r="B72" s="20"/>
      <c r="C72" s="20"/>
      <c r="D72" s="20"/>
      <c r="E72" s="20"/>
      <c r="F72" s="20"/>
      <c r="G72" s="20"/>
      <c r="H72" s="20"/>
      <c r="I72" s="20"/>
      <c r="J72" s="20"/>
      <c r="K72" s="20"/>
      <c r="L72" s="20"/>
      <c r="M72" s="20"/>
      <c r="N72" s="20"/>
      <c r="O72" s="20"/>
    </row>
    <row r="73" spans="1:74" x14ac:dyDescent="0.2">
      <c r="A73" s="20"/>
      <c r="B73" s="20"/>
      <c r="C73" s="20"/>
      <c r="D73" s="20"/>
      <c r="E73" s="20"/>
      <c r="F73" s="20"/>
      <c r="G73" s="20"/>
      <c r="H73" s="20"/>
      <c r="I73" s="20"/>
      <c r="J73" s="20"/>
      <c r="K73" s="20"/>
      <c r="L73" s="20"/>
      <c r="M73" s="20"/>
      <c r="N73" s="20"/>
      <c r="O73" s="20"/>
    </row>
    <row r="74" spans="1:74" x14ac:dyDescent="0.2">
      <c r="A74" s="20"/>
      <c r="B74" s="28" t="s">
        <v>347</v>
      </c>
      <c r="C74" s="20"/>
      <c r="D74" s="20"/>
      <c r="E74" s="20"/>
      <c r="F74" s="20"/>
      <c r="G74" s="20"/>
      <c r="H74" s="20"/>
      <c r="I74" s="20"/>
      <c r="J74" s="20"/>
      <c r="K74" s="20"/>
      <c r="L74" s="20"/>
      <c r="M74" s="20"/>
      <c r="N74" s="20"/>
      <c r="O74" s="20"/>
    </row>
    <row r="75" spans="1:74" x14ac:dyDescent="0.2">
      <c r="A75" s="20"/>
      <c r="B75" s="21" t="s">
        <v>189</v>
      </c>
      <c r="C75" s="21" t="s">
        <v>348</v>
      </c>
      <c r="D75" s="21" t="s">
        <v>349</v>
      </c>
      <c r="E75" s="20"/>
      <c r="F75" s="20"/>
      <c r="G75" s="20"/>
      <c r="H75" s="20"/>
      <c r="I75" s="20"/>
      <c r="J75" s="20"/>
      <c r="K75" s="20"/>
      <c r="L75" s="20"/>
      <c r="M75" s="20"/>
      <c r="N75" s="20"/>
      <c r="O75" s="20"/>
    </row>
    <row r="76" spans="1:74" x14ac:dyDescent="0.2">
      <c r="A76" s="20"/>
      <c r="B76" s="22" t="s">
        <v>197</v>
      </c>
      <c r="C76" s="33">
        <v>45658</v>
      </c>
      <c r="D76" s="34" t="s">
        <v>350</v>
      </c>
      <c r="E76" s="20"/>
      <c r="F76" s="20"/>
      <c r="G76" s="20"/>
      <c r="H76" s="20"/>
      <c r="I76" s="20"/>
      <c r="J76" s="20"/>
      <c r="K76" s="20"/>
      <c r="L76" s="20"/>
      <c r="M76" s="20"/>
      <c r="N76" s="20"/>
      <c r="O76" s="20"/>
    </row>
    <row r="77" spans="1:74" x14ac:dyDescent="0.2">
      <c r="A77" s="20"/>
      <c r="B77" s="22" t="s">
        <v>197</v>
      </c>
      <c r="C77" s="33">
        <v>45684</v>
      </c>
      <c r="D77" s="34" t="s">
        <v>351</v>
      </c>
      <c r="E77" s="20"/>
      <c r="F77" s="20"/>
      <c r="G77" s="20"/>
      <c r="H77" s="20"/>
      <c r="I77" s="20"/>
      <c r="J77" s="20"/>
      <c r="K77" s="20"/>
      <c r="L77" s="20"/>
      <c r="M77" s="20"/>
      <c r="N77" s="20"/>
      <c r="O77" s="20"/>
    </row>
    <row r="78" spans="1:74" x14ac:dyDescent="0.2">
      <c r="A78" s="20"/>
      <c r="B78" s="22" t="s">
        <v>197</v>
      </c>
      <c r="C78" s="33">
        <v>45765</v>
      </c>
      <c r="D78" s="34" t="s">
        <v>352</v>
      </c>
      <c r="E78" s="20"/>
      <c r="F78" s="20"/>
      <c r="G78" s="20"/>
      <c r="H78" s="20"/>
      <c r="I78" s="20"/>
      <c r="J78" s="20"/>
      <c r="K78" s="20"/>
      <c r="L78" s="20"/>
      <c r="M78" s="20"/>
      <c r="N78" s="20"/>
      <c r="O78" s="20"/>
    </row>
    <row r="79" spans="1:74" x14ac:dyDescent="0.2">
      <c r="B79" s="62" t="s">
        <v>197</v>
      </c>
      <c r="C79" s="63">
        <v>45766</v>
      </c>
      <c r="D79" s="64" t="s">
        <v>353</v>
      </c>
    </row>
    <row r="80" spans="1:74" x14ac:dyDescent="0.2">
      <c r="B80" s="62" t="s">
        <v>197</v>
      </c>
      <c r="C80" s="63">
        <v>45767</v>
      </c>
      <c r="D80" s="64" t="s">
        <v>354</v>
      </c>
    </row>
    <row r="81" spans="2:4" x14ac:dyDescent="0.2">
      <c r="B81" s="62" t="s">
        <v>197</v>
      </c>
      <c r="C81" s="63">
        <v>45768</v>
      </c>
      <c r="D81" s="64" t="s">
        <v>355</v>
      </c>
    </row>
    <row r="82" spans="2:4" x14ac:dyDescent="0.2">
      <c r="B82" s="62" t="s">
        <v>197</v>
      </c>
      <c r="C82" s="63">
        <v>45772</v>
      </c>
      <c r="D82" s="64" t="s">
        <v>356</v>
      </c>
    </row>
    <row r="83" spans="2:4" x14ac:dyDescent="0.2">
      <c r="B83" s="62" t="s">
        <v>197</v>
      </c>
      <c r="C83" s="63">
        <v>45817</v>
      </c>
      <c r="D83" s="64" t="s">
        <v>357</v>
      </c>
    </row>
    <row r="84" spans="2:4" x14ac:dyDescent="0.2">
      <c r="B84" s="62" t="s">
        <v>197</v>
      </c>
      <c r="C84" s="63">
        <v>45936</v>
      </c>
      <c r="D84" s="64" t="s">
        <v>358</v>
      </c>
    </row>
    <row r="85" spans="2:4" x14ac:dyDescent="0.2">
      <c r="B85" s="62" t="s">
        <v>197</v>
      </c>
      <c r="C85" s="63">
        <v>46016</v>
      </c>
      <c r="D85" s="64" t="s">
        <v>359</v>
      </c>
    </row>
    <row r="86" spans="2:4" x14ac:dyDescent="0.2">
      <c r="B86" s="62" t="s">
        <v>197</v>
      </c>
      <c r="C86" s="63">
        <v>46017</v>
      </c>
      <c r="D86" s="64" t="s">
        <v>360</v>
      </c>
    </row>
    <row r="87" spans="2:4" x14ac:dyDescent="0.2">
      <c r="B87" s="62" t="s">
        <v>197</v>
      </c>
      <c r="C87" s="63">
        <v>46023</v>
      </c>
      <c r="D87" s="64" t="s">
        <v>350</v>
      </c>
    </row>
    <row r="88" spans="2:4" x14ac:dyDescent="0.2">
      <c r="B88" s="62" t="s">
        <v>197</v>
      </c>
      <c r="C88" s="63">
        <v>46048</v>
      </c>
      <c r="D88" s="64" t="s">
        <v>351</v>
      </c>
    </row>
    <row r="89" spans="2:4" x14ac:dyDescent="0.2">
      <c r="B89" s="62" t="s">
        <v>197</v>
      </c>
      <c r="C89" s="63">
        <v>46115</v>
      </c>
      <c r="D89" s="64" t="s">
        <v>352</v>
      </c>
    </row>
    <row r="90" spans="2:4" x14ac:dyDescent="0.2">
      <c r="B90" s="62" t="s">
        <v>197</v>
      </c>
      <c r="C90" s="63">
        <v>46116</v>
      </c>
      <c r="D90" s="64" t="s">
        <v>353</v>
      </c>
    </row>
    <row r="91" spans="2:4" x14ac:dyDescent="0.2">
      <c r="B91" s="62" t="s">
        <v>197</v>
      </c>
      <c r="C91" s="63">
        <v>46117</v>
      </c>
      <c r="D91" s="64" t="s">
        <v>354</v>
      </c>
    </row>
    <row r="92" spans="2:4" x14ac:dyDescent="0.2">
      <c r="B92" s="62" t="s">
        <v>197</v>
      </c>
      <c r="C92" s="63">
        <v>46118</v>
      </c>
      <c r="D92" s="64" t="s">
        <v>355</v>
      </c>
    </row>
    <row r="93" spans="2:4" x14ac:dyDescent="0.2">
      <c r="B93" s="62" t="s">
        <v>197</v>
      </c>
      <c r="C93" s="63">
        <v>46137</v>
      </c>
      <c r="D93" s="64" t="s">
        <v>356</v>
      </c>
    </row>
    <row r="94" spans="2:4" x14ac:dyDescent="0.2">
      <c r="B94" s="62" t="s">
        <v>197</v>
      </c>
      <c r="C94" s="63">
        <v>46139</v>
      </c>
      <c r="D94" s="64" t="s">
        <v>361</v>
      </c>
    </row>
    <row r="95" spans="2:4" x14ac:dyDescent="0.2">
      <c r="B95" s="62" t="s">
        <v>197</v>
      </c>
      <c r="C95" s="63">
        <v>46181</v>
      </c>
      <c r="D95" s="64" t="s">
        <v>357</v>
      </c>
    </row>
    <row r="96" spans="2:4" x14ac:dyDescent="0.2">
      <c r="B96" s="62" t="s">
        <v>197</v>
      </c>
      <c r="C96" s="63">
        <v>46300</v>
      </c>
      <c r="D96" s="64" t="s">
        <v>358</v>
      </c>
    </row>
    <row r="97" spans="2:4" x14ac:dyDescent="0.2">
      <c r="B97" s="62" t="s">
        <v>197</v>
      </c>
      <c r="C97" s="63">
        <v>46381</v>
      </c>
      <c r="D97" s="64" t="s">
        <v>359</v>
      </c>
    </row>
    <row r="98" spans="2:4" x14ac:dyDescent="0.2">
      <c r="B98" s="62" t="s">
        <v>197</v>
      </c>
      <c r="C98" s="63">
        <v>46382</v>
      </c>
      <c r="D98" s="64" t="s">
        <v>360</v>
      </c>
    </row>
    <row r="99" spans="2:4" x14ac:dyDescent="0.2">
      <c r="B99" s="62" t="s">
        <v>197</v>
      </c>
      <c r="C99" s="63">
        <v>46384</v>
      </c>
      <c r="D99" s="64" t="s">
        <v>362</v>
      </c>
    </row>
    <row r="100" spans="2:4" x14ac:dyDescent="0.2">
      <c r="B100" s="62" t="s">
        <v>197</v>
      </c>
      <c r="C100" s="63">
        <v>46388</v>
      </c>
      <c r="D100" s="64" t="s">
        <v>350</v>
      </c>
    </row>
    <row r="101" spans="2:4" x14ac:dyDescent="0.2">
      <c r="B101" s="62" t="s">
        <v>197</v>
      </c>
      <c r="C101" s="63">
        <v>46413</v>
      </c>
      <c r="D101" s="64" t="s">
        <v>351</v>
      </c>
    </row>
    <row r="102" spans="2:4" x14ac:dyDescent="0.2">
      <c r="B102" s="62" t="s">
        <v>197</v>
      </c>
      <c r="C102" s="63">
        <v>46472</v>
      </c>
      <c r="D102" s="64" t="s">
        <v>352</v>
      </c>
    </row>
    <row r="103" spans="2:4" x14ac:dyDescent="0.2">
      <c r="B103" s="62" t="s">
        <v>197</v>
      </c>
      <c r="C103" s="63">
        <v>46473</v>
      </c>
      <c r="D103" s="64" t="s">
        <v>353</v>
      </c>
    </row>
    <row r="104" spans="2:4" x14ac:dyDescent="0.2">
      <c r="B104" s="62" t="s">
        <v>197</v>
      </c>
      <c r="C104" s="63">
        <v>46474</v>
      </c>
      <c r="D104" s="64" t="s">
        <v>354</v>
      </c>
    </row>
    <row r="105" spans="2:4" x14ac:dyDescent="0.2">
      <c r="B105" s="62" t="s">
        <v>197</v>
      </c>
      <c r="C105" s="63">
        <v>46475</v>
      </c>
      <c r="D105" s="64" t="s">
        <v>355</v>
      </c>
    </row>
    <row r="106" spans="2:4" x14ac:dyDescent="0.2">
      <c r="B106" s="62" t="s">
        <v>197</v>
      </c>
      <c r="C106" s="63">
        <v>46502</v>
      </c>
      <c r="D106" s="64" t="s">
        <v>356</v>
      </c>
    </row>
    <row r="107" spans="2:4" x14ac:dyDescent="0.2">
      <c r="B107" s="62" t="s">
        <v>197</v>
      </c>
      <c r="C107" s="63">
        <v>46503</v>
      </c>
      <c r="D107" s="64" t="s">
        <v>361</v>
      </c>
    </row>
    <row r="108" spans="2:4" x14ac:dyDescent="0.2">
      <c r="B108" s="62" t="s">
        <v>197</v>
      </c>
      <c r="C108" s="63">
        <v>46552</v>
      </c>
      <c r="D108" s="64" t="s">
        <v>357</v>
      </c>
    </row>
    <row r="109" spans="2:4" x14ac:dyDescent="0.2">
      <c r="B109" s="62" t="s">
        <v>197</v>
      </c>
      <c r="C109" s="63">
        <v>46664</v>
      </c>
      <c r="D109" s="64" t="s">
        <v>358</v>
      </c>
    </row>
    <row r="110" spans="2:4" x14ac:dyDescent="0.2">
      <c r="B110" s="62" t="s">
        <v>197</v>
      </c>
      <c r="C110" s="63">
        <v>46746</v>
      </c>
      <c r="D110" s="64" t="s">
        <v>359</v>
      </c>
    </row>
    <row r="111" spans="2:4" x14ac:dyDescent="0.2">
      <c r="B111" s="62" t="s">
        <v>197</v>
      </c>
      <c r="C111" s="63">
        <v>46747</v>
      </c>
      <c r="D111" s="64" t="s">
        <v>360</v>
      </c>
    </row>
    <row r="112" spans="2:4" x14ac:dyDescent="0.2">
      <c r="B112" s="62" t="s">
        <v>197</v>
      </c>
      <c r="C112" s="63">
        <v>46748</v>
      </c>
      <c r="D112" s="64" t="s">
        <v>363</v>
      </c>
    </row>
    <row r="113" spans="2:4" x14ac:dyDescent="0.2">
      <c r="B113" s="62" t="s">
        <v>197</v>
      </c>
      <c r="C113" s="63">
        <v>46749</v>
      </c>
      <c r="D113" s="64" t="s">
        <v>362</v>
      </c>
    </row>
    <row r="114" spans="2:4" x14ac:dyDescent="0.2">
      <c r="B114" s="62" t="s">
        <v>197</v>
      </c>
      <c r="C114" s="63">
        <v>46753</v>
      </c>
      <c r="D114" s="64" t="s">
        <v>350</v>
      </c>
    </row>
    <row r="115" spans="2:4" x14ac:dyDescent="0.2">
      <c r="B115" s="62" t="s">
        <v>197</v>
      </c>
      <c r="C115" s="63">
        <v>46755</v>
      </c>
      <c r="D115" s="64" t="s">
        <v>364</v>
      </c>
    </row>
    <row r="116" spans="2:4" x14ac:dyDescent="0.2">
      <c r="B116" s="62" t="s">
        <v>197</v>
      </c>
      <c r="C116" s="63">
        <v>46778</v>
      </c>
      <c r="D116" s="64" t="s">
        <v>351</v>
      </c>
    </row>
    <row r="117" spans="2:4" x14ac:dyDescent="0.2">
      <c r="B117" s="62" t="s">
        <v>197</v>
      </c>
      <c r="C117" s="63">
        <v>46857</v>
      </c>
      <c r="D117" s="64" t="s">
        <v>352</v>
      </c>
    </row>
    <row r="118" spans="2:4" x14ac:dyDescent="0.2">
      <c r="B118" s="62" t="s">
        <v>197</v>
      </c>
      <c r="C118" s="63">
        <v>46858</v>
      </c>
      <c r="D118" s="64" t="s">
        <v>353</v>
      </c>
    </row>
    <row r="119" spans="2:4" x14ac:dyDescent="0.2">
      <c r="B119" s="62" t="s">
        <v>197</v>
      </c>
      <c r="C119" s="63">
        <v>46859</v>
      </c>
      <c r="D119" s="64" t="s">
        <v>354</v>
      </c>
    </row>
    <row r="120" spans="2:4" x14ac:dyDescent="0.2">
      <c r="B120" s="62" t="s">
        <v>197</v>
      </c>
      <c r="C120" s="63">
        <v>46860</v>
      </c>
      <c r="D120" s="64" t="s">
        <v>355</v>
      </c>
    </row>
    <row r="121" spans="2:4" x14ac:dyDescent="0.2">
      <c r="B121" s="62" t="s">
        <v>197</v>
      </c>
      <c r="C121" s="63">
        <v>46868</v>
      </c>
      <c r="D121" s="64" t="s">
        <v>356</v>
      </c>
    </row>
    <row r="122" spans="2:4" x14ac:dyDescent="0.2">
      <c r="B122" s="62" t="s">
        <v>197</v>
      </c>
      <c r="C122" s="63">
        <v>46916</v>
      </c>
      <c r="D122" s="64" t="s">
        <v>357</v>
      </c>
    </row>
    <row r="123" spans="2:4" x14ac:dyDescent="0.2">
      <c r="B123" s="62" t="s">
        <v>197</v>
      </c>
      <c r="C123" s="63">
        <v>47028</v>
      </c>
      <c r="D123" s="64" t="s">
        <v>358</v>
      </c>
    </row>
    <row r="124" spans="2:4" x14ac:dyDescent="0.2">
      <c r="B124" s="62" t="s">
        <v>197</v>
      </c>
      <c r="C124" s="63">
        <v>47112</v>
      </c>
      <c r="D124" s="64" t="s">
        <v>359</v>
      </c>
    </row>
    <row r="125" spans="2:4" x14ac:dyDescent="0.2">
      <c r="B125" s="62" t="s">
        <v>197</v>
      </c>
      <c r="C125" s="63">
        <v>47113</v>
      </c>
      <c r="D125" s="64" t="s">
        <v>360</v>
      </c>
    </row>
    <row r="126" spans="2:4" x14ac:dyDescent="0.2">
      <c r="B126" s="62" t="s">
        <v>197</v>
      </c>
      <c r="C126" s="63">
        <v>47119</v>
      </c>
      <c r="D126" s="64" t="s">
        <v>350</v>
      </c>
    </row>
    <row r="127" spans="2:4" x14ac:dyDescent="0.2">
      <c r="B127" s="62" t="s">
        <v>197</v>
      </c>
      <c r="C127" s="63">
        <v>47144</v>
      </c>
      <c r="D127" s="64" t="s">
        <v>351</v>
      </c>
    </row>
    <row r="128" spans="2:4" x14ac:dyDescent="0.2">
      <c r="B128" s="62" t="s">
        <v>197</v>
      </c>
      <c r="C128" s="63">
        <v>47207</v>
      </c>
      <c r="D128" s="64" t="s">
        <v>352</v>
      </c>
    </row>
    <row r="129" spans="2:4" x14ac:dyDescent="0.2">
      <c r="B129" s="62" t="s">
        <v>197</v>
      </c>
      <c r="C129" s="63">
        <v>47208</v>
      </c>
      <c r="D129" s="64" t="s">
        <v>353</v>
      </c>
    </row>
    <row r="130" spans="2:4" x14ac:dyDescent="0.2">
      <c r="B130" s="62" t="s">
        <v>197</v>
      </c>
      <c r="C130" s="63">
        <v>47209</v>
      </c>
      <c r="D130" s="64" t="s">
        <v>354</v>
      </c>
    </row>
    <row r="131" spans="2:4" x14ac:dyDescent="0.2">
      <c r="B131" s="62" t="s">
        <v>197</v>
      </c>
      <c r="C131" s="63">
        <v>47210</v>
      </c>
      <c r="D131" s="64" t="s">
        <v>355</v>
      </c>
    </row>
    <row r="132" spans="2:4" x14ac:dyDescent="0.2">
      <c r="B132" s="62" t="s">
        <v>197</v>
      </c>
      <c r="C132" s="63">
        <v>47233</v>
      </c>
      <c r="D132" s="64" t="s">
        <v>356</v>
      </c>
    </row>
    <row r="133" spans="2:4" x14ac:dyDescent="0.2">
      <c r="B133" s="62" t="s">
        <v>197</v>
      </c>
      <c r="C133" s="63">
        <v>47280</v>
      </c>
      <c r="D133" s="64" t="s">
        <v>357</v>
      </c>
    </row>
    <row r="134" spans="2:4" x14ac:dyDescent="0.2">
      <c r="B134" s="62" t="s">
        <v>197</v>
      </c>
      <c r="C134" s="63">
        <v>47392</v>
      </c>
      <c r="D134" s="64" t="s">
        <v>358</v>
      </c>
    </row>
    <row r="135" spans="2:4" x14ac:dyDescent="0.2">
      <c r="B135" s="62" t="s">
        <v>197</v>
      </c>
      <c r="C135" s="63">
        <v>47477</v>
      </c>
      <c r="D135" s="64" t="s">
        <v>359</v>
      </c>
    </row>
    <row r="136" spans="2:4" x14ac:dyDescent="0.2">
      <c r="B136" s="62" t="s">
        <v>197</v>
      </c>
      <c r="C136" s="63">
        <v>47478</v>
      </c>
      <c r="D136" s="64" t="s">
        <v>360</v>
      </c>
    </row>
    <row r="137" spans="2:4" x14ac:dyDescent="0.2">
      <c r="B137" s="62" t="s">
        <v>197</v>
      </c>
      <c r="C137" s="63">
        <v>47484</v>
      </c>
      <c r="D137" s="64" t="s">
        <v>350</v>
      </c>
    </row>
    <row r="138" spans="2:4" x14ac:dyDescent="0.2">
      <c r="B138" s="62" t="s">
        <v>197</v>
      </c>
      <c r="C138" s="63">
        <v>47511</v>
      </c>
      <c r="D138" s="64" t="s">
        <v>351</v>
      </c>
    </row>
    <row r="139" spans="2:4" x14ac:dyDescent="0.2">
      <c r="B139" s="62" t="s">
        <v>197</v>
      </c>
      <c r="C139" s="63">
        <v>47592</v>
      </c>
      <c r="D139" s="64" t="s">
        <v>352</v>
      </c>
    </row>
    <row r="140" spans="2:4" x14ac:dyDescent="0.2">
      <c r="B140" s="62" t="s">
        <v>197</v>
      </c>
      <c r="C140" s="63">
        <v>47593</v>
      </c>
      <c r="D140" s="64" t="s">
        <v>353</v>
      </c>
    </row>
    <row r="141" spans="2:4" x14ac:dyDescent="0.2">
      <c r="B141" s="62" t="s">
        <v>197</v>
      </c>
      <c r="C141" s="63">
        <v>47594</v>
      </c>
      <c r="D141" s="64" t="s">
        <v>354</v>
      </c>
    </row>
    <row r="142" spans="2:4" x14ac:dyDescent="0.2">
      <c r="B142" s="62" t="s">
        <v>197</v>
      </c>
      <c r="C142" s="63">
        <v>47595</v>
      </c>
      <c r="D142" s="64" t="s">
        <v>355</v>
      </c>
    </row>
    <row r="143" spans="2:4" x14ac:dyDescent="0.2">
      <c r="B143" s="62" t="s">
        <v>197</v>
      </c>
      <c r="C143" s="63">
        <v>47598</v>
      </c>
      <c r="D143" s="64" t="s">
        <v>356</v>
      </c>
    </row>
    <row r="144" spans="2:4" x14ac:dyDescent="0.2">
      <c r="B144" s="62" t="s">
        <v>197</v>
      </c>
      <c r="C144" s="63">
        <v>47644</v>
      </c>
      <c r="D144" s="64" t="s">
        <v>357</v>
      </c>
    </row>
    <row r="145" spans="2:4" x14ac:dyDescent="0.2">
      <c r="B145" s="62" t="s">
        <v>197</v>
      </c>
      <c r="C145" s="63">
        <v>47763</v>
      </c>
      <c r="D145" s="64" t="s">
        <v>358</v>
      </c>
    </row>
    <row r="146" spans="2:4" x14ac:dyDescent="0.2">
      <c r="B146" s="62" t="s">
        <v>197</v>
      </c>
      <c r="C146" s="63">
        <v>47842</v>
      </c>
      <c r="D146" s="64" t="s">
        <v>359</v>
      </c>
    </row>
    <row r="147" spans="2:4" x14ac:dyDescent="0.2">
      <c r="B147" s="62" t="s">
        <v>197</v>
      </c>
      <c r="C147" s="63">
        <v>47843</v>
      </c>
      <c r="D147" s="64" t="s">
        <v>360</v>
      </c>
    </row>
    <row r="148" spans="2:4" x14ac:dyDescent="0.2">
      <c r="B148" s="62" t="s">
        <v>199</v>
      </c>
      <c r="C148" s="63">
        <v>45658</v>
      </c>
      <c r="D148" s="64" t="s">
        <v>350</v>
      </c>
    </row>
    <row r="149" spans="2:4" x14ac:dyDescent="0.2">
      <c r="B149" s="62" t="s">
        <v>199</v>
      </c>
      <c r="C149" s="63">
        <v>45684</v>
      </c>
      <c r="D149" s="64" t="s">
        <v>351</v>
      </c>
    </row>
    <row r="150" spans="2:4" x14ac:dyDescent="0.2">
      <c r="B150" s="62" t="s">
        <v>199</v>
      </c>
      <c r="C150" s="63">
        <v>45726</v>
      </c>
      <c r="D150" s="64" t="s">
        <v>358</v>
      </c>
    </row>
    <row r="151" spans="2:4" x14ac:dyDescent="0.2">
      <c r="B151" s="62" t="s">
        <v>199</v>
      </c>
      <c r="C151" s="63">
        <v>45765</v>
      </c>
      <c r="D151" s="64" t="s">
        <v>352</v>
      </c>
    </row>
    <row r="152" spans="2:4" x14ac:dyDescent="0.2">
      <c r="B152" s="62" t="s">
        <v>199</v>
      </c>
      <c r="C152" s="63">
        <v>45766</v>
      </c>
      <c r="D152" s="64" t="s">
        <v>353</v>
      </c>
    </row>
    <row r="153" spans="2:4" x14ac:dyDescent="0.2">
      <c r="B153" s="62" t="s">
        <v>199</v>
      </c>
      <c r="C153" s="63">
        <v>45767</v>
      </c>
      <c r="D153" s="64" t="s">
        <v>354</v>
      </c>
    </row>
    <row r="154" spans="2:4" x14ac:dyDescent="0.2">
      <c r="B154" s="62" t="s">
        <v>199</v>
      </c>
      <c r="C154" s="63">
        <v>45768</v>
      </c>
      <c r="D154" s="64" t="s">
        <v>355</v>
      </c>
    </row>
    <row r="155" spans="2:4" x14ac:dyDescent="0.2">
      <c r="B155" s="62" t="s">
        <v>199</v>
      </c>
      <c r="C155" s="63">
        <v>45772</v>
      </c>
      <c r="D155" s="64" t="s">
        <v>356</v>
      </c>
    </row>
    <row r="156" spans="2:4" x14ac:dyDescent="0.2">
      <c r="B156" s="62" t="s">
        <v>199</v>
      </c>
      <c r="C156" s="63">
        <v>45817</v>
      </c>
      <c r="D156" s="64" t="s">
        <v>357</v>
      </c>
    </row>
    <row r="157" spans="2:4" x14ac:dyDescent="0.2">
      <c r="B157" s="62" t="s">
        <v>199</v>
      </c>
      <c r="C157" s="63">
        <v>45926</v>
      </c>
      <c r="D157" s="64" t="s">
        <v>365</v>
      </c>
    </row>
    <row r="158" spans="2:4" x14ac:dyDescent="0.2">
      <c r="B158" s="62" t="s">
        <v>199</v>
      </c>
      <c r="C158" s="63">
        <v>45965</v>
      </c>
      <c r="D158" s="64" t="s">
        <v>366</v>
      </c>
    </row>
    <row r="159" spans="2:4" x14ac:dyDescent="0.2">
      <c r="B159" s="62" t="s">
        <v>199</v>
      </c>
      <c r="C159" s="63">
        <v>46016</v>
      </c>
      <c r="D159" s="64" t="s">
        <v>359</v>
      </c>
    </row>
    <row r="160" spans="2:4" x14ac:dyDescent="0.2">
      <c r="B160" s="62" t="s">
        <v>199</v>
      </c>
      <c r="C160" s="63">
        <v>46017</v>
      </c>
      <c r="D160" s="64" t="s">
        <v>360</v>
      </c>
    </row>
    <row r="161" spans="2:4" x14ac:dyDescent="0.2">
      <c r="B161" s="62" t="s">
        <v>199</v>
      </c>
      <c r="C161" s="63">
        <v>46023</v>
      </c>
      <c r="D161" s="64" t="s">
        <v>350</v>
      </c>
    </row>
    <row r="162" spans="2:4" x14ac:dyDescent="0.2">
      <c r="B162" s="62" t="s">
        <v>199</v>
      </c>
      <c r="C162" s="63">
        <v>46048</v>
      </c>
      <c r="D162" s="64" t="s">
        <v>351</v>
      </c>
    </row>
    <row r="163" spans="2:4" x14ac:dyDescent="0.2">
      <c r="B163" s="62" t="s">
        <v>199</v>
      </c>
      <c r="C163" s="63">
        <v>46090</v>
      </c>
      <c r="D163" s="64" t="s">
        <v>358</v>
      </c>
    </row>
    <row r="164" spans="2:4" x14ac:dyDescent="0.2">
      <c r="B164" s="62" t="s">
        <v>199</v>
      </c>
      <c r="C164" s="63">
        <v>46115</v>
      </c>
      <c r="D164" s="64" t="s">
        <v>352</v>
      </c>
    </row>
    <row r="165" spans="2:4" x14ac:dyDescent="0.2">
      <c r="B165" s="62" t="s">
        <v>199</v>
      </c>
      <c r="C165" s="63">
        <v>46116</v>
      </c>
      <c r="D165" s="64" t="s">
        <v>353</v>
      </c>
    </row>
    <row r="166" spans="2:4" x14ac:dyDescent="0.2">
      <c r="B166" s="62" t="s">
        <v>199</v>
      </c>
      <c r="C166" s="63">
        <v>46117</v>
      </c>
      <c r="D166" s="64" t="s">
        <v>354</v>
      </c>
    </row>
    <row r="167" spans="2:4" x14ac:dyDescent="0.2">
      <c r="B167" s="62" t="s">
        <v>199</v>
      </c>
      <c r="C167" s="63">
        <v>46118</v>
      </c>
      <c r="D167" s="64" t="s">
        <v>355</v>
      </c>
    </row>
    <row r="168" spans="2:4" x14ac:dyDescent="0.2">
      <c r="B168" s="62" t="s">
        <v>199</v>
      </c>
      <c r="C168" s="63">
        <v>46137</v>
      </c>
      <c r="D168" s="64" t="s">
        <v>356</v>
      </c>
    </row>
    <row r="169" spans="2:4" x14ac:dyDescent="0.2">
      <c r="B169" s="62" t="s">
        <v>199</v>
      </c>
      <c r="C169" s="63">
        <v>46181</v>
      </c>
      <c r="D169" s="64" t="s">
        <v>357</v>
      </c>
    </row>
    <row r="170" spans="2:4" x14ac:dyDescent="0.2">
      <c r="B170" s="62" t="s">
        <v>199</v>
      </c>
      <c r="C170" s="63">
        <v>46290</v>
      </c>
      <c r="D170" s="64" t="s">
        <v>365</v>
      </c>
    </row>
    <row r="171" spans="2:4" x14ac:dyDescent="0.2">
      <c r="B171" s="62" t="s">
        <v>199</v>
      </c>
      <c r="C171" s="63">
        <v>46329</v>
      </c>
      <c r="D171" s="64" t="s">
        <v>366</v>
      </c>
    </row>
    <row r="172" spans="2:4" x14ac:dyDescent="0.2">
      <c r="B172" s="62" t="s">
        <v>199</v>
      </c>
      <c r="C172" s="63">
        <v>46381</v>
      </c>
      <c r="D172" s="64" t="s">
        <v>359</v>
      </c>
    </row>
    <row r="173" spans="2:4" x14ac:dyDescent="0.2">
      <c r="B173" s="62" t="s">
        <v>199</v>
      </c>
      <c r="C173" s="63">
        <v>46382</v>
      </c>
      <c r="D173" s="64" t="s">
        <v>360</v>
      </c>
    </row>
    <row r="174" spans="2:4" x14ac:dyDescent="0.2">
      <c r="B174" s="62" t="s">
        <v>199</v>
      </c>
      <c r="C174" s="63">
        <v>46384</v>
      </c>
      <c r="D174" s="64" t="s">
        <v>362</v>
      </c>
    </row>
    <row r="175" spans="2:4" x14ac:dyDescent="0.2">
      <c r="B175" s="62" t="s">
        <v>199</v>
      </c>
      <c r="C175" s="63">
        <v>46388</v>
      </c>
      <c r="D175" s="64" t="s">
        <v>350</v>
      </c>
    </row>
    <row r="176" spans="2:4" x14ac:dyDescent="0.2">
      <c r="B176" s="62" t="s">
        <v>199</v>
      </c>
      <c r="C176" s="63">
        <v>46413</v>
      </c>
      <c r="D176" s="64" t="s">
        <v>351</v>
      </c>
    </row>
    <row r="177" spans="2:4" x14ac:dyDescent="0.2">
      <c r="B177" s="62" t="s">
        <v>199</v>
      </c>
      <c r="C177" s="63">
        <v>46454</v>
      </c>
      <c r="D177" s="64" t="s">
        <v>358</v>
      </c>
    </row>
    <row r="178" spans="2:4" x14ac:dyDescent="0.2">
      <c r="B178" s="62" t="s">
        <v>199</v>
      </c>
      <c r="C178" s="63">
        <v>46472</v>
      </c>
      <c r="D178" s="64" t="s">
        <v>352</v>
      </c>
    </row>
    <row r="179" spans="2:4" x14ac:dyDescent="0.2">
      <c r="B179" s="62" t="s">
        <v>199</v>
      </c>
      <c r="C179" s="63">
        <v>46473</v>
      </c>
      <c r="D179" s="64" t="s">
        <v>353</v>
      </c>
    </row>
    <row r="180" spans="2:4" x14ac:dyDescent="0.2">
      <c r="B180" s="62" t="s">
        <v>199</v>
      </c>
      <c r="C180" s="63">
        <v>46474</v>
      </c>
      <c r="D180" s="64" t="s">
        <v>354</v>
      </c>
    </row>
    <row r="181" spans="2:4" x14ac:dyDescent="0.2">
      <c r="B181" s="62" t="s">
        <v>199</v>
      </c>
      <c r="C181" s="63">
        <v>46475</v>
      </c>
      <c r="D181" s="64" t="s">
        <v>355</v>
      </c>
    </row>
    <row r="182" spans="2:4" x14ac:dyDescent="0.2">
      <c r="B182" s="62" t="s">
        <v>199</v>
      </c>
      <c r="C182" s="63">
        <v>46502</v>
      </c>
      <c r="D182" s="64" t="s">
        <v>356</v>
      </c>
    </row>
    <row r="183" spans="2:4" x14ac:dyDescent="0.2">
      <c r="B183" s="62" t="s">
        <v>199</v>
      </c>
      <c r="C183" s="63">
        <v>46552</v>
      </c>
      <c r="D183" s="64" t="s">
        <v>357</v>
      </c>
    </row>
    <row r="184" spans="2:4" x14ac:dyDescent="0.2">
      <c r="B184" s="62" t="s">
        <v>199</v>
      </c>
      <c r="C184" s="63">
        <v>46654</v>
      </c>
      <c r="D184" s="64" t="s">
        <v>365</v>
      </c>
    </row>
    <row r="185" spans="2:4" x14ac:dyDescent="0.2">
      <c r="B185" s="62" t="s">
        <v>199</v>
      </c>
      <c r="C185" s="63">
        <v>46693</v>
      </c>
      <c r="D185" s="64" t="s">
        <v>366</v>
      </c>
    </row>
    <row r="186" spans="2:4" x14ac:dyDescent="0.2">
      <c r="B186" s="62" t="s">
        <v>199</v>
      </c>
      <c r="C186" s="63">
        <v>46746</v>
      </c>
      <c r="D186" s="64" t="s">
        <v>359</v>
      </c>
    </row>
    <row r="187" spans="2:4" x14ac:dyDescent="0.2">
      <c r="B187" s="62" t="s">
        <v>199</v>
      </c>
      <c r="C187" s="63">
        <v>46747</v>
      </c>
      <c r="D187" s="64" t="s">
        <v>360</v>
      </c>
    </row>
    <row r="188" spans="2:4" x14ac:dyDescent="0.2">
      <c r="B188" s="62" t="s">
        <v>199</v>
      </c>
      <c r="C188" s="63">
        <v>46748</v>
      </c>
      <c r="D188" s="64" t="s">
        <v>363</v>
      </c>
    </row>
    <row r="189" spans="2:4" x14ac:dyDescent="0.2">
      <c r="B189" s="62" t="s">
        <v>199</v>
      </c>
      <c r="C189" s="63">
        <v>46749</v>
      </c>
      <c r="D189" s="64" t="s">
        <v>362</v>
      </c>
    </row>
    <row r="190" spans="2:4" x14ac:dyDescent="0.2">
      <c r="B190" s="62" t="s">
        <v>199</v>
      </c>
      <c r="C190" s="63">
        <v>46753</v>
      </c>
      <c r="D190" s="64" t="s">
        <v>350</v>
      </c>
    </row>
    <row r="191" spans="2:4" x14ac:dyDescent="0.2">
      <c r="B191" s="62" t="s">
        <v>199</v>
      </c>
      <c r="C191" s="63">
        <v>46755</v>
      </c>
      <c r="D191" s="64" t="s">
        <v>364</v>
      </c>
    </row>
    <row r="192" spans="2:4" x14ac:dyDescent="0.2">
      <c r="B192" s="62" t="s">
        <v>199</v>
      </c>
      <c r="C192" s="63">
        <v>46778</v>
      </c>
      <c r="D192" s="64" t="s">
        <v>351</v>
      </c>
    </row>
    <row r="193" spans="2:4" x14ac:dyDescent="0.2">
      <c r="B193" s="62" t="s">
        <v>199</v>
      </c>
      <c r="C193" s="63">
        <v>46825</v>
      </c>
      <c r="D193" s="64" t="s">
        <v>358</v>
      </c>
    </row>
    <row r="194" spans="2:4" x14ac:dyDescent="0.2">
      <c r="B194" s="62" t="s">
        <v>199</v>
      </c>
      <c r="C194" s="63">
        <v>46857</v>
      </c>
      <c r="D194" s="64" t="s">
        <v>352</v>
      </c>
    </row>
    <row r="195" spans="2:4" x14ac:dyDescent="0.2">
      <c r="B195" s="62" t="s">
        <v>199</v>
      </c>
      <c r="C195" s="63">
        <v>46858</v>
      </c>
      <c r="D195" s="64" t="s">
        <v>353</v>
      </c>
    </row>
    <row r="196" spans="2:4" x14ac:dyDescent="0.2">
      <c r="B196" s="62" t="s">
        <v>199</v>
      </c>
      <c r="C196" s="63">
        <v>46859</v>
      </c>
      <c r="D196" s="64" t="s">
        <v>354</v>
      </c>
    </row>
    <row r="197" spans="2:4" x14ac:dyDescent="0.2">
      <c r="B197" s="62" t="s">
        <v>199</v>
      </c>
      <c r="C197" s="63">
        <v>46860</v>
      </c>
      <c r="D197" s="64" t="s">
        <v>355</v>
      </c>
    </row>
    <row r="198" spans="2:4" x14ac:dyDescent="0.2">
      <c r="B198" s="62" t="s">
        <v>199</v>
      </c>
      <c r="C198" s="63">
        <v>46868</v>
      </c>
      <c r="D198" s="64" t="s">
        <v>356</v>
      </c>
    </row>
    <row r="199" spans="2:4" x14ac:dyDescent="0.2">
      <c r="B199" s="62" t="s">
        <v>199</v>
      </c>
      <c r="C199" s="63">
        <v>46916</v>
      </c>
      <c r="D199" s="64" t="s">
        <v>357</v>
      </c>
    </row>
    <row r="200" spans="2:4" x14ac:dyDescent="0.2">
      <c r="B200" s="62" t="s">
        <v>199</v>
      </c>
      <c r="C200" s="63">
        <v>47025</v>
      </c>
      <c r="D200" s="64" t="s">
        <v>365</v>
      </c>
    </row>
    <row r="201" spans="2:4" x14ac:dyDescent="0.2">
      <c r="B201" s="62" t="s">
        <v>199</v>
      </c>
      <c r="C201" s="63">
        <v>47064</v>
      </c>
      <c r="D201" s="64" t="s">
        <v>366</v>
      </c>
    </row>
    <row r="202" spans="2:4" x14ac:dyDescent="0.2">
      <c r="B202" s="62" t="s">
        <v>199</v>
      </c>
      <c r="C202" s="63">
        <v>47112</v>
      </c>
      <c r="D202" s="64" t="s">
        <v>359</v>
      </c>
    </row>
    <row r="203" spans="2:4" x14ac:dyDescent="0.2">
      <c r="B203" s="62" t="s">
        <v>199</v>
      </c>
      <c r="C203" s="63">
        <v>47113</v>
      </c>
      <c r="D203" s="64" t="s">
        <v>360</v>
      </c>
    </row>
    <row r="204" spans="2:4" x14ac:dyDescent="0.2">
      <c r="B204" s="62" t="s">
        <v>199</v>
      </c>
      <c r="C204" s="63">
        <v>47119</v>
      </c>
      <c r="D204" s="64" t="s">
        <v>350</v>
      </c>
    </row>
    <row r="205" spans="2:4" x14ac:dyDescent="0.2">
      <c r="B205" s="62" t="s">
        <v>199</v>
      </c>
      <c r="C205" s="63">
        <v>47144</v>
      </c>
      <c r="D205" s="64" t="s">
        <v>351</v>
      </c>
    </row>
    <row r="206" spans="2:4" x14ac:dyDescent="0.2">
      <c r="B206" s="62" t="s">
        <v>199</v>
      </c>
      <c r="C206" s="63">
        <v>47189</v>
      </c>
      <c r="D206" s="64" t="s">
        <v>358</v>
      </c>
    </row>
    <row r="207" spans="2:4" x14ac:dyDescent="0.2">
      <c r="B207" s="62" t="s">
        <v>199</v>
      </c>
      <c r="C207" s="63">
        <v>47207</v>
      </c>
      <c r="D207" s="64" t="s">
        <v>352</v>
      </c>
    </row>
    <row r="208" spans="2:4" x14ac:dyDescent="0.2">
      <c r="B208" s="62" t="s">
        <v>199</v>
      </c>
      <c r="C208" s="63">
        <v>47208</v>
      </c>
      <c r="D208" s="64" t="s">
        <v>353</v>
      </c>
    </row>
    <row r="209" spans="2:4" x14ac:dyDescent="0.2">
      <c r="B209" s="62" t="s">
        <v>199</v>
      </c>
      <c r="C209" s="63">
        <v>47209</v>
      </c>
      <c r="D209" s="64" t="s">
        <v>354</v>
      </c>
    </row>
    <row r="210" spans="2:4" x14ac:dyDescent="0.2">
      <c r="B210" s="62" t="s">
        <v>199</v>
      </c>
      <c r="C210" s="63">
        <v>47210</v>
      </c>
      <c r="D210" s="64" t="s">
        <v>355</v>
      </c>
    </row>
    <row r="211" spans="2:4" x14ac:dyDescent="0.2">
      <c r="B211" s="62" t="s">
        <v>199</v>
      </c>
      <c r="C211" s="63">
        <v>47233</v>
      </c>
      <c r="D211" s="64" t="s">
        <v>356</v>
      </c>
    </row>
    <row r="212" spans="2:4" x14ac:dyDescent="0.2">
      <c r="B212" s="62" t="s">
        <v>199</v>
      </c>
      <c r="C212" s="63">
        <v>47280</v>
      </c>
      <c r="D212" s="64" t="s">
        <v>357</v>
      </c>
    </row>
    <row r="213" spans="2:4" x14ac:dyDescent="0.2">
      <c r="B213" s="62" t="s">
        <v>199</v>
      </c>
      <c r="C213" s="63">
        <v>47389</v>
      </c>
      <c r="D213" s="64" t="s">
        <v>365</v>
      </c>
    </row>
    <row r="214" spans="2:4" x14ac:dyDescent="0.2">
      <c r="B214" s="62" t="s">
        <v>199</v>
      </c>
      <c r="C214" s="63">
        <v>47428</v>
      </c>
      <c r="D214" s="64" t="s">
        <v>366</v>
      </c>
    </row>
    <row r="215" spans="2:4" x14ac:dyDescent="0.2">
      <c r="B215" s="62" t="s">
        <v>199</v>
      </c>
      <c r="C215" s="63">
        <v>47477</v>
      </c>
      <c r="D215" s="64" t="s">
        <v>359</v>
      </c>
    </row>
    <row r="216" spans="2:4" x14ac:dyDescent="0.2">
      <c r="B216" s="62" t="s">
        <v>199</v>
      </c>
      <c r="C216" s="63">
        <v>47478</v>
      </c>
      <c r="D216" s="64" t="s">
        <v>360</v>
      </c>
    </row>
    <row r="217" spans="2:4" x14ac:dyDescent="0.2">
      <c r="B217" s="62" t="s">
        <v>199</v>
      </c>
      <c r="C217" s="63">
        <v>47484</v>
      </c>
      <c r="D217" s="64" t="s">
        <v>350</v>
      </c>
    </row>
    <row r="218" spans="2:4" x14ac:dyDescent="0.2">
      <c r="B218" s="62" t="s">
        <v>199</v>
      </c>
      <c r="C218" s="63">
        <v>47511</v>
      </c>
      <c r="D218" s="64" t="s">
        <v>351</v>
      </c>
    </row>
    <row r="219" spans="2:4" x14ac:dyDescent="0.2">
      <c r="B219" s="62" t="s">
        <v>199</v>
      </c>
      <c r="C219" s="63">
        <v>47553</v>
      </c>
      <c r="D219" s="64" t="s">
        <v>358</v>
      </c>
    </row>
    <row r="220" spans="2:4" x14ac:dyDescent="0.2">
      <c r="B220" s="62" t="s">
        <v>199</v>
      </c>
      <c r="C220" s="63">
        <v>47592</v>
      </c>
      <c r="D220" s="64" t="s">
        <v>352</v>
      </c>
    </row>
    <row r="221" spans="2:4" x14ac:dyDescent="0.2">
      <c r="B221" s="62" t="s">
        <v>199</v>
      </c>
      <c r="C221" s="63">
        <v>47593</v>
      </c>
      <c r="D221" s="64" t="s">
        <v>353</v>
      </c>
    </row>
    <row r="222" spans="2:4" x14ac:dyDescent="0.2">
      <c r="B222" s="62" t="s">
        <v>199</v>
      </c>
      <c r="C222" s="63">
        <v>47594</v>
      </c>
      <c r="D222" s="64" t="s">
        <v>354</v>
      </c>
    </row>
    <row r="223" spans="2:4" x14ac:dyDescent="0.2">
      <c r="B223" s="62" t="s">
        <v>199</v>
      </c>
      <c r="C223" s="63">
        <v>47595</v>
      </c>
      <c r="D223" s="64" t="s">
        <v>355</v>
      </c>
    </row>
    <row r="224" spans="2:4" x14ac:dyDescent="0.2">
      <c r="B224" s="62" t="s">
        <v>199</v>
      </c>
      <c r="C224" s="63">
        <v>47598</v>
      </c>
      <c r="D224" s="64" t="s">
        <v>356</v>
      </c>
    </row>
    <row r="225" spans="2:4" x14ac:dyDescent="0.2">
      <c r="B225" s="62" t="s">
        <v>199</v>
      </c>
      <c r="C225" s="63">
        <v>47644</v>
      </c>
      <c r="D225" s="64" t="s">
        <v>357</v>
      </c>
    </row>
    <row r="226" spans="2:4" x14ac:dyDescent="0.2">
      <c r="B226" s="62" t="s">
        <v>199</v>
      </c>
      <c r="C226" s="63">
        <v>47753</v>
      </c>
      <c r="D226" s="64" t="s">
        <v>365</v>
      </c>
    </row>
    <row r="227" spans="2:4" x14ac:dyDescent="0.2">
      <c r="B227" s="62" t="s">
        <v>199</v>
      </c>
      <c r="C227" s="63">
        <v>47792</v>
      </c>
      <c r="D227" s="64" t="s">
        <v>366</v>
      </c>
    </row>
    <row r="228" spans="2:4" x14ac:dyDescent="0.2">
      <c r="B228" s="62" t="s">
        <v>199</v>
      </c>
      <c r="C228" s="63">
        <v>47842</v>
      </c>
      <c r="D228" s="64" t="s">
        <v>359</v>
      </c>
    </row>
    <row r="229" spans="2:4" x14ac:dyDescent="0.2">
      <c r="B229" s="62" t="s">
        <v>199</v>
      </c>
      <c r="C229" s="63">
        <v>47843</v>
      </c>
      <c r="D229" s="64" t="s">
        <v>360</v>
      </c>
    </row>
    <row r="230" spans="2:4" x14ac:dyDescent="0.2">
      <c r="B230" s="62" t="s">
        <v>202</v>
      </c>
      <c r="C230" s="63">
        <v>45658</v>
      </c>
      <c r="D230" s="64" t="s">
        <v>350</v>
      </c>
    </row>
    <row r="231" spans="2:4" x14ac:dyDescent="0.2">
      <c r="B231" s="62" t="s">
        <v>202</v>
      </c>
      <c r="C231" s="63">
        <v>45684</v>
      </c>
      <c r="D231" s="64" t="s">
        <v>351</v>
      </c>
    </row>
    <row r="232" spans="2:4" x14ac:dyDescent="0.2">
      <c r="B232" s="62" t="s">
        <v>202</v>
      </c>
      <c r="C232" s="63">
        <v>45765</v>
      </c>
      <c r="D232" s="64" t="s">
        <v>352</v>
      </c>
    </row>
    <row r="233" spans="2:4" x14ac:dyDescent="0.2">
      <c r="B233" s="62" t="s">
        <v>202</v>
      </c>
      <c r="C233" s="63">
        <v>45766</v>
      </c>
      <c r="D233" s="64" t="s">
        <v>353</v>
      </c>
    </row>
    <row r="234" spans="2:4" x14ac:dyDescent="0.2">
      <c r="B234" s="62" t="s">
        <v>202</v>
      </c>
      <c r="C234" s="63">
        <v>45767</v>
      </c>
      <c r="D234" s="64" t="s">
        <v>354</v>
      </c>
    </row>
    <row r="235" spans="2:4" x14ac:dyDescent="0.2">
      <c r="B235" s="62" t="s">
        <v>202</v>
      </c>
      <c r="C235" s="63">
        <v>45768</v>
      </c>
      <c r="D235" s="64" t="s">
        <v>355</v>
      </c>
    </row>
    <row r="236" spans="2:4" x14ac:dyDescent="0.2">
      <c r="B236" s="62" t="s">
        <v>202</v>
      </c>
      <c r="C236" s="63">
        <v>45772</v>
      </c>
      <c r="D236" s="64" t="s">
        <v>356</v>
      </c>
    </row>
    <row r="237" spans="2:4" x14ac:dyDescent="0.2">
      <c r="B237" s="62" t="s">
        <v>202</v>
      </c>
      <c r="C237" s="63">
        <v>45782</v>
      </c>
      <c r="D237" s="64" t="s">
        <v>358</v>
      </c>
    </row>
    <row r="238" spans="2:4" x14ac:dyDescent="0.2">
      <c r="B238" s="62" t="s">
        <v>202</v>
      </c>
      <c r="C238" s="63">
        <v>45882</v>
      </c>
      <c r="D238" s="64" t="s">
        <v>367</v>
      </c>
    </row>
    <row r="239" spans="2:4" x14ac:dyDescent="0.2">
      <c r="B239" s="62" t="s">
        <v>202</v>
      </c>
      <c r="C239" s="63">
        <v>45936</v>
      </c>
      <c r="D239" s="64" t="s">
        <v>357</v>
      </c>
    </row>
    <row r="240" spans="2:4" x14ac:dyDescent="0.2">
      <c r="B240" s="62" t="s">
        <v>202</v>
      </c>
      <c r="C240" s="63">
        <v>46016</v>
      </c>
      <c r="D240" s="64" t="s">
        <v>359</v>
      </c>
    </row>
    <row r="241" spans="2:4" x14ac:dyDescent="0.2">
      <c r="B241" s="62" t="s">
        <v>202</v>
      </c>
      <c r="C241" s="63">
        <v>46017</v>
      </c>
      <c r="D241" s="64" t="s">
        <v>360</v>
      </c>
    </row>
    <row r="242" spans="2:4" x14ac:dyDescent="0.2">
      <c r="B242" s="62" t="s">
        <v>202</v>
      </c>
      <c r="C242" s="63">
        <v>46023</v>
      </c>
      <c r="D242" s="64" t="s">
        <v>350</v>
      </c>
    </row>
    <row r="243" spans="2:4" x14ac:dyDescent="0.2">
      <c r="B243" s="62" t="s">
        <v>202</v>
      </c>
      <c r="C243" s="63">
        <v>46048</v>
      </c>
      <c r="D243" s="64" t="s">
        <v>351</v>
      </c>
    </row>
    <row r="244" spans="2:4" x14ac:dyDescent="0.2">
      <c r="B244" s="62" t="s">
        <v>202</v>
      </c>
      <c r="C244" s="63">
        <v>46115</v>
      </c>
      <c r="D244" s="64" t="s">
        <v>352</v>
      </c>
    </row>
    <row r="245" spans="2:4" x14ac:dyDescent="0.2">
      <c r="B245" s="62" t="s">
        <v>202</v>
      </c>
      <c r="C245" s="63">
        <v>46116</v>
      </c>
      <c r="D245" s="64" t="s">
        <v>353</v>
      </c>
    </row>
    <row r="246" spans="2:4" x14ac:dyDescent="0.2">
      <c r="B246" s="62" t="s">
        <v>202</v>
      </c>
      <c r="C246" s="63">
        <v>46117</v>
      </c>
      <c r="D246" s="64" t="s">
        <v>354</v>
      </c>
    </row>
    <row r="247" spans="2:4" x14ac:dyDescent="0.2">
      <c r="B247" s="62" t="s">
        <v>202</v>
      </c>
      <c r="C247" s="63">
        <v>46118</v>
      </c>
      <c r="D247" s="64" t="s">
        <v>355</v>
      </c>
    </row>
    <row r="248" spans="2:4" x14ac:dyDescent="0.2">
      <c r="B248" s="62" t="s">
        <v>202</v>
      </c>
      <c r="C248" s="63">
        <v>46137</v>
      </c>
      <c r="D248" s="64" t="s">
        <v>356</v>
      </c>
    </row>
    <row r="249" spans="2:4" x14ac:dyDescent="0.2">
      <c r="B249" s="62" t="s">
        <v>202</v>
      </c>
      <c r="C249" s="63">
        <v>46146</v>
      </c>
      <c r="D249" s="64" t="s">
        <v>358</v>
      </c>
    </row>
    <row r="250" spans="2:4" x14ac:dyDescent="0.2">
      <c r="B250" s="62" t="s">
        <v>202</v>
      </c>
      <c r="C250" s="63">
        <v>46246</v>
      </c>
      <c r="D250" s="64" t="s">
        <v>367</v>
      </c>
    </row>
    <row r="251" spans="2:4" x14ac:dyDescent="0.2">
      <c r="B251" s="62" t="s">
        <v>202</v>
      </c>
      <c r="C251" s="63">
        <v>46300</v>
      </c>
      <c r="D251" s="64" t="s">
        <v>357</v>
      </c>
    </row>
    <row r="252" spans="2:4" x14ac:dyDescent="0.2">
      <c r="B252" s="62" t="s">
        <v>202</v>
      </c>
      <c r="C252" s="63">
        <v>46381</v>
      </c>
      <c r="D252" s="64" t="s">
        <v>359</v>
      </c>
    </row>
    <row r="253" spans="2:4" x14ac:dyDescent="0.2">
      <c r="B253" s="62" t="s">
        <v>202</v>
      </c>
      <c r="C253" s="63">
        <v>46382</v>
      </c>
      <c r="D253" s="64" t="s">
        <v>360</v>
      </c>
    </row>
    <row r="254" spans="2:4" x14ac:dyDescent="0.2">
      <c r="B254" s="62" t="s">
        <v>202</v>
      </c>
      <c r="C254" s="63">
        <v>46384</v>
      </c>
      <c r="D254" s="64" t="s">
        <v>362</v>
      </c>
    </row>
    <row r="255" spans="2:4" x14ac:dyDescent="0.2">
      <c r="B255" s="62" t="s">
        <v>202</v>
      </c>
      <c r="C255" s="63">
        <v>46388</v>
      </c>
      <c r="D255" s="64" t="s">
        <v>350</v>
      </c>
    </row>
    <row r="256" spans="2:4" x14ac:dyDescent="0.2">
      <c r="B256" s="62" t="s">
        <v>202</v>
      </c>
      <c r="C256" s="63">
        <v>46413</v>
      </c>
      <c r="D256" s="64" t="s">
        <v>351</v>
      </c>
    </row>
    <row r="257" spans="2:4" x14ac:dyDescent="0.2">
      <c r="B257" s="62" t="s">
        <v>202</v>
      </c>
      <c r="C257" s="63">
        <v>46472</v>
      </c>
      <c r="D257" s="64" t="s">
        <v>352</v>
      </c>
    </row>
    <row r="258" spans="2:4" x14ac:dyDescent="0.2">
      <c r="B258" s="62" t="s">
        <v>202</v>
      </c>
      <c r="C258" s="63">
        <v>46473</v>
      </c>
      <c r="D258" s="64" t="s">
        <v>353</v>
      </c>
    </row>
    <row r="259" spans="2:4" x14ac:dyDescent="0.2">
      <c r="B259" s="62" t="s">
        <v>202</v>
      </c>
      <c r="C259" s="63">
        <v>46474</v>
      </c>
      <c r="D259" s="64" t="s">
        <v>354</v>
      </c>
    </row>
    <row r="260" spans="2:4" x14ac:dyDescent="0.2">
      <c r="B260" s="62" t="s">
        <v>202</v>
      </c>
      <c r="C260" s="63">
        <v>46475</v>
      </c>
      <c r="D260" s="64" t="s">
        <v>355</v>
      </c>
    </row>
    <row r="261" spans="2:4" x14ac:dyDescent="0.2">
      <c r="B261" s="62" t="s">
        <v>202</v>
      </c>
      <c r="C261" s="63">
        <v>46503</v>
      </c>
      <c r="D261" s="64" t="s">
        <v>356</v>
      </c>
    </row>
    <row r="262" spans="2:4" x14ac:dyDescent="0.2">
      <c r="B262" s="62" t="s">
        <v>202</v>
      </c>
      <c r="C262" s="63">
        <v>46510</v>
      </c>
      <c r="D262" s="64" t="s">
        <v>358</v>
      </c>
    </row>
    <row r="263" spans="2:4" x14ac:dyDescent="0.2">
      <c r="B263" s="62" t="s">
        <v>202</v>
      </c>
      <c r="C263" s="63">
        <v>46610</v>
      </c>
      <c r="D263" s="64" t="s">
        <v>367</v>
      </c>
    </row>
    <row r="264" spans="2:4" x14ac:dyDescent="0.2">
      <c r="B264" s="62" t="s">
        <v>202</v>
      </c>
      <c r="C264" s="63">
        <v>46664</v>
      </c>
      <c r="D264" s="64" t="s">
        <v>357</v>
      </c>
    </row>
    <row r="265" spans="2:4" x14ac:dyDescent="0.2">
      <c r="B265" s="62" t="s">
        <v>202</v>
      </c>
      <c r="C265" s="63">
        <v>46746</v>
      </c>
      <c r="D265" s="64" t="s">
        <v>359</v>
      </c>
    </row>
    <row r="266" spans="2:4" x14ac:dyDescent="0.2">
      <c r="B266" s="62" t="s">
        <v>202</v>
      </c>
      <c r="C266" s="63">
        <v>46747</v>
      </c>
      <c r="D266" s="64" t="s">
        <v>360</v>
      </c>
    </row>
    <row r="267" spans="2:4" x14ac:dyDescent="0.2">
      <c r="B267" s="62" t="s">
        <v>202</v>
      </c>
      <c r="C267" s="63">
        <v>46748</v>
      </c>
      <c r="D267" s="64" t="s">
        <v>363</v>
      </c>
    </row>
    <row r="268" spans="2:4" x14ac:dyDescent="0.2">
      <c r="B268" s="62" t="s">
        <v>202</v>
      </c>
      <c r="C268" s="63">
        <v>46749</v>
      </c>
      <c r="D268" s="64" t="s">
        <v>362</v>
      </c>
    </row>
    <row r="269" spans="2:4" x14ac:dyDescent="0.2">
      <c r="B269" s="62" t="s">
        <v>202</v>
      </c>
      <c r="C269" s="63">
        <v>46753</v>
      </c>
      <c r="D269" s="64" t="s">
        <v>350</v>
      </c>
    </row>
    <row r="270" spans="2:4" x14ac:dyDescent="0.2">
      <c r="B270" s="62" t="s">
        <v>202</v>
      </c>
      <c r="C270" s="63">
        <v>46755</v>
      </c>
      <c r="D270" s="64" t="s">
        <v>364</v>
      </c>
    </row>
    <row r="271" spans="2:4" x14ac:dyDescent="0.2">
      <c r="B271" s="62" t="s">
        <v>202</v>
      </c>
      <c r="C271" s="63">
        <v>46778</v>
      </c>
      <c r="D271" s="64" t="s">
        <v>351</v>
      </c>
    </row>
    <row r="272" spans="2:4" x14ac:dyDescent="0.2">
      <c r="B272" s="62" t="s">
        <v>202</v>
      </c>
      <c r="C272" s="63">
        <v>46857</v>
      </c>
      <c r="D272" s="64" t="s">
        <v>352</v>
      </c>
    </row>
    <row r="273" spans="2:4" x14ac:dyDescent="0.2">
      <c r="B273" s="62" t="s">
        <v>202</v>
      </c>
      <c r="C273" s="63">
        <v>46858</v>
      </c>
      <c r="D273" s="64" t="s">
        <v>353</v>
      </c>
    </row>
    <row r="274" spans="2:4" x14ac:dyDescent="0.2">
      <c r="B274" s="62" t="s">
        <v>202</v>
      </c>
      <c r="C274" s="63">
        <v>46859</v>
      </c>
      <c r="D274" s="64" t="s">
        <v>354</v>
      </c>
    </row>
    <row r="275" spans="2:4" x14ac:dyDescent="0.2">
      <c r="B275" s="62" t="s">
        <v>202</v>
      </c>
      <c r="C275" s="63">
        <v>46860</v>
      </c>
      <c r="D275" s="64" t="s">
        <v>355</v>
      </c>
    </row>
    <row r="276" spans="2:4" x14ac:dyDescent="0.2">
      <c r="B276" s="62" t="s">
        <v>202</v>
      </c>
      <c r="C276" s="63">
        <v>46868</v>
      </c>
      <c r="D276" s="64" t="s">
        <v>356</v>
      </c>
    </row>
    <row r="277" spans="2:4" x14ac:dyDescent="0.2">
      <c r="B277" s="62" t="s">
        <v>202</v>
      </c>
      <c r="C277" s="63">
        <v>46874</v>
      </c>
      <c r="D277" s="64" t="s">
        <v>358</v>
      </c>
    </row>
    <row r="278" spans="2:4" x14ac:dyDescent="0.2">
      <c r="B278" s="62" t="s">
        <v>202</v>
      </c>
      <c r="C278" s="63">
        <v>46981</v>
      </c>
      <c r="D278" s="64" t="s">
        <v>367</v>
      </c>
    </row>
    <row r="279" spans="2:4" x14ac:dyDescent="0.2">
      <c r="B279" s="62" t="s">
        <v>202</v>
      </c>
      <c r="C279" s="63">
        <v>47028</v>
      </c>
      <c r="D279" s="64" t="s">
        <v>357</v>
      </c>
    </row>
    <row r="280" spans="2:4" x14ac:dyDescent="0.2">
      <c r="B280" s="62" t="s">
        <v>202</v>
      </c>
      <c r="C280" s="63">
        <v>47112</v>
      </c>
      <c r="D280" s="64" t="s">
        <v>359</v>
      </c>
    </row>
    <row r="281" spans="2:4" x14ac:dyDescent="0.2">
      <c r="B281" s="62" t="s">
        <v>202</v>
      </c>
      <c r="C281" s="63">
        <v>47113</v>
      </c>
      <c r="D281" s="64" t="s">
        <v>360</v>
      </c>
    </row>
    <row r="282" spans="2:4" x14ac:dyDescent="0.2">
      <c r="B282" s="62" t="s">
        <v>202</v>
      </c>
      <c r="C282" s="63">
        <v>47119</v>
      </c>
      <c r="D282" s="64" t="s">
        <v>350</v>
      </c>
    </row>
    <row r="283" spans="2:4" x14ac:dyDescent="0.2">
      <c r="B283" s="62" t="s">
        <v>202</v>
      </c>
      <c r="C283" s="63">
        <v>47144</v>
      </c>
      <c r="D283" s="64" t="s">
        <v>351</v>
      </c>
    </row>
    <row r="284" spans="2:4" x14ac:dyDescent="0.2">
      <c r="B284" s="62" t="s">
        <v>202</v>
      </c>
      <c r="C284" s="63">
        <v>47207</v>
      </c>
      <c r="D284" s="64" t="s">
        <v>352</v>
      </c>
    </row>
    <row r="285" spans="2:4" x14ac:dyDescent="0.2">
      <c r="B285" s="62" t="s">
        <v>202</v>
      </c>
      <c r="C285" s="63">
        <v>47208</v>
      </c>
      <c r="D285" s="64" t="s">
        <v>353</v>
      </c>
    </row>
    <row r="286" spans="2:4" x14ac:dyDescent="0.2">
      <c r="B286" s="62" t="s">
        <v>202</v>
      </c>
      <c r="C286" s="63">
        <v>47209</v>
      </c>
      <c r="D286" s="64" t="s">
        <v>354</v>
      </c>
    </row>
    <row r="287" spans="2:4" x14ac:dyDescent="0.2">
      <c r="B287" s="62" t="s">
        <v>202</v>
      </c>
      <c r="C287" s="63">
        <v>47210</v>
      </c>
      <c r="D287" s="64" t="s">
        <v>355</v>
      </c>
    </row>
    <row r="288" spans="2:4" x14ac:dyDescent="0.2">
      <c r="B288" s="62" t="s">
        <v>202</v>
      </c>
      <c r="C288" s="63">
        <v>47233</v>
      </c>
      <c r="D288" s="64" t="s">
        <v>356</v>
      </c>
    </row>
    <row r="289" spans="2:4" x14ac:dyDescent="0.2">
      <c r="B289" s="62" t="s">
        <v>202</v>
      </c>
      <c r="C289" s="63">
        <v>47245</v>
      </c>
      <c r="D289" s="64" t="s">
        <v>358</v>
      </c>
    </row>
    <row r="290" spans="2:4" x14ac:dyDescent="0.2">
      <c r="B290" s="62" t="s">
        <v>202</v>
      </c>
      <c r="C290" s="63">
        <v>47345</v>
      </c>
      <c r="D290" s="64" t="s">
        <v>367</v>
      </c>
    </row>
    <row r="291" spans="2:4" x14ac:dyDescent="0.2">
      <c r="B291" s="62" t="s">
        <v>202</v>
      </c>
      <c r="C291" s="63">
        <v>47392</v>
      </c>
      <c r="D291" s="64" t="s">
        <v>357</v>
      </c>
    </row>
    <row r="292" spans="2:4" x14ac:dyDescent="0.2">
      <c r="B292" s="62" t="s">
        <v>202</v>
      </c>
      <c r="C292" s="63">
        <v>47477</v>
      </c>
      <c r="D292" s="64" t="s">
        <v>359</v>
      </c>
    </row>
    <row r="293" spans="2:4" x14ac:dyDescent="0.2">
      <c r="B293" s="62" t="s">
        <v>202</v>
      </c>
      <c r="C293" s="63">
        <v>47478</v>
      </c>
      <c r="D293" s="64" t="s">
        <v>360</v>
      </c>
    </row>
    <row r="294" spans="2:4" x14ac:dyDescent="0.2">
      <c r="B294" s="62" t="s">
        <v>202</v>
      </c>
      <c r="C294" s="63">
        <v>47484</v>
      </c>
      <c r="D294" s="64" t="s">
        <v>350</v>
      </c>
    </row>
    <row r="295" spans="2:4" x14ac:dyDescent="0.2">
      <c r="B295" s="62" t="s">
        <v>202</v>
      </c>
      <c r="C295" s="63">
        <v>47511</v>
      </c>
      <c r="D295" s="64" t="s">
        <v>351</v>
      </c>
    </row>
    <row r="296" spans="2:4" x14ac:dyDescent="0.2">
      <c r="B296" s="62" t="s">
        <v>202</v>
      </c>
      <c r="C296" s="63">
        <v>47592</v>
      </c>
      <c r="D296" s="64" t="s">
        <v>352</v>
      </c>
    </row>
    <row r="297" spans="2:4" x14ac:dyDescent="0.2">
      <c r="B297" s="62" t="s">
        <v>202</v>
      </c>
      <c r="C297" s="63">
        <v>47593</v>
      </c>
      <c r="D297" s="64" t="s">
        <v>353</v>
      </c>
    </row>
    <row r="298" spans="2:4" x14ac:dyDescent="0.2">
      <c r="B298" s="62" t="s">
        <v>202</v>
      </c>
      <c r="C298" s="63">
        <v>47594</v>
      </c>
      <c r="D298" s="64" t="s">
        <v>354</v>
      </c>
    </row>
    <row r="299" spans="2:4" x14ac:dyDescent="0.2">
      <c r="B299" s="62" t="s">
        <v>202</v>
      </c>
      <c r="C299" s="63">
        <v>47595</v>
      </c>
      <c r="D299" s="64" t="s">
        <v>355</v>
      </c>
    </row>
    <row r="300" spans="2:4" x14ac:dyDescent="0.2">
      <c r="B300" s="62" t="s">
        <v>202</v>
      </c>
      <c r="C300" s="63">
        <v>47598</v>
      </c>
      <c r="D300" s="64" t="s">
        <v>356</v>
      </c>
    </row>
    <row r="301" spans="2:4" x14ac:dyDescent="0.2">
      <c r="B301" s="62" t="s">
        <v>202</v>
      </c>
      <c r="C301" s="63">
        <v>47609</v>
      </c>
      <c r="D301" s="64" t="s">
        <v>358</v>
      </c>
    </row>
    <row r="302" spans="2:4" x14ac:dyDescent="0.2">
      <c r="B302" s="62" t="s">
        <v>202</v>
      </c>
      <c r="C302" s="63">
        <v>47709</v>
      </c>
      <c r="D302" s="64" t="s">
        <v>367</v>
      </c>
    </row>
    <row r="303" spans="2:4" x14ac:dyDescent="0.2">
      <c r="B303" s="62" t="s">
        <v>202</v>
      </c>
      <c r="C303" s="63">
        <v>47763</v>
      </c>
      <c r="D303" s="64" t="s">
        <v>357</v>
      </c>
    </row>
    <row r="304" spans="2:4" x14ac:dyDescent="0.2">
      <c r="B304" s="62" t="s">
        <v>202</v>
      </c>
      <c r="C304" s="63">
        <v>47842</v>
      </c>
      <c r="D304" s="64" t="s">
        <v>359</v>
      </c>
    </row>
    <row r="305" spans="2:4" x14ac:dyDescent="0.2">
      <c r="B305" s="62" t="s">
        <v>202</v>
      </c>
      <c r="C305" s="63">
        <v>47843</v>
      </c>
      <c r="D305" s="64" t="s">
        <v>360</v>
      </c>
    </row>
    <row r="306" spans="2:4" x14ac:dyDescent="0.2">
      <c r="B306" s="62" t="s">
        <v>254</v>
      </c>
      <c r="C306" s="63">
        <v>45658</v>
      </c>
      <c r="D306" s="64" t="s">
        <v>350</v>
      </c>
    </row>
    <row r="307" spans="2:4" x14ac:dyDescent="0.2">
      <c r="B307" s="62" t="s">
        <v>254</v>
      </c>
      <c r="C307" s="63">
        <v>45684</v>
      </c>
      <c r="D307" s="64" t="s">
        <v>351</v>
      </c>
    </row>
    <row r="308" spans="2:4" x14ac:dyDescent="0.2">
      <c r="B308" s="62" t="s">
        <v>254</v>
      </c>
      <c r="C308" s="63">
        <v>45719</v>
      </c>
      <c r="D308" s="64" t="s">
        <v>358</v>
      </c>
    </row>
    <row r="309" spans="2:4" x14ac:dyDescent="0.2">
      <c r="B309" s="62" t="s">
        <v>254</v>
      </c>
      <c r="C309" s="63">
        <v>45765</v>
      </c>
      <c r="D309" s="64" t="s">
        <v>352</v>
      </c>
    </row>
    <row r="310" spans="2:4" x14ac:dyDescent="0.2">
      <c r="B310" s="62" t="s">
        <v>254</v>
      </c>
      <c r="C310" s="63">
        <v>45767</v>
      </c>
      <c r="D310" s="64" t="s">
        <v>354</v>
      </c>
    </row>
    <row r="311" spans="2:4" x14ac:dyDescent="0.2">
      <c r="B311" s="62" t="s">
        <v>254</v>
      </c>
      <c r="C311" s="63">
        <v>45768</v>
      </c>
      <c r="D311" s="64" t="s">
        <v>355</v>
      </c>
    </row>
    <row r="312" spans="2:4" x14ac:dyDescent="0.2">
      <c r="B312" s="62" t="s">
        <v>254</v>
      </c>
      <c r="C312" s="63">
        <v>45772</v>
      </c>
      <c r="D312" s="64" t="s">
        <v>356</v>
      </c>
    </row>
    <row r="313" spans="2:4" x14ac:dyDescent="0.2">
      <c r="B313" s="62" t="s">
        <v>254</v>
      </c>
      <c r="C313" s="63">
        <v>45810</v>
      </c>
      <c r="D313" s="64" t="s">
        <v>368</v>
      </c>
    </row>
    <row r="314" spans="2:4" x14ac:dyDescent="0.2">
      <c r="B314" s="62" t="s">
        <v>254</v>
      </c>
      <c r="C314" s="63">
        <v>45929</v>
      </c>
      <c r="D314" s="64" t="s">
        <v>357</v>
      </c>
    </row>
    <row r="315" spans="2:4" x14ac:dyDescent="0.2">
      <c r="B315" s="62" t="s">
        <v>254</v>
      </c>
      <c r="C315" s="63">
        <v>46016</v>
      </c>
      <c r="D315" s="64" t="s">
        <v>359</v>
      </c>
    </row>
    <row r="316" spans="2:4" x14ac:dyDescent="0.2">
      <c r="B316" s="62" t="s">
        <v>254</v>
      </c>
      <c r="C316" s="63">
        <v>46017</v>
      </c>
      <c r="D316" s="64" t="s">
        <v>360</v>
      </c>
    </row>
    <row r="317" spans="2:4" x14ac:dyDescent="0.2">
      <c r="B317" s="62" t="s">
        <v>254</v>
      </c>
      <c r="C317" s="63">
        <v>46023</v>
      </c>
      <c r="D317" s="64" t="s">
        <v>350</v>
      </c>
    </row>
    <row r="318" spans="2:4" x14ac:dyDescent="0.2">
      <c r="B318" s="62" t="s">
        <v>254</v>
      </c>
      <c r="C318" s="63">
        <v>46048</v>
      </c>
      <c r="D318" s="64" t="s">
        <v>351</v>
      </c>
    </row>
    <row r="319" spans="2:4" x14ac:dyDescent="0.2">
      <c r="B319" s="62" t="s">
        <v>254</v>
      </c>
      <c r="C319" s="63">
        <v>46083</v>
      </c>
      <c r="D319" s="64" t="s">
        <v>358</v>
      </c>
    </row>
    <row r="320" spans="2:4" x14ac:dyDescent="0.2">
      <c r="B320" s="62" t="s">
        <v>254</v>
      </c>
      <c r="C320" s="63">
        <v>46115</v>
      </c>
      <c r="D320" s="64" t="s">
        <v>352</v>
      </c>
    </row>
    <row r="321" spans="2:4" x14ac:dyDescent="0.2">
      <c r="B321" s="62" t="s">
        <v>254</v>
      </c>
      <c r="C321" s="63">
        <v>46117</v>
      </c>
      <c r="D321" s="64" t="s">
        <v>354</v>
      </c>
    </row>
    <row r="322" spans="2:4" x14ac:dyDescent="0.2">
      <c r="B322" s="62" t="s">
        <v>254</v>
      </c>
      <c r="C322" s="63">
        <v>46118</v>
      </c>
      <c r="D322" s="64" t="s">
        <v>355</v>
      </c>
    </row>
    <row r="323" spans="2:4" x14ac:dyDescent="0.2">
      <c r="B323" s="62" t="s">
        <v>254</v>
      </c>
      <c r="C323" s="63">
        <v>46137</v>
      </c>
      <c r="D323" s="64" t="s">
        <v>356</v>
      </c>
    </row>
    <row r="324" spans="2:4" x14ac:dyDescent="0.2">
      <c r="B324" s="62" t="s">
        <v>254</v>
      </c>
      <c r="C324" s="63">
        <v>46139</v>
      </c>
      <c r="D324" s="64" t="s">
        <v>361</v>
      </c>
    </row>
    <row r="325" spans="2:4" x14ac:dyDescent="0.2">
      <c r="B325" s="62" t="s">
        <v>254</v>
      </c>
      <c r="C325" s="63">
        <v>46174</v>
      </c>
      <c r="D325" s="64" t="s">
        <v>368</v>
      </c>
    </row>
    <row r="326" spans="2:4" x14ac:dyDescent="0.2">
      <c r="B326" s="62" t="s">
        <v>254</v>
      </c>
      <c r="C326" s="63">
        <v>46293</v>
      </c>
      <c r="D326" s="64" t="s">
        <v>357</v>
      </c>
    </row>
    <row r="327" spans="2:4" x14ac:dyDescent="0.2">
      <c r="B327" s="62" t="s">
        <v>254</v>
      </c>
      <c r="C327" s="63">
        <v>46381</v>
      </c>
      <c r="D327" s="64" t="s">
        <v>359</v>
      </c>
    </row>
    <row r="328" spans="2:4" x14ac:dyDescent="0.2">
      <c r="B328" s="62" t="s">
        <v>254</v>
      </c>
      <c r="C328" s="63">
        <v>46382</v>
      </c>
      <c r="D328" s="64" t="s">
        <v>360</v>
      </c>
    </row>
    <row r="329" spans="2:4" x14ac:dyDescent="0.2">
      <c r="B329" s="62" t="s">
        <v>254</v>
      </c>
      <c r="C329" s="63">
        <v>46384</v>
      </c>
      <c r="D329" s="64" t="s">
        <v>362</v>
      </c>
    </row>
    <row r="330" spans="2:4" x14ac:dyDescent="0.2">
      <c r="B330" s="62" t="s">
        <v>254</v>
      </c>
      <c r="C330" s="63">
        <v>46388</v>
      </c>
      <c r="D330" s="64" t="s">
        <v>350</v>
      </c>
    </row>
    <row r="331" spans="2:4" x14ac:dyDescent="0.2">
      <c r="B331" s="62" t="s">
        <v>254</v>
      </c>
      <c r="C331" s="63">
        <v>46413</v>
      </c>
      <c r="D331" s="64" t="s">
        <v>351</v>
      </c>
    </row>
    <row r="332" spans="2:4" x14ac:dyDescent="0.2">
      <c r="B332" s="62" t="s">
        <v>254</v>
      </c>
      <c r="C332" s="63">
        <v>46447</v>
      </c>
      <c r="D332" s="64" t="s">
        <v>358</v>
      </c>
    </row>
    <row r="333" spans="2:4" x14ac:dyDescent="0.2">
      <c r="B333" s="62" t="s">
        <v>254</v>
      </c>
      <c r="C333" s="63">
        <v>46472</v>
      </c>
      <c r="D333" s="64" t="s">
        <v>352</v>
      </c>
    </row>
    <row r="334" spans="2:4" x14ac:dyDescent="0.2">
      <c r="B334" s="62" t="s">
        <v>254</v>
      </c>
      <c r="C334" s="63">
        <v>46474</v>
      </c>
      <c r="D334" s="64" t="s">
        <v>354</v>
      </c>
    </row>
    <row r="335" spans="2:4" x14ac:dyDescent="0.2">
      <c r="B335" s="62" t="s">
        <v>254</v>
      </c>
      <c r="C335" s="63">
        <v>46475</v>
      </c>
      <c r="D335" s="64" t="s">
        <v>355</v>
      </c>
    </row>
    <row r="336" spans="2:4" x14ac:dyDescent="0.2">
      <c r="B336" s="62" t="s">
        <v>254</v>
      </c>
      <c r="C336" s="63">
        <v>46502</v>
      </c>
      <c r="D336" s="64" t="s">
        <v>356</v>
      </c>
    </row>
    <row r="337" spans="2:4" x14ac:dyDescent="0.2">
      <c r="B337" s="62" t="s">
        <v>254</v>
      </c>
      <c r="C337" s="63">
        <v>46503</v>
      </c>
      <c r="D337" s="64" t="s">
        <v>361</v>
      </c>
    </row>
    <row r="338" spans="2:4" x14ac:dyDescent="0.2">
      <c r="B338" s="62" t="s">
        <v>254</v>
      </c>
      <c r="C338" s="63">
        <v>46545</v>
      </c>
      <c r="D338" s="64" t="s">
        <v>368</v>
      </c>
    </row>
    <row r="339" spans="2:4" x14ac:dyDescent="0.2">
      <c r="B339" s="62" t="s">
        <v>254</v>
      </c>
      <c r="C339" s="63">
        <v>46657</v>
      </c>
      <c r="D339" s="64" t="s">
        <v>357</v>
      </c>
    </row>
    <row r="340" spans="2:4" x14ac:dyDescent="0.2">
      <c r="B340" s="62" t="s">
        <v>254</v>
      </c>
      <c r="C340" s="63">
        <v>46746</v>
      </c>
      <c r="D340" s="64" t="s">
        <v>359</v>
      </c>
    </row>
    <row r="341" spans="2:4" x14ac:dyDescent="0.2">
      <c r="B341" s="62" t="s">
        <v>254</v>
      </c>
      <c r="C341" s="63">
        <v>46747</v>
      </c>
      <c r="D341" s="64" t="s">
        <v>360</v>
      </c>
    </row>
    <row r="342" spans="2:4" x14ac:dyDescent="0.2">
      <c r="B342" s="62" t="s">
        <v>254</v>
      </c>
      <c r="C342" s="63">
        <v>46748</v>
      </c>
      <c r="D342" s="64" t="s">
        <v>363</v>
      </c>
    </row>
    <row r="343" spans="2:4" x14ac:dyDescent="0.2">
      <c r="B343" s="62" t="s">
        <v>254</v>
      </c>
      <c r="C343" s="63">
        <v>46749</v>
      </c>
      <c r="D343" s="64" t="s">
        <v>362</v>
      </c>
    </row>
    <row r="344" spans="2:4" x14ac:dyDescent="0.2">
      <c r="B344" s="62" t="s">
        <v>254</v>
      </c>
      <c r="C344" s="63">
        <v>46753</v>
      </c>
      <c r="D344" s="64" t="s">
        <v>350</v>
      </c>
    </row>
    <row r="345" spans="2:4" x14ac:dyDescent="0.2">
      <c r="B345" s="62" t="s">
        <v>254</v>
      </c>
      <c r="C345" s="63">
        <v>46755</v>
      </c>
      <c r="D345" s="64" t="s">
        <v>364</v>
      </c>
    </row>
    <row r="346" spans="2:4" x14ac:dyDescent="0.2">
      <c r="B346" s="62" t="s">
        <v>254</v>
      </c>
      <c r="C346" s="63">
        <v>46778</v>
      </c>
      <c r="D346" s="64" t="s">
        <v>351</v>
      </c>
    </row>
    <row r="347" spans="2:4" x14ac:dyDescent="0.2">
      <c r="B347" s="62" t="s">
        <v>254</v>
      </c>
      <c r="C347" s="63">
        <v>46818</v>
      </c>
      <c r="D347" s="64" t="s">
        <v>358</v>
      </c>
    </row>
    <row r="348" spans="2:4" x14ac:dyDescent="0.2">
      <c r="B348" s="62" t="s">
        <v>254</v>
      </c>
      <c r="C348" s="63">
        <v>46857</v>
      </c>
      <c r="D348" s="64" t="s">
        <v>352</v>
      </c>
    </row>
    <row r="349" spans="2:4" x14ac:dyDescent="0.2">
      <c r="B349" s="62" t="s">
        <v>254</v>
      </c>
      <c r="C349" s="63">
        <v>46859</v>
      </c>
      <c r="D349" s="64" t="s">
        <v>354</v>
      </c>
    </row>
    <row r="350" spans="2:4" x14ac:dyDescent="0.2">
      <c r="B350" s="62" t="s">
        <v>254</v>
      </c>
      <c r="C350" s="63">
        <v>46860</v>
      </c>
      <c r="D350" s="64" t="s">
        <v>355</v>
      </c>
    </row>
    <row r="351" spans="2:4" x14ac:dyDescent="0.2">
      <c r="B351" s="62" t="s">
        <v>254</v>
      </c>
      <c r="C351" s="63">
        <v>46868</v>
      </c>
      <c r="D351" s="64" t="s">
        <v>356</v>
      </c>
    </row>
    <row r="352" spans="2:4" x14ac:dyDescent="0.2">
      <c r="B352" s="62" t="s">
        <v>254</v>
      </c>
      <c r="C352" s="63">
        <v>46909</v>
      </c>
      <c r="D352" s="64" t="s">
        <v>368</v>
      </c>
    </row>
    <row r="353" spans="2:4" x14ac:dyDescent="0.2">
      <c r="B353" s="62" t="s">
        <v>254</v>
      </c>
      <c r="C353" s="63">
        <v>47021</v>
      </c>
      <c r="D353" s="64" t="s">
        <v>357</v>
      </c>
    </row>
    <row r="354" spans="2:4" x14ac:dyDescent="0.2">
      <c r="B354" s="62" t="s">
        <v>254</v>
      </c>
      <c r="C354" s="63">
        <v>47112</v>
      </c>
      <c r="D354" s="64" t="s">
        <v>359</v>
      </c>
    </row>
    <row r="355" spans="2:4" x14ac:dyDescent="0.2">
      <c r="B355" s="62" t="s">
        <v>254</v>
      </c>
      <c r="C355" s="63">
        <v>47113</v>
      </c>
      <c r="D355" s="64" t="s">
        <v>360</v>
      </c>
    </row>
    <row r="356" spans="2:4" x14ac:dyDescent="0.2">
      <c r="B356" s="62" t="s">
        <v>254</v>
      </c>
      <c r="C356" s="63">
        <v>47119</v>
      </c>
      <c r="D356" s="64" t="s">
        <v>350</v>
      </c>
    </row>
    <row r="357" spans="2:4" x14ac:dyDescent="0.2">
      <c r="B357" s="62" t="s">
        <v>254</v>
      </c>
      <c r="C357" s="63">
        <v>47144</v>
      </c>
      <c r="D357" s="64" t="s">
        <v>351</v>
      </c>
    </row>
    <row r="358" spans="2:4" x14ac:dyDescent="0.2">
      <c r="B358" s="62" t="s">
        <v>254</v>
      </c>
      <c r="C358" s="63">
        <v>47182</v>
      </c>
      <c r="D358" s="64" t="s">
        <v>358</v>
      </c>
    </row>
    <row r="359" spans="2:4" x14ac:dyDescent="0.2">
      <c r="B359" s="62" t="s">
        <v>254</v>
      </c>
      <c r="C359" s="63">
        <v>47207</v>
      </c>
      <c r="D359" s="64" t="s">
        <v>352</v>
      </c>
    </row>
    <row r="360" spans="2:4" x14ac:dyDescent="0.2">
      <c r="B360" s="62" t="s">
        <v>254</v>
      </c>
      <c r="C360" s="63">
        <v>47209</v>
      </c>
      <c r="D360" s="64" t="s">
        <v>354</v>
      </c>
    </row>
    <row r="361" spans="2:4" x14ac:dyDescent="0.2">
      <c r="B361" s="62" t="s">
        <v>254</v>
      </c>
      <c r="C361" s="63">
        <v>47210</v>
      </c>
      <c r="D361" s="64" t="s">
        <v>355</v>
      </c>
    </row>
    <row r="362" spans="2:4" x14ac:dyDescent="0.2">
      <c r="B362" s="62" t="s">
        <v>254</v>
      </c>
      <c r="C362" s="63">
        <v>47233</v>
      </c>
      <c r="D362" s="64" t="s">
        <v>356</v>
      </c>
    </row>
    <row r="363" spans="2:4" x14ac:dyDescent="0.2">
      <c r="B363" s="62" t="s">
        <v>254</v>
      </c>
      <c r="C363" s="63">
        <v>47273</v>
      </c>
      <c r="D363" s="64" t="s">
        <v>368</v>
      </c>
    </row>
    <row r="364" spans="2:4" x14ac:dyDescent="0.2">
      <c r="B364" s="62" t="s">
        <v>254</v>
      </c>
      <c r="C364" s="63">
        <v>47385</v>
      </c>
      <c r="D364" s="64" t="s">
        <v>357</v>
      </c>
    </row>
    <row r="365" spans="2:4" x14ac:dyDescent="0.2">
      <c r="B365" s="62" t="s">
        <v>254</v>
      </c>
      <c r="C365" s="63">
        <v>47477</v>
      </c>
      <c r="D365" s="64" t="s">
        <v>359</v>
      </c>
    </row>
    <row r="366" spans="2:4" x14ac:dyDescent="0.2">
      <c r="B366" s="62" t="s">
        <v>254</v>
      </c>
      <c r="C366" s="63">
        <v>47478</v>
      </c>
      <c r="D366" s="64" t="s">
        <v>360</v>
      </c>
    </row>
    <row r="367" spans="2:4" x14ac:dyDescent="0.2">
      <c r="B367" s="62" t="s">
        <v>254</v>
      </c>
      <c r="C367" s="63">
        <v>47484</v>
      </c>
      <c r="D367" s="64" t="s">
        <v>350</v>
      </c>
    </row>
    <row r="368" spans="2:4" x14ac:dyDescent="0.2">
      <c r="B368" s="62" t="s">
        <v>254</v>
      </c>
      <c r="C368" s="63">
        <v>47511</v>
      </c>
      <c r="D368" s="64" t="s">
        <v>351</v>
      </c>
    </row>
    <row r="369" spans="2:4" x14ac:dyDescent="0.2">
      <c r="B369" s="62" t="s">
        <v>254</v>
      </c>
      <c r="C369" s="63">
        <v>47546</v>
      </c>
      <c r="D369" s="64" t="s">
        <v>358</v>
      </c>
    </row>
    <row r="370" spans="2:4" x14ac:dyDescent="0.2">
      <c r="B370" s="62" t="s">
        <v>254</v>
      </c>
      <c r="C370" s="63">
        <v>47592</v>
      </c>
      <c r="D370" s="64" t="s">
        <v>352</v>
      </c>
    </row>
    <row r="371" spans="2:4" x14ac:dyDescent="0.2">
      <c r="B371" s="62" t="s">
        <v>254</v>
      </c>
      <c r="C371" s="63">
        <v>47594</v>
      </c>
      <c r="D371" s="64" t="s">
        <v>354</v>
      </c>
    </row>
    <row r="372" spans="2:4" x14ac:dyDescent="0.2">
      <c r="B372" s="62" t="s">
        <v>254</v>
      </c>
      <c r="C372" s="63">
        <v>47595</v>
      </c>
      <c r="D372" s="64" t="s">
        <v>355</v>
      </c>
    </row>
    <row r="373" spans="2:4" x14ac:dyDescent="0.2">
      <c r="B373" s="62" t="s">
        <v>254</v>
      </c>
      <c r="C373" s="63">
        <v>47598</v>
      </c>
      <c r="D373" s="64" t="s">
        <v>356</v>
      </c>
    </row>
    <row r="374" spans="2:4" x14ac:dyDescent="0.2">
      <c r="B374" s="62" t="s">
        <v>254</v>
      </c>
      <c r="C374" s="63">
        <v>47637</v>
      </c>
      <c r="D374" s="64" t="s">
        <v>368</v>
      </c>
    </row>
    <row r="375" spans="2:4" x14ac:dyDescent="0.2">
      <c r="B375" s="62" t="s">
        <v>254</v>
      </c>
      <c r="C375" s="63">
        <v>47756</v>
      </c>
      <c r="D375" s="64" t="s">
        <v>357</v>
      </c>
    </row>
    <row r="376" spans="2:4" x14ac:dyDescent="0.2">
      <c r="B376" s="62" t="s">
        <v>254</v>
      </c>
      <c r="C376" s="63">
        <v>47842</v>
      </c>
      <c r="D376" s="64" t="s">
        <v>359</v>
      </c>
    </row>
    <row r="377" spans="2:4" x14ac:dyDescent="0.2">
      <c r="B377" s="62" t="s">
        <v>254</v>
      </c>
      <c r="C377" s="63">
        <v>47843</v>
      </c>
      <c r="D377" s="64" t="s">
        <v>360</v>
      </c>
    </row>
    <row r="378" spans="2:4" x14ac:dyDescent="0.2">
      <c r="B378" s="62" t="s">
        <v>255</v>
      </c>
      <c r="C378" s="63">
        <v>45658</v>
      </c>
      <c r="D378" s="64" t="s">
        <v>350</v>
      </c>
    </row>
    <row r="379" spans="2:4" x14ac:dyDescent="0.2">
      <c r="B379" s="62" t="s">
        <v>255</v>
      </c>
      <c r="C379" s="63">
        <v>45684</v>
      </c>
      <c r="D379" s="64" t="s">
        <v>351</v>
      </c>
    </row>
    <row r="380" spans="2:4" x14ac:dyDescent="0.2">
      <c r="B380" s="62" t="s">
        <v>255</v>
      </c>
      <c r="C380" s="63">
        <v>45726</v>
      </c>
      <c r="D380" s="64" t="s">
        <v>369</v>
      </c>
    </row>
    <row r="381" spans="2:4" x14ac:dyDescent="0.2">
      <c r="B381" s="62" t="s">
        <v>255</v>
      </c>
      <c r="C381" s="63">
        <v>45765</v>
      </c>
      <c r="D381" s="64" t="s">
        <v>352</v>
      </c>
    </row>
    <row r="382" spans="2:4" x14ac:dyDescent="0.2">
      <c r="B382" s="62" t="s">
        <v>255</v>
      </c>
      <c r="C382" s="63">
        <v>45766</v>
      </c>
      <c r="D382" s="64" t="s">
        <v>353</v>
      </c>
    </row>
    <row r="383" spans="2:4" x14ac:dyDescent="0.2">
      <c r="B383" s="62" t="s">
        <v>255</v>
      </c>
      <c r="C383" s="63">
        <v>45767</v>
      </c>
      <c r="D383" s="64" t="s">
        <v>354</v>
      </c>
    </row>
    <row r="384" spans="2:4" x14ac:dyDescent="0.2">
      <c r="B384" s="62" t="s">
        <v>255</v>
      </c>
      <c r="C384" s="63">
        <v>45768</v>
      </c>
      <c r="D384" s="64" t="s">
        <v>355</v>
      </c>
    </row>
    <row r="385" spans="2:4" x14ac:dyDescent="0.2">
      <c r="B385" s="62" t="s">
        <v>255</v>
      </c>
      <c r="C385" s="63">
        <v>45772</v>
      </c>
      <c r="D385" s="64" t="s">
        <v>356</v>
      </c>
    </row>
    <row r="386" spans="2:4" x14ac:dyDescent="0.2">
      <c r="B386" s="62" t="s">
        <v>255</v>
      </c>
      <c r="C386" s="63">
        <v>45817</v>
      </c>
      <c r="D386" s="64" t="s">
        <v>357</v>
      </c>
    </row>
    <row r="387" spans="2:4" x14ac:dyDescent="0.2">
      <c r="B387" s="62" t="s">
        <v>255</v>
      </c>
      <c r="C387" s="63">
        <v>45936</v>
      </c>
      <c r="D387" s="64" t="s">
        <v>358</v>
      </c>
    </row>
    <row r="388" spans="2:4" x14ac:dyDescent="0.2">
      <c r="B388" s="62" t="s">
        <v>255</v>
      </c>
      <c r="C388" s="63">
        <v>46016</v>
      </c>
      <c r="D388" s="64" t="s">
        <v>359</v>
      </c>
    </row>
    <row r="389" spans="2:4" x14ac:dyDescent="0.2">
      <c r="B389" s="62" t="s">
        <v>255</v>
      </c>
      <c r="C389" s="63">
        <v>46017</v>
      </c>
      <c r="D389" s="64" t="s">
        <v>370</v>
      </c>
    </row>
    <row r="390" spans="2:4" x14ac:dyDescent="0.2">
      <c r="B390" s="62" t="s">
        <v>255</v>
      </c>
      <c r="C390" s="63">
        <v>46023</v>
      </c>
      <c r="D390" s="64" t="s">
        <v>350</v>
      </c>
    </row>
    <row r="391" spans="2:4" x14ac:dyDescent="0.2">
      <c r="B391" s="62" t="s">
        <v>255</v>
      </c>
      <c r="C391" s="63">
        <v>46048</v>
      </c>
      <c r="D391" s="64" t="s">
        <v>351</v>
      </c>
    </row>
    <row r="392" spans="2:4" x14ac:dyDescent="0.2">
      <c r="B392" s="62" t="s">
        <v>255</v>
      </c>
      <c r="C392" s="63">
        <v>46090</v>
      </c>
      <c r="D392" s="64" t="s">
        <v>369</v>
      </c>
    </row>
    <row r="393" spans="2:4" x14ac:dyDescent="0.2">
      <c r="B393" s="62" t="s">
        <v>255</v>
      </c>
      <c r="C393" s="63">
        <v>46115</v>
      </c>
      <c r="D393" s="64" t="s">
        <v>352</v>
      </c>
    </row>
    <row r="394" spans="2:4" x14ac:dyDescent="0.2">
      <c r="B394" s="62" t="s">
        <v>255</v>
      </c>
      <c r="C394" s="63">
        <v>46116</v>
      </c>
      <c r="D394" s="64" t="s">
        <v>353</v>
      </c>
    </row>
    <row r="395" spans="2:4" x14ac:dyDescent="0.2">
      <c r="B395" s="62" t="s">
        <v>255</v>
      </c>
      <c r="C395" s="63">
        <v>46117</v>
      </c>
      <c r="D395" s="64" t="s">
        <v>354</v>
      </c>
    </row>
    <row r="396" spans="2:4" x14ac:dyDescent="0.2">
      <c r="B396" s="62" t="s">
        <v>255</v>
      </c>
      <c r="C396" s="63">
        <v>46118</v>
      </c>
      <c r="D396" s="64" t="s">
        <v>355</v>
      </c>
    </row>
    <row r="397" spans="2:4" x14ac:dyDescent="0.2">
      <c r="B397" s="62" t="s">
        <v>255</v>
      </c>
      <c r="C397" s="63">
        <v>46137</v>
      </c>
      <c r="D397" s="64" t="s">
        <v>356</v>
      </c>
    </row>
    <row r="398" spans="2:4" x14ac:dyDescent="0.2">
      <c r="B398" s="62" t="s">
        <v>255</v>
      </c>
      <c r="C398" s="63">
        <v>46181</v>
      </c>
      <c r="D398" s="64" t="s">
        <v>357</v>
      </c>
    </row>
    <row r="399" spans="2:4" x14ac:dyDescent="0.2">
      <c r="B399" s="62" t="s">
        <v>255</v>
      </c>
      <c r="C399" s="63">
        <v>46300</v>
      </c>
      <c r="D399" s="64" t="s">
        <v>358</v>
      </c>
    </row>
    <row r="400" spans="2:4" x14ac:dyDescent="0.2">
      <c r="B400" s="62" t="s">
        <v>255</v>
      </c>
      <c r="C400" s="63">
        <v>46381</v>
      </c>
      <c r="D400" s="64" t="s">
        <v>359</v>
      </c>
    </row>
    <row r="401" spans="2:4" x14ac:dyDescent="0.2">
      <c r="B401" s="62" t="s">
        <v>255</v>
      </c>
      <c r="C401" s="63">
        <v>46382</v>
      </c>
      <c r="D401" s="64" t="s">
        <v>370</v>
      </c>
    </row>
    <row r="402" spans="2:4" x14ac:dyDescent="0.2">
      <c r="B402" s="62" t="s">
        <v>255</v>
      </c>
      <c r="C402" s="63">
        <v>46384</v>
      </c>
      <c r="D402" s="64" t="s">
        <v>371</v>
      </c>
    </row>
    <row r="403" spans="2:4" x14ac:dyDescent="0.2">
      <c r="B403" s="62" t="s">
        <v>255</v>
      </c>
      <c r="C403" s="63">
        <v>46388</v>
      </c>
      <c r="D403" s="64" t="s">
        <v>350</v>
      </c>
    </row>
    <row r="404" spans="2:4" x14ac:dyDescent="0.2">
      <c r="B404" s="62" t="s">
        <v>255</v>
      </c>
      <c r="C404" s="63">
        <v>46413</v>
      </c>
      <c r="D404" s="64" t="s">
        <v>351</v>
      </c>
    </row>
    <row r="405" spans="2:4" x14ac:dyDescent="0.2">
      <c r="B405" s="62" t="s">
        <v>255</v>
      </c>
      <c r="C405" s="63">
        <v>46454</v>
      </c>
      <c r="D405" s="64" t="s">
        <v>369</v>
      </c>
    </row>
    <row r="406" spans="2:4" x14ac:dyDescent="0.2">
      <c r="B406" s="62" t="s">
        <v>255</v>
      </c>
      <c r="C406" s="63">
        <v>46472</v>
      </c>
      <c r="D406" s="64" t="s">
        <v>352</v>
      </c>
    </row>
    <row r="407" spans="2:4" x14ac:dyDescent="0.2">
      <c r="B407" s="62" t="s">
        <v>255</v>
      </c>
      <c r="C407" s="63">
        <v>46473</v>
      </c>
      <c r="D407" s="64" t="s">
        <v>353</v>
      </c>
    </row>
    <row r="408" spans="2:4" x14ac:dyDescent="0.2">
      <c r="B408" s="62" t="s">
        <v>255</v>
      </c>
      <c r="C408" s="63">
        <v>46474</v>
      </c>
      <c r="D408" s="64" t="s">
        <v>354</v>
      </c>
    </row>
    <row r="409" spans="2:4" x14ac:dyDescent="0.2">
      <c r="B409" s="62" t="s">
        <v>255</v>
      </c>
      <c r="C409" s="63">
        <v>46475</v>
      </c>
      <c r="D409" s="64" t="s">
        <v>355</v>
      </c>
    </row>
    <row r="410" spans="2:4" x14ac:dyDescent="0.2">
      <c r="B410" s="62" t="s">
        <v>255</v>
      </c>
      <c r="C410" s="63">
        <v>46502</v>
      </c>
      <c r="D410" s="64" t="s">
        <v>356</v>
      </c>
    </row>
    <row r="411" spans="2:4" x14ac:dyDescent="0.2">
      <c r="B411" s="62" t="s">
        <v>255</v>
      </c>
      <c r="C411" s="63">
        <v>46552</v>
      </c>
      <c r="D411" s="64" t="s">
        <v>357</v>
      </c>
    </row>
    <row r="412" spans="2:4" x14ac:dyDescent="0.2">
      <c r="B412" s="62" t="s">
        <v>255</v>
      </c>
      <c r="C412" s="63">
        <v>46664</v>
      </c>
      <c r="D412" s="64" t="s">
        <v>358</v>
      </c>
    </row>
    <row r="413" spans="2:4" x14ac:dyDescent="0.2">
      <c r="B413" s="62" t="s">
        <v>255</v>
      </c>
      <c r="C413" s="63">
        <v>46746</v>
      </c>
      <c r="D413" s="64" t="s">
        <v>359</v>
      </c>
    </row>
    <row r="414" spans="2:4" x14ac:dyDescent="0.2">
      <c r="B414" s="62" t="s">
        <v>255</v>
      </c>
      <c r="C414" s="63">
        <v>46747</v>
      </c>
      <c r="D414" s="64" t="s">
        <v>370</v>
      </c>
    </row>
    <row r="415" spans="2:4" x14ac:dyDescent="0.2">
      <c r="B415" s="62" t="s">
        <v>255</v>
      </c>
      <c r="C415" s="63">
        <v>46748</v>
      </c>
      <c r="D415" s="64" t="s">
        <v>363</v>
      </c>
    </row>
    <row r="416" spans="2:4" x14ac:dyDescent="0.2">
      <c r="B416" s="62" t="s">
        <v>255</v>
      </c>
      <c r="C416" s="63">
        <v>46749</v>
      </c>
      <c r="D416" s="64" t="s">
        <v>371</v>
      </c>
    </row>
    <row r="417" spans="2:4" x14ac:dyDescent="0.2">
      <c r="B417" s="62" t="s">
        <v>255</v>
      </c>
      <c r="C417" s="63">
        <v>46753</v>
      </c>
      <c r="D417" s="64" t="s">
        <v>350</v>
      </c>
    </row>
    <row r="418" spans="2:4" x14ac:dyDescent="0.2">
      <c r="B418" s="62" t="s">
        <v>255</v>
      </c>
      <c r="C418" s="63">
        <v>46755</v>
      </c>
      <c r="D418" s="64" t="s">
        <v>364</v>
      </c>
    </row>
    <row r="419" spans="2:4" x14ac:dyDescent="0.2">
      <c r="B419" s="62" t="s">
        <v>255</v>
      </c>
      <c r="C419" s="63">
        <v>46778</v>
      </c>
      <c r="D419" s="64" t="s">
        <v>351</v>
      </c>
    </row>
    <row r="420" spans="2:4" x14ac:dyDescent="0.2">
      <c r="B420" s="62" t="s">
        <v>255</v>
      </c>
      <c r="C420" s="63">
        <v>46825</v>
      </c>
      <c r="D420" s="64" t="s">
        <v>369</v>
      </c>
    </row>
    <row r="421" spans="2:4" x14ac:dyDescent="0.2">
      <c r="B421" s="62" t="s">
        <v>255</v>
      </c>
      <c r="C421" s="63">
        <v>46857</v>
      </c>
      <c r="D421" s="64" t="s">
        <v>352</v>
      </c>
    </row>
    <row r="422" spans="2:4" x14ac:dyDescent="0.2">
      <c r="B422" s="62" t="s">
        <v>255</v>
      </c>
      <c r="C422" s="63">
        <v>46858</v>
      </c>
      <c r="D422" s="64" t="s">
        <v>353</v>
      </c>
    </row>
    <row r="423" spans="2:4" x14ac:dyDescent="0.2">
      <c r="B423" s="62" t="s">
        <v>255</v>
      </c>
      <c r="C423" s="63">
        <v>46859</v>
      </c>
      <c r="D423" s="64" t="s">
        <v>354</v>
      </c>
    </row>
    <row r="424" spans="2:4" x14ac:dyDescent="0.2">
      <c r="B424" s="62" t="s">
        <v>255</v>
      </c>
      <c r="C424" s="63">
        <v>46860</v>
      </c>
      <c r="D424" s="64" t="s">
        <v>355</v>
      </c>
    </row>
    <row r="425" spans="2:4" x14ac:dyDescent="0.2">
      <c r="B425" s="62" t="s">
        <v>255</v>
      </c>
      <c r="C425" s="63">
        <v>46868</v>
      </c>
      <c r="D425" s="64" t="s">
        <v>356</v>
      </c>
    </row>
    <row r="426" spans="2:4" x14ac:dyDescent="0.2">
      <c r="B426" s="62" t="s">
        <v>255</v>
      </c>
      <c r="C426" s="63">
        <v>46916</v>
      </c>
      <c r="D426" s="64" t="s">
        <v>357</v>
      </c>
    </row>
    <row r="427" spans="2:4" x14ac:dyDescent="0.2">
      <c r="B427" s="62" t="s">
        <v>255</v>
      </c>
      <c r="C427" s="63">
        <v>47028</v>
      </c>
      <c r="D427" s="64" t="s">
        <v>358</v>
      </c>
    </row>
    <row r="428" spans="2:4" x14ac:dyDescent="0.2">
      <c r="B428" s="62" t="s">
        <v>255</v>
      </c>
      <c r="C428" s="63">
        <v>47112</v>
      </c>
      <c r="D428" s="64" t="s">
        <v>359</v>
      </c>
    </row>
    <row r="429" spans="2:4" x14ac:dyDescent="0.2">
      <c r="B429" s="62" t="s">
        <v>255</v>
      </c>
      <c r="C429" s="63">
        <v>47113</v>
      </c>
      <c r="D429" s="64" t="s">
        <v>370</v>
      </c>
    </row>
    <row r="430" spans="2:4" x14ac:dyDescent="0.2">
      <c r="B430" s="62" t="s">
        <v>255</v>
      </c>
      <c r="C430" s="63">
        <v>47119</v>
      </c>
      <c r="D430" s="64" t="s">
        <v>350</v>
      </c>
    </row>
    <row r="431" spans="2:4" x14ac:dyDescent="0.2">
      <c r="B431" s="62" t="s">
        <v>255</v>
      </c>
      <c r="C431" s="63">
        <v>47144</v>
      </c>
      <c r="D431" s="64" t="s">
        <v>351</v>
      </c>
    </row>
    <row r="432" spans="2:4" x14ac:dyDescent="0.2">
      <c r="B432" s="62" t="s">
        <v>255</v>
      </c>
      <c r="C432" s="63">
        <v>47189</v>
      </c>
      <c r="D432" s="64" t="s">
        <v>369</v>
      </c>
    </row>
    <row r="433" spans="2:4" x14ac:dyDescent="0.2">
      <c r="B433" s="62" t="s">
        <v>255</v>
      </c>
      <c r="C433" s="63">
        <v>47207</v>
      </c>
      <c r="D433" s="64" t="s">
        <v>352</v>
      </c>
    </row>
    <row r="434" spans="2:4" x14ac:dyDescent="0.2">
      <c r="B434" s="62" t="s">
        <v>255</v>
      </c>
      <c r="C434" s="63">
        <v>47208</v>
      </c>
      <c r="D434" s="64" t="s">
        <v>353</v>
      </c>
    </row>
    <row r="435" spans="2:4" x14ac:dyDescent="0.2">
      <c r="B435" s="62" t="s">
        <v>255</v>
      </c>
      <c r="C435" s="63">
        <v>47209</v>
      </c>
      <c r="D435" s="64" t="s">
        <v>354</v>
      </c>
    </row>
    <row r="436" spans="2:4" x14ac:dyDescent="0.2">
      <c r="B436" s="62" t="s">
        <v>255</v>
      </c>
      <c r="C436" s="63">
        <v>47210</v>
      </c>
      <c r="D436" s="64" t="s">
        <v>355</v>
      </c>
    </row>
    <row r="437" spans="2:4" x14ac:dyDescent="0.2">
      <c r="B437" s="62" t="s">
        <v>255</v>
      </c>
      <c r="C437" s="63">
        <v>47233</v>
      </c>
      <c r="D437" s="64" t="s">
        <v>356</v>
      </c>
    </row>
    <row r="438" spans="2:4" x14ac:dyDescent="0.2">
      <c r="B438" s="62" t="s">
        <v>255</v>
      </c>
      <c r="C438" s="63">
        <v>47280</v>
      </c>
      <c r="D438" s="64" t="s">
        <v>357</v>
      </c>
    </row>
    <row r="439" spans="2:4" x14ac:dyDescent="0.2">
      <c r="B439" s="62" t="s">
        <v>255</v>
      </c>
      <c r="C439" s="63">
        <v>47392</v>
      </c>
      <c r="D439" s="64" t="s">
        <v>358</v>
      </c>
    </row>
    <row r="440" spans="2:4" x14ac:dyDescent="0.2">
      <c r="B440" s="62" t="s">
        <v>255</v>
      </c>
      <c r="C440" s="63">
        <v>47477</v>
      </c>
      <c r="D440" s="64" t="s">
        <v>359</v>
      </c>
    </row>
    <row r="441" spans="2:4" x14ac:dyDescent="0.2">
      <c r="B441" s="62" t="s">
        <v>255</v>
      </c>
      <c r="C441" s="63">
        <v>47478</v>
      </c>
      <c r="D441" s="64" t="s">
        <v>370</v>
      </c>
    </row>
    <row r="442" spans="2:4" x14ac:dyDescent="0.2">
      <c r="B442" s="62" t="s">
        <v>255</v>
      </c>
      <c r="C442" s="63">
        <v>47484</v>
      </c>
      <c r="D442" s="64" t="s">
        <v>350</v>
      </c>
    </row>
    <row r="443" spans="2:4" x14ac:dyDescent="0.2">
      <c r="B443" s="62" t="s">
        <v>255</v>
      </c>
      <c r="C443" s="63">
        <v>47511</v>
      </c>
      <c r="D443" s="64" t="s">
        <v>351</v>
      </c>
    </row>
    <row r="444" spans="2:4" x14ac:dyDescent="0.2">
      <c r="B444" s="62" t="s">
        <v>255</v>
      </c>
      <c r="C444" s="63">
        <v>47553</v>
      </c>
      <c r="D444" s="64" t="s">
        <v>369</v>
      </c>
    </row>
    <row r="445" spans="2:4" x14ac:dyDescent="0.2">
      <c r="B445" s="62" t="s">
        <v>255</v>
      </c>
      <c r="C445" s="63">
        <v>47592</v>
      </c>
      <c r="D445" s="64" t="s">
        <v>352</v>
      </c>
    </row>
    <row r="446" spans="2:4" x14ac:dyDescent="0.2">
      <c r="B446" s="62" t="s">
        <v>255</v>
      </c>
      <c r="C446" s="63">
        <v>47593</v>
      </c>
      <c r="D446" s="64" t="s">
        <v>353</v>
      </c>
    </row>
    <row r="447" spans="2:4" x14ac:dyDescent="0.2">
      <c r="B447" s="62" t="s">
        <v>255</v>
      </c>
      <c r="C447" s="63">
        <v>47594</v>
      </c>
      <c r="D447" s="64" t="s">
        <v>354</v>
      </c>
    </row>
    <row r="448" spans="2:4" x14ac:dyDescent="0.2">
      <c r="B448" s="62" t="s">
        <v>255</v>
      </c>
      <c r="C448" s="63">
        <v>47595</v>
      </c>
      <c r="D448" s="64" t="s">
        <v>355</v>
      </c>
    </row>
    <row r="449" spans="2:4" x14ac:dyDescent="0.2">
      <c r="B449" s="62" t="s">
        <v>255</v>
      </c>
      <c r="C449" s="63">
        <v>47598</v>
      </c>
      <c r="D449" s="64" t="s">
        <v>356</v>
      </c>
    </row>
    <row r="450" spans="2:4" x14ac:dyDescent="0.2">
      <c r="B450" s="62" t="s">
        <v>255</v>
      </c>
      <c r="C450" s="63">
        <v>47644</v>
      </c>
      <c r="D450" s="64" t="s">
        <v>357</v>
      </c>
    </row>
    <row r="451" spans="2:4" x14ac:dyDescent="0.2">
      <c r="B451" s="62" t="s">
        <v>255</v>
      </c>
      <c r="C451" s="63">
        <v>47763</v>
      </c>
      <c r="D451" s="64" t="s">
        <v>358</v>
      </c>
    </row>
    <row r="452" spans="2:4" x14ac:dyDescent="0.2">
      <c r="B452" s="62" t="s">
        <v>255</v>
      </c>
      <c r="C452" s="63">
        <v>47842</v>
      </c>
      <c r="D452" s="64" t="s">
        <v>359</v>
      </c>
    </row>
    <row r="453" spans="2:4" x14ac:dyDescent="0.2">
      <c r="B453" s="62" t="s">
        <v>255</v>
      </c>
      <c r="C453" s="63">
        <v>47843</v>
      </c>
      <c r="D453" s="64" t="s">
        <v>370</v>
      </c>
    </row>
    <row r="454" spans="2:4" x14ac:dyDescent="0.2">
      <c r="B454" s="62" t="s">
        <v>256</v>
      </c>
      <c r="C454" s="63">
        <v>45658</v>
      </c>
      <c r="D454" s="64" t="s">
        <v>350</v>
      </c>
    </row>
    <row r="455" spans="2:4" x14ac:dyDescent="0.2">
      <c r="B455" s="62" t="s">
        <v>256</v>
      </c>
      <c r="C455" s="63">
        <v>45684</v>
      </c>
      <c r="D455" s="64" t="s">
        <v>351</v>
      </c>
    </row>
    <row r="456" spans="2:4" x14ac:dyDescent="0.2">
      <c r="B456" s="62" t="s">
        <v>256</v>
      </c>
      <c r="C456" s="63">
        <v>45726</v>
      </c>
      <c r="D456" s="64" t="s">
        <v>372</v>
      </c>
    </row>
    <row r="457" spans="2:4" x14ac:dyDescent="0.2">
      <c r="B457" s="62" t="s">
        <v>256</v>
      </c>
      <c r="C457" s="63">
        <v>45765</v>
      </c>
      <c r="D457" s="64" t="s">
        <v>352</v>
      </c>
    </row>
    <row r="458" spans="2:4" x14ac:dyDescent="0.2">
      <c r="B458" s="62" t="s">
        <v>256</v>
      </c>
      <c r="C458" s="63">
        <v>45768</v>
      </c>
      <c r="D458" s="64" t="s">
        <v>355</v>
      </c>
    </row>
    <row r="459" spans="2:4" x14ac:dyDescent="0.2">
      <c r="B459" s="62" t="s">
        <v>256</v>
      </c>
      <c r="C459" s="63">
        <v>45772</v>
      </c>
      <c r="D459" s="64" t="s">
        <v>356</v>
      </c>
    </row>
    <row r="460" spans="2:4" x14ac:dyDescent="0.2">
      <c r="B460" s="62" t="s">
        <v>256</v>
      </c>
      <c r="C460" s="63">
        <v>45817</v>
      </c>
      <c r="D460" s="64" t="s">
        <v>357</v>
      </c>
    </row>
    <row r="461" spans="2:4" x14ac:dyDescent="0.2">
      <c r="B461" s="62" t="s">
        <v>256</v>
      </c>
      <c r="C461" s="63">
        <v>46016</v>
      </c>
      <c r="D461" s="64" t="s">
        <v>359</v>
      </c>
    </row>
    <row r="462" spans="2:4" x14ac:dyDescent="0.2">
      <c r="B462" s="62" t="s">
        <v>256</v>
      </c>
      <c r="C462" s="63">
        <v>46017</v>
      </c>
      <c r="D462" s="64" t="s">
        <v>360</v>
      </c>
    </row>
    <row r="463" spans="2:4" x14ac:dyDescent="0.2">
      <c r="B463" s="62" t="s">
        <v>256</v>
      </c>
      <c r="C463" s="63">
        <v>46023</v>
      </c>
      <c r="D463" s="64" t="s">
        <v>350</v>
      </c>
    </row>
    <row r="464" spans="2:4" x14ac:dyDescent="0.2">
      <c r="B464" s="62" t="s">
        <v>256</v>
      </c>
      <c r="C464" s="63">
        <v>46048</v>
      </c>
      <c r="D464" s="64" t="s">
        <v>351</v>
      </c>
    </row>
    <row r="465" spans="2:4" x14ac:dyDescent="0.2">
      <c r="B465" s="62" t="s">
        <v>256</v>
      </c>
      <c r="C465" s="63">
        <v>46090</v>
      </c>
      <c r="D465" s="64" t="s">
        <v>372</v>
      </c>
    </row>
    <row r="466" spans="2:4" x14ac:dyDescent="0.2">
      <c r="B466" s="62" t="s">
        <v>256</v>
      </c>
      <c r="C466" s="63">
        <v>46115</v>
      </c>
      <c r="D466" s="64" t="s">
        <v>352</v>
      </c>
    </row>
    <row r="467" spans="2:4" x14ac:dyDescent="0.2">
      <c r="B467" s="62" t="s">
        <v>256</v>
      </c>
      <c r="C467" s="63">
        <v>46118</v>
      </c>
      <c r="D467" s="64" t="s">
        <v>355</v>
      </c>
    </row>
    <row r="468" spans="2:4" x14ac:dyDescent="0.2">
      <c r="B468" s="62" t="s">
        <v>256</v>
      </c>
      <c r="C468" s="63">
        <v>46137</v>
      </c>
      <c r="D468" s="64" t="s">
        <v>356</v>
      </c>
    </row>
    <row r="469" spans="2:4" x14ac:dyDescent="0.2">
      <c r="B469" s="62" t="s">
        <v>256</v>
      </c>
      <c r="C469" s="63">
        <v>46181</v>
      </c>
      <c r="D469" s="64" t="s">
        <v>357</v>
      </c>
    </row>
    <row r="470" spans="2:4" x14ac:dyDescent="0.2">
      <c r="B470" s="62" t="s">
        <v>256</v>
      </c>
      <c r="C470" s="63">
        <v>46381</v>
      </c>
      <c r="D470" s="64" t="s">
        <v>359</v>
      </c>
    </row>
    <row r="471" spans="2:4" x14ac:dyDescent="0.2">
      <c r="B471" s="62" t="s">
        <v>256</v>
      </c>
      <c r="C471" s="63">
        <v>46384</v>
      </c>
      <c r="D471" s="64" t="s">
        <v>360</v>
      </c>
    </row>
    <row r="472" spans="2:4" x14ac:dyDescent="0.2">
      <c r="B472" s="62" t="s">
        <v>256</v>
      </c>
      <c r="C472" s="63">
        <v>46388</v>
      </c>
      <c r="D472" s="64" t="s">
        <v>350</v>
      </c>
    </row>
    <row r="473" spans="2:4" x14ac:dyDescent="0.2">
      <c r="B473" s="62" t="s">
        <v>256</v>
      </c>
      <c r="C473" s="63">
        <v>46413</v>
      </c>
      <c r="D473" s="64" t="s">
        <v>351</v>
      </c>
    </row>
    <row r="474" spans="2:4" x14ac:dyDescent="0.2">
      <c r="B474" s="62" t="s">
        <v>256</v>
      </c>
      <c r="C474" s="63">
        <v>46454</v>
      </c>
      <c r="D474" s="64" t="s">
        <v>372</v>
      </c>
    </row>
    <row r="475" spans="2:4" x14ac:dyDescent="0.2">
      <c r="B475" s="62" t="s">
        <v>256</v>
      </c>
      <c r="C475" s="63">
        <v>46472</v>
      </c>
      <c r="D475" s="64" t="s">
        <v>352</v>
      </c>
    </row>
    <row r="476" spans="2:4" x14ac:dyDescent="0.2">
      <c r="B476" s="62" t="s">
        <v>256</v>
      </c>
      <c r="C476" s="63">
        <v>46475</v>
      </c>
      <c r="D476" s="64" t="s">
        <v>355</v>
      </c>
    </row>
    <row r="477" spans="2:4" x14ac:dyDescent="0.2">
      <c r="B477" s="62" t="s">
        <v>256</v>
      </c>
      <c r="C477" s="63">
        <v>46502</v>
      </c>
      <c r="D477" s="64" t="s">
        <v>356</v>
      </c>
    </row>
    <row r="478" spans="2:4" x14ac:dyDescent="0.2">
      <c r="B478" s="62" t="s">
        <v>256</v>
      </c>
      <c r="C478" s="63">
        <v>46552</v>
      </c>
      <c r="D478" s="64" t="s">
        <v>357</v>
      </c>
    </row>
    <row r="479" spans="2:4" x14ac:dyDescent="0.2">
      <c r="B479" s="62" t="s">
        <v>256</v>
      </c>
      <c r="C479" s="63">
        <v>46746</v>
      </c>
      <c r="D479" s="64" t="s">
        <v>359</v>
      </c>
    </row>
    <row r="480" spans="2:4" x14ac:dyDescent="0.2">
      <c r="B480" s="62" t="s">
        <v>256</v>
      </c>
      <c r="C480" s="63">
        <v>46748</v>
      </c>
      <c r="D480" s="64" t="s">
        <v>363</v>
      </c>
    </row>
    <row r="481" spans="2:4" x14ac:dyDescent="0.2">
      <c r="B481" s="62" t="s">
        <v>256</v>
      </c>
      <c r="C481" s="63">
        <v>46749</v>
      </c>
      <c r="D481" s="64" t="s">
        <v>360</v>
      </c>
    </row>
    <row r="482" spans="2:4" x14ac:dyDescent="0.2">
      <c r="B482" s="62" t="s">
        <v>256</v>
      </c>
      <c r="C482" s="63">
        <v>46755</v>
      </c>
      <c r="D482" s="64" t="s">
        <v>350</v>
      </c>
    </row>
    <row r="483" spans="2:4" x14ac:dyDescent="0.2">
      <c r="B483" s="62" t="s">
        <v>256</v>
      </c>
      <c r="C483" s="63">
        <v>46778</v>
      </c>
      <c r="D483" s="64" t="s">
        <v>351</v>
      </c>
    </row>
    <row r="484" spans="2:4" x14ac:dyDescent="0.2">
      <c r="B484" s="62" t="s">
        <v>256</v>
      </c>
      <c r="C484" s="63">
        <v>46825</v>
      </c>
      <c r="D484" s="64" t="s">
        <v>372</v>
      </c>
    </row>
    <row r="485" spans="2:4" x14ac:dyDescent="0.2">
      <c r="B485" s="62" t="s">
        <v>256</v>
      </c>
      <c r="C485" s="63">
        <v>46857</v>
      </c>
      <c r="D485" s="64" t="s">
        <v>352</v>
      </c>
    </row>
    <row r="486" spans="2:4" x14ac:dyDescent="0.2">
      <c r="B486" s="62" t="s">
        <v>256</v>
      </c>
      <c r="C486" s="63">
        <v>46860</v>
      </c>
      <c r="D486" s="64" t="s">
        <v>355</v>
      </c>
    </row>
    <row r="487" spans="2:4" x14ac:dyDescent="0.2">
      <c r="B487" s="62" t="s">
        <v>256</v>
      </c>
      <c r="C487" s="63">
        <v>46868</v>
      </c>
      <c r="D487" s="64" t="s">
        <v>356</v>
      </c>
    </row>
    <row r="488" spans="2:4" x14ac:dyDescent="0.2">
      <c r="B488" s="62" t="s">
        <v>256</v>
      </c>
      <c r="C488" s="63">
        <v>46916</v>
      </c>
      <c r="D488" s="64" t="s">
        <v>357</v>
      </c>
    </row>
    <row r="489" spans="2:4" x14ac:dyDescent="0.2">
      <c r="B489" s="62" t="s">
        <v>256</v>
      </c>
      <c r="C489" s="63">
        <v>47112</v>
      </c>
      <c r="D489" s="64" t="s">
        <v>359</v>
      </c>
    </row>
    <row r="490" spans="2:4" x14ac:dyDescent="0.2">
      <c r="B490" s="62" t="s">
        <v>256</v>
      </c>
      <c r="C490" s="63">
        <v>47113</v>
      </c>
      <c r="D490" s="64" t="s">
        <v>360</v>
      </c>
    </row>
    <row r="491" spans="2:4" x14ac:dyDescent="0.2">
      <c r="B491" s="62" t="s">
        <v>256</v>
      </c>
      <c r="C491" s="63">
        <v>47119</v>
      </c>
      <c r="D491" s="64" t="s">
        <v>350</v>
      </c>
    </row>
    <row r="492" spans="2:4" x14ac:dyDescent="0.2">
      <c r="B492" s="62" t="s">
        <v>256</v>
      </c>
      <c r="C492" s="63">
        <v>47144</v>
      </c>
      <c r="D492" s="64" t="s">
        <v>351</v>
      </c>
    </row>
    <row r="493" spans="2:4" x14ac:dyDescent="0.2">
      <c r="B493" s="62" t="s">
        <v>256</v>
      </c>
      <c r="C493" s="63">
        <v>47189</v>
      </c>
      <c r="D493" s="64" t="s">
        <v>372</v>
      </c>
    </row>
    <row r="494" spans="2:4" x14ac:dyDescent="0.2">
      <c r="B494" s="62" t="s">
        <v>256</v>
      </c>
      <c r="C494" s="63">
        <v>47207</v>
      </c>
      <c r="D494" s="64" t="s">
        <v>352</v>
      </c>
    </row>
    <row r="495" spans="2:4" x14ac:dyDescent="0.2">
      <c r="B495" s="62" t="s">
        <v>256</v>
      </c>
      <c r="C495" s="63">
        <v>47210</v>
      </c>
      <c r="D495" s="64" t="s">
        <v>355</v>
      </c>
    </row>
    <row r="496" spans="2:4" x14ac:dyDescent="0.2">
      <c r="B496" s="62" t="s">
        <v>256</v>
      </c>
      <c r="C496" s="63">
        <v>47233</v>
      </c>
      <c r="D496" s="64" t="s">
        <v>356</v>
      </c>
    </row>
    <row r="497" spans="2:4" x14ac:dyDescent="0.2">
      <c r="B497" s="62" t="s">
        <v>256</v>
      </c>
      <c r="C497" s="63">
        <v>47280</v>
      </c>
      <c r="D497" s="64" t="s">
        <v>357</v>
      </c>
    </row>
    <row r="498" spans="2:4" x14ac:dyDescent="0.2">
      <c r="B498" s="62" t="s">
        <v>256</v>
      </c>
      <c r="C498" s="63">
        <v>47477</v>
      </c>
      <c r="D498" s="64" t="s">
        <v>359</v>
      </c>
    </row>
    <row r="499" spans="2:4" x14ac:dyDescent="0.2">
      <c r="B499" s="62" t="s">
        <v>256</v>
      </c>
      <c r="C499" s="63">
        <v>47478</v>
      </c>
      <c r="D499" s="64" t="s">
        <v>360</v>
      </c>
    </row>
    <row r="500" spans="2:4" x14ac:dyDescent="0.2">
      <c r="B500" s="62" t="s">
        <v>256</v>
      </c>
      <c r="C500" s="63">
        <v>47484</v>
      </c>
      <c r="D500" s="64" t="s">
        <v>350</v>
      </c>
    </row>
    <row r="501" spans="2:4" x14ac:dyDescent="0.2">
      <c r="B501" s="62" t="s">
        <v>256</v>
      </c>
      <c r="C501" s="63">
        <v>47511</v>
      </c>
      <c r="D501" s="64" t="s">
        <v>351</v>
      </c>
    </row>
    <row r="502" spans="2:4" x14ac:dyDescent="0.2">
      <c r="B502" s="62" t="s">
        <v>256</v>
      </c>
      <c r="C502" s="63">
        <v>47553</v>
      </c>
      <c r="D502" s="64" t="s">
        <v>372</v>
      </c>
    </row>
    <row r="503" spans="2:4" x14ac:dyDescent="0.2">
      <c r="B503" s="62" t="s">
        <v>256</v>
      </c>
      <c r="C503" s="63">
        <v>47592</v>
      </c>
      <c r="D503" s="64" t="s">
        <v>352</v>
      </c>
    </row>
    <row r="504" spans="2:4" x14ac:dyDescent="0.2">
      <c r="B504" s="62" t="s">
        <v>256</v>
      </c>
      <c r="C504" s="63">
        <v>47595</v>
      </c>
      <c r="D504" s="64" t="s">
        <v>355</v>
      </c>
    </row>
    <row r="505" spans="2:4" x14ac:dyDescent="0.2">
      <c r="B505" s="62" t="s">
        <v>256</v>
      </c>
      <c r="C505" s="63">
        <v>47598</v>
      </c>
      <c r="D505" s="64" t="s">
        <v>356</v>
      </c>
    </row>
    <row r="506" spans="2:4" x14ac:dyDescent="0.2">
      <c r="B506" s="62" t="s">
        <v>256</v>
      </c>
      <c r="C506" s="63">
        <v>47644</v>
      </c>
      <c r="D506" s="64" t="s">
        <v>357</v>
      </c>
    </row>
    <row r="507" spans="2:4" x14ac:dyDescent="0.2">
      <c r="B507" s="62" t="s">
        <v>256</v>
      </c>
      <c r="C507" s="63">
        <v>47842</v>
      </c>
      <c r="D507" s="64" t="s">
        <v>359</v>
      </c>
    </row>
    <row r="508" spans="2:4" x14ac:dyDescent="0.2">
      <c r="B508" s="62" t="s">
        <v>256</v>
      </c>
      <c r="C508" s="63">
        <v>47843</v>
      </c>
      <c r="D508" s="64" t="s">
        <v>360</v>
      </c>
    </row>
    <row r="509" spans="2:4" x14ac:dyDescent="0.2">
      <c r="B509" s="62" t="s">
        <v>257</v>
      </c>
      <c r="C509" s="63">
        <v>45658</v>
      </c>
      <c r="D509" s="64" t="s">
        <v>350</v>
      </c>
    </row>
    <row r="510" spans="2:4" x14ac:dyDescent="0.2">
      <c r="B510" s="62" t="s">
        <v>257</v>
      </c>
      <c r="C510" s="63">
        <v>45684</v>
      </c>
      <c r="D510" s="64" t="s">
        <v>351</v>
      </c>
    </row>
    <row r="511" spans="2:4" x14ac:dyDescent="0.2">
      <c r="B511" s="62" t="s">
        <v>257</v>
      </c>
      <c r="C511" s="63">
        <v>45726</v>
      </c>
      <c r="D511" s="64" t="s">
        <v>373</v>
      </c>
    </row>
    <row r="512" spans="2:4" x14ac:dyDescent="0.2">
      <c r="B512" s="62" t="s">
        <v>257</v>
      </c>
      <c r="C512" s="63">
        <v>45765</v>
      </c>
      <c r="D512" s="64" t="s">
        <v>352</v>
      </c>
    </row>
    <row r="513" spans="2:4" x14ac:dyDescent="0.2">
      <c r="B513" s="62" t="s">
        <v>257</v>
      </c>
      <c r="C513" s="63">
        <v>45766</v>
      </c>
      <c r="D513" s="64" t="s">
        <v>353</v>
      </c>
    </row>
    <row r="514" spans="2:4" x14ac:dyDescent="0.2">
      <c r="B514" s="62" t="s">
        <v>257</v>
      </c>
      <c r="C514" s="63">
        <v>45767</v>
      </c>
      <c r="D514" s="64" t="s">
        <v>354</v>
      </c>
    </row>
    <row r="515" spans="2:4" x14ac:dyDescent="0.2">
      <c r="B515" s="62" t="s">
        <v>257</v>
      </c>
      <c r="C515" s="63">
        <v>45768</v>
      </c>
      <c r="D515" s="64" t="s">
        <v>355</v>
      </c>
    </row>
    <row r="516" spans="2:4" x14ac:dyDescent="0.2">
      <c r="B516" s="62" t="s">
        <v>257</v>
      </c>
      <c r="C516" s="63">
        <v>45772</v>
      </c>
      <c r="D516" s="64" t="s">
        <v>356</v>
      </c>
    </row>
    <row r="517" spans="2:4" x14ac:dyDescent="0.2">
      <c r="B517" s="62" t="s">
        <v>257</v>
      </c>
      <c r="C517" s="63">
        <v>45810</v>
      </c>
      <c r="D517" s="64" t="s">
        <v>374</v>
      </c>
    </row>
    <row r="518" spans="2:4" x14ac:dyDescent="0.2">
      <c r="B518" s="62" t="s">
        <v>257</v>
      </c>
      <c r="C518" s="63">
        <v>45817</v>
      </c>
      <c r="D518" s="64" t="s">
        <v>357</v>
      </c>
    </row>
    <row r="519" spans="2:4" x14ac:dyDescent="0.2">
      <c r="B519" s="62" t="s">
        <v>257</v>
      </c>
      <c r="C519" s="63">
        <v>45936</v>
      </c>
      <c r="D519" s="64" t="s">
        <v>358</v>
      </c>
    </row>
    <row r="520" spans="2:4" x14ac:dyDescent="0.2">
      <c r="B520" s="62" t="s">
        <v>257</v>
      </c>
      <c r="C520" s="63">
        <v>46016</v>
      </c>
      <c r="D520" s="64" t="s">
        <v>359</v>
      </c>
    </row>
    <row r="521" spans="2:4" x14ac:dyDescent="0.2">
      <c r="B521" s="62" t="s">
        <v>257</v>
      </c>
      <c r="C521" s="63">
        <v>46017</v>
      </c>
      <c r="D521" s="64" t="s">
        <v>360</v>
      </c>
    </row>
    <row r="522" spans="2:4" x14ac:dyDescent="0.2">
      <c r="B522" s="62" t="s">
        <v>257</v>
      </c>
      <c r="C522" s="63">
        <v>46023</v>
      </c>
      <c r="D522" s="64" t="s">
        <v>350</v>
      </c>
    </row>
    <row r="523" spans="2:4" x14ac:dyDescent="0.2">
      <c r="B523" s="62" t="s">
        <v>257</v>
      </c>
      <c r="C523" s="63">
        <v>46048</v>
      </c>
      <c r="D523" s="64" t="s">
        <v>351</v>
      </c>
    </row>
    <row r="524" spans="2:4" x14ac:dyDescent="0.2">
      <c r="B524" s="62" t="s">
        <v>257</v>
      </c>
      <c r="C524" s="63">
        <v>46090</v>
      </c>
      <c r="D524" s="64" t="s">
        <v>373</v>
      </c>
    </row>
    <row r="525" spans="2:4" x14ac:dyDescent="0.2">
      <c r="B525" s="62" t="s">
        <v>257</v>
      </c>
      <c r="C525" s="63">
        <v>46115</v>
      </c>
      <c r="D525" s="64" t="s">
        <v>352</v>
      </c>
    </row>
    <row r="526" spans="2:4" x14ac:dyDescent="0.2">
      <c r="B526" s="62" t="s">
        <v>257</v>
      </c>
      <c r="C526" s="63">
        <v>46116</v>
      </c>
      <c r="D526" s="64" t="s">
        <v>353</v>
      </c>
    </row>
    <row r="527" spans="2:4" x14ac:dyDescent="0.2">
      <c r="B527" s="62" t="s">
        <v>257</v>
      </c>
      <c r="C527" s="63">
        <v>46117</v>
      </c>
      <c r="D527" s="64" t="s">
        <v>354</v>
      </c>
    </row>
    <row r="528" spans="2:4" x14ac:dyDescent="0.2">
      <c r="B528" s="62" t="s">
        <v>257</v>
      </c>
      <c r="C528" s="63">
        <v>46118</v>
      </c>
      <c r="D528" s="64" t="s">
        <v>355</v>
      </c>
    </row>
    <row r="529" spans="2:4" x14ac:dyDescent="0.2">
      <c r="B529" s="62" t="s">
        <v>257</v>
      </c>
      <c r="C529" s="63">
        <v>46137</v>
      </c>
      <c r="D529" s="64" t="s">
        <v>356</v>
      </c>
    </row>
    <row r="530" spans="2:4" x14ac:dyDescent="0.2">
      <c r="B530" s="62" t="s">
        <v>257</v>
      </c>
      <c r="C530" s="63">
        <v>46139</v>
      </c>
      <c r="D530" s="64" t="s">
        <v>361</v>
      </c>
    </row>
    <row r="531" spans="2:4" x14ac:dyDescent="0.2">
      <c r="B531" s="62" t="s">
        <v>257</v>
      </c>
      <c r="C531" s="63">
        <v>46174</v>
      </c>
      <c r="D531" s="64" t="s">
        <v>374</v>
      </c>
    </row>
    <row r="532" spans="2:4" x14ac:dyDescent="0.2">
      <c r="B532" s="62" t="s">
        <v>257</v>
      </c>
      <c r="C532" s="63">
        <v>46181</v>
      </c>
      <c r="D532" s="64" t="s">
        <v>357</v>
      </c>
    </row>
    <row r="533" spans="2:4" x14ac:dyDescent="0.2">
      <c r="B533" s="62" t="s">
        <v>257</v>
      </c>
      <c r="C533" s="63">
        <v>46300</v>
      </c>
      <c r="D533" s="64" t="s">
        <v>358</v>
      </c>
    </row>
    <row r="534" spans="2:4" x14ac:dyDescent="0.2">
      <c r="B534" s="62" t="s">
        <v>257</v>
      </c>
      <c r="C534" s="63">
        <v>46381</v>
      </c>
      <c r="D534" s="64" t="s">
        <v>359</v>
      </c>
    </row>
    <row r="535" spans="2:4" x14ac:dyDescent="0.2">
      <c r="B535" s="62" t="s">
        <v>257</v>
      </c>
      <c r="C535" s="63">
        <v>46382</v>
      </c>
      <c r="D535" s="64" t="s">
        <v>360</v>
      </c>
    </row>
    <row r="536" spans="2:4" x14ac:dyDescent="0.2">
      <c r="B536" s="62" t="s">
        <v>257</v>
      </c>
      <c r="C536" s="63">
        <v>46384</v>
      </c>
      <c r="D536" s="64" t="s">
        <v>362</v>
      </c>
    </row>
    <row r="537" spans="2:4" x14ac:dyDescent="0.2">
      <c r="B537" s="62" t="s">
        <v>257</v>
      </c>
      <c r="C537" s="63">
        <v>46388</v>
      </c>
      <c r="D537" s="64" t="s">
        <v>350</v>
      </c>
    </row>
    <row r="538" spans="2:4" x14ac:dyDescent="0.2">
      <c r="B538" s="62" t="s">
        <v>257</v>
      </c>
      <c r="C538" s="63">
        <v>46413</v>
      </c>
      <c r="D538" s="64" t="s">
        <v>351</v>
      </c>
    </row>
    <row r="539" spans="2:4" x14ac:dyDescent="0.2">
      <c r="B539" s="62" t="s">
        <v>257</v>
      </c>
      <c r="C539" s="63">
        <v>46454</v>
      </c>
      <c r="D539" s="64" t="s">
        <v>373</v>
      </c>
    </row>
    <row r="540" spans="2:4" x14ac:dyDescent="0.2">
      <c r="B540" s="62" t="s">
        <v>257</v>
      </c>
      <c r="C540" s="63">
        <v>46472</v>
      </c>
      <c r="D540" s="64" t="s">
        <v>352</v>
      </c>
    </row>
    <row r="541" spans="2:4" x14ac:dyDescent="0.2">
      <c r="B541" s="62" t="s">
        <v>257</v>
      </c>
      <c r="C541" s="63">
        <v>46473</v>
      </c>
      <c r="D541" s="64" t="s">
        <v>353</v>
      </c>
    </row>
    <row r="542" spans="2:4" x14ac:dyDescent="0.2">
      <c r="B542" s="62" t="s">
        <v>257</v>
      </c>
      <c r="C542" s="63">
        <v>46474</v>
      </c>
      <c r="D542" s="64" t="s">
        <v>354</v>
      </c>
    </row>
    <row r="543" spans="2:4" x14ac:dyDescent="0.2">
      <c r="B543" s="62" t="s">
        <v>257</v>
      </c>
      <c r="C543" s="63">
        <v>46475</v>
      </c>
      <c r="D543" s="64" t="s">
        <v>355</v>
      </c>
    </row>
    <row r="544" spans="2:4" x14ac:dyDescent="0.2">
      <c r="B544" s="62" t="s">
        <v>257</v>
      </c>
      <c r="C544" s="63">
        <v>46503</v>
      </c>
      <c r="D544" s="64" t="s">
        <v>356</v>
      </c>
    </row>
    <row r="545" spans="2:4" x14ac:dyDescent="0.2">
      <c r="B545" s="62" t="s">
        <v>257</v>
      </c>
      <c r="C545" s="63">
        <v>46538</v>
      </c>
      <c r="D545" s="64" t="s">
        <v>374</v>
      </c>
    </row>
    <row r="546" spans="2:4" x14ac:dyDescent="0.2">
      <c r="B546" s="62" t="s">
        <v>257</v>
      </c>
      <c r="C546" s="63">
        <v>46552</v>
      </c>
      <c r="D546" s="64" t="s">
        <v>357</v>
      </c>
    </row>
    <row r="547" spans="2:4" x14ac:dyDescent="0.2">
      <c r="B547" s="62" t="s">
        <v>257</v>
      </c>
      <c r="C547" s="63">
        <v>46664</v>
      </c>
      <c r="D547" s="64" t="s">
        <v>358</v>
      </c>
    </row>
    <row r="548" spans="2:4" x14ac:dyDescent="0.2">
      <c r="B548" s="62" t="s">
        <v>257</v>
      </c>
      <c r="C548" s="63">
        <v>46746</v>
      </c>
      <c r="D548" s="64" t="s">
        <v>359</v>
      </c>
    </row>
    <row r="549" spans="2:4" x14ac:dyDescent="0.2">
      <c r="B549" s="62" t="s">
        <v>257</v>
      </c>
      <c r="C549" s="63">
        <v>46747</v>
      </c>
      <c r="D549" s="64" t="s">
        <v>360</v>
      </c>
    </row>
    <row r="550" spans="2:4" x14ac:dyDescent="0.2">
      <c r="B550" s="62" t="s">
        <v>257</v>
      </c>
      <c r="C550" s="63">
        <v>46748</v>
      </c>
      <c r="D550" s="64" t="s">
        <v>363</v>
      </c>
    </row>
    <row r="551" spans="2:4" x14ac:dyDescent="0.2">
      <c r="B551" s="62" t="s">
        <v>257</v>
      </c>
      <c r="C551" s="63">
        <v>46749</v>
      </c>
      <c r="D551" s="64" t="s">
        <v>362</v>
      </c>
    </row>
    <row r="552" spans="2:4" x14ac:dyDescent="0.2">
      <c r="B552" s="62" t="s">
        <v>257</v>
      </c>
      <c r="C552" s="63">
        <v>46753</v>
      </c>
      <c r="D552" s="64" t="s">
        <v>350</v>
      </c>
    </row>
    <row r="553" spans="2:4" x14ac:dyDescent="0.2">
      <c r="B553" s="62" t="s">
        <v>257</v>
      </c>
      <c r="C553" s="63">
        <v>46755</v>
      </c>
      <c r="D553" s="64" t="s">
        <v>364</v>
      </c>
    </row>
    <row r="554" spans="2:4" x14ac:dyDescent="0.2">
      <c r="B554" s="62" t="s">
        <v>257</v>
      </c>
      <c r="C554" s="63">
        <v>46778</v>
      </c>
      <c r="D554" s="64" t="s">
        <v>351</v>
      </c>
    </row>
    <row r="555" spans="2:4" x14ac:dyDescent="0.2">
      <c r="B555" s="62" t="s">
        <v>257</v>
      </c>
      <c r="C555" s="63">
        <v>46825</v>
      </c>
      <c r="D555" s="64" t="s">
        <v>373</v>
      </c>
    </row>
    <row r="556" spans="2:4" x14ac:dyDescent="0.2">
      <c r="B556" s="62" t="s">
        <v>257</v>
      </c>
      <c r="C556" s="63">
        <v>46857</v>
      </c>
      <c r="D556" s="64" t="s">
        <v>352</v>
      </c>
    </row>
    <row r="557" spans="2:4" x14ac:dyDescent="0.2">
      <c r="B557" s="62" t="s">
        <v>257</v>
      </c>
      <c r="C557" s="63">
        <v>46858</v>
      </c>
      <c r="D557" s="64" t="s">
        <v>353</v>
      </c>
    </row>
    <row r="558" spans="2:4" x14ac:dyDescent="0.2">
      <c r="B558" s="62" t="s">
        <v>257</v>
      </c>
      <c r="C558" s="63">
        <v>46859</v>
      </c>
      <c r="D558" s="64" t="s">
        <v>354</v>
      </c>
    </row>
    <row r="559" spans="2:4" x14ac:dyDescent="0.2">
      <c r="B559" s="62" t="s">
        <v>257</v>
      </c>
      <c r="C559" s="63">
        <v>46860</v>
      </c>
      <c r="D559" s="64" t="s">
        <v>355</v>
      </c>
    </row>
    <row r="560" spans="2:4" x14ac:dyDescent="0.2">
      <c r="B560" s="62" t="s">
        <v>257</v>
      </c>
      <c r="C560" s="63">
        <v>46868</v>
      </c>
      <c r="D560" s="64" t="s">
        <v>356</v>
      </c>
    </row>
    <row r="561" spans="2:4" x14ac:dyDescent="0.2">
      <c r="B561" s="62" t="s">
        <v>257</v>
      </c>
      <c r="C561" s="63">
        <v>46902</v>
      </c>
      <c r="D561" s="64" t="s">
        <v>374</v>
      </c>
    </row>
    <row r="562" spans="2:4" x14ac:dyDescent="0.2">
      <c r="B562" s="62" t="s">
        <v>257</v>
      </c>
      <c r="C562" s="63">
        <v>46916</v>
      </c>
      <c r="D562" s="64" t="s">
        <v>357</v>
      </c>
    </row>
    <row r="563" spans="2:4" x14ac:dyDescent="0.2">
      <c r="B563" s="62" t="s">
        <v>257</v>
      </c>
      <c r="C563" s="63">
        <v>47028</v>
      </c>
      <c r="D563" s="64" t="s">
        <v>358</v>
      </c>
    </row>
    <row r="564" spans="2:4" x14ac:dyDescent="0.2">
      <c r="B564" s="62" t="s">
        <v>257</v>
      </c>
      <c r="C564" s="63">
        <v>47112</v>
      </c>
      <c r="D564" s="64" t="s">
        <v>359</v>
      </c>
    </row>
    <row r="565" spans="2:4" x14ac:dyDescent="0.2">
      <c r="B565" s="62" t="s">
        <v>257</v>
      </c>
      <c r="C565" s="63">
        <v>47113</v>
      </c>
      <c r="D565" s="64" t="s">
        <v>360</v>
      </c>
    </row>
    <row r="566" spans="2:4" x14ac:dyDescent="0.2">
      <c r="B566" s="62" t="s">
        <v>257</v>
      </c>
      <c r="C566" s="63">
        <v>47119</v>
      </c>
      <c r="D566" s="64" t="s">
        <v>350</v>
      </c>
    </row>
    <row r="567" spans="2:4" x14ac:dyDescent="0.2">
      <c r="B567" s="62" t="s">
        <v>257</v>
      </c>
      <c r="C567" s="63">
        <v>47144</v>
      </c>
      <c r="D567" s="64" t="s">
        <v>351</v>
      </c>
    </row>
    <row r="568" spans="2:4" x14ac:dyDescent="0.2">
      <c r="B568" s="62" t="s">
        <v>257</v>
      </c>
      <c r="C568" s="63">
        <v>47189</v>
      </c>
      <c r="D568" s="64" t="s">
        <v>373</v>
      </c>
    </row>
    <row r="569" spans="2:4" x14ac:dyDescent="0.2">
      <c r="B569" s="62" t="s">
        <v>257</v>
      </c>
      <c r="C569" s="63">
        <v>47207</v>
      </c>
      <c r="D569" s="64" t="s">
        <v>352</v>
      </c>
    </row>
    <row r="570" spans="2:4" x14ac:dyDescent="0.2">
      <c r="B570" s="62" t="s">
        <v>257</v>
      </c>
      <c r="C570" s="63">
        <v>47208</v>
      </c>
      <c r="D570" s="64" t="s">
        <v>353</v>
      </c>
    </row>
    <row r="571" spans="2:4" x14ac:dyDescent="0.2">
      <c r="B571" s="62" t="s">
        <v>257</v>
      </c>
      <c r="C571" s="63">
        <v>47209</v>
      </c>
      <c r="D571" s="64" t="s">
        <v>354</v>
      </c>
    </row>
    <row r="572" spans="2:4" x14ac:dyDescent="0.2">
      <c r="B572" s="62" t="s">
        <v>257</v>
      </c>
      <c r="C572" s="63">
        <v>47210</v>
      </c>
      <c r="D572" s="64" t="s">
        <v>355</v>
      </c>
    </row>
    <row r="573" spans="2:4" x14ac:dyDescent="0.2">
      <c r="B573" s="62" t="s">
        <v>257</v>
      </c>
      <c r="C573" s="63">
        <v>47233</v>
      </c>
      <c r="D573" s="64" t="s">
        <v>356</v>
      </c>
    </row>
    <row r="574" spans="2:4" x14ac:dyDescent="0.2">
      <c r="B574" s="62" t="s">
        <v>257</v>
      </c>
      <c r="C574" s="63">
        <v>47266</v>
      </c>
      <c r="D574" s="64" t="s">
        <v>374</v>
      </c>
    </row>
    <row r="575" spans="2:4" x14ac:dyDescent="0.2">
      <c r="B575" s="62" t="s">
        <v>257</v>
      </c>
      <c r="C575" s="63">
        <v>47280</v>
      </c>
      <c r="D575" s="64" t="s">
        <v>357</v>
      </c>
    </row>
    <row r="576" spans="2:4" x14ac:dyDescent="0.2">
      <c r="B576" s="62" t="s">
        <v>257</v>
      </c>
      <c r="C576" s="63">
        <v>47392</v>
      </c>
      <c r="D576" s="64" t="s">
        <v>358</v>
      </c>
    </row>
    <row r="577" spans="2:4" x14ac:dyDescent="0.2">
      <c r="B577" s="62" t="s">
        <v>257</v>
      </c>
      <c r="C577" s="63">
        <v>47477</v>
      </c>
      <c r="D577" s="64" t="s">
        <v>359</v>
      </c>
    </row>
    <row r="578" spans="2:4" x14ac:dyDescent="0.2">
      <c r="B578" s="62" t="s">
        <v>257</v>
      </c>
      <c r="C578" s="63">
        <v>47478</v>
      </c>
      <c r="D578" s="64" t="s">
        <v>360</v>
      </c>
    </row>
    <row r="579" spans="2:4" x14ac:dyDescent="0.2">
      <c r="B579" s="62" t="s">
        <v>257</v>
      </c>
      <c r="C579" s="63">
        <v>47484</v>
      </c>
      <c r="D579" s="64" t="s">
        <v>350</v>
      </c>
    </row>
    <row r="580" spans="2:4" x14ac:dyDescent="0.2">
      <c r="B580" s="62" t="s">
        <v>257</v>
      </c>
      <c r="C580" s="63">
        <v>47511</v>
      </c>
      <c r="D580" s="64" t="s">
        <v>351</v>
      </c>
    </row>
    <row r="581" spans="2:4" x14ac:dyDescent="0.2">
      <c r="B581" s="62" t="s">
        <v>257</v>
      </c>
      <c r="C581" s="63">
        <v>47553</v>
      </c>
      <c r="D581" s="64" t="s">
        <v>373</v>
      </c>
    </row>
    <row r="582" spans="2:4" x14ac:dyDescent="0.2">
      <c r="B582" s="62" t="s">
        <v>257</v>
      </c>
      <c r="C582" s="63">
        <v>47592</v>
      </c>
      <c r="D582" s="64" t="s">
        <v>352</v>
      </c>
    </row>
    <row r="583" spans="2:4" x14ac:dyDescent="0.2">
      <c r="B583" s="62" t="s">
        <v>257</v>
      </c>
      <c r="C583" s="63">
        <v>47593</v>
      </c>
      <c r="D583" s="64" t="s">
        <v>353</v>
      </c>
    </row>
    <row r="584" spans="2:4" x14ac:dyDescent="0.2">
      <c r="B584" s="62" t="s">
        <v>257</v>
      </c>
      <c r="C584" s="63">
        <v>47594</v>
      </c>
      <c r="D584" s="64" t="s">
        <v>354</v>
      </c>
    </row>
    <row r="585" spans="2:4" x14ac:dyDescent="0.2">
      <c r="B585" s="62" t="s">
        <v>257</v>
      </c>
      <c r="C585" s="63">
        <v>47595</v>
      </c>
      <c r="D585" s="64" t="s">
        <v>355</v>
      </c>
    </row>
    <row r="586" spans="2:4" x14ac:dyDescent="0.2">
      <c r="B586" s="62" t="s">
        <v>257</v>
      </c>
      <c r="C586" s="63">
        <v>47598</v>
      </c>
      <c r="D586" s="64" t="s">
        <v>356</v>
      </c>
    </row>
    <row r="587" spans="2:4" x14ac:dyDescent="0.2">
      <c r="B587" s="62" t="s">
        <v>257</v>
      </c>
      <c r="C587" s="63">
        <v>47630</v>
      </c>
      <c r="D587" s="64" t="s">
        <v>374</v>
      </c>
    </row>
    <row r="588" spans="2:4" x14ac:dyDescent="0.2">
      <c r="B588" s="62" t="s">
        <v>257</v>
      </c>
      <c r="C588" s="63">
        <v>47644</v>
      </c>
      <c r="D588" s="64" t="s">
        <v>357</v>
      </c>
    </row>
    <row r="589" spans="2:4" x14ac:dyDescent="0.2">
      <c r="B589" s="62" t="s">
        <v>257</v>
      </c>
      <c r="C589" s="63">
        <v>47763</v>
      </c>
      <c r="D589" s="64" t="s">
        <v>358</v>
      </c>
    </row>
    <row r="590" spans="2:4" x14ac:dyDescent="0.2">
      <c r="B590" s="62" t="s">
        <v>257</v>
      </c>
      <c r="C590" s="63">
        <v>47842</v>
      </c>
      <c r="D590" s="64" t="s">
        <v>359</v>
      </c>
    </row>
    <row r="591" spans="2:4" x14ac:dyDescent="0.2">
      <c r="B591" s="62" t="s">
        <v>257</v>
      </c>
      <c r="C591" s="63">
        <v>47843</v>
      </c>
      <c r="D591" s="64" t="s">
        <v>360</v>
      </c>
    </row>
    <row r="592" spans="2:4" x14ac:dyDescent="0.2">
      <c r="B592" s="62" t="s">
        <v>258</v>
      </c>
      <c r="C592" s="63">
        <v>45658</v>
      </c>
      <c r="D592" s="64" t="s">
        <v>350</v>
      </c>
    </row>
    <row r="593" spans="2:4" x14ac:dyDescent="0.2">
      <c r="B593" s="62" t="s">
        <v>258</v>
      </c>
      <c r="C593" s="63">
        <v>45684</v>
      </c>
      <c r="D593" s="64" t="s">
        <v>351</v>
      </c>
    </row>
    <row r="594" spans="2:4" x14ac:dyDescent="0.2">
      <c r="B594" s="62" t="s">
        <v>258</v>
      </c>
      <c r="C594" s="63">
        <v>45765</v>
      </c>
      <c r="D594" s="64" t="s">
        <v>352</v>
      </c>
    </row>
    <row r="595" spans="2:4" x14ac:dyDescent="0.2">
      <c r="B595" s="62" t="s">
        <v>258</v>
      </c>
      <c r="C595" s="63">
        <v>45766</v>
      </c>
      <c r="D595" s="64" t="s">
        <v>353</v>
      </c>
    </row>
    <row r="596" spans="2:4" x14ac:dyDescent="0.2">
      <c r="B596" s="62" t="s">
        <v>258</v>
      </c>
      <c r="C596" s="63">
        <v>45767</v>
      </c>
      <c r="D596" s="64" t="s">
        <v>354</v>
      </c>
    </row>
    <row r="597" spans="2:4" x14ac:dyDescent="0.2">
      <c r="B597" s="62" t="s">
        <v>258</v>
      </c>
      <c r="C597" s="63">
        <v>45768</v>
      </c>
      <c r="D597" s="64" t="s">
        <v>355</v>
      </c>
    </row>
    <row r="598" spans="2:4" x14ac:dyDescent="0.2">
      <c r="B598" s="62" t="s">
        <v>258</v>
      </c>
      <c r="C598" s="63">
        <v>45772</v>
      </c>
      <c r="D598" s="64" t="s">
        <v>356</v>
      </c>
    </row>
    <row r="599" spans="2:4" x14ac:dyDescent="0.2">
      <c r="B599" s="62" t="s">
        <v>258</v>
      </c>
      <c r="C599" s="63">
        <v>45782</v>
      </c>
      <c r="D599" s="64" t="s">
        <v>375</v>
      </c>
    </row>
    <row r="600" spans="2:4" x14ac:dyDescent="0.2">
      <c r="B600" s="62" t="s">
        <v>258</v>
      </c>
      <c r="C600" s="63">
        <v>45817</v>
      </c>
      <c r="D600" s="64" t="s">
        <v>357</v>
      </c>
    </row>
    <row r="601" spans="2:4" x14ac:dyDescent="0.2">
      <c r="B601" s="62" t="s">
        <v>258</v>
      </c>
      <c r="C601" s="63">
        <v>45873</v>
      </c>
      <c r="D601" s="64" t="s">
        <v>376</v>
      </c>
    </row>
    <row r="602" spans="2:4" x14ac:dyDescent="0.2">
      <c r="B602" s="62" t="s">
        <v>258</v>
      </c>
      <c r="C602" s="63">
        <v>46016</v>
      </c>
      <c r="D602" s="64" t="s">
        <v>359</v>
      </c>
    </row>
    <row r="603" spans="2:4" x14ac:dyDescent="0.2">
      <c r="B603" s="62" t="s">
        <v>258</v>
      </c>
      <c r="C603" s="63">
        <v>46017</v>
      </c>
      <c r="D603" s="64" t="s">
        <v>360</v>
      </c>
    </row>
    <row r="604" spans="2:4" x14ac:dyDescent="0.2">
      <c r="B604" s="62" t="s">
        <v>258</v>
      </c>
      <c r="C604" s="63">
        <v>46023</v>
      </c>
      <c r="D604" s="64" t="s">
        <v>350</v>
      </c>
    </row>
    <row r="605" spans="2:4" x14ac:dyDescent="0.2">
      <c r="B605" s="62" t="s">
        <v>258</v>
      </c>
      <c r="C605" s="63">
        <v>46048</v>
      </c>
      <c r="D605" s="64" t="s">
        <v>351</v>
      </c>
    </row>
    <row r="606" spans="2:4" x14ac:dyDescent="0.2">
      <c r="B606" s="62" t="s">
        <v>258</v>
      </c>
      <c r="C606" s="63">
        <v>46115</v>
      </c>
      <c r="D606" s="64" t="s">
        <v>352</v>
      </c>
    </row>
    <row r="607" spans="2:4" x14ac:dyDescent="0.2">
      <c r="B607" s="62" t="s">
        <v>258</v>
      </c>
      <c r="C607" s="63">
        <v>46116</v>
      </c>
      <c r="D607" s="64" t="s">
        <v>353</v>
      </c>
    </row>
    <row r="608" spans="2:4" x14ac:dyDescent="0.2">
      <c r="B608" s="62" t="s">
        <v>258</v>
      </c>
      <c r="C608" s="63">
        <v>46117</v>
      </c>
      <c r="D608" s="64" t="s">
        <v>354</v>
      </c>
    </row>
    <row r="609" spans="2:4" x14ac:dyDescent="0.2">
      <c r="B609" s="62" t="s">
        <v>258</v>
      </c>
      <c r="C609" s="63">
        <v>46118</v>
      </c>
      <c r="D609" s="64" t="s">
        <v>355</v>
      </c>
    </row>
    <row r="610" spans="2:4" x14ac:dyDescent="0.2">
      <c r="B610" s="62" t="s">
        <v>258</v>
      </c>
      <c r="C610" s="63">
        <v>46137</v>
      </c>
      <c r="D610" s="64" t="s">
        <v>356</v>
      </c>
    </row>
    <row r="611" spans="2:4" x14ac:dyDescent="0.2">
      <c r="B611" s="62" t="s">
        <v>258</v>
      </c>
      <c r="C611" s="63">
        <v>46146</v>
      </c>
      <c r="D611" s="64" t="s">
        <v>375</v>
      </c>
    </row>
    <row r="612" spans="2:4" x14ac:dyDescent="0.2">
      <c r="B612" s="62" t="s">
        <v>258</v>
      </c>
      <c r="C612" s="63">
        <v>46181</v>
      </c>
      <c r="D612" s="64" t="s">
        <v>357</v>
      </c>
    </row>
    <row r="613" spans="2:4" x14ac:dyDescent="0.2">
      <c r="B613" s="62" t="s">
        <v>258</v>
      </c>
      <c r="C613" s="63">
        <v>46237</v>
      </c>
      <c r="D613" s="64" t="s">
        <v>376</v>
      </c>
    </row>
    <row r="614" spans="2:4" x14ac:dyDescent="0.2">
      <c r="B614" s="62" t="s">
        <v>258</v>
      </c>
      <c r="C614" s="63">
        <v>46381</v>
      </c>
      <c r="D614" s="64" t="s">
        <v>359</v>
      </c>
    </row>
    <row r="615" spans="2:4" x14ac:dyDescent="0.2">
      <c r="B615" s="62" t="s">
        <v>258</v>
      </c>
      <c r="C615" s="63">
        <v>46382</v>
      </c>
      <c r="D615" s="64" t="s">
        <v>360</v>
      </c>
    </row>
    <row r="616" spans="2:4" x14ac:dyDescent="0.2">
      <c r="B616" s="62" t="s">
        <v>258</v>
      </c>
      <c r="C616" s="63">
        <v>46384</v>
      </c>
      <c r="D616" s="64" t="s">
        <v>362</v>
      </c>
    </row>
    <row r="617" spans="2:4" x14ac:dyDescent="0.2">
      <c r="B617" s="62" t="s">
        <v>258</v>
      </c>
      <c r="C617" s="63">
        <v>46388</v>
      </c>
      <c r="D617" s="64" t="s">
        <v>350</v>
      </c>
    </row>
    <row r="618" spans="2:4" x14ac:dyDescent="0.2">
      <c r="B618" s="62" t="s">
        <v>258</v>
      </c>
      <c r="C618" s="63">
        <v>46413</v>
      </c>
      <c r="D618" s="64" t="s">
        <v>351</v>
      </c>
    </row>
    <row r="619" spans="2:4" x14ac:dyDescent="0.2">
      <c r="B619" s="62" t="s">
        <v>258</v>
      </c>
      <c r="C619" s="63">
        <v>46472</v>
      </c>
      <c r="D619" s="64" t="s">
        <v>352</v>
      </c>
    </row>
    <row r="620" spans="2:4" x14ac:dyDescent="0.2">
      <c r="B620" s="62" t="s">
        <v>258</v>
      </c>
      <c r="C620" s="63">
        <v>46473</v>
      </c>
      <c r="D620" s="64" t="s">
        <v>353</v>
      </c>
    </row>
    <row r="621" spans="2:4" x14ac:dyDescent="0.2">
      <c r="B621" s="62" t="s">
        <v>258</v>
      </c>
      <c r="C621" s="63">
        <v>46474</v>
      </c>
      <c r="D621" s="64" t="s">
        <v>354</v>
      </c>
    </row>
    <row r="622" spans="2:4" x14ac:dyDescent="0.2">
      <c r="B622" s="62" t="s">
        <v>258</v>
      </c>
      <c r="C622" s="63">
        <v>46475</v>
      </c>
      <c r="D622" s="64" t="s">
        <v>355</v>
      </c>
    </row>
    <row r="623" spans="2:4" x14ac:dyDescent="0.2">
      <c r="B623" s="62" t="s">
        <v>258</v>
      </c>
      <c r="C623" s="63">
        <v>46503</v>
      </c>
      <c r="D623" s="64" t="s">
        <v>356</v>
      </c>
    </row>
    <row r="624" spans="2:4" x14ac:dyDescent="0.2">
      <c r="B624" s="62" t="s">
        <v>258</v>
      </c>
      <c r="C624" s="63">
        <v>46510</v>
      </c>
      <c r="D624" s="64" t="s">
        <v>375</v>
      </c>
    </row>
    <row r="625" spans="2:4" x14ac:dyDescent="0.2">
      <c r="B625" s="62" t="s">
        <v>258</v>
      </c>
      <c r="C625" s="63">
        <v>46552</v>
      </c>
      <c r="D625" s="64" t="s">
        <v>357</v>
      </c>
    </row>
    <row r="626" spans="2:4" x14ac:dyDescent="0.2">
      <c r="B626" s="62" t="s">
        <v>258</v>
      </c>
      <c r="C626" s="63">
        <v>46601</v>
      </c>
      <c r="D626" s="64" t="s">
        <v>376</v>
      </c>
    </row>
    <row r="627" spans="2:4" x14ac:dyDescent="0.2">
      <c r="B627" s="62" t="s">
        <v>258</v>
      </c>
      <c r="C627" s="63">
        <v>46746</v>
      </c>
      <c r="D627" s="64" t="s">
        <v>359</v>
      </c>
    </row>
    <row r="628" spans="2:4" x14ac:dyDescent="0.2">
      <c r="B628" s="62" t="s">
        <v>258</v>
      </c>
      <c r="C628" s="63">
        <v>46747</v>
      </c>
      <c r="D628" s="64" t="s">
        <v>360</v>
      </c>
    </row>
    <row r="629" spans="2:4" x14ac:dyDescent="0.2">
      <c r="B629" s="62" t="s">
        <v>258</v>
      </c>
      <c r="C629" s="63">
        <v>46748</v>
      </c>
      <c r="D629" s="64" t="s">
        <v>363</v>
      </c>
    </row>
    <row r="630" spans="2:4" x14ac:dyDescent="0.2">
      <c r="B630" s="62" t="s">
        <v>258</v>
      </c>
      <c r="C630" s="63">
        <v>46749</v>
      </c>
      <c r="D630" s="64" t="s">
        <v>362</v>
      </c>
    </row>
    <row r="631" spans="2:4" x14ac:dyDescent="0.2">
      <c r="B631" s="62" t="s">
        <v>258</v>
      </c>
      <c r="C631" s="63">
        <v>46753</v>
      </c>
      <c r="D631" s="64" t="s">
        <v>350</v>
      </c>
    </row>
    <row r="632" spans="2:4" x14ac:dyDescent="0.2">
      <c r="B632" s="62" t="s">
        <v>258</v>
      </c>
      <c r="C632" s="63">
        <v>46755</v>
      </c>
      <c r="D632" s="64" t="s">
        <v>364</v>
      </c>
    </row>
    <row r="633" spans="2:4" x14ac:dyDescent="0.2">
      <c r="B633" s="62" t="s">
        <v>258</v>
      </c>
      <c r="C633" s="63">
        <v>46778</v>
      </c>
      <c r="D633" s="64" t="s">
        <v>351</v>
      </c>
    </row>
    <row r="634" spans="2:4" x14ac:dyDescent="0.2">
      <c r="B634" s="62" t="s">
        <v>258</v>
      </c>
      <c r="C634" s="63">
        <v>46857</v>
      </c>
      <c r="D634" s="64" t="s">
        <v>352</v>
      </c>
    </row>
    <row r="635" spans="2:4" x14ac:dyDescent="0.2">
      <c r="B635" s="62" t="s">
        <v>258</v>
      </c>
      <c r="C635" s="63">
        <v>46858</v>
      </c>
      <c r="D635" s="64" t="s">
        <v>353</v>
      </c>
    </row>
    <row r="636" spans="2:4" x14ac:dyDescent="0.2">
      <c r="B636" s="62" t="s">
        <v>258</v>
      </c>
      <c r="C636" s="63">
        <v>46859</v>
      </c>
      <c r="D636" s="64" t="s">
        <v>354</v>
      </c>
    </row>
    <row r="637" spans="2:4" x14ac:dyDescent="0.2">
      <c r="B637" s="62" t="s">
        <v>258</v>
      </c>
      <c r="C637" s="63">
        <v>46860</v>
      </c>
      <c r="D637" s="64" t="s">
        <v>355</v>
      </c>
    </row>
    <row r="638" spans="2:4" x14ac:dyDescent="0.2">
      <c r="B638" s="62" t="s">
        <v>258</v>
      </c>
      <c r="C638" s="63">
        <v>46868</v>
      </c>
      <c r="D638" s="64" t="s">
        <v>356</v>
      </c>
    </row>
    <row r="639" spans="2:4" x14ac:dyDescent="0.2">
      <c r="B639" s="62" t="s">
        <v>258</v>
      </c>
      <c r="C639" s="63">
        <v>46874</v>
      </c>
      <c r="D639" s="64" t="s">
        <v>375</v>
      </c>
    </row>
    <row r="640" spans="2:4" x14ac:dyDescent="0.2">
      <c r="B640" s="62" t="s">
        <v>258</v>
      </c>
      <c r="C640" s="63">
        <v>46916</v>
      </c>
      <c r="D640" s="64" t="s">
        <v>357</v>
      </c>
    </row>
    <row r="641" spans="2:4" x14ac:dyDescent="0.2">
      <c r="B641" s="62" t="s">
        <v>258</v>
      </c>
      <c r="C641" s="63">
        <v>46972</v>
      </c>
      <c r="D641" s="64" t="s">
        <v>376</v>
      </c>
    </row>
    <row r="642" spans="2:4" x14ac:dyDescent="0.2">
      <c r="B642" s="62" t="s">
        <v>258</v>
      </c>
      <c r="C642" s="63">
        <v>47112</v>
      </c>
      <c r="D642" s="64" t="s">
        <v>359</v>
      </c>
    </row>
    <row r="643" spans="2:4" x14ac:dyDescent="0.2">
      <c r="B643" s="62" t="s">
        <v>258</v>
      </c>
      <c r="C643" s="63">
        <v>47113</v>
      </c>
      <c r="D643" s="64" t="s">
        <v>360</v>
      </c>
    </row>
    <row r="644" spans="2:4" x14ac:dyDescent="0.2">
      <c r="B644" s="62" t="s">
        <v>258</v>
      </c>
      <c r="C644" s="63">
        <v>47119</v>
      </c>
      <c r="D644" s="64" t="s">
        <v>350</v>
      </c>
    </row>
    <row r="645" spans="2:4" x14ac:dyDescent="0.2">
      <c r="B645" s="62" t="s">
        <v>258</v>
      </c>
      <c r="C645" s="63">
        <v>47144</v>
      </c>
      <c r="D645" s="64" t="s">
        <v>351</v>
      </c>
    </row>
    <row r="646" spans="2:4" x14ac:dyDescent="0.2">
      <c r="B646" s="62" t="s">
        <v>258</v>
      </c>
      <c r="C646" s="63">
        <v>47207</v>
      </c>
      <c r="D646" s="64" t="s">
        <v>352</v>
      </c>
    </row>
    <row r="647" spans="2:4" x14ac:dyDescent="0.2">
      <c r="B647" s="62" t="s">
        <v>258</v>
      </c>
      <c r="C647" s="63">
        <v>47208</v>
      </c>
      <c r="D647" s="64" t="s">
        <v>353</v>
      </c>
    </row>
    <row r="648" spans="2:4" x14ac:dyDescent="0.2">
      <c r="B648" s="62" t="s">
        <v>258</v>
      </c>
      <c r="C648" s="63">
        <v>47209</v>
      </c>
      <c r="D648" s="64" t="s">
        <v>354</v>
      </c>
    </row>
    <row r="649" spans="2:4" x14ac:dyDescent="0.2">
      <c r="B649" s="62" t="s">
        <v>258</v>
      </c>
      <c r="C649" s="63">
        <v>47210</v>
      </c>
      <c r="D649" s="64" t="s">
        <v>355</v>
      </c>
    </row>
    <row r="650" spans="2:4" x14ac:dyDescent="0.2">
      <c r="B650" s="62" t="s">
        <v>258</v>
      </c>
      <c r="C650" s="63">
        <v>47233</v>
      </c>
      <c r="D650" s="64" t="s">
        <v>356</v>
      </c>
    </row>
    <row r="651" spans="2:4" x14ac:dyDescent="0.2">
      <c r="B651" s="62" t="s">
        <v>258</v>
      </c>
      <c r="C651" s="63">
        <v>47245</v>
      </c>
      <c r="D651" s="64" t="s">
        <v>375</v>
      </c>
    </row>
    <row r="652" spans="2:4" x14ac:dyDescent="0.2">
      <c r="B652" s="62" t="s">
        <v>258</v>
      </c>
      <c r="C652" s="63">
        <v>47280</v>
      </c>
      <c r="D652" s="64" t="s">
        <v>357</v>
      </c>
    </row>
    <row r="653" spans="2:4" x14ac:dyDescent="0.2">
      <c r="B653" s="62" t="s">
        <v>258</v>
      </c>
      <c r="C653" s="63">
        <v>47336</v>
      </c>
      <c r="D653" s="64" t="s">
        <v>376</v>
      </c>
    </row>
    <row r="654" spans="2:4" x14ac:dyDescent="0.2">
      <c r="B654" s="62" t="s">
        <v>258</v>
      </c>
      <c r="C654" s="63">
        <v>47477</v>
      </c>
      <c r="D654" s="64" t="s">
        <v>359</v>
      </c>
    </row>
    <row r="655" spans="2:4" x14ac:dyDescent="0.2">
      <c r="B655" s="62" t="s">
        <v>258</v>
      </c>
      <c r="C655" s="63">
        <v>47478</v>
      </c>
      <c r="D655" s="64" t="s">
        <v>360</v>
      </c>
    </row>
    <row r="656" spans="2:4" x14ac:dyDescent="0.2">
      <c r="B656" s="62" t="s">
        <v>258</v>
      </c>
      <c r="C656" s="63">
        <v>47484</v>
      </c>
      <c r="D656" s="64" t="s">
        <v>350</v>
      </c>
    </row>
    <row r="657" spans="2:4" x14ac:dyDescent="0.2">
      <c r="B657" s="62" t="s">
        <v>258</v>
      </c>
      <c r="C657" s="63">
        <v>47511</v>
      </c>
      <c r="D657" s="64" t="s">
        <v>351</v>
      </c>
    </row>
    <row r="658" spans="2:4" x14ac:dyDescent="0.2">
      <c r="B658" s="62" t="s">
        <v>258</v>
      </c>
      <c r="C658" s="63">
        <v>47592</v>
      </c>
      <c r="D658" s="64" t="s">
        <v>352</v>
      </c>
    </row>
    <row r="659" spans="2:4" x14ac:dyDescent="0.2">
      <c r="B659" s="62" t="s">
        <v>258</v>
      </c>
      <c r="C659" s="63">
        <v>47593</v>
      </c>
      <c r="D659" s="64" t="s">
        <v>353</v>
      </c>
    </row>
    <row r="660" spans="2:4" x14ac:dyDescent="0.2">
      <c r="B660" s="62" t="s">
        <v>258</v>
      </c>
      <c r="C660" s="63">
        <v>47594</v>
      </c>
      <c r="D660" s="64" t="s">
        <v>354</v>
      </c>
    </row>
    <row r="661" spans="2:4" x14ac:dyDescent="0.2">
      <c r="B661" s="62" t="s">
        <v>258</v>
      </c>
      <c r="C661" s="63">
        <v>47595</v>
      </c>
      <c r="D661" s="64" t="s">
        <v>355</v>
      </c>
    </row>
    <row r="662" spans="2:4" x14ac:dyDescent="0.2">
      <c r="B662" s="62" t="s">
        <v>258</v>
      </c>
      <c r="C662" s="63">
        <v>47598</v>
      </c>
      <c r="D662" s="64" t="s">
        <v>356</v>
      </c>
    </row>
    <row r="663" spans="2:4" x14ac:dyDescent="0.2">
      <c r="B663" s="62" t="s">
        <v>258</v>
      </c>
      <c r="C663" s="63">
        <v>47609</v>
      </c>
      <c r="D663" s="64" t="s">
        <v>375</v>
      </c>
    </row>
    <row r="664" spans="2:4" x14ac:dyDescent="0.2">
      <c r="B664" s="62" t="s">
        <v>258</v>
      </c>
      <c r="C664" s="63">
        <v>47644</v>
      </c>
      <c r="D664" s="64" t="s">
        <v>357</v>
      </c>
    </row>
    <row r="665" spans="2:4" x14ac:dyDescent="0.2">
      <c r="B665" s="62" t="s">
        <v>258</v>
      </c>
      <c r="C665" s="63">
        <v>47700</v>
      </c>
      <c r="D665" s="64" t="s">
        <v>376</v>
      </c>
    </row>
    <row r="666" spans="2:4" x14ac:dyDescent="0.2">
      <c r="B666" s="62" t="s">
        <v>258</v>
      </c>
      <c r="C666" s="63">
        <v>47842</v>
      </c>
      <c r="D666" s="64" t="s">
        <v>359</v>
      </c>
    </row>
    <row r="667" spans="2:4" x14ac:dyDescent="0.2">
      <c r="B667" s="62" t="s">
        <v>258</v>
      </c>
      <c r="C667" s="63">
        <v>47843</v>
      </c>
      <c r="D667" s="64" t="s">
        <v>360</v>
      </c>
    </row>
    <row r="668" spans="2:4" x14ac:dyDescent="0.2">
      <c r="B668" s="62" t="s">
        <v>259</v>
      </c>
      <c r="C668" s="63">
        <v>45658</v>
      </c>
      <c r="D668" s="64" t="s">
        <v>350</v>
      </c>
    </row>
    <row r="669" spans="2:4" x14ac:dyDescent="0.2">
      <c r="B669" s="62" t="s">
        <v>259</v>
      </c>
      <c r="C669" s="63">
        <v>45659</v>
      </c>
      <c r="D669" s="64" t="s">
        <v>377</v>
      </c>
    </row>
    <row r="670" spans="2:4" x14ac:dyDescent="0.2">
      <c r="B670" s="62" t="s">
        <v>259</v>
      </c>
      <c r="C670" s="63">
        <v>45694</v>
      </c>
      <c r="D670" s="64" t="s">
        <v>378</v>
      </c>
    </row>
    <row r="671" spans="2:4" x14ac:dyDescent="0.2">
      <c r="B671" s="62" t="s">
        <v>259</v>
      </c>
      <c r="C671" s="63">
        <v>45765</v>
      </c>
      <c r="D671" s="64" t="s">
        <v>352</v>
      </c>
    </row>
    <row r="672" spans="2:4" x14ac:dyDescent="0.2">
      <c r="B672" s="62" t="s">
        <v>259</v>
      </c>
      <c r="C672" s="63">
        <v>45768</v>
      </c>
      <c r="D672" s="64" t="s">
        <v>355</v>
      </c>
    </row>
    <row r="673" spans="2:4" x14ac:dyDescent="0.2">
      <c r="B673" s="62" t="s">
        <v>259</v>
      </c>
      <c r="C673" s="63">
        <v>45772</v>
      </c>
      <c r="D673" s="64" t="s">
        <v>379</v>
      </c>
    </row>
    <row r="674" spans="2:4" x14ac:dyDescent="0.2">
      <c r="B674" s="62" t="s">
        <v>259</v>
      </c>
      <c r="C674" s="63">
        <v>45810</v>
      </c>
      <c r="D674" s="64" t="s">
        <v>357</v>
      </c>
    </row>
    <row r="675" spans="2:4" x14ac:dyDescent="0.2">
      <c r="B675" s="62" t="s">
        <v>259</v>
      </c>
      <c r="C675" s="63">
        <v>45828</v>
      </c>
      <c r="D675" s="64" t="s">
        <v>380</v>
      </c>
    </row>
    <row r="676" spans="2:4" x14ac:dyDescent="0.2">
      <c r="B676" s="62" t="s">
        <v>259</v>
      </c>
      <c r="C676" s="63">
        <v>45957</v>
      </c>
      <c r="D676" s="64" t="s">
        <v>381</v>
      </c>
    </row>
    <row r="677" spans="2:4" x14ac:dyDescent="0.2">
      <c r="B677" s="62" t="s">
        <v>259</v>
      </c>
      <c r="C677" s="63">
        <v>46016</v>
      </c>
      <c r="D677" s="64" t="s">
        <v>359</v>
      </c>
    </row>
    <row r="678" spans="2:4" x14ac:dyDescent="0.2">
      <c r="B678" s="62" t="s">
        <v>259</v>
      </c>
      <c r="C678" s="63">
        <v>46017</v>
      </c>
      <c r="D678" s="64" t="s">
        <v>360</v>
      </c>
    </row>
    <row r="679" spans="2:4" x14ac:dyDescent="0.2">
      <c r="B679" s="62" t="s">
        <v>259</v>
      </c>
      <c r="C679" s="63">
        <v>46023</v>
      </c>
      <c r="D679" s="64" t="s">
        <v>350</v>
      </c>
    </row>
    <row r="680" spans="2:4" x14ac:dyDescent="0.2">
      <c r="B680" s="62" t="s">
        <v>259</v>
      </c>
      <c r="C680" s="63">
        <v>46024</v>
      </c>
      <c r="D680" s="64" t="s">
        <v>377</v>
      </c>
    </row>
    <row r="681" spans="2:4" x14ac:dyDescent="0.2">
      <c r="B681" s="62" t="s">
        <v>259</v>
      </c>
      <c r="C681" s="63">
        <v>46059</v>
      </c>
      <c r="D681" s="64" t="s">
        <v>378</v>
      </c>
    </row>
    <row r="682" spans="2:4" x14ac:dyDescent="0.2">
      <c r="B682" s="62" t="s">
        <v>259</v>
      </c>
      <c r="C682" s="63">
        <v>46115</v>
      </c>
      <c r="D682" s="64" t="s">
        <v>352</v>
      </c>
    </row>
    <row r="683" spans="2:4" x14ac:dyDescent="0.2">
      <c r="B683" s="62" t="s">
        <v>259</v>
      </c>
      <c r="C683" s="63">
        <v>46118</v>
      </c>
      <c r="D683" s="64" t="s">
        <v>355</v>
      </c>
    </row>
    <row r="684" spans="2:4" x14ac:dyDescent="0.2">
      <c r="B684" s="62" t="s">
        <v>259</v>
      </c>
      <c r="C684" s="63">
        <v>46137</v>
      </c>
      <c r="D684" s="64" t="s">
        <v>379</v>
      </c>
    </row>
    <row r="685" spans="2:4" x14ac:dyDescent="0.2">
      <c r="B685" s="62" t="s">
        <v>259</v>
      </c>
      <c r="C685" s="63">
        <v>46139</v>
      </c>
      <c r="D685" s="64" t="s">
        <v>382</v>
      </c>
    </row>
    <row r="686" spans="2:4" x14ac:dyDescent="0.2">
      <c r="B686" s="62" t="s">
        <v>259</v>
      </c>
      <c r="C686" s="63">
        <v>46174</v>
      </c>
      <c r="D686" s="64" t="s">
        <v>357</v>
      </c>
    </row>
    <row r="687" spans="2:4" x14ac:dyDescent="0.2">
      <c r="B687" s="62" t="s">
        <v>259</v>
      </c>
      <c r="C687" s="63">
        <v>46213</v>
      </c>
      <c r="D687" s="64" t="s">
        <v>380</v>
      </c>
    </row>
    <row r="688" spans="2:4" x14ac:dyDescent="0.2">
      <c r="B688" s="62" t="s">
        <v>259</v>
      </c>
      <c r="C688" s="63">
        <v>46321</v>
      </c>
      <c r="D688" s="64" t="s">
        <v>381</v>
      </c>
    </row>
    <row r="689" spans="2:4" x14ac:dyDescent="0.2">
      <c r="B689" s="62" t="s">
        <v>259</v>
      </c>
      <c r="C689" s="63">
        <v>46381</v>
      </c>
      <c r="D689" s="64" t="s">
        <v>359</v>
      </c>
    </row>
    <row r="690" spans="2:4" x14ac:dyDescent="0.2">
      <c r="B690" s="62" t="s">
        <v>259</v>
      </c>
      <c r="C690" s="63">
        <v>46382</v>
      </c>
      <c r="D690" s="64" t="s">
        <v>360</v>
      </c>
    </row>
    <row r="691" spans="2:4" x14ac:dyDescent="0.2">
      <c r="B691" s="62" t="s">
        <v>259</v>
      </c>
      <c r="C691" s="63">
        <v>46384</v>
      </c>
      <c r="D691" s="64" t="s">
        <v>362</v>
      </c>
    </row>
    <row r="692" spans="2:4" x14ac:dyDescent="0.2">
      <c r="B692" s="62" t="s">
        <v>259</v>
      </c>
      <c r="C692" s="63">
        <v>46388</v>
      </c>
      <c r="D692" s="64" t="s">
        <v>350</v>
      </c>
    </row>
    <row r="693" spans="2:4" x14ac:dyDescent="0.2">
      <c r="B693" s="62" t="s">
        <v>259</v>
      </c>
      <c r="C693" s="63">
        <v>46389</v>
      </c>
      <c r="D693" s="64" t="s">
        <v>377</v>
      </c>
    </row>
    <row r="694" spans="2:4" x14ac:dyDescent="0.2">
      <c r="B694" s="62" t="s">
        <v>259</v>
      </c>
      <c r="C694" s="63">
        <v>46391</v>
      </c>
      <c r="D694" s="64" t="s">
        <v>383</v>
      </c>
    </row>
    <row r="695" spans="2:4" x14ac:dyDescent="0.2">
      <c r="B695" s="62" t="s">
        <v>259</v>
      </c>
      <c r="C695" s="63">
        <v>46424</v>
      </c>
      <c r="D695" s="64" t="s">
        <v>378</v>
      </c>
    </row>
    <row r="696" spans="2:4" x14ac:dyDescent="0.2">
      <c r="B696" s="62" t="s">
        <v>259</v>
      </c>
      <c r="C696" s="63">
        <v>46426</v>
      </c>
      <c r="D696" s="64" t="s">
        <v>384</v>
      </c>
    </row>
    <row r="697" spans="2:4" x14ac:dyDescent="0.2">
      <c r="B697" s="62" t="s">
        <v>259</v>
      </c>
      <c r="C697" s="63">
        <v>46472</v>
      </c>
      <c r="D697" s="64" t="s">
        <v>352</v>
      </c>
    </row>
    <row r="698" spans="2:4" x14ac:dyDescent="0.2">
      <c r="B698" s="62" t="s">
        <v>259</v>
      </c>
      <c r="C698" s="63">
        <v>46475</v>
      </c>
      <c r="D698" s="64" t="s">
        <v>355</v>
      </c>
    </row>
    <row r="699" spans="2:4" x14ac:dyDescent="0.2">
      <c r="B699" s="62" t="s">
        <v>259</v>
      </c>
      <c r="C699" s="63">
        <v>46502</v>
      </c>
      <c r="D699" s="64" t="s">
        <v>379</v>
      </c>
    </row>
    <row r="700" spans="2:4" x14ac:dyDescent="0.2">
      <c r="B700" s="62" t="s">
        <v>259</v>
      </c>
      <c r="C700" s="63">
        <v>46503</v>
      </c>
      <c r="D700" s="64" t="s">
        <v>382</v>
      </c>
    </row>
    <row r="701" spans="2:4" x14ac:dyDescent="0.2">
      <c r="B701" s="62" t="s">
        <v>259</v>
      </c>
      <c r="C701" s="63">
        <v>46545</v>
      </c>
      <c r="D701" s="64" t="s">
        <v>357</v>
      </c>
    </row>
    <row r="702" spans="2:4" x14ac:dyDescent="0.2">
      <c r="B702" s="62" t="s">
        <v>259</v>
      </c>
      <c r="C702" s="63">
        <v>46563</v>
      </c>
      <c r="D702" s="64" t="s">
        <v>380</v>
      </c>
    </row>
    <row r="703" spans="2:4" x14ac:dyDescent="0.2">
      <c r="B703" s="62" t="s">
        <v>259</v>
      </c>
      <c r="C703" s="63">
        <v>46685</v>
      </c>
      <c r="D703" s="64" t="s">
        <v>381</v>
      </c>
    </row>
    <row r="704" spans="2:4" x14ac:dyDescent="0.2">
      <c r="B704" s="62" t="s">
        <v>259</v>
      </c>
      <c r="C704" s="63">
        <v>46746</v>
      </c>
      <c r="D704" s="64" t="s">
        <v>359</v>
      </c>
    </row>
    <row r="705" spans="2:4" x14ac:dyDescent="0.2">
      <c r="B705" s="62" t="s">
        <v>259</v>
      </c>
      <c r="C705" s="63">
        <v>46747</v>
      </c>
      <c r="D705" s="64" t="s">
        <v>360</v>
      </c>
    </row>
    <row r="706" spans="2:4" x14ac:dyDescent="0.2">
      <c r="B706" s="62" t="s">
        <v>259</v>
      </c>
      <c r="C706" s="63">
        <v>46748</v>
      </c>
      <c r="D706" s="64" t="s">
        <v>363</v>
      </c>
    </row>
    <row r="707" spans="2:4" x14ac:dyDescent="0.2">
      <c r="B707" s="62" t="s">
        <v>259</v>
      </c>
      <c r="C707" s="63">
        <v>46749</v>
      </c>
      <c r="D707" s="64" t="s">
        <v>362</v>
      </c>
    </row>
    <row r="708" spans="2:4" x14ac:dyDescent="0.2">
      <c r="B708" s="62" t="s">
        <v>259</v>
      </c>
      <c r="C708" s="63">
        <v>46753</v>
      </c>
      <c r="D708" s="64" t="s">
        <v>350</v>
      </c>
    </row>
    <row r="709" spans="2:4" x14ac:dyDescent="0.2">
      <c r="B709" s="62" t="s">
        <v>259</v>
      </c>
      <c r="C709" s="63">
        <v>46754</v>
      </c>
      <c r="D709" s="64" t="s">
        <v>377</v>
      </c>
    </row>
    <row r="710" spans="2:4" x14ac:dyDescent="0.2">
      <c r="B710" s="62" t="s">
        <v>259</v>
      </c>
      <c r="C710" s="63">
        <v>46755</v>
      </c>
      <c r="D710" s="64" t="s">
        <v>364</v>
      </c>
    </row>
    <row r="711" spans="2:4" x14ac:dyDescent="0.2">
      <c r="B711" s="62" t="s">
        <v>259</v>
      </c>
      <c r="C711" s="63">
        <v>46756</v>
      </c>
      <c r="D711" s="64" t="s">
        <v>383</v>
      </c>
    </row>
    <row r="712" spans="2:4" x14ac:dyDescent="0.2">
      <c r="B712" s="62" t="s">
        <v>259</v>
      </c>
      <c r="C712" s="63">
        <v>46789</v>
      </c>
      <c r="D712" s="64" t="s">
        <v>378</v>
      </c>
    </row>
    <row r="713" spans="2:4" x14ac:dyDescent="0.2">
      <c r="B713" s="62" t="s">
        <v>259</v>
      </c>
      <c r="C713" s="63">
        <v>46790</v>
      </c>
      <c r="D713" s="64" t="s">
        <v>384</v>
      </c>
    </row>
    <row r="714" spans="2:4" x14ac:dyDescent="0.2">
      <c r="B714" s="62" t="s">
        <v>259</v>
      </c>
      <c r="C714" s="63">
        <v>46857</v>
      </c>
      <c r="D714" s="64" t="s">
        <v>352</v>
      </c>
    </row>
    <row r="715" spans="2:4" x14ac:dyDescent="0.2">
      <c r="B715" s="62" t="s">
        <v>259</v>
      </c>
      <c r="C715" s="63">
        <v>46860</v>
      </c>
      <c r="D715" s="64" t="s">
        <v>355</v>
      </c>
    </row>
    <row r="716" spans="2:4" x14ac:dyDescent="0.2">
      <c r="B716" s="62" t="s">
        <v>259</v>
      </c>
      <c r="C716" s="63">
        <v>46868</v>
      </c>
      <c r="D716" s="64" t="s">
        <v>379</v>
      </c>
    </row>
    <row r="717" spans="2:4" x14ac:dyDescent="0.2">
      <c r="B717" s="62" t="s">
        <v>259</v>
      </c>
      <c r="C717" s="63">
        <v>46909</v>
      </c>
      <c r="D717" s="64" t="s">
        <v>357</v>
      </c>
    </row>
    <row r="718" spans="2:4" x14ac:dyDescent="0.2">
      <c r="B718" s="62" t="s">
        <v>259</v>
      </c>
      <c r="C718" s="63">
        <v>46948</v>
      </c>
      <c r="D718" s="64" t="s">
        <v>380</v>
      </c>
    </row>
    <row r="719" spans="2:4" x14ac:dyDescent="0.2">
      <c r="B719" s="62" t="s">
        <v>259</v>
      </c>
      <c r="C719" s="63">
        <v>47049</v>
      </c>
      <c r="D719" s="64" t="s">
        <v>381</v>
      </c>
    </row>
    <row r="720" spans="2:4" x14ac:dyDescent="0.2">
      <c r="B720" s="62" t="s">
        <v>259</v>
      </c>
      <c r="C720" s="63">
        <v>47112</v>
      </c>
      <c r="D720" s="64" t="s">
        <v>359</v>
      </c>
    </row>
    <row r="721" spans="2:4" x14ac:dyDescent="0.2">
      <c r="B721" s="62" t="s">
        <v>259</v>
      </c>
      <c r="C721" s="63">
        <v>47113</v>
      </c>
      <c r="D721" s="64" t="s">
        <v>360</v>
      </c>
    </row>
    <row r="722" spans="2:4" x14ac:dyDescent="0.2">
      <c r="B722" s="62" t="s">
        <v>259</v>
      </c>
      <c r="C722" s="63">
        <v>47119</v>
      </c>
      <c r="D722" s="64" t="s">
        <v>350</v>
      </c>
    </row>
    <row r="723" spans="2:4" x14ac:dyDescent="0.2">
      <c r="B723" s="62" t="s">
        <v>259</v>
      </c>
      <c r="C723" s="63">
        <v>47120</v>
      </c>
      <c r="D723" s="64" t="s">
        <v>377</v>
      </c>
    </row>
    <row r="724" spans="2:4" x14ac:dyDescent="0.2">
      <c r="B724" s="62" t="s">
        <v>259</v>
      </c>
      <c r="C724" s="63">
        <v>47155</v>
      </c>
      <c r="D724" s="64" t="s">
        <v>378</v>
      </c>
    </row>
    <row r="725" spans="2:4" x14ac:dyDescent="0.2">
      <c r="B725" s="62" t="s">
        <v>259</v>
      </c>
      <c r="C725" s="63">
        <v>47207</v>
      </c>
      <c r="D725" s="64" t="s">
        <v>352</v>
      </c>
    </row>
    <row r="726" spans="2:4" x14ac:dyDescent="0.2">
      <c r="B726" s="62" t="s">
        <v>259</v>
      </c>
      <c r="C726" s="63">
        <v>47210</v>
      </c>
      <c r="D726" s="64" t="s">
        <v>355</v>
      </c>
    </row>
    <row r="727" spans="2:4" x14ac:dyDescent="0.2">
      <c r="B727" s="62" t="s">
        <v>259</v>
      </c>
      <c r="C727" s="63">
        <v>47233</v>
      </c>
      <c r="D727" s="64" t="s">
        <v>379</v>
      </c>
    </row>
    <row r="728" spans="2:4" x14ac:dyDescent="0.2">
      <c r="B728" s="62" t="s">
        <v>259</v>
      </c>
      <c r="C728" s="63">
        <v>47273</v>
      </c>
      <c r="D728" s="64" t="s">
        <v>357</v>
      </c>
    </row>
    <row r="729" spans="2:4" x14ac:dyDescent="0.2">
      <c r="B729" s="62" t="s">
        <v>259</v>
      </c>
      <c r="C729" s="63">
        <v>47305</v>
      </c>
      <c r="D729" s="64" t="s">
        <v>380</v>
      </c>
    </row>
    <row r="730" spans="2:4" x14ac:dyDescent="0.2">
      <c r="B730" s="62" t="s">
        <v>259</v>
      </c>
      <c r="C730" s="63">
        <v>47413</v>
      </c>
      <c r="D730" s="64" t="s">
        <v>381</v>
      </c>
    </row>
    <row r="731" spans="2:4" x14ac:dyDescent="0.2">
      <c r="B731" s="62" t="s">
        <v>259</v>
      </c>
      <c r="C731" s="63">
        <v>47477</v>
      </c>
      <c r="D731" s="64" t="s">
        <v>359</v>
      </c>
    </row>
    <row r="732" spans="2:4" x14ac:dyDescent="0.2">
      <c r="B732" s="62" t="s">
        <v>259</v>
      </c>
      <c r="C732" s="63">
        <v>47478</v>
      </c>
      <c r="D732" s="64" t="s">
        <v>360</v>
      </c>
    </row>
    <row r="733" spans="2:4" x14ac:dyDescent="0.2">
      <c r="B733" s="62" t="s">
        <v>259</v>
      </c>
      <c r="C733" s="63">
        <v>47484</v>
      </c>
      <c r="D733" s="64" t="s">
        <v>350</v>
      </c>
    </row>
    <row r="734" spans="2:4" x14ac:dyDescent="0.2">
      <c r="B734" s="62" t="s">
        <v>259</v>
      </c>
      <c r="C734" s="63">
        <v>47485</v>
      </c>
      <c r="D734" s="64" t="s">
        <v>377</v>
      </c>
    </row>
    <row r="735" spans="2:4" x14ac:dyDescent="0.2">
      <c r="B735" s="62" t="s">
        <v>259</v>
      </c>
      <c r="C735" s="63">
        <v>47520</v>
      </c>
      <c r="D735" s="64" t="s">
        <v>378</v>
      </c>
    </row>
    <row r="736" spans="2:4" x14ac:dyDescent="0.2">
      <c r="B736" s="62" t="s">
        <v>259</v>
      </c>
      <c r="C736" s="63">
        <v>47592</v>
      </c>
      <c r="D736" s="64" t="s">
        <v>352</v>
      </c>
    </row>
    <row r="737" spans="2:4" x14ac:dyDescent="0.2">
      <c r="B737" s="62" t="s">
        <v>259</v>
      </c>
      <c r="C737" s="63">
        <v>47595</v>
      </c>
      <c r="D737" s="64" t="s">
        <v>355</v>
      </c>
    </row>
    <row r="738" spans="2:4" x14ac:dyDescent="0.2">
      <c r="B738" s="62" t="s">
        <v>259</v>
      </c>
      <c r="C738" s="63">
        <v>47598</v>
      </c>
      <c r="D738" s="64" t="s">
        <v>379</v>
      </c>
    </row>
    <row r="739" spans="2:4" x14ac:dyDescent="0.2">
      <c r="B739" s="62" t="s">
        <v>259</v>
      </c>
      <c r="C739" s="63">
        <v>47637</v>
      </c>
      <c r="D739" s="64" t="s">
        <v>357</v>
      </c>
    </row>
    <row r="740" spans="2:4" x14ac:dyDescent="0.2">
      <c r="B740" s="62" t="s">
        <v>259</v>
      </c>
      <c r="C740" s="63">
        <v>47655</v>
      </c>
      <c r="D740" s="64" t="s">
        <v>380</v>
      </c>
    </row>
    <row r="741" spans="2:4" x14ac:dyDescent="0.2">
      <c r="B741" s="62" t="s">
        <v>259</v>
      </c>
      <c r="C741" s="63">
        <v>47784</v>
      </c>
      <c r="D741" s="64" t="s">
        <v>381</v>
      </c>
    </row>
    <row r="742" spans="2:4" x14ac:dyDescent="0.2">
      <c r="B742" s="62" t="s">
        <v>259</v>
      </c>
      <c r="C742" s="63">
        <v>47842</v>
      </c>
      <c r="D742" s="64" t="s">
        <v>359</v>
      </c>
    </row>
    <row r="743" spans="2:4" x14ac:dyDescent="0.2">
      <c r="B743" s="62" t="s">
        <v>259</v>
      </c>
      <c r="C743" s="63">
        <v>47843</v>
      </c>
      <c r="D743" s="64" t="s">
        <v>360</v>
      </c>
    </row>
    <row r="744" spans="2:4" x14ac:dyDescent="0.2">
      <c r="B744" s="62" t="s">
        <v>203</v>
      </c>
      <c r="C744" s="63">
        <v>45658</v>
      </c>
      <c r="D744" s="64" t="s">
        <v>350</v>
      </c>
    </row>
    <row r="745" spans="2:4" x14ac:dyDescent="0.2">
      <c r="B745" s="62" t="s">
        <v>203</v>
      </c>
      <c r="C745" s="63">
        <v>45659</v>
      </c>
      <c r="D745" s="64" t="s">
        <v>377</v>
      </c>
    </row>
    <row r="746" spans="2:4" x14ac:dyDescent="0.2">
      <c r="B746" s="62" t="s">
        <v>203</v>
      </c>
      <c r="C746" s="63">
        <v>45684</v>
      </c>
      <c r="D746" s="64" t="s">
        <v>385</v>
      </c>
    </row>
    <row r="747" spans="2:4" x14ac:dyDescent="0.2">
      <c r="B747" s="62" t="s">
        <v>203</v>
      </c>
      <c r="C747" s="63">
        <v>45694</v>
      </c>
      <c r="D747" s="64" t="s">
        <v>378</v>
      </c>
    </row>
    <row r="748" spans="2:4" x14ac:dyDescent="0.2">
      <c r="B748" s="62" t="s">
        <v>203</v>
      </c>
      <c r="C748" s="63">
        <v>45765</v>
      </c>
      <c r="D748" s="64" t="s">
        <v>352</v>
      </c>
    </row>
    <row r="749" spans="2:4" x14ac:dyDescent="0.2">
      <c r="B749" s="62" t="s">
        <v>203</v>
      </c>
      <c r="C749" s="63">
        <v>45768</v>
      </c>
      <c r="D749" s="64" t="s">
        <v>355</v>
      </c>
    </row>
    <row r="750" spans="2:4" x14ac:dyDescent="0.2">
      <c r="B750" s="62" t="s">
        <v>203</v>
      </c>
      <c r="C750" s="63">
        <v>45772</v>
      </c>
      <c r="D750" s="64" t="s">
        <v>379</v>
      </c>
    </row>
    <row r="751" spans="2:4" x14ac:dyDescent="0.2">
      <c r="B751" s="62" t="s">
        <v>203</v>
      </c>
      <c r="C751" s="63">
        <v>45810</v>
      </c>
      <c r="D751" s="64" t="s">
        <v>357</v>
      </c>
    </row>
    <row r="752" spans="2:4" x14ac:dyDescent="0.2">
      <c r="B752" s="62" t="s">
        <v>203</v>
      </c>
      <c r="C752" s="63">
        <v>45828</v>
      </c>
      <c r="D752" s="64" t="s">
        <v>380</v>
      </c>
    </row>
    <row r="753" spans="2:4" x14ac:dyDescent="0.2">
      <c r="B753" s="62" t="s">
        <v>203</v>
      </c>
      <c r="C753" s="63">
        <v>45957</v>
      </c>
      <c r="D753" s="64" t="s">
        <v>381</v>
      </c>
    </row>
    <row r="754" spans="2:4" x14ac:dyDescent="0.2">
      <c r="B754" s="62" t="s">
        <v>203</v>
      </c>
      <c r="C754" s="63">
        <v>46016</v>
      </c>
      <c r="D754" s="64" t="s">
        <v>359</v>
      </c>
    </row>
    <row r="755" spans="2:4" x14ac:dyDescent="0.2">
      <c r="B755" s="62" t="s">
        <v>203</v>
      </c>
      <c r="C755" s="63">
        <v>46017</v>
      </c>
      <c r="D755" s="64" t="s">
        <v>360</v>
      </c>
    </row>
    <row r="756" spans="2:4" x14ac:dyDescent="0.2">
      <c r="B756" s="62" t="s">
        <v>203</v>
      </c>
      <c r="C756" s="63">
        <v>46023</v>
      </c>
      <c r="D756" s="64" t="s">
        <v>350</v>
      </c>
    </row>
    <row r="757" spans="2:4" x14ac:dyDescent="0.2">
      <c r="B757" s="62" t="s">
        <v>203</v>
      </c>
      <c r="C757" s="63">
        <v>46024</v>
      </c>
      <c r="D757" s="64" t="s">
        <v>377</v>
      </c>
    </row>
    <row r="758" spans="2:4" x14ac:dyDescent="0.2">
      <c r="B758" s="62" t="s">
        <v>203</v>
      </c>
      <c r="C758" s="63">
        <v>46048</v>
      </c>
      <c r="D758" s="64" t="s">
        <v>385</v>
      </c>
    </row>
    <row r="759" spans="2:4" x14ac:dyDescent="0.2">
      <c r="B759" s="62" t="s">
        <v>203</v>
      </c>
      <c r="C759" s="63">
        <v>46059</v>
      </c>
      <c r="D759" s="64" t="s">
        <v>378</v>
      </c>
    </row>
    <row r="760" spans="2:4" x14ac:dyDescent="0.2">
      <c r="B760" s="62" t="s">
        <v>203</v>
      </c>
      <c r="C760" s="63">
        <v>46115</v>
      </c>
      <c r="D760" s="64" t="s">
        <v>352</v>
      </c>
    </row>
    <row r="761" spans="2:4" x14ac:dyDescent="0.2">
      <c r="B761" s="62" t="s">
        <v>203</v>
      </c>
      <c r="C761" s="63">
        <v>46118</v>
      </c>
      <c r="D761" s="64" t="s">
        <v>355</v>
      </c>
    </row>
    <row r="762" spans="2:4" x14ac:dyDescent="0.2">
      <c r="B762" s="62" t="s">
        <v>203</v>
      </c>
      <c r="C762" s="63">
        <v>46137</v>
      </c>
      <c r="D762" s="64" t="s">
        <v>379</v>
      </c>
    </row>
    <row r="763" spans="2:4" x14ac:dyDescent="0.2">
      <c r="B763" s="62" t="s">
        <v>203</v>
      </c>
      <c r="C763" s="63">
        <v>46139</v>
      </c>
      <c r="D763" s="64" t="s">
        <v>382</v>
      </c>
    </row>
    <row r="764" spans="2:4" x14ac:dyDescent="0.2">
      <c r="B764" s="62" t="s">
        <v>203</v>
      </c>
      <c r="C764" s="63">
        <v>46174</v>
      </c>
      <c r="D764" s="64" t="s">
        <v>357</v>
      </c>
    </row>
    <row r="765" spans="2:4" x14ac:dyDescent="0.2">
      <c r="B765" s="62" t="s">
        <v>203</v>
      </c>
      <c r="C765" s="63">
        <v>46213</v>
      </c>
      <c r="D765" s="64" t="s">
        <v>380</v>
      </c>
    </row>
    <row r="766" spans="2:4" x14ac:dyDescent="0.2">
      <c r="B766" s="62" t="s">
        <v>203</v>
      </c>
      <c r="C766" s="63">
        <v>46321</v>
      </c>
      <c r="D766" s="64" t="s">
        <v>381</v>
      </c>
    </row>
    <row r="767" spans="2:4" x14ac:dyDescent="0.2">
      <c r="B767" s="62" t="s">
        <v>203</v>
      </c>
      <c r="C767" s="63">
        <v>46381</v>
      </c>
      <c r="D767" s="64" t="s">
        <v>359</v>
      </c>
    </row>
    <row r="768" spans="2:4" x14ac:dyDescent="0.2">
      <c r="B768" s="62" t="s">
        <v>203</v>
      </c>
      <c r="C768" s="63">
        <v>46382</v>
      </c>
      <c r="D768" s="64" t="s">
        <v>360</v>
      </c>
    </row>
    <row r="769" spans="2:4" x14ac:dyDescent="0.2">
      <c r="B769" s="62" t="s">
        <v>203</v>
      </c>
      <c r="C769" s="63">
        <v>46384</v>
      </c>
      <c r="D769" s="64" t="s">
        <v>362</v>
      </c>
    </row>
    <row r="770" spans="2:4" x14ac:dyDescent="0.2">
      <c r="B770" s="62" t="s">
        <v>203</v>
      </c>
      <c r="C770" s="63">
        <v>46388</v>
      </c>
      <c r="D770" s="64" t="s">
        <v>350</v>
      </c>
    </row>
    <row r="771" spans="2:4" x14ac:dyDescent="0.2">
      <c r="B771" s="62" t="s">
        <v>203</v>
      </c>
      <c r="C771" s="63">
        <v>46389</v>
      </c>
      <c r="D771" s="64" t="s">
        <v>377</v>
      </c>
    </row>
    <row r="772" spans="2:4" x14ac:dyDescent="0.2">
      <c r="B772" s="62" t="s">
        <v>203</v>
      </c>
      <c r="C772" s="63">
        <v>46391</v>
      </c>
      <c r="D772" s="64" t="s">
        <v>383</v>
      </c>
    </row>
    <row r="773" spans="2:4" x14ac:dyDescent="0.2">
      <c r="B773" s="62" t="s">
        <v>203</v>
      </c>
      <c r="C773" s="63">
        <v>46419</v>
      </c>
      <c r="D773" s="64" t="s">
        <v>385</v>
      </c>
    </row>
    <row r="774" spans="2:4" x14ac:dyDescent="0.2">
      <c r="B774" s="62" t="s">
        <v>203</v>
      </c>
      <c r="C774" s="63">
        <v>46424</v>
      </c>
      <c r="D774" s="64" t="s">
        <v>378</v>
      </c>
    </row>
    <row r="775" spans="2:4" x14ac:dyDescent="0.2">
      <c r="B775" s="62" t="s">
        <v>203</v>
      </c>
      <c r="C775" s="63">
        <v>46426</v>
      </c>
      <c r="D775" s="64" t="s">
        <v>384</v>
      </c>
    </row>
    <row r="776" spans="2:4" x14ac:dyDescent="0.2">
      <c r="B776" s="62" t="s">
        <v>203</v>
      </c>
      <c r="C776" s="63">
        <v>46472</v>
      </c>
      <c r="D776" s="64" t="s">
        <v>352</v>
      </c>
    </row>
    <row r="777" spans="2:4" x14ac:dyDescent="0.2">
      <c r="B777" s="62" t="s">
        <v>203</v>
      </c>
      <c r="C777" s="63">
        <v>46475</v>
      </c>
      <c r="D777" s="64" t="s">
        <v>355</v>
      </c>
    </row>
    <row r="778" spans="2:4" x14ac:dyDescent="0.2">
      <c r="B778" s="62" t="s">
        <v>203</v>
      </c>
      <c r="C778" s="63">
        <v>46502</v>
      </c>
      <c r="D778" s="64" t="s">
        <v>379</v>
      </c>
    </row>
    <row r="779" spans="2:4" x14ac:dyDescent="0.2">
      <c r="B779" s="62" t="s">
        <v>203</v>
      </c>
      <c r="C779" s="63">
        <v>46503</v>
      </c>
      <c r="D779" s="64" t="s">
        <v>382</v>
      </c>
    </row>
    <row r="780" spans="2:4" x14ac:dyDescent="0.2">
      <c r="B780" s="62" t="s">
        <v>203</v>
      </c>
      <c r="C780" s="63">
        <v>46545</v>
      </c>
      <c r="D780" s="64" t="s">
        <v>357</v>
      </c>
    </row>
    <row r="781" spans="2:4" x14ac:dyDescent="0.2">
      <c r="B781" s="62" t="s">
        <v>203</v>
      </c>
      <c r="C781" s="63">
        <v>46563</v>
      </c>
      <c r="D781" s="64" t="s">
        <v>380</v>
      </c>
    </row>
    <row r="782" spans="2:4" x14ac:dyDescent="0.2">
      <c r="B782" s="62" t="s">
        <v>203</v>
      </c>
      <c r="C782" s="63">
        <v>46685</v>
      </c>
      <c r="D782" s="64" t="s">
        <v>381</v>
      </c>
    </row>
    <row r="783" spans="2:4" x14ac:dyDescent="0.2">
      <c r="B783" s="62" t="s">
        <v>203</v>
      </c>
      <c r="C783" s="63">
        <v>46746</v>
      </c>
      <c r="D783" s="64" t="s">
        <v>359</v>
      </c>
    </row>
    <row r="784" spans="2:4" x14ac:dyDescent="0.2">
      <c r="B784" s="62" t="s">
        <v>203</v>
      </c>
      <c r="C784" s="63">
        <v>46747</v>
      </c>
      <c r="D784" s="64" t="s">
        <v>360</v>
      </c>
    </row>
    <row r="785" spans="2:4" x14ac:dyDescent="0.2">
      <c r="B785" s="62" t="s">
        <v>203</v>
      </c>
      <c r="C785" s="63">
        <v>46748</v>
      </c>
      <c r="D785" s="64" t="s">
        <v>363</v>
      </c>
    </row>
    <row r="786" spans="2:4" x14ac:dyDescent="0.2">
      <c r="B786" s="62" t="s">
        <v>203</v>
      </c>
      <c r="C786" s="63">
        <v>46749</v>
      </c>
      <c r="D786" s="64" t="s">
        <v>362</v>
      </c>
    </row>
    <row r="787" spans="2:4" x14ac:dyDescent="0.2">
      <c r="B787" s="62" t="s">
        <v>203</v>
      </c>
      <c r="C787" s="63">
        <v>46753</v>
      </c>
      <c r="D787" s="64" t="s">
        <v>350</v>
      </c>
    </row>
    <row r="788" spans="2:4" x14ac:dyDescent="0.2">
      <c r="B788" s="62" t="s">
        <v>203</v>
      </c>
      <c r="C788" s="63">
        <v>46754</v>
      </c>
      <c r="D788" s="64" t="s">
        <v>377</v>
      </c>
    </row>
    <row r="789" spans="2:4" x14ac:dyDescent="0.2">
      <c r="B789" s="62" t="s">
        <v>203</v>
      </c>
      <c r="C789" s="63">
        <v>46755</v>
      </c>
      <c r="D789" s="64" t="s">
        <v>364</v>
      </c>
    </row>
    <row r="790" spans="2:4" x14ac:dyDescent="0.2">
      <c r="B790" s="62" t="s">
        <v>203</v>
      </c>
      <c r="C790" s="63">
        <v>46756</v>
      </c>
      <c r="D790" s="64" t="s">
        <v>383</v>
      </c>
    </row>
    <row r="791" spans="2:4" x14ac:dyDescent="0.2">
      <c r="B791" s="62" t="s">
        <v>203</v>
      </c>
      <c r="C791" s="63">
        <v>46783</v>
      </c>
      <c r="D791" s="64" t="s">
        <v>385</v>
      </c>
    </row>
    <row r="792" spans="2:4" x14ac:dyDescent="0.2">
      <c r="B792" s="62" t="s">
        <v>203</v>
      </c>
      <c r="C792" s="63">
        <v>46789</v>
      </c>
      <c r="D792" s="64" t="s">
        <v>378</v>
      </c>
    </row>
    <row r="793" spans="2:4" x14ac:dyDescent="0.2">
      <c r="B793" s="62" t="s">
        <v>203</v>
      </c>
      <c r="C793" s="63">
        <v>46790</v>
      </c>
      <c r="D793" s="64" t="s">
        <v>384</v>
      </c>
    </row>
    <row r="794" spans="2:4" x14ac:dyDescent="0.2">
      <c r="B794" s="62" t="s">
        <v>203</v>
      </c>
      <c r="C794" s="63">
        <v>46857</v>
      </c>
      <c r="D794" s="64" t="s">
        <v>352</v>
      </c>
    </row>
    <row r="795" spans="2:4" x14ac:dyDescent="0.2">
      <c r="B795" s="62" t="s">
        <v>203</v>
      </c>
      <c r="C795" s="63">
        <v>46860</v>
      </c>
      <c r="D795" s="64" t="s">
        <v>355</v>
      </c>
    </row>
    <row r="796" spans="2:4" x14ac:dyDescent="0.2">
      <c r="B796" s="62" t="s">
        <v>203</v>
      </c>
      <c r="C796" s="63">
        <v>46868</v>
      </c>
      <c r="D796" s="64" t="s">
        <v>379</v>
      </c>
    </row>
    <row r="797" spans="2:4" x14ac:dyDescent="0.2">
      <c r="B797" s="62" t="s">
        <v>203</v>
      </c>
      <c r="C797" s="63">
        <v>46909</v>
      </c>
      <c r="D797" s="64" t="s">
        <v>357</v>
      </c>
    </row>
    <row r="798" spans="2:4" x14ac:dyDescent="0.2">
      <c r="B798" s="62" t="s">
        <v>203</v>
      </c>
      <c r="C798" s="63">
        <v>46948</v>
      </c>
      <c r="D798" s="64" t="s">
        <v>380</v>
      </c>
    </row>
    <row r="799" spans="2:4" x14ac:dyDescent="0.2">
      <c r="B799" s="62" t="s">
        <v>203</v>
      </c>
      <c r="C799" s="63">
        <v>47049</v>
      </c>
      <c r="D799" s="64" t="s">
        <v>381</v>
      </c>
    </row>
    <row r="800" spans="2:4" x14ac:dyDescent="0.2">
      <c r="B800" s="62" t="s">
        <v>203</v>
      </c>
      <c r="C800" s="63">
        <v>47112</v>
      </c>
      <c r="D800" s="64" t="s">
        <v>359</v>
      </c>
    </row>
    <row r="801" spans="2:4" x14ac:dyDescent="0.2">
      <c r="B801" s="62" t="s">
        <v>203</v>
      </c>
      <c r="C801" s="63">
        <v>47113</v>
      </c>
      <c r="D801" s="64" t="s">
        <v>360</v>
      </c>
    </row>
    <row r="802" spans="2:4" x14ac:dyDescent="0.2">
      <c r="B802" s="62" t="s">
        <v>203</v>
      </c>
      <c r="C802" s="63">
        <v>47119</v>
      </c>
      <c r="D802" s="64" t="s">
        <v>350</v>
      </c>
    </row>
    <row r="803" spans="2:4" x14ac:dyDescent="0.2">
      <c r="B803" s="62" t="s">
        <v>203</v>
      </c>
      <c r="C803" s="63">
        <v>47120</v>
      </c>
      <c r="D803" s="64" t="s">
        <v>377</v>
      </c>
    </row>
    <row r="804" spans="2:4" x14ac:dyDescent="0.2">
      <c r="B804" s="62" t="s">
        <v>203</v>
      </c>
      <c r="C804" s="63">
        <v>47147</v>
      </c>
      <c r="D804" s="64" t="s">
        <v>385</v>
      </c>
    </row>
    <row r="805" spans="2:4" x14ac:dyDescent="0.2">
      <c r="B805" s="62" t="s">
        <v>203</v>
      </c>
      <c r="C805" s="63">
        <v>47155</v>
      </c>
      <c r="D805" s="64" t="s">
        <v>378</v>
      </c>
    </row>
    <row r="806" spans="2:4" x14ac:dyDescent="0.2">
      <c r="B806" s="62" t="s">
        <v>203</v>
      </c>
      <c r="C806" s="63">
        <v>47207</v>
      </c>
      <c r="D806" s="64" t="s">
        <v>352</v>
      </c>
    </row>
    <row r="807" spans="2:4" x14ac:dyDescent="0.2">
      <c r="B807" s="62" t="s">
        <v>203</v>
      </c>
      <c r="C807" s="63">
        <v>47210</v>
      </c>
      <c r="D807" s="64" t="s">
        <v>355</v>
      </c>
    </row>
    <row r="808" spans="2:4" x14ac:dyDescent="0.2">
      <c r="B808" s="62" t="s">
        <v>203</v>
      </c>
      <c r="C808" s="63">
        <v>47233</v>
      </c>
      <c r="D808" s="64" t="s">
        <v>379</v>
      </c>
    </row>
    <row r="809" spans="2:4" x14ac:dyDescent="0.2">
      <c r="B809" s="62" t="s">
        <v>203</v>
      </c>
      <c r="C809" s="63">
        <v>47273</v>
      </c>
      <c r="D809" s="64" t="s">
        <v>357</v>
      </c>
    </row>
    <row r="810" spans="2:4" x14ac:dyDescent="0.2">
      <c r="B810" s="62" t="s">
        <v>203</v>
      </c>
      <c r="C810" s="63">
        <v>47305</v>
      </c>
      <c r="D810" s="64" t="s">
        <v>380</v>
      </c>
    </row>
    <row r="811" spans="2:4" x14ac:dyDescent="0.2">
      <c r="B811" s="62" t="s">
        <v>203</v>
      </c>
      <c r="C811" s="63">
        <v>47413</v>
      </c>
      <c r="D811" s="64" t="s">
        <v>381</v>
      </c>
    </row>
    <row r="812" spans="2:4" x14ac:dyDescent="0.2">
      <c r="B812" s="62" t="s">
        <v>203</v>
      </c>
      <c r="C812" s="63">
        <v>47477</v>
      </c>
      <c r="D812" s="64" t="s">
        <v>359</v>
      </c>
    </row>
    <row r="813" spans="2:4" x14ac:dyDescent="0.2">
      <c r="B813" s="62" t="s">
        <v>203</v>
      </c>
      <c r="C813" s="63">
        <v>47478</v>
      </c>
      <c r="D813" s="64" t="s">
        <v>360</v>
      </c>
    </row>
    <row r="814" spans="2:4" x14ac:dyDescent="0.2">
      <c r="B814" s="62" t="s">
        <v>203</v>
      </c>
      <c r="C814" s="63">
        <v>47484</v>
      </c>
      <c r="D814" s="64" t="s">
        <v>350</v>
      </c>
    </row>
    <row r="815" spans="2:4" x14ac:dyDescent="0.2">
      <c r="B815" s="62" t="s">
        <v>203</v>
      </c>
      <c r="C815" s="63">
        <v>47485</v>
      </c>
      <c r="D815" s="64" t="s">
        <v>377</v>
      </c>
    </row>
    <row r="816" spans="2:4" x14ac:dyDescent="0.2">
      <c r="B816" s="62" t="s">
        <v>203</v>
      </c>
      <c r="C816" s="63">
        <v>47511</v>
      </c>
      <c r="D816" s="64" t="s">
        <v>385</v>
      </c>
    </row>
    <row r="817" spans="2:4" x14ac:dyDescent="0.2">
      <c r="B817" s="62" t="s">
        <v>203</v>
      </c>
      <c r="C817" s="63">
        <v>47520</v>
      </c>
      <c r="D817" s="64" t="s">
        <v>378</v>
      </c>
    </row>
    <row r="818" spans="2:4" x14ac:dyDescent="0.2">
      <c r="B818" s="62" t="s">
        <v>203</v>
      </c>
      <c r="C818" s="63">
        <v>47592</v>
      </c>
      <c r="D818" s="64" t="s">
        <v>352</v>
      </c>
    </row>
    <row r="819" spans="2:4" x14ac:dyDescent="0.2">
      <c r="B819" s="62" t="s">
        <v>203</v>
      </c>
      <c r="C819" s="63">
        <v>47595</v>
      </c>
      <c r="D819" s="64" t="s">
        <v>355</v>
      </c>
    </row>
    <row r="820" spans="2:4" x14ac:dyDescent="0.2">
      <c r="B820" s="62" t="s">
        <v>203</v>
      </c>
      <c r="C820" s="63">
        <v>47598</v>
      </c>
      <c r="D820" s="64" t="s">
        <v>379</v>
      </c>
    </row>
    <row r="821" spans="2:4" x14ac:dyDescent="0.2">
      <c r="B821" s="62" t="s">
        <v>203</v>
      </c>
      <c r="C821" s="63">
        <v>47637</v>
      </c>
      <c r="D821" s="64" t="s">
        <v>357</v>
      </c>
    </row>
    <row r="822" spans="2:4" x14ac:dyDescent="0.2">
      <c r="B822" s="62" t="s">
        <v>203</v>
      </c>
      <c r="C822" s="63">
        <v>47655</v>
      </c>
      <c r="D822" s="64" t="s">
        <v>380</v>
      </c>
    </row>
    <row r="823" spans="2:4" x14ac:dyDescent="0.2">
      <c r="B823" s="62" t="s">
        <v>203</v>
      </c>
      <c r="C823" s="63">
        <v>47784</v>
      </c>
      <c r="D823" s="64" t="s">
        <v>381</v>
      </c>
    </row>
    <row r="824" spans="2:4" x14ac:dyDescent="0.2">
      <c r="B824" s="62" t="s">
        <v>203</v>
      </c>
      <c r="C824" s="63">
        <v>47842</v>
      </c>
      <c r="D824" s="64" t="s">
        <v>359</v>
      </c>
    </row>
    <row r="825" spans="2:4" x14ac:dyDescent="0.2">
      <c r="B825" s="62" t="s">
        <v>203</v>
      </c>
      <c r="C825" s="63">
        <v>47843</v>
      </c>
      <c r="D825" s="64" t="s">
        <v>360</v>
      </c>
    </row>
    <row r="826" spans="2:4" x14ac:dyDescent="0.2">
      <c r="B826" s="62" t="s">
        <v>260</v>
      </c>
      <c r="C826" s="63">
        <v>45658</v>
      </c>
      <c r="D826" s="64" t="s">
        <v>350</v>
      </c>
    </row>
    <row r="827" spans="2:4" x14ac:dyDescent="0.2">
      <c r="B827" s="62" t="s">
        <v>260</v>
      </c>
      <c r="C827" s="63">
        <v>45659</v>
      </c>
      <c r="D827" s="64" t="s">
        <v>377</v>
      </c>
    </row>
    <row r="828" spans="2:4" x14ac:dyDescent="0.2">
      <c r="B828" s="62" t="s">
        <v>260</v>
      </c>
      <c r="C828" s="63">
        <v>45677</v>
      </c>
      <c r="D828" s="64" t="s">
        <v>386</v>
      </c>
    </row>
    <row r="829" spans="2:4" x14ac:dyDescent="0.2">
      <c r="B829" s="62" t="s">
        <v>260</v>
      </c>
      <c r="C829" s="63">
        <v>45694</v>
      </c>
      <c r="D829" s="64" t="s">
        <v>378</v>
      </c>
    </row>
    <row r="830" spans="2:4" x14ac:dyDescent="0.2">
      <c r="B830" s="62" t="s">
        <v>260</v>
      </c>
      <c r="C830" s="63">
        <v>45765</v>
      </c>
      <c r="D830" s="64" t="s">
        <v>352</v>
      </c>
    </row>
    <row r="831" spans="2:4" x14ac:dyDescent="0.2">
      <c r="B831" s="62" t="s">
        <v>260</v>
      </c>
      <c r="C831" s="63">
        <v>45768</v>
      </c>
      <c r="D831" s="64" t="s">
        <v>355</v>
      </c>
    </row>
    <row r="832" spans="2:4" x14ac:dyDescent="0.2">
      <c r="B832" s="62" t="s">
        <v>260</v>
      </c>
      <c r="C832" s="63">
        <v>45772</v>
      </c>
      <c r="D832" s="64" t="s">
        <v>379</v>
      </c>
    </row>
    <row r="833" spans="2:4" x14ac:dyDescent="0.2">
      <c r="B833" s="62" t="s">
        <v>260</v>
      </c>
      <c r="C833" s="63">
        <v>45810</v>
      </c>
      <c r="D833" s="64" t="s">
        <v>357</v>
      </c>
    </row>
    <row r="834" spans="2:4" x14ac:dyDescent="0.2">
      <c r="B834" s="62" t="s">
        <v>260</v>
      </c>
      <c r="C834" s="63">
        <v>45828</v>
      </c>
      <c r="D834" s="64" t="s">
        <v>380</v>
      </c>
    </row>
    <row r="835" spans="2:4" x14ac:dyDescent="0.2">
      <c r="B835" s="62" t="s">
        <v>260</v>
      </c>
      <c r="C835" s="63">
        <v>45957</v>
      </c>
      <c r="D835" s="64" t="s">
        <v>381</v>
      </c>
    </row>
    <row r="836" spans="2:4" x14ac:dyDescent="0.2">
      <c r="B836" s="62" t="s">
        <v>260</v>
      </c>
      <c r="C836" s="63">
        <v>46016</v>
      </c>
      <c r="D836" s="64" t="s">
        <v>359</v>
      </c>
    </row>
    <row r="837" spans="2:4" x14ac:dyDescent="0.2">
      <c r="B837" s="62" t="s">
        <v>260</v>
      </c>
      <c r="C837" s="63">
        <v>46017</v>
      </c>
      <c r="D837" s="64" t="s">
        <v>360</v>
      </c>
    </row>
    <row r="838" spans="2:4" x14ac:dyDescent="0.2">
      <c r="B838" s="62" t="s">
        <v>260</v>
      </c>
      <c r="C838" s="63">
        <v>46023</v>
      </c>
      <c r="D838" s="64" t="s">
        <v>350</v>
      </c>
    </row>
    <row r="839" spans="2:4" x14ac:dyDescent="0.2">
      <c r="B839" s="62" t="s">
        <v>260</v>
      </c>
      <c r="C839" s="63">
        <v>46024</v>
      </c>
      <c r="D839" s="64" t="s">
        <v>377</v>
      </c>
    </row>
    <row r="840" spans="2:4" x14ac:dyDescent="0.2">
      <c r="B840" s="62" t="s">
        <v>260</v>
      </c>
      <c r="C840" s="63">
        <v>46041</v>
      </c>
      <c r="D840" s="64" t="s">
        <v>386</v>
      </c>
    </row>
    <row r="841" spans="2:4" x14ac:dyDescent="0.2">
      <c r="B841" s="62" t="s">
        <v>260</v>
      </c>
      <c r="C841" s="63">
        <v>46059</v>
      </c>
      <c r="D841" s="64" t="s">
        <v>378</v>
      </c>
    </row>
    <row r="842" spans="2:4" x14ac:dyDescent="0.2">
      <c r="B842" s="62" t="s">
        <v>260</v>
      </c>
      <c r="C842" s="63">
        <v>46115</v>
      </c>
      <c r="D842" s="64" t="s">
        <v>352</v>
      </c>
    </row>
    <row r="843" spans="2:4" x14ac:dyDescent="0.2">
      <c r="B843" s="62" t="s">
        <v>260</v>
      </c>
      <c r="C843" s="63">
        <v>46118</v>
      </c>
      <c r="D843" s="64" t="s">
        <v>355</v>
      </c>
    </row>
    <row r="844" spans="2:4" x14ac:dyDescent="0.2">
      <c r="B844" s="62" t="s">
        <v>260</v>
      </c>
      <c r="C844" s="63">
        <v>46137</v>
      </c>
      <c r="D844" s="64" t="s">
        <v>379</v>
      </c>
    </row>
    <row r="845" spans="2:4" x14ac:dyDescent="0.2">
      <c r="B845" s="62" t="s">
        <v>260</v>
      </c>
      <c r="C845" s="63">
        <v>46139</v>
      </c>
      <c r="D845" s="64" t="s">
        <v>382</v>
      </c>
    </row>
    <row r="846" spans="2:4" x14ac:dyDescent="0.2">
      <c r="B846" s="62" t="s">
        <v>260</v>
      </c>
      <c r="C846" s="63">
        <v>46174</v>
      </c>
      <c r="D846" s="64" t="s">
        <v>357</v>
      </c>
    </row>
    <row r="847" spans="2:4" x14ac:dyDescent="0.2">
      <c r="B847" s="62" t="s">
        <v>260</v>
      </c>
      <c r="C847" s="63">
        <v>46213</v>
      </c>
      <c r="D847" s="64" t="s">
        <v>380</v>
      </c>
    </row>
    <row r="848" spans="2:4" x14ac:dyDescent="0.2">
      <c r="B848" s="62" t="s">
        <v>260</v>
      </c>
      <c r="C848" s="63">
        <v>46321</v>
      </c>
      <c r="D848" s="64" t="s">
        <v>381</v>
      </c>
    </row>
    <row r="849" spans="2:4" x14ac:dyDescent="0.2">
      <c r="B849" s="62" t="s">
        <v>260</v>
      </c>
      <c r="C849" s="63">
        <v>46381</v>
      </c>
      <c r="D849" s="64" t="s">
        <v>359</v>
      </c>
    </row>
    <row r="850" spans="2:4" x14ac:dyDescent="0.2">
      <c r="B850" s="62" t="s">
        <v>260</v>
      </c>
      <c r="C850" s="63">
        <v>46382</v>
      </c>
      <c r="D850" s="64" t="s">
        <v>360</v>
      </c>
    </row>
    <row r="851" spans="2:4" x14ac:dyDescent="0.2">
      <c r="B851" s="62" t="s">
        <v>260</v>
      </c>
      <c r="C851" s="63">
        <v>46384</v>
      </c>
      <c r="D851" s="64" t="s">
        <v>362</v>
      </c>
    </row>
    <row r="852" spans="2:4" x14ac:dyDescent="0.2">
      <c r="B852" s="62" t="s">
        <v>260</v>
      </c>
      <c r="C852" s="63">
        <v>46388</v>
      </c>
      <c r="D852" s="64" t="s">
        <v>350</v>
      </c>
    </row>
    <row r="853" spans="2:4" x14ac:dyDescent="0.2">
      <c r="B853" s="62" t="s">
        <v>260</v>
      </c>
      <c r="C853" s="63">
        <v>46389</v>
      </c>
      <c r="D853" s="64" t="s">
        <v>377</v>
      </c>
    </row>
    <row r="854" spans="2:4" x14ac:dyDescent="0.2">
      <c r="B854" s="62" t="s">
        <v>260</v>
      </c>
      <c r="C854" s="63">
        <v>46391</v>
      </c>
      <c r="D854" s="64" t="s">
        <v>383</v>
      </c>
    </row>
    <row r="855" spans="2:4" x14ac:dyDescent="0.2">
      <c r="B855" s="62" t="s">
        <v>260</v>
      </c>
      <c r="C855" s="63">
        <v>46412</v>
      </c>
      <c r="D855" s="64" t="s">
        <v>386</v>
      </c>
    </row>
    <row r="856" spans="2:4" x14ac:dyDescent="0.2">
      <c r="B856" s="62" t="s">
        <v>260</v>
      </c>
      <c r="C856" s="63">
        <v>46424</v>
      </c>
      <c r="D856" s="64" t="s">
        <v>378</v>
      </c>
    </row>
    <row r="857" spans="2:4" x14ac:dyDescent="0.2">
      <c r="B857" s="62" t="s">
        <v>260</v>
      </c>
      <c r="C857" s="63">
        <v>46426</v>
      </c>
      <c r="D857" s="64" t="s">
        <v>384</v>
      </c>
    </row>
    <row r="858" spans="2:4" x14ac:dyDescent="0.2">
      <c r="B858" s="62" t="s">
        <v>260</v>
      </c>
      <c r="C858" s="63">
        <v>46472</v>
      </c>
      <c r="D858" s="64" t="s">
        <v>352</v>
      </c>
    </row>
    <row r="859" spans="2:4" x14ac:dyDescent="0.2">
      <c r="B859" s="62" t="s">
        <v>260</v>
      </c>
      <c r="C859" s="63">
        <v>46475</v>
      </c>
      <c r="D859" s="64" t="s">
        <v>355</v>
      </c>
    </row>
    <row r="860" spans="2:4" x14ac:dyDescent="0.2">
      <c r="B860" s="62" t="s">
        <v>260</v>
      </c>
      <c r="C860" s="63">
        <v>46502</v>
      </c>
      <c r="D860" s="64" t="s">
        <v>379</v>
      </c>
    </row>
    <row r="861" spans="2:4" x14ac:dyDescent="0.2">
      <c r="B861" s="62" t="s">
        <v>260</v>
      </c>
      <c r="C861" s="63">
        <v>46503</v>
      </c>
      <c r="D861" s="64" t="s">
        <v>382</v>
      </c>
    </row>
    <row r="862" spans="2:4" x14ac:dyDescent="0.2">
      <c r="B862" s="62" t="s">
        <v>260</v>
      </c>
      <c r="C862" s="63">
        <v>46545</v>
      </c>
      <c r="D862" s="64" t="s">
        <v>357</v>
      </c>
    </row>
    <row r="863" spans="2:4" x14ac:dyDescent="0.2">
      <c r="B863" s="62" t="s">
        <v>260</v>
      </c>
      <c r="C863" s="63">
        <v>46563</v>
      </c>
      <c r="D863" s="64" t="s">
        <v>380</v>
      </c>
    </row>
    <row r="864" spans="2:4" x14ac:dyDescent="0.2">
      <c r="B864" s="62" t="s">
        <v>260</v>
      </c>
      <c r="C864" s="63">
        <v>46685</v>
      </c>
      <c r="D864" s="64" t="s">
        <v>381</v>
      </c>
    </row>
    <row r="865" spans="2:4" x14ac:dyDescent="0.2">
      <c r="B865" s="62" t="s">
        <v>260</v>
      </c>
      <c r="C865" s="63">
        <v>46746</v>
      </c>
      <c r="D865" s="64" t="s">
        <v>359</v>
      </c>
    </row>
    <row r="866" spans="2:4" x14ac:dyDescent="0.2">
      <c r="B866" s="62" t="s">
        <v>260</v>
      </c>
      <c r="C866" s="63">
        <v>46747</v>
      </c>
      <c r="D866" s="64" t="s">
        <v>360</v>
      </c>
    </row>
    <row r="867" spans="2:4" x14ac:dyDescent="0.2">
      <c r="B867" s="62" t="s">
        <v>260</v>
      </c>
      <c r="C867" s="63">
        <v>46748</v>
      </c>
      <c r="D867" s="64" t="s">
        <v>363</v>
      </c>
    </row>
    <row r="868" spans="2:4" x14ac:dyDescent="0.2">
      <c r="B868" s="62" t="s">
        <v>260</v>
      </c>
      <c r="C868" s="63">
        <v>46749</v>
      </c>
      <c r="D868" s="64" t="s">
        <v>362</v>
      </c>
    </row>
    <row r="869" spans="2:4" x14ac:dyDescent="0.2">
      <c r="B869" s="62" t="s">
        <v>260</v>
      </c>
      <c r="C869" s="63">
        <v>46753</v>
      </c>
      <c r="D869" s="64" t="s">
        <v>350</v>
      </c>
    </row>
    <row r="870" spans="2:4" x14ac:dyDescent="0.2">
      <c r="B870" s="62" t="s">
        <v>260</v>
      </c>
      <c r="C870" s="63">
        <v>46754</v>
      </c>
      <c r="D870" s="64" t="s">
        <v>377</v>
      </c>
    </row>
    <row r="871" spans="2:4" x14ac:dyDescent="0.2">
      <c r="B871" s="62" t="s">
        <v>260</v>
      </c>
      <c r="C871" s="63">
        <v>46755</v>
      </c>
      <c r="D871" s="64" t="s">
        <v>364</v>
      </c>
    </row>
    <row r="872" spans="2:4" x14ac:dyDescent="0.2">
      <c r="B872" s="62" t="s">
        <v>260</v>
      </c>
      <c r="C872" s="63">
        <v>46756</v>
      </c>
      <c r="D872" s="64" t="s">
        <v>383</v>
      </c>
    </row>
    <row r="873" spans="2:4" x14ac:dyDescent="0.2">
      <c r="B873" s="62" t="s">
        <v>260</v>
      </c>
      <c r="C873" s="63">
        <v>46776</v>
      </c>
      <c r="D873" s="64" t="s">
        <v>386</v>
      </c>
    </row>
    <row r="874" spans="2:4" x14ac:dyDescent="0.2">
      <c r="B874" s="62" t="s">
        <v>260</v>
      </c>
      <c r="C874" s="63">
        <v>46789</v>
      </c>
      <c r="D874" s="64" t="s">
        <v>378</v>
      </c>
    </row>
    <row r="875" spans="2:4" x14ac:dyDescent="0.2">
      <c r="B875" s="62" t="s">
        <v>260</v>
      </c>
      <c r="C875" s="63">
        <v>46790</v>
      </c>
      <c r="D875" s="64" t="s">
        <v>384</v>
      </c>
    </row>
    <row r="876" spans="2:4" x14ac:dyDescent="0.2">
      <c r="B876" s="62" t="s">
        <v>260</v>
      </c>
      <c r="C876" s="63">
        <v>46857</v>
      </c>
      <c r="D876" s="64" t="s">
        <v>352</v>
      </c>
    </row>
    <row r="877" spans="2:4" x14ac:dyDescent="0.2">
      <c r="B877" s="62" t="s">
        <v>260</v>
      </c>
      <c r="C877" s="63">
        <v>46860</v>
      </c>
      <c r="D877" s="64" t="s">
        <v>355</v>
      </c>
    </row>
    <row r="878" spans="2:4" x14ac:dyDescent="0.2">
      <c r="B878" s="62" t="s">
        <v>260</v>
      </c>
      <c r="C878" s="63">
        <v>46868</v>
      </c>
      <c r="D878" s="64" t="s">
        <v>379</v>
      </c>
    </row>
    <row r="879" spans="2:4" x14ac:dyDescent="0.2">
      <c r="B879" s="62" t="s">
        <v>260</v>
      </c>
      <c r="C879" s="63">
        <v>46909</v>
      </c>
      <c r="D879" s="64" t="s">
        <v>357</v>
      </c>
    </row>
    <row r="880" spans="2:4" x14ac:dyDescent="0.2">
      <c r="B880" s="62" t="s">
        <v>260</v>
      </c>
      <c r="C880" s="63">
        <v>46948</v>
      </c>
      <c r="D880" s="64" t="s">
        <v>380</v>
      </c>
    </row>
    <row r="881" spans="2:4" x14ac:dyDescent="0.2">
      <c r="B881" s="62" t="s">
        <v>260</v>
      </c>
      <c r="C881" s="63">
        <v>47049</v>
      </c>
      <c r="D881" s="64" t="s">
        <v>381</v>
      </c>
    </row>
    <row r="882" spans="2:4" x14ac:dyDescent="0.2">
      <c r="B882" s="62" t="s">
        <v>260</v>
      </c>
      <c r="C882" s="63">
        <v>47112</v>
      </c>
      <c r="D882" s="64" t="s">
        <v>359</v>
      </c>
    </row>
    <row r="883" spans="2:4" x14ac:dyDescent="0.2">
      <c r="B883" s="62" t="s">
        <v>260</v>
      </c>
      <c r="C883" s="63">
        <v>47113</v>
      </c>
      <c r="D883" s="64" t="s">
        <v>360</v>
      </c>
    </row>
    <row r="884" spans="2:4" x14ac:dyDescent="0.2">
      <c r="B884" s="62" t="s">
        <v>260</v>
      </c>
      <c r="C884" s="63">
        <v>47119</v>
      </c>
      <c r="D884" s="64" t="s">
        <v>350</v>
      </c>
    </row>
    <row r="885" spans="2:4" x14ac:dyDescent="0.2">
      <c r="B885" s="62" t="s">
        <v>260</v>
      </c>
      <c r="C885" s="63">
        <v>47120</v>
      </c>
      <c r="D885" s="64" t="s">
        <v>377</v>
      </c>
    </row>
    <row r="886" spans="2:4" x14ac:dyDescent="0.2">
      <c r="B886" s="62" t="s">
        <v>260</v>
      </c>
      <c r="C886" s="63">
        <v>47140</v>
      </c>
      <c r="D886" s="64" t="s">
        <v>386</v>
      </c>
    </row>
    <row r="887" spans="2:4" x14ac:dyDescent="0.2">
      <c r="B887" s="62" t="s">
        <v>260</v>
      </c>
      <c r="C887" s="63">
        <v>47155</v>
      </c>
      <c r="D887" s="64" t="s">
        <v>378</v>
      </c>
    </row>
    <row r="888" spans="2:4" x14ac:dyDescent="0.2">
      <c r="B888" s="62" t="s">
        <v>260</v>
      </c>
      <c r="C888" s="63">
        <v>47207</v>
      </c>
      <c r="D888" s="64" t="s">
        <v>352</v>
      </c>
    </row>
    <row r="889" spans="2:4" x14ac:dyDescent="0.2">
      <c r="B889" s="62" t="s">
        <v>260</v>
      </c>
      <c r="C889" s="63">
        <v>47210</v>
      </c>
      <c r="D889" s="64" t="s">
        <v>355</v>
      </c>
    </row>
    <row r="890" spans="2:4" x14ac:dyDescent="0.2">
      <c r="B890" s="62" t="s">
        <v>260</v>
      </c>
      <c r="C890" s="63">
        <v>47233</v>
      </c>
      <c r="D890" s="64" t="s">
        <v>379</v>
      </c>
    </row>
    <row r="891" spans="2:4" x14ac:dyDescent="0.2">
      <c r="B891" s="62" t="s">
        <v>260</v>
      </c>
      <c r="C891" s="63">
        <v>47273</v>
      </c>
      <c r="D891" s="64" t="s">
        <v>357</v>
      </c>
    </row>
    <row r="892" spans="2:4" x14ac:dyDescent="0.2">
      <c r="B892" s="62" t="s">
        <v>260</v>
      </c>
      <c r="C892" s="63">
        <v>47305</v>
      </c>
      <c r="D892" s="64" t="s">
        <v>380</v>
      </c>
    </row>
    <row r="893" spans="2:4" x14ac:dyDescent="0.2">
      <c r="B893" s="62" t="s">
        <v>260</v>
      </c>
      <c r="C893" s="63">
        <v>47413</v>
      </c>
      <c r="D893" s="64" t="s">
        <v>381</v>
      </c>
    </row>
    <row r="894" spans="2:4" x14ac:dyDescent="0.2">
      <c r="B894" s="62" t="s">
        <v>260</v>
      </c>
      <c r="C894" s="63">
        <v>47477</v>
      </c>
      <c r="D894" s="64" t="s">
        <v>359</v>
      </c>
    </row>
    <row r="895" spans="2:4" x14ac:dyDescent="0.2">
      <c r="B895" s="62" t="s">
        <v>260</v>
      </c>
      <c r="C895" s="63">
        <v>47478</v>
      </c>
      <c r="D895" s="64" t="s">
        <v>360</v>
      </c>
    </row>
    <row r="896" spans="2:4" x14ac:dyDescent="0.2">
      <c r="B896" s="62" t="s">
        <v>260</v>
      </c>
      <c r="C896" s="63">
        <v>47484</v>
      </c>
      <c r="D896" s="64" t="s">
        <v>350</v>
      </c>
    </row>
    <row r="897" spans="2:4" x14ac:dyDescent="0.2">
      <c r="B897" s="62" t="s">
        <v>260</v>
      </c>
      <c r="C897" s="63">
        <v>47485</v>
      </c>
      <c r="D897" s="64" t="s">
        <v>377</v>
      </c>
    </row>
    <row r="898" spans="2:4" x14ac:dyDescent="0.2">
      <c r="B898" s="62" t="s">
        <v>260</v>
      </c>
      <c r="C898" s="63">
        <v>47504</v>
      </c>
      <c r="D898" s="64" t="s">
        <v>386</v>
      </c>
    </row>
    <row r="899" spans="2:4" x14ac:dyDescent="0.2">
      <c r="B899" s="62" t="s">
        <v>260</v>
      </c>
      <c r="C899" s="63">
        <v>47520</v>
      </c>
      <c r="D899" s="64" t="s">
        <v>378</v>
      </c>
    </row>
    <row r="900" spans="2:4" x14ac:dyDescent="0.2">
      <c r="B900" s="62" t="s">
        <v>260</v>
      </c>
      <c r="C900" s="63">
        <v>47592</v>
      </c>
      <c r="D900" s="64" t="s">
        <v>352</v>
      </c>
    </row>
    <row r="901" spans="2:4" x14ac:dyDescent="0.2">
      <c r="B901" s="62" t="s">
        <v>260</v>
      </c>
      <c r="C901" s="63">
        <v>47595</v>
      </c>
      <c r="D901" s="64" t="s">
        <v>355</v>
      </c>
    </row>
    <row r="902" spans="2:4" x14ac:dyDescent="0.2">
      <c r="B902" s="62" t="s">
        <v>260</v>
      </c>
      <c r="C902" s="63">
        <v>47598</v>
      </c>
      <c r="D902" s="64" t="s">
        <v>379</v>
      </c>
    </row>
    <row r="903" spans="2:4" x14ac:dyDescent="0.2">
      <c r="B903" s="62" t="s">
        <v>260</v>
      </c>
      <c r="C903" s="63">
        <v>47637</v>
      </c>
      <c r="D903" s="64" t="s">
        <v>357</v>
      </c>
    </row>
    <row r="904" spans="2:4" x14ac:dyDescent="0.2">
      <c r="B904" s="62" t="s">
        <v>260</v>
      </c>
      <c r="C904" s="63">
        <v>47655</v>
      </c>
      <c r="D904" s="64" t="s">
        <v>380</v>
      </c>
    </row>
    <row r="905" spans="2:4" x14ac:dyDescent="0.2">
      <c r="B905" s="62" t="s">
        <v>260</v>
      </c>
      <c r="C905" s="63">
        <v>47784</v>
      </c>
      <c r="D905" s="64" t="s">
        <v>381</v>
      </c>
    </row>
    <row r="906" spans="2:4" x14ac:dyDescent="0.2">
      <c r="B906" s="62" t="s">
        <v>260</v>
      </c>
      <c r="C906" s="63">
        <v>47842</v>
      </c>
      <c r="D906" s="64" t="s">
        <v>359</v>
      </c>
    </row>
    <row r="907" spans="2:4" x14ac:dyDescent="0.2">
      <c r="B907" s="62" t="s">
        <v>260</v>
      </c>
      <c r="C907" s="63">
        <v>47843</v>
      </c>
      <c r="D907" s="64" t="s">
        <v>360</v>
      </c>
    </row>
    <row r="908" spans="2:4" x14ac:dyDescent="0.2">
      <c r="B908" s="62" t="s">
        <v>261</v>
      </c>
      <c r="C908" s="63">
        <v>45658</v>
      </c>
      <c r="D908" s="64" t="s">
        <v>350</v>
      </c>
    </row>
    <row r="909" spans="2:4" x14ac:dyDescent="0.2">
      <c r="B909" s="62" t="s">
        <v>261</v>
      </c>
      <c r="C909" s="63">
        <v>45659</v>
      </c>
      <c r="D909" s="64" t="s">
        <v>377</v>
      </c>
    </row>
    <row r="910" spans="2:4" x14ac:dyDescent="0.2">
      <c r="B910" s="62" t="s">
        <v>261</v>
      </c>
      <c r="C910" s="63">
        <v>45694</v>
      </c>
      <c r="D910" s="64" t="s">
        <v>378</v>
      </c>
    </row>
    <row r="911" spans="2:4" x14ac:dyDescent="0.2">
      <c r="B911" s="62" t="s">
        <v>261</v>
      </c>
      <c r="C911" s="63">
        <v>45765</v>
      </c>
      <c r="D911" s="64" t="s">
        <v>352</v>
      </c>
    </row>
    <row r="912" spans="2:4" x14ac:dyDescent="0.2">
      <c r="B912" s="62" t="s">
        <v>261</v>
      </c>
      <c r="C912" s="63">
        <v>45768</v>
      </c>
      <c r="D912" s="64" t="s">
        <v>355</v>
      </c>
    </row>
    <row r="913" spans="2:4" x14ac:dyDescent="0.2">
      <c r="B913" s="62" t="s">
        <v>261</v>
      </c>
      <c r="C913" s="63">
        <v>45772</v>
      </c>
      <c r="D913" s="64" t="s">
        <v>379</v>
      </c>
    </row>
    <row r="914" spans="2:4" x14ac:dyDescent="0.2">
      <c r="B914" s="62" t="s">
        <v>261</v>
      </c>
      <c r="C914" s="63">
        <v>45810</v>
      </c>
      <c r="D914" s="64" t="s">
        <v>357</v>
      </c>
    </row>
    <row r="915" spans="2:4" x14ac:dyDescent="0.2">
      <c r="B915" s="62" t="s">
        <v>261</v>
      </c>
      <c r="C915" s="63">
        <v>45828</v>
      </c>
      <c r="D915" s="64" t="s">
        <v>380</v>
      </c>
    </row>
    <row r="916" spans="2:4" x14ac:dyDescent="0.2">
      <c r="B916" s="62" t="s">
        <v>261</v>
      </c>
      <c r="C916" s="63">
        <v>45957</v>
      </c>
      <c r="D916" s="64" t="s">
        <v>381</v>
      </c>
    </row>
    <row r="917" spans="2:4" x14ac:dyDescent="0.2">
      <c r="B917" s="62" t="s">
        <v>261</v>
      </c>
      <c r="C917" s="63">
        <v>45975</v>
      </c>
      <c r="D917" s="64" t="s">
        <v>387</v>
      </c>
    </row>
    <row r="918" spans="2:4" x14ac:dyDescent="0.2">
      <c r="B918" s="62" t="s">
        <v>261</v>
      </c>
      <c r="C918" s="63">
        <v>46016</v>
      </c>
      <c r="D918" s="64" t="s">
        <v>359</v>
      </c>
    </row>
    <row r="919" spans="2:4" x14ac:dyDescent="0.2">
      <c r="B919" s="62" t="s">
        <v>261</v>
      </c>
      <c r="C919" s="63">
        <v>46017</v>
      </c>
      <c r="D919" s="64" t="s">
        <v>360</v>
      </c>
    </row>
    <row r="920" spans="2:4" x14ac:dyDescent="0.2">
      <c r="B920" s="62" t="s">
        <v>261</v>
      </c>
      <c r="C920" s="63">
        <v>46023</v>
      </c>
      <c r="D920" s="64" t="s">
        <v>350</v>
      </c>
    </row>
    <row r="921" spans="2:4" x14ac:dyDescent="0.2">
      <c r="B921" s="62" t="s">
        <v>261</v>
      </c>
      <c r="C921" s="63">
        <v>46024</v>
      </c>
      <c r="D921" s="64" t="s">
        <v>377</v>
      </c>
    </row>
    <row r="922" spans="2:4" x14ac:dyDescent="0.2">
      <c r="B922" s="62" t="s">
        <v>261</v>
      </c>
      <c r="C922" s="63">
        <v>46059</v>
      </c>
      <c r="D922" s="64" t="s">
        <v>378</v>
      </c>
    </row>
    <row r="923" spans="2:4" x14ac:dyDescent="0.2">
      <c r="B923" s="62" t="s">
        <v>261</v>
      </c>
      <c r="C923" s="63">
        <v>46115</v>
      </c>
      <c r="D923" s="64" t="s">
        <v>352</v>
      </c>
    </row>
    <row r="924" spans="2:4" x14ac:dyDescent="0.2">
      <c r="B924" s="62" t="s">
        <v>261</v>
      </c>
      <c r="C924" s="63">
        <v>46118</v>
      </c>
      <c r="D924" s="64" t="s">
        <v>355</v>
      </c>
    </row>
    <row r="925" spans="2:4" x14ac:dyDescent="0.2">
      <c r="B925" s="62" t="s">
        <v>261</v>
      </c>
      <c r="C925" s="63">
        <v>46137</v>
      </c>
      <c r="D925" s="64" t="s">
        <v>379</v>
      </c>
    </row>
    <row r="926" spans="2:4" x14ac:dyDescent="0.2">
      <c r="B926" s="62" t="s">
        <v>261</v>
      </c>
      <c r="C926" s="63">
        <v>46139</v>
      </c>
      <c r="D926" s="64" t="s">
        <v>382</v>
      </c>
    </row>
    <row r="927" spans="2:4" x14ac:dyDescent="0.2">
      <c r="B927" s="62" t="s">
        <v>261</v>
      </c>
      <c r="C927" s="63">
        <v>46174</v>
      </c>
      <c r="D927" s="64" t="s">
        <v>357</v>
      </c>
    </row>
    <row r="928" spans="2:4" x14ac:dyDescent="0.2">
      <c r="B928" s="62" t="s">
        <v>261</v>
      </c>
      <c r="C928" s="63">
        <v>46213</v>
      </c>
      <c r="D928" s="64" t="s">
        <v>380</v>
      </c>
    </row>
    <row r="929" spans="2:4" x14ac:dyDescent="0.2">
      <c r="B929" s="62" t="s">
        <v>261</v>
      </c>
      <c r="C929" s="63">
        <v>46321</v>
      </c>
      <c r="D929" s="64" t="s">
        <v>381</v>
      </c>
    </row>
    <row r="930" spans="2:4" x14ac:dyDescent="0.2">
      <c r="B930" s="62" t="s">
        <v>261</v>
      </c>
      <c r="C930" s="63">
        <v>46339</v>
      </c>
      <c r="D930" s="64" t="s">
        <v>387</v>
      </c>
    </row>
    <row r="931" spans="2:4" x14ac:dyDescent="0.2">
      <c r="B931" s="62" t="s">
        <v>261</v>
      </c>
      <c r="C931" s="63">
        <v>46381</v>
      </c>
      <c r="D931" s="64" t="s">
        <v>359</v>
      </c>
    </row>
    <row r="932" spans="2:4" x14ac:dyDescent="0.2">
      <c r="B932" s="62" t="s">
        <v>261</v>
      </c>
      <c r="C932" s="63">
        <v>46382</v>
      </c>
      <c r="D932" s="64" t="s">
        <v>360</v>
      </c>
    </row>
    <row r="933" spans="2:4" x14ac:dyDescent="0.2">
      <c r="B933" s="62" t="s">
        <v>261</v>
      </c>
      <c r="C933" s="63">
        <v>46384</v>
      </c>
      <c r="D933" s="64" t="s">
        <v>362</v>
      </c>
    </row>
    <row r="934" spans="2:4" x14ac:dyDescent="0.2">
      <c r="B934" s="62" t="s">
        <v>261</v>
      </c>
      <c r="C934" s="63">
        <v>46388</v>
      </c>
      <c r="D934" s="64" t="s">
        <v>350</v>
      </c>
    </row>
    <row r="935" spans="2:4" x14ac:dyDescent="0.2">
      <c r="B935" s="62" t="s">
        <v>261</v>
      </c>
      <c r="C935" s="63">
        <v>46389</v>
      </c>
      <c r="D935" s="64" t="s">
        <v>377</v>
      </c>
    </row>
    <row r="936" spans="2:4" x14ac:dyDescent="0.2">
      <c r="B936" s="62" t="s">
        <v>261</v>
      </c>
      <c r="C936" s="63">
        <v>46391</v>
      </c>
      <c r="D936" s="64" t="s">
        <v>383</v>
      </c>
    </row>
    <row r="937" spans="2:4" x14ac:dyDescent="0.2">
      <c r="B937" s="62" t="s">
        <v>261</v>
      </c>
      <c r="C937" s="63">
        <v>46424</v>
      </c>
      <c r="D937" s="64" t="s">
        <v>378</v>
      </c>
    </row>
    <row r="938" spans="2:4" x14ac:dyDescent="0.2">
      <c r="B938" s="62" t="s">
        <v>261</v>
      </c>
      <c r="C938" s="63">
        <v>46426</v>
      </c>
      <c r="D938" s="64" t="s">
        <v>384</v>
      </c>
    </row>
    <row r="939" spans="2:4" x14ac:dyDescent="0.2">
      <c r="B939" s="62" t="s">
        <v>261</v>
      </c>
      <c r="C939" s="63">
        <v>46472</v>
      </c>
      <c r="D939" s="64" t="s">
        <v>352</v>
      </c>
    </row>
    <row r="940" spans="2:4" x14ac:dyDescent="0.2">
      <c r="B940" s="62" t="s">
        <v>261</v>
      </c>
      <c r="C940" s="63">
        <v>46475</v>
      </c>
      <c r="D940" s="64" t="s">
        <v>355</v>
      </c>
    </row>
    <row r="941" spans="2:4" x14ac:dyDescent="0.2">
      <c r="B941" s="62" t="s">
        <v>261</v>
      </c>
      <c r="C941" s="63">
        <v>46502</v>
      </c>
      <c r="D941" s="64" t="s">
        <v>379</v>
      </c>
    </row>
    <row r="942" spans="2:4" x14ac:dyDescent="0.2">
      <c r="B942" s="62" t="s">
        <v>261</v>
      </c>
      <c r="C942" s="63">
        <v>46503</v>
      </c>
      <c r="D942" s="64" t="s">
        <v>382</v>
      </c>
    </row>
    <row r="943" spans="2:4" x14ac:dyDescent="0.2">
      <c r="B943" s="62" t="s">
        <v>261</v>
      </c>
      <c r="C943" s="63">
        <v>46545</v>
      </c>
      <c r="D943" s="64" t="s">
        <v>357</v>
      </c>
    </row>
    <row r="944" spans="2:4" x14ac:dyDescent="0.2">
      <c r="B944" s="62" t="s">
        <v>261</v>
      </c>
      <c r="C944" s="63">
        <v>46563</v>
      </c>
      <c r="D944" s="64" t="s">
        <v>380</v>
      </c>
    </row>
    <row r="945" spans="2:4" x14ac:dyDescent="0.2">
      <c r="B945" s="62" t="s">
        <v>261</v>
      </c>
      <c r="C945" s="63">
        <v>46685</v>
      </c>
      <c r="D945" s="64" t="s">
        <v>381</v>
      </c>
    </row>
    <row r="946" spans="2:4" x14ac:dyDescent="0.2">
      <c r="B946" s="62" t="s">
        <v>261</v>
      </c>
      <c r="C946" s="63">
        <v>46703</v>
      </c>
      <c r="D946" s="64" t="s">
        <v>387</v>
      </c>
    </row>
    <row r="947" spans="2:4" x14ac:dyDescent="0.2">
      <c r="B947" s="62" t="s">
        <v>261</v>
      </c>
      <c r="C947" s="63">
        <v>46746</v>
      </c>
      <c r="D947" s="64" t="s">
        <v>359</v>
      </c>
    </row>
    <row r="948" spans="2:4" x14ac:dyDescent="0.2">
      <c r="B948" s="62" t="s">
        <v>261</v>
      </c>
      <c r="C948" s="63">
        <v>46747</v>
      </c>
      <c r="D948" s="64" t="s">
        <v>360</v>
      </c>
    </row>
    <row r="949" spans="2:4" x14ac:dyDescent="0.2">
      <c r="B949" s="62" t="s">
        <v>261</v>
      </c>
      <c r="C949" s="63">
        <v>46748</v>
      </c>
      <c r="D949" s="64" t="s">
        <v>363</v>
      </c>
    </row>
    <row r="950" spans="2:4" x14ac:dyDescent="0.2">
      <c r="B950" s="62" t="s">
        <v>261</v>
      </c>
      <c r="C950" s="63">
        <v>46749</v>
      </c>
      <c r="D950" s="64" t="s">
        <v>362</v>
      </c>
    </row>
    <row r="951" spans="2:4" x14ac:dyDescent="0.2">
      <c r="B951" s="62" t="s">
        <v>261</v>
      </c>
      <c r="C951" s="63">
        <v>46753</v>
      </c>
      <c r="D951" s="64" t="s">
        <v>350</v>
      </c>
    </row>
    <row r="952" spans="2:4" x14ac:dyDescent="0.2">
      <c r="B952" s="62" t="s">
        <v>261</v>
      </c>
      <c r="C952" s="63">
        <v>46754</v>
      </c>
      <c r="D952" s="64" t="s">
        <v>377</v>
      </c>
    </row>
    <row r="953" spans="2:4" x14ac:dyDescent="0.2">
      <c r="B953" s="62" t="s">
        <v>261</v>
      </c>
      <c r="C953" s="63">
        <v>46755</v>
      </c>
      <c r="D953" s="64" t="s">
        <v>364</v>
      </c>
    </row>
    <row r="954" spans="2:4" x14ac:dyDescent="0.2">
      <c r="B954" s="62" t="s">
        <v>261</v>
      </c>
      <c r="C954" s="63">
        <v>46756</v>
      </c>
      <c r="D954" s="64" t="s">
        <v>383</v>
      </c>
    </row>
    <row r="955" spans="2:4" x14ac:dyDescent="0.2">
      <c r="B955" s="62" t="s">
        <v>261</v>
      </c>
      <c r="C955" s="63">
        <v>46789</v>
      </c>
      <c r="D955" s="64" t="s">
        <v>378</v>
      </c>
    </row>
    <row r="956" spans="2:4" x14ac:dyDescent="0.2">
      <c r="B956" s="62" t="s">
        <v>261</v>
      </c>
      <c r="C956" s="63">
        <v>46790</v>
      </c>
      <c r="D956" s="64" t="s">
        <v>384</v>
      </c>
    </row>
    <row r="957" spans="2:4" x14ac:dyDescent="0.2">
      <c r="B957" s="62" t="s">
        <v>261</v>
      </c>
      <c r="C957" s="63">
        <v>46857</v>
      </c>
      <c r="D957" s="64" t="s">
        <v>352</v>
      </c>
    </row>
    <row r="958" spans="2:4" x14ac:dyDescent="0.2">
      <c r="B958" s="62" t="s">
        <v>261</v>
      </c>
      <c r="C958" s="63">
        <v>46860</v>
      </c>
      <c r="D958" s="64" t="s">
        <v>355</v>
      </c>
    </row>
    <row r="959" spans="2:4" x14ac:dyDescent="0.2">
      <c r="B959" s="62" t="s">
        <v>261</v>
      </c>
      <c r="C959" s="63">
        <v>46868</v>
      </c>
      <c r="D959" s="64" t="s">
        <v>379</v>
      </c>
    </row>
    <row r="960" spans="2:4" x14ac:dyDescent="0.2">
      <c r="B960" s="62" t="s">
        <v>261</v>
      </c>
      <c r="C960" s="63">
        <v>46909</v>
      </c>
      <c r="D960" s="64" t="s">
        <v>357</v>
      </c>
    </row>
    <row r="961" spans="2:4" x14ac:dyDescent="0.2">
      <c r="B961" s="62" t="s">
        <v>261</v>
      </c>
      <c r="C961" s="63">
        <v>46948</v>
      </c>
      <c r="D961" s="64" t="s">
        <v>380</v>
      </c>
    </row>
    <row r="962" spans="2:4" x14ac:dyDescent="0.2">
      <c r="B962" s="62" t="s">
        <v>261</v>
      </c>
      <c r="C962" s="63">
        <v>47049</v>
      </c>
      <c r="D962" s="64" t="s">
        <v>381</v>
      </c>
    </row>
    <row r="963" spans="2:4" x14ac:dyDescent="0.2">
      <c r="B963" s="62" t="s">
        <v>261</v>
      </c>
      <c r="C963" s="63">
        <v>47074</v>
      </c>
      <c r="D963" s="64" t="s">
        <v>387</v>
      </c>
    </row>
    <row r="964" spans="2:4" x14ac:dyDescent="0.2">
      <c r="B964" s="62" t="s">
        <v>261</v>
      </c>
      <c r="C964" s="63">
        <v>47112</v>
      </c>
      <c r="D964" s="64" t="s">
        <v>359</v>
      </c>
    </row>
    <row r="965" spans="2:4" x14ac:dyDescent="0.2">
      <c r="B965" s="62" t="s">
        <v>261</v>
      </c>
      <c r="C965" s="63">
        <v>47113</v>
      </c>
      <c r="D965" s="64" t="s">
        <v>360</v>
      </c>
    </row>
    <row r="966" spans="2:4" x14ac:dyDescent="0.2">
      <c r="B966" s="62" t="s">
        <v>261</v>
      </c>
      <c r="C966" s="63">
        <v>47119</v>
      </c>
      <c r="D966" s="64" t="s">
        <v>350</v>
      </c>
    </row>
    <row r="967" spans="2:4" x14ac:dyDescent="0.2">
      <c r="B967" s="62" t="s">
        <v>261</v>
      </c>
      <c r="C967" s="63">
        <v>47120</v>
      </c>
      <c r="D967" s="64" t="s">
        <v>377</v>
      </c>
    </row>
    <row r="968" spans="2:4" x14ac:dyDescent="0.2">
      <c r="B968" s="62" t="s">
        <v>261</v>
      </c>
      <c r="C968" s="63">
        <v>47155</v>
      </c>
      <c r="D968" s="64" t="s">
        <v>378</v>
      </c>
    </row>
    <row r="969" spans="2:4" x14ac:dyDescent="0.2">
      <c r="B969" s="62" t="s">
        <v>261</v>
      </c>
      <c r="C969" s="63">
        <v>47207</v>
      </c>
      <c r="D969" s="64" t="s">
        <v>352</v>
      </c>
    </row>
    <row r="970" spans="2:4" x14ac:dyDescent="0.2">
      <c r="B970" s="62" t="s">
        <v>261</v>
      </c>
      <c r="C970" s="63">
        <v>47210</v>
      </c>
      <c r="D970" s="64" t="s">
        <v>355</v>
      </c>
    </row>
    <row r="971" spans="2:4" x14ac:dyDescent="0.2">
      <c r="B971" s="62" t="s">
        <v>261</v>
      </c>
      <c r="C971" s="63">
        <v>47233</v>
      </c>
      <c r="D971" s="64" t="s">
        <v>379</v>
      </c>
    </row>
    <row r="972" spans="2:4" x14ac:dyDescent="0.2">
      <c r="B972" s="62" t="s">
        <v>261</v>
      </c>
      <c r="C972" s="63">
        <v>47273</v>
      </c>
      <c r="D972" s="64" t="s">
        <v>357</v>
      </c>
    </row>
    <row r="973" spans="2:4" x14ac:dyDescent="0.2">
      <c r="B973" s="62" t="s">
        <v>261</v>
      </c>
      <c r="C973" s="63">
        <v>47305</v>
      </c>
      <c r="D973" s="64" t="s">
        <v>380</v>
      </c>
    </row>
    <row r="974" spans="2:4" x14ac:dyDescent="0.2">
      <c r="B974" s="62" t="s">
        <v>261</v>
      </c>
      <c r="C974" s="63">
        <v>47413</v>
      </c>
      <c r="D974" s="64" t="s">
        <v>381</v>
      </c>
    </row>
    <row r="975" spans="2:4" x14ac:dyDescent="0.2">
      <c r="B975" s="62" t="s">
        <v>261</v>
      </c>
      <c r="C975" s="63">
        <v>47438</v>
      </c>
      <c r="D975" s="64" t="s">
        <v>387</v>
      </c>
    </row>
    <row r="976" spans="2:4" x14ac:dyDescent="0.2">
      <c r="B976" s="62" t="s">
        <v>261</v>
      </c>
      <c r="C976" s="63">
        <v>47477</v>
      </c>
      <c r="D976" s="64" t="s">
        <v>359</v>
      </c>
    </row>
    <row r="977" spans="2:4" x14ac:dyDescent="0.2">
      <c r="B977" s="62" t="s">
        <v>261</v>
      </c>
      <c r="C977" s="63">
        <v>47478</v>
      </c>
      <c r="D977" s="64" t="s">
        <v>360</v>
      </c>
    </row>
    <row r="978" spans="2:4" x14ac:dyDescent="0.2">
      <c r="B978" s="62" t="s">
        <v>261</v>
      </c>
      <c r="C978" s="63">
        <v>47484</v>
      </c>
      <c r="D978" s="64" t="s">
        <v>350</v>
      </c>
    </row>
    <row r="979" spans="2:4" x14ac:dyDescent="0.2">
      <c r="B979" s="62" t="s">
        <v>261</v>
      </c>
      <c r="C979" s="63">
        <v>47485</v>
      </c>
      <c r="D979" s="64" t="s">
        <v>377</v>
      </c>
    </row>
    <row r="980" spans="2:4" x14ac:dyDescent="0.2">
      <c r="B980" s="62" t="s">
        <v>261</v>
      </c>
      <c r="C980" s="63">
        <v>47520</v>
      </c>
      <c r="D980" s="64" t="s">
        <v>378</v>
      </c>
    </row>
    <row r="981" spans="2:4" x14ac:dyDescent="0.2">
      <c r="B981" s="62" t="s">
        <v>261</v>
      </c>
      <c r="C981" s="63">
        <v>47592</v>
      </c>
      <c r="D981" s="64" t="s">
        <v>352</v>
      </c>
    </row>
    <row r="982" spans="2:4" x14ac:dyDescent="0.2">
      <c r="B982" s="62" t="s">
        <v>261</v>
      </c>
      <c r="C982" s="63">
        <v>47595</v>
      </c>
      <c r="D982" s="64" t="s">
        <v>355</v>
      </c>
    </row>
    <row r="983" spans="2:4" x14ac:dyDescent="0.2">
      <c r="B983" s="62" t="s">
        <v>261</v>
      </c>
      <c r="C983" s="63">
        <v>47598</v>
      </c>
      <c r="D983" s="64" t="s">
        <v>379</v>
      </c>
    </row>
    <row r="984" spans="2:4" x14ac:dyDescent="0.2">
      <c r="B984" s="62" t="s">
        <v>261</v>
      </c>
      <c r="C984" s="63">
        <v>47637</v>
      </c>
      <c r="D984" s="64" t="s">
        <v>357</v>
      </c>
    </row>
    <row r="985" spans="2:4" x14ac:dyDescent="0.2">
      <c r="B985" s="62" t="s">
        <v>261</v>
      </c>
      <c r="C985" s="63">
        <v>47655</v>
      </c>
      <c r="D985" s="64" t="s">
        <v>380</v>
      </c>
    </row>
    <row r="986" spans="2:4" x14ac:dyDescent="0.2">
      <c r="B986" s="62" t="s">
        <v>261</v>
      </c>
      <c r="C986" s="63">
        <v>47784</v>
      </c>
      <c r="D986" s="64" t="s">
        <v>381</v>
      </c>
    </row>
    <row r="987" spans="2:4" x14ac:dyDescent="0.2">
      <c r="B987" s="62" t="s">
        <v>261</v>
      </c>
      <c r="C987" s="63">
        <v>47802</v>
      </c>
      <c r="D987" s="64" t="s">
        <v>387</v>
      </c>
    </row>
    <row r="988" spans="2:4" x14ac:dyDescent="0.2">
      <c r="B988" s="62" t="s">
        <v>261</v>
      </c>
      <c r="C988" s="63">
        <v>47842</v>
      </c>
      <c r="D988" s="64" t="s">
        <v>359</v>
      </c>
    </row>
    <row r="989" spans="2:4" x14ac:dyDescent="0.2">
      <c r="B989" s="62" t="s">
        <v>261</v>
      </c>
      <c r="C989" s="63">
        <v>47843</v>
      </c>
      <c r="D989" s="64" t="s">
        <v>360</v>
      </c>
    </row>
    <row r="990" spans="2:4" x14ac:dyDescent="0.2">
      <c r="B990" s="62" t="s">
        <v>262</v>
      </c>
      <c r="C990" s="63">
        <v>45658</v>
      </c>
      <c r="D990" s="64" t="s">
        <v>350</v>
      </c>
    </row>
    <row r="991" spans="2:4" x14ac:dyDescent="0.2">
      <c r="B991" s="62" t="s">
        <v>262</v>
      </c>
      <c r="C991" s="63">
        <v>45659</v>
      </c>
      <c r="D991" s="64" t="s">
        <v>377</v>
      </c>
    </row>
    <row r="992" spans="2:4" x14ac:dyDescent="0.2">
      <c r="B992" s="62" t="s">
        <v>262</v>
      </c>
      <c r="C992" s="63">
        <v>45694</v>
      </c>
      <c r="D992" s="64" t="s">
        <v>378</v>
      </c>
    </row>
    <row r="993" spans="2:4" x14ac:dyDescent="0.2">
      <c r="B993" s="62" t="s">
        <v>262</v>
      </c>
      <c r="C993" s="63">
        <v>45740</v>
      </c>
      <c r="D993" s="64" t="s">
        <v>388</v>
      </c>
    </row>
    <row r="994" spans="2:4" x14ac:dyDescent="0.2">
      <c r="B994" s="62" t="s">
        <v>262</v>
      </c>
      <c r="C994" s="63">
        <v>45765</v>
      </c>
      <c r="D994" s="64" t="s">
        <v>352</v>
      </c>
    </row>
    <row r="995" spans="2:4" x14ac:dyDescent="0.2">
      <c r="B995" s="62" t="s">
        <v>262</v>
      </c>
      <c r="C995" s="63">
        <v>45768</v>
      </c>
      <c r="D995" s="64" t="s">
        <v>355</v>
      </c>
    </row>
    <row r="996" spans="2:4" x14ac:dyDescent="0.2">
      <c r="B996" s="62" t="s">
        <v>262</v>
      </c>
      <c r="C996" s="63">
        <v>45772</v>
      </c>
      <c r="D996" s="64" t="s">
        <v>379</v>
      </c>
    </row>
    <row r="997" spans="2:4" x14ac:dyDescent="0.2">
      <c r="B997" s="62" t="s">
        <v>262</v>
      </c>
      <c r="C997" s="63">
        <v>45810</v>
      </c>
      <c r="D997" s="64" t="s">
        <v>357</v>
      </c>
    </row>
    <row r="998" spans="2:4" x14ac:dyDescent="0.2">
      <c r="B998" s="62" t="s">
        <v>262</v>
      </c>
      <c r="C998" s="63">
        <v>45828</v>
      </c>
      <c r="D998" s="64" t="s">
        <v>380</v>
      </c>
    </row>
    <row r="999" spans="2:4" x14ac:dyDescent="0.2">
      <c r="B999" s="62" t="s">
        <v>262</v>
      </c>
      <c r="C999" s="63">
        <v>45957</v>
      </c>
      <c r="D999" s="64" t="s">
        <v>381</v>
      </c>
    </row>
    <row r="1000" spans="2:4" x14ac:dyDescent="0.2">
      <c r="B1000" s="62" t="s">
        <v>262</v>
      </c>
      <c r="C1000" s="63">
        <v>46016</v>
      </c>
      <c r="D1000" s="64" t="s">
        <v>359</v>
      </c>
    </row>
    <row r="1001" spans="2:4" x14ac:dyDescent="0.2">
      <c r="B1001" s="62" t="s">
        <v>262</v>
      </c>
      <c r="C1001" s="63">
        <v>46017</v>
      </c>
      <c r="D1001" s="64" t="s">
        <v>360</v>
      </c>
    </row>
    <row r="1002" spans="2:4" x14ac:dyDescent="0.2">
      <c r="B1002" s="62" t="s">
        <v>262</v>
      </c>
      <c r="C1002" s="63">
        <v>46023</v>
      </c>
      <c r="D1002" s="64" t="s">
        <v>350</v>
      </c>
    </row>
    <row r="1003" spans="2:4" x14ac:dyDescent="0.2">
      <c r="B1003" s="62" t="s">
        <v>262</v>
      </c>
      <c r="C1003" s="63">
        <v>46024</v>
      </c>
      <c r="D1003" s="64" t="s">
        <v>377</v>
      </c>
    </row>
    <row r="1004" spans="2:4" x14ac:dyDescent="0.2">
      <c r="B1004" s="62" t="s">
        <v>262</v>
      </c>
      <c r="C1004" s="63">
        <v>46059</v>
      </c>
      <c r="D1004" s="64" t="s">
        <v>378</v>
      </c>
    </row>
    <row r="1005" spans="2:4" x14ac:dyDescent="0.2">
      <c r="B1005" s="62" t="s">
        <v>262</v>
      </c>
      <c r="C1005" s="63">
        <v>46104</v>
      </c>
      <c r="D1005" s="64" t="s">
        <v>388</v>
      </c>
    </row>
    <row r="1006" spans="2:4" x14ac:dyDescent="0.2">
      <c r="B1006" s="62" t="s">
        <v>262</v>
      </c>
      <c r="C1006" s="63">
        <v>46115</v>
      </c>
      <c r="D1006" s="64" t="s">
        <v>352</v>
      </c>
    </row>
    <row r="1007" spans="2:4" x14ac:dyDescent="0.2">
      <c r="B1007" s="62" t="s">
        <v>262</v>
      </c>
      <c r="C1007" s="63">
        <v>46118</v>
      </c>
      <c r="D1007" s="64" t="s">
        <v>355</v>
      </c>
    </row>
    <row r="1008" spans="2:4" x14ac:dyDescent="0.2">
      <c r="B1008" s="62" t="s">
        <v>262</v>
      </c>
      <c r="C1008" s="63">
        <v>46137</v>
      </c>
      <c r="D1008" s="64" t="s">
        <v>379</v>
      </c>
    </row>
    <row r="1009" spans="2:4" x14ac:dyDescent="0.2">
      <c r="B1009" s="62" t="s">
        <v>262</v>
      </c>
      <c r="C1009" s="63">
        <v>46139</v>
      </c>
      <c r="D1009" s="64" t="s">
        <v>382</v>
      </c>
    </row>
    <row r="1010" spans="2:4" x14ac:dyDescent="0.2">
      <c r="B1010" s="62" t="s">
        <v>262</v>
      </c>
      <c r="C1010" s="63">
        <v>46174</v>
      </c>
      <c r="D1010" s="64" t="s">
        <v>357</v>
      </c>
    </row>
    <row r="1011" spans="2:4" x14ac:dyDescent="0.2">
      <c r="B1011" s="62" t="s">
        <v>262</v>
      </c>
      <c r="C1011" s="63">
        <v>46213</v>
      </c>
      <c r="D1011" s="64" t="s">
        <v>380</v>
      </c>
    </row>
    <row r="1012" spans="2:4" x14ac:dyDescent="0.2">
      <c r="B1012" s="62" t="s">
        <v>262</v>
      </c>
      <c r="C1012" s="63">
        <v>46321</v>
      </c>
      <c r="D1012" s="64" t="s">
        <v>381</v>
      </c>
    </row>
    <row r="1013" spans="2:4" x14ac:dyDescent="0.2">
      <c r="B1013" s="62" t="s">
        <v>262</v>
      </c>
      <c r="C1013" s="63">
        <v>46381</v>
      </c>
      <c r="D1013" s="64" t="s">
        <v>359</v>
      </c>
    </row>
    <row r="1014" spans="2:4" x14ac:dyDescent="0.2">
      <c r="B1014" s="62" t="s">
        <v>262</v>
      </c>
      <c r="C1014" s="63">
        <v>46382</v>
      </c>
      <c r="D1014" s="64" t="s">
        <v>360</v>
      </c>
    </row>
    <row r="1015" spans="2:4" x14ac:dyDescent="0.2">
      <c r="B1015" s="62" t="s">
        <v>262</v>
      </c>
      <c r="C1015" s="63">
        <v>46384</v>
      </c>
      <c r="D1015" s="64" t="s">
        <v>362</v>
      </c>
    </row>
    <row r="1016" spans="2:4" x14ac:dyDescent="0.2">
      <c r="B1016" s="62" t="s">
        <v>262</v>
      </c>
      <c r="C1016" s="63">
        <v>46388</v>
      </c>
      <c r="D1016" s="64" t="s">
        <v>350</v>
      </c>
    </row>
    <row r="1017" spans="2:4" x14ac:dyDescent="0.2">
      <c r="B1017" s="62" t="s">
        <v>262</v>
      </c>
      <c r="C1017" s="63">
        <v>46389</v>
      </c>
      <c r="D1017" s="64" t="s">
        <v>377</v>
      </c>
    </row>
    <row r="1018" spans="2:4" x14ac:dyDescent="0.2">
      <c r="B1018" s="62" t="s">
        <v>262</v>
      </c>
      <c r="C1018" s="63">
        <v>46391</v>
      </c>
      <c r="D1018" s="64" t="s">
        <v>383</v>
      </c>
    </row>
    <row r="1019" spans="2:4" x14ac:dyDescent="0.2">
      <c r="B1019" s="62" t="s">
        <v>262</v>
      </c>
      <c r="C1019" s="63">
        <v>46424</v>
      </c>
      <c r="D1019" s="64" t="s">
        <v>378</v>
      </c>
    </row>
    <row r="1020" spans="2:4" x14ac:dyDescent="0.2">
      <c r="B1020" s="62" t="s">
        <v>262</v>
      </c>
      <c r="C1020" s="63">
        <v>46426</v>
      </c>
      <c r="D1020" s="64" t="s">
        <v>384</v>
      </c>
    </row>
    <row r="1021" spans="2:4" x14ac:dyDescent="0.2">
      <c r="B1021" s="62" t="s">
        <v>262</v>
      </c>
      <c r="C1021" s="63">
        <v>46468</v>
      </c>
      <c r="D1021" s="64" t="s">
        <v>388</v>
      </c>
    </row>
    <row r="1022" spans="2:4" x14ac:dyDescent="0.2">
      <c r="B1022" s="62" t="s">
        <v>262</v>
      </c>
      <c r="C1022" s="63">
        <v>46472</v>
      </c>
      <c r="D1022" s="64" t="s">
        <v>352</v>
      </c>
    </row>
    <row r="1023" spans="2:4" x14ac:dyDescent="0.2">
      <c r="B1023" s="62" t="s">
        <v>262</v>
      </c>
      <c r="C1023" s="63">
        <v>46475</v>
      </c>
      <c r="D1023" s="64" t="s">
        <v>355</v>
      </c>
    </row>
    <row r="1024" spans="2:4" x14ac:dyDescent="0.2">
      <c r="B1024" s="62" t="s">
        <v>262</v>
      </c>
      <c r="C1024" s="63">
        <v>46502</v>
      </c>
      <c r="D1024" s="64" t="s">
        <v>379</v>
      </c>
    </row>
    <row r="1025" spans="2:4" x14ac:dyDescent="0.2">
      <c r="B1025" s="62" t="s">
        <v>262</v>
      </c>
      <c r="C1025" s="63">
        <v>46503</v>
      </c>
      <c r="D1025" s="64" t="s">
        <v>382</v>
      </c>
    </row>
    <row r="1026" spans="2:4" x14ac:dyDescent="0.2">
      <c r="B1026" s="62" t="s">
        <v>262</v>
      </c>
      <c r="C1026" s="63">
        <v>46545</v>
      </c>
      <c r="D1026" s="64" t="s">
        <v>357</v>
      </c>
    </row>
    <row r="1027" spans="2:4" x14ac:dyDescent="0.2">
      <c r="B1027" s="62" t="s">
        <v>262</v>
      </c>
      <c r="C1027" s="63">
        <v>46563</v>
      </c>
      <c r="D1027" s="64" t="s">
        <v>380</v>
      </c>
    </row>
    <row r="1028" spans="2:4" x14ac:dyDescent="0.2">
      <c r="B1028" s="62" t="s">
        <v>262</v>
      </c>
      <c r="C1028" s="63">
        <v>46685</v>
      </c>
      <c r="D1028" s="64" t="s">
        <v>381</v>
      </c>
    </row>
    <row r="1029" spans="2:4" x14ac:dyDescent="0.2">
      <c r="B1029" s="62" t="s">
        <v>262</v>
      </c>
      <c r="C1029" s="63">
        <v>46746</v>
      </c>
      <c r="D1029" s="64" t="s">
        <v>359</v>
      </c>
    </row>
    <row r="1030" spans="2:4" x14ac:dyDescent="0.2">
      <c r="B1030" s="62" t="s">
        <v>262</v>
      </c>
      <c r="C1030" s="63">
        <v>46747</v>
      </c>
      <c r="D1030" s="64" t="s">
        <v>360</v>
      </c>
    </row>
    <row r="1031" spans="2:4" x14ac:dyDescent="0.2">
      <c r="B1031" s="62" t="s">
        <v>262</v>
      </c>
      <c r="C1031" s="63">
        <v>46748</v>
      </c>
      <c r="D1031" s="64" t="s">
        <v>363</v>
      </c>
    </row>
    <row r="1032" spans="2:4" x14ac:dyDescent="0.2">
      <c r="B1032" s="62" t="s">
        <v>262</v>
      </c>
      <c r="C1032" s="63">
        <v>46749</v>
      </c>
      <c r="D1032" s="64" t="s">
        <v>362</v>
      </c>
    </row>
    <row r="1033" spans="2:4" x14ac:dyDescent="0.2">
      <c r="B1033" s="62" t="s">
        <v>262</v>
      </c>
      <c r="C1033" s="63">
        <v>46753</v>
      </c>
      <c r="D1033" s="64" t="s">
        <v>350</v>
      </c>
    </row>
    <row r="1034" spans="2:4" x14ac:dyDescent="0.2">
      <c r="B1034" s="62" t="s">
        <v>262</v>
      </c>
      <c r="C1034" s="63">
        <v>46754</v>
      </c>
      <c r="D1034" s="64" t="s">
        <v>377</v>
      </c>
    </row>
    <row r="1035" spans="2:4" x14ac:dyDescent="0.2">
      <c r="B1035" s="62" t="s">
        <v>262</v>
      </c>
      <c r="C1035" s="63">
        <v>46755</v>
      </c>
      <c r="D1035" s="64" t="s">
        <v>364</v>
      </c>
    </row>
    <row r="1036" spans="2:4" x14ac:dyDescent="0.2">
      <c r="B1036" s="62" t="s">
        <v>262</v>
      </c>
      <c r="C1036" s="63">
        <v>46756</v>
      </c>
      <c r="D1036" s="64" t="s">
        <v>383</v>
      </c>
    </row>
    <row r="1037" spans="2:4" x14ac:dyDescent="0.2">
      <c r="B1037" s="62" t="s">
        <v>262</v>
      </c>
      <c r="C1037" s="63">
        <v>46789</v>
      </c>
      <c r="D1037" s="64" t="s">
        <v>378</v>
      </c>
    </row>
    <row r="1038" spans="2:4" x14ac:dyDescent="0.2">
      <c r="B1038" s="62" t="s">
        <v>262</v>
      </c>
      <c r="C1038" s="63">
        <v>46790</v>
      </c>
      <c r="D1038" s="64" t="s">
        <v>384</v>
      </c>
    </row>
    <row r="1039" spans="2:4" x14ac:dyDescent="0.2">
      <c r="B1039" s="62" t="s">
        <v>262</v>
      </c>
      <c r="C1039" s="63">
        <v>46832</v>
      </c>
      <c r="D1039" s="64" t="s">
        <v>388</v>
      </c>
    </row>
    <row r="1040" spans="2:4" x14ac:dyDescent="0.2">
      <c r="B1040" s="62" t="s">
        <v>262</v>
      </c>
      <c r="C1040" s="63">
        <v>46857</v>
      </c>
      <c r="D1040" s="64" t="s">
        <v>352</v>
      </c>
    </row>
    <row r="1041" spans="2:4" x14ac:dyDescent="0.2">
      <c r="B1041" s="62" t="s">
        <v>262</v>
      </c>
      <c r="C1041" s="63">
        <v>46860</v>
      </c>
      <c r="D1041" s="64" t="s">
        <v>355</v>
      </c>
    </row>
    <row r="1042" spans="2:4" x14ac:dyDescent="0.2">
      <c r="B1042" s="62" t="s">
        <v>262</v>
      </c>
      <c r="C1042" s="63">
        <v>46868</v>
      </c>
      <c r="D1042" s="64" t="s">
        <v>379</v>
      </c>
    </row>
    <row r="1043" spans="2:4" x14ac:dyDescent="0.2">
      <c r="B1043" s="62" t="s">
        <v>262</v>
      </c>
      <c r="C1043" s="63">
        <v>46909</v>
      </c>
      <c r="D1043" s="64" t="s">
        <v>357</v>
      </c>
    </row>
    <row r="1044" spans="2:4" x14ac:dyDescent="0.2">
      <c r="B1044" s="62" t="s">
        <v>262</v>
      </c>
      <c r="C1044" s="63">
        <v>46948</v>
      </c>
      <c r="D1044" s="64" t="s">
        <v>380</v>
      </c>
    </row>
    <row r="1045" spans="2:4" x14ac:dyDescent="0.2">
      <c r="B1045" s="62" t="s">
        <v>262</v>
      </c>
      <c r="C1045" s="63">
        <v>47049</v>
      </c>
      <c r="D1045" s="64" t="s">
        <v>381</v>
      </c>
    </row>
    <row r="1046" spans="2:4" x14ac:dyDescent="0.2">
      <c r="B1046" s="62" t="s">
        <v>262</v>
      </c>
      <c r="C1046" s="63">
        <v>47112</v>
      </c>
      <c r="D1046" s="64" t="s">
        <v>359</v>
      </c>
    </row>
    <row r="1047" spans="2:4" x14ac:dyDescent="0.2">
      <c r="B1047" s="62" t="s">
        <v>262</v>
      </c>
      <c r="C1047" s="63">
        <v>47113</v>
      </c>
      <c r="D1047" s="64" t="s">
        <v>360</v>
      </c>
    </row>
    <row r="1048" spans="2:4" x14ac:dyDescent="0.2">
      <c r="B1048" s="62" t="s">
        <v>262</v>
      </c>
      <c r="C1048" s="63">
        <v>47119</v>
      </c>
      <c r="D1048" s="64" t="s">
        <v>350</v>
      </c>
    </row>
    <row r="1049" spans="2:4" x14ac:dyDescent="0.2">
      <c r="B1049" s="62" t="s">
        <v>262</v>
      </c>
      <c r="C1049" s="63">
        <v>47120</v>
      </c>
      <c r="D1049" s="64" t="s">
        <v>377</v>
      </c>
    </row>
    <row r="1050" spans="2:4" x14ac:dyDescent="0.2">
      <c r="B1050" s="62" t="s">
        <v>262</v>
      </c>
      <c r="C1050" s="63">
        <v>47155</v>
      </c>
      <c r="D1050" s="64" t="s">
        <v>378</v>
      </c>
    </row>
    <row r="1051" spans="2:4" x14ac:dyDescent="0.2">
      <c r="B1051" s="62" t="s">
        <v>262</v>
      </c>
      <c r="C1051" s="63">
        <v>47203</v>
      </c>
      <c r="D1051" s="64" t="s">
        <v>388</v>
      </c>
    </row>
    <row r="1052" spans="2:4" x14ac:dyDescent="0.2">
      <c r="B1052" s="62" t="s">
        <v>262</v>
      </c>
      <c r="C1052" s="63">
        <v>47207</v>
      </c>
      <c r="D1052" s="64" t="s">
        <v>352</v>
      </c>
    </row>
    <row r="1053" spans="2:4" x14ac:dyDescent="0.2">
      <c r="B1053" s="62" t="s">
        <v>262</v>
      </c>
      <c r="C1053" s="63">
        <v>47210</v>
      </c>
      <c r="D1053" s="64" t="s">
        <v>355</v>
      </c>
    </row>
    <row r="1054" spans="2:4" x14ac:dyDescent="0.2">
      <c r="B1054" s="62" t="s">
        <v>262</v>
      </c>
      <c r="C1054" s="63">
        <v>47233</v>
      </c>
      <c r="D1054" s="64" t="s">
        <v>379</v>
      </c>
    </row>
    <row r="1055" spans="2:4" x14ac:dyDescent="0.2">
      <c r="B1055" s="62" t="s">
        <v>262</v>
      </c>
      <c r="C1055" s="63">
        <v>47273</v>
      </c>
      <c r="D1055" s="64" t="s">
        <v>357</v>
      </c>
    </row>
    <row r="1056" spans="2:4" x14ac:dyDescent="0.2">
      <c r="B1056" s="62" t="s">
        <v>262</v>
      </c>
      <c r="C1056" s="63">
        <v>47305</v>
      </c>
      <c r="D1056" s="64" t="s">
        <v>380</v>
      </c>
    </row>
    <row r="1057" spans="2:4" x14ac:dyDescent="0.2">
      <c r="B1057" s="62" t="s">
        <v>262</v>
      </c>
      <c r="C1057" s="63">
        <v>47413</v>
      </c>
      <c r="D1057" s="64" t="s">
        <v>381</v>
      </c>
    </row>
    <row r="1058" spans="2:4" x14ac:dyDescent="0.2">
      <c r="B1058" s="62" t="s">
        <v>262</v>
      </c>
      <c r="C1058" s="63">
        <v>47477</v>
      </c>
      <c r="D1058" s="64" t="s">
        <v>359</v>
      </c>
    </row>
    <row r="1059" spans="2:4" x14ac:dyDescent="0.2">
      <c r="B1059" s="62" t="s">
        <v>262</v>
      </c>
      <c r="C1059" s="63">
        <v>47478</v>
      </c>
      <c r="D1059" s="64" t="s">
        <v>360</v>
      </c>
    </row>
    <row r="1060" spans="2:4" x14ac:dyDescent="0.2">
      <c r="B1060" s="62" t="s">
        <v>262</v>
      </c>
      <c r="C1060" s="63">
        <v>47484</v>
      </c>
      <c r="D1060" s="64" t="s">
        <v>350</v>
      </c>
    </row>
    <row r="1061" spans="2:4" x14ac:dyDescent="0.2">
      <c r="B1061" s="62" t="s">
        <v>262</v>
      </c>
      <c r="C1061" s="63">
        <v>47485</v>
      </c>
      <c r="D1061" s="64" t="s">
        <v>377</v>
      </c>
    </row>
    <row r="1062" spans="2:4" x14ac:dyDescent="0.2">
      <c r="B1062" s="62" t="s">
        <v>262</v>
      </c>
      <c r="C1062" s="63">
        <v>47520</v>
      </c>
      <c r="D1062" s="64" t="s">
        <v>378</v>
      </c>
    </row>
    <row r="1063" spans="2:4" x14ac:dyDescent="0.2">
      <c r="B1063" s="62" t="s">
        <v>262</v>
      </c>
      <c r="C1063" s="63">
        <v>47567</v>
      </c>
      <c r="D1063" s="64" t="s">
        <v>388</v>
      </c>
    </row>
    <row r="1064" spans="2:4" x14ac:dyDescent="0.2">
      <c r="B1064" s="62" t="s">
        <v>262</v>
      </c>
      <c r="C1064" s="63">
        <v>47592</v>
      </c>
      <c r="D1064" s="64" t="s">
        <v>352</v>
      </c>
    </row>
    <row r="1065" spans="2:4" x14ac:dyDescent="0.2">
      <c r="B1065" s="62" t="s">
        <v>262</v>
      </c>
      <c r="C1065" s="63">
        <v>47595</v>
      </c>
      <c r="D1065" s="64" t="s">
        <v>355</v>
      </c>
    </row>
    <row r="1066" spans="2:4" x14ac:dyDescent="0.2">
      <c r="B1066" s="62" t="s">
        <v>262</v>
      </c>
      <c r="C1066" s="63">
        <v>47598</v>
      </c>
      <c r="D1066" s="64" t="s">
        <v>379</v>
      </c>
    </row>
    <row r="1067" spans="2:4" x14ac:dyDescent="0.2">
      <c r="B1067" s="62" t="s">
        <v>262</v>
      </c>
      <c r="C1067" s="63">
        <v>47637</v>
      </c>
      <c r="D1067" s="64" t="s">
        <v>357</v>
      </c>
    </row>
    <row r="1068" spans="2:4" x14ac:dyDescent="0.2">
      <c r="B1068" s="62" t="s">
        <v>262</v>
      </c>
      <c r="C1068" s="63">
        <v>47655</v>
      </c>
      <c r="D1068" s="64" t="s">
        <v>380</v>
      </c>
    </row>
    <row r="1069" spans="2:4" x14ac:dyDescent="0.2">
      <c r="B1069" s="62" t="s">
        <v>262</v>
      </c>
      <c r="C1069" s="63">
        <v>47784</v>
      </c>
      <c r="D1069" s="64" t="s">
        <v>381</v>
      </c>
    </row>
    <row r="1070" spans="2:4" x14ac:dyDescent="0.2">
      <c r="B1070" s="62" t="s">
        <v>262</v>
      </c>
      <c r="C1070" s="63">
        <v>47842</v>
      </c>
      <c r="D1070" s="64" t="s">
        <v>359</v>
      </c>
    </row>
    <row r="1071" spans="2:4" x14ac:dyDescent="0.2">
      <c r="B1071" s="62" t="s">
        <v>262</v>
      </c>
      <c r="C1071" s="63">
        <v>47843</v>
      </c>
      <c r="D1071" s="64" t="s">
        <v>360</v>
      </c>
    </row>
    <row r="1072" spans="2:4" x14ac:dyDescent="0.2">
      <c r="B1072" s="62" t="s">
        <v>263</v>
      </c>
      <c r="C1072" s="63">
        <v>45658</v>
      </c>
      <c r="D1072" s="64" t="s">
        <v>350</v>
      </c>
    </row>
    <row r="1073" spans="2:4" x14ac:dyDescent="0.2">
      <c r="B1073" s="62" t="s">
        <v>263</v>
      </c>
      <c r="C1073" s="63">
        <v>45677</v>
      </c>
      <c r="D1073" s="64" t="s">
        <v>389</v>
      </c>
    </row>
    <row r="1074" spans="2:4" x14ac:dyDescent="0.2">
      <c r="B1074" s="62" t="s">
        <v>263</v>
      </c>
      <c r="C1074" s="63">
        <v>45705</v>
      </c>
      <c r="D1074" s="64" t="s">
        <v>390</v>
      </c>
    </row>
    <row r="1075" spans="2:4" x14ac:dyDescent="0.2">
      <c r="B1075" s="62" t="s">
        <v>263</v>
      </c>
      <c r="C1075" s="63">
        <v>45803</v>
      </c>
      <c r="D1075" s="64" t="s">
        <v>391</v>
      </c>
    </row>
    <row r="1076" spans="2:4" x14ac:dyDescent="0.2">
      <c r="B1076" s="62" t="s">
        <v>263</v>
      </c>
      <c r="C1076" s="63">
        <v>45827</v>
      </c>
      <c r="D1076" s="64" t="s">
        <v>392</v>
      </c>
    </row>
    <row r="1077" spans="2:4" x14ac:dyDescent="0.2">
      <c r="B1077" s="62" t="s">
        <v>263</v>
      </c>
      <c r="C1077" s="63">
        <v>45842</v>
      </c>
      <c r="D1077" s="64" t="s">
        <v>393</v>
      </c>
    </row>
    <row r="1078" spans="2:4" x14ac:dyDescent="0.2">
      <c r="B1078" s="62" t="s">
        <v>263</v>
      </c>
      <c r="C1078" s="63">
        <v>45901</v>
      </c>
      <c r="D1078" s="64" t="s">
        <v>358</v>
      </c>
    </row>
    <row r="1079" spans="2:4" x14ac:dyDescent="0.2">
      <c r="B1079" s="62" t="s">
        <v>263</v>
      </c>
      <c r="C1079" s="63">
        <v>45943</v>
      </c>
      <c r="D1079" s="64" t="s">
        <v>394</v>
      </c>
    </row>
    <row r="1080" spans="2:4" x14ac:dyDescent="0.2">
      <c r="B1080" s="62" t="s">
        <v>263</v>
      </c>
      <c r="C1080" s="63">
        <v>45972</v>
      </c>
      <c r="D1080" s="64" t="s">
        <v>395</v>
      </c>
    </row>
    <row r="1081" spans="2:4" x14ac:dyDescent="0.2">
      <c r="B1081" s="62" t="s">
        <v>263</v>
      </c>
      <c r="C1081" s="63">
        <v>45988</v>
      </c>
      <c r="D1081" s="64" t="s">
        <v>396</v>
      </c>
    </row>
    <row r="1082" spans="2:4" x14ac:dyDescent="0.2">
      <c r="B1082" s="62" t="s">
        <v>263</v>
      </c>
      <c r="C1082" s="63">
        <v>46016</v>
      </c>
      <c r="D1082" s="64" t="s">
        <v>359</v>
      </c>
    </row>
    <row r="1083" spans="2:4" x14ac:dyDescent="0.2">
      <c r="B1083" s="62" t="s">
        <v>263</v>
      </c>
      <c r="C1083" s="63">
        <v>46023</v>
      </c>
      <c r="D1083" s="64" t="s">
        <v>350</v>
      </c>
    </row>
    <row r="1084" spans="2:4" x14ac:dyDescent="0.2">
      <c r="B1084" s="62" t="s">
        <v>263</v>
      </c>
      <c r="C1084" s="63">
        <v>46041</v>
      </c>
      <c r="D1084" s="64" t="s">
        <v>389</v>
      </c>
    </row>
    <row r="1085" spans="2:4" x14ac:dyDescent="0.2">
      <c r="B1085" s="62" t="s">
        <v>263</v>
      </c>
      <c r="C1085" s="63">
        <v>46069</v>
      </c>
      <c r="D1085" s="64" t="s">
        <v>390</v>
      </c>
    </row>
    <row r="1086" spans="2:4" x14ac:dyDescent="0.2">
      <c r="B1086" s="62" t="s">
        <v>263</v>
      </c>
      <c r="C1086" s="63">
        <v>46167</v>
      </c>
      <c r="D1086" s="64" t="s">
        <v>391</v>
      </c>
    </row>
    <row r="1087" spans="2:4" x14ac:dyDescent="0.2">
      <c r="B1087" s="62" t="s">
        <v>263</v>
      </c>
      <c r="C1087" s="63">
        <v>46192</v>
      </c>
      <c r="D1087" s="64" t="s">
        <v>392</v>
      </c>
    </row>
    <row r="1088" spans="2:4" x14ac:dyDescent="0.2">
      <c r="B1088" s="62" t="s">
        <v>263</v>
      </c>
      <c r="C1088" s="63">
        <v>46206</v>
      </c>
      <c r="D1088" s="64" t="s">
        <v>397</v>
      </c>
    </row>
    <row r="1089" spans="2:4" x14ac:dyDescent="0.2">
      <c r="B1089" s="62" t="s">
        <v>263</v>
      </c>
      <c r="C1089" s="63">
        <v>46207</v>
      </c>
      <c r="D1089" s="64" t="s">
        <v>393</v>
      </c>
    </row>
    <row r="1090" spans="2:4" x14ac:dyDescent="0.2">
      <c r="B1090" s="62" t="s">
        <v>263</v>
      </c>
      <c r="C1090" s="63">
        <v>46272</v>
      </c>
      <c r="D1090" s="64" t="s">
        <v>358</v>
      </c>
    </row>
    <row r="1091" spans="2:4" x14ac:dyDescent="0.2">
      <c r="B1091" s="62" t="s">
        <v>263</v>
      </c>
      <c r="C1091" s="63">
        <v>46307</v>
      </c>
      <c r="D1091" s="64" t="s">
        <v>394</v>
      </c>
    </row>
    <row r="1092" spans="2:4" x14ac:dyDescent="0.2">
      <c r="B1092" s="62" t="s">
        <v>263</v>
      </c>
      <c r="C1092" s="63">
        <v>46337</v>
      </c>
      <c r="D1092" s="64" t="s">
        <v>395</v>
      </c>
    </row>
    <row r="1093" spans="2:4" x14ac:dyDescent="0.2">
      <c r="B1093" s="62" t="s">
        <v>263</v>
      </c>
      <c r="C1093" s="63">
        <v>46352</v>
      </c>
      <c r="D1093" s="64" t="s">
        <v>396</v>
      </c>
    </row>
    <row r="1094" spans="2:4" x14ac:dyDescent="0.2">
      <c r="B1094" s="62" t="s">
        <v>263</v>
      </c>
      <c r="C1094" s="63">
        <v>46381</v>
      </c>
      <c r="D1094" s="64" t="s">
        <v>359</v>
      </c>
    </row>
    <row r="1095" spans="2:4" x14ac:dyDescent="0.2">
      <c r="B1095" s="62" t="s">
        <v>263</v>
      </c>
      <c r="C1095" s="63">
        <v>46388</v>
      </c>
      <c r="D1095" s="64" t="s">
        <v>350</v>
      </c>
    </row>
    <row r="1096" spans="2:4" x14ac:dyDescent="0.2">
      <c r="B1096" s="62" t="s">
        <v>263</v>
      </c>
      <c r="C1096" s="63">
        <v>46405</v>
      </c>
      <c r="D1096" s="64" t="s">
        <v>389</v>
      </c>
    </row>
    <row r="1097" spans="2:4" x14ac:dyDescent="0.2">
      <c r="B1097" s="62" t="s">
        <v>263</v>
      </c>
      <c r="C1097" s="63">
        <v>46433</v>
      </c>
      <c r="D1097" s="64" t="s">
        <v>390</v>
      </c>
    </row>
    <row r="1098" spans="2:4" x14ac:dyDescent="0.2">
      <c r="B1098" s="62" t="s">
        <v>263</v>
      </c>
      <c r="C1098" s="63">
        <v>46538</v>
      </c>
      <c r="D1098" s="64" t="s">
        <v>391</v>
      </c>
    </row>
    <row r="1099" spans="2:4" x14ac:dyDescent="0.2">
      <c r="B1099" s="62" t="s">
        <v>263</v>
      </c>
      <c r="C1099" s="63">
        <v>46556</v>
      </c>
      <c r="D1099" s="64" t="s">
        <v>398</v>
      </c>
    </row>
    <row r="1100" spans="2:4" x14ac:dyDescent="0.2">
      <c r="B1100" s="62" t="s">
        <v>263</v>
      </c>
      <c r="C1100" s="63">
        <v>46557</v>
      </c>
      <c r="D1100" s="64" t="s">
        <v>392</v>
      </c>
    </row>
    <row r="1101" spans="2:4" x14ac:dyDescent="0.2">
      <c r="B1101" s="62" t="s">
        <v>263</v>
      </c>
      <c r="C1101" s="63">
        <v>46572</v>
      </c>
      <c r="D1101" s="64" t="s">
        <v>393</v>
      </c>
    </row>
    <row r="1102" spans="2:4" x14ac:dyDescent="0.2">
      <c r="B1102" s="62" t="s">
        <v>263</v>
      </c>
      <c r="C1102" s="63">
        <v>46573</v>
      </c>
      <c r="D1102" s="64" t="s">
        <v>397</v>
      </c>
    </row>
    <row r="1103" spans="2:4" x14ac:dyDescent="0.2">
      <c r="B1103" s="62" t="s">
        <v>263</v>
      </c>
      <c r="C1103" s="63">
        <v>46636</v>
      </c>
      <c r="D1103" s="64" t="s">
        <v>358</v>
      </c>
    </row>
    <row r="1104" spans="2:4" x14ac:dyDescent="0.2">
      <c r="B1104" s="62" t="s">
        <v>263</v>
      </c>
      <c r="C1104" s="63">
        <v>46671</v>
      </c>
      <c r="D1104" s="64" t="s">
        <v>394</v>
      </c>
    </row>
    <row r="1105" spans="2:4" x14ac:dyDescent="0.2">
      <c r="B1105" s="62" t="s">
        <v>263</v>
      </c>
      <c r="C1105" s="63">
        <v>46702</v>
      </c>
      <c r="D1105" s="64" t="s">
        <v>395</v>
      </c>
    </row>
    <row r="1106" spans="2:4" x14ac:dyDescent="0.2">
      <c r="B1106" s="62" t="s">
        <v>263</v>
      </c>
      <c r="C1106" s="63">
        <v>46716</v>
      </c>
      <c r="D1106" s="64" t="s">
        <v>396</v>
      </c>
    </row>
    <row r="1107" spans="2:4" x14ac:dyDescent="0.2">
      <c r="B1107" s="62" t="s">
        <v>263</v>
      </c>
      <c r="C1107" s="63">
        <v>46745</v>
      </c>
      <c r="D1107" s="64" t="s">
        <v>363</v>
      </c>
    </row>
    <row r="1108" spans="2:4" x14ac:dyDescent="0.2">
      <c r="B1108" s="62" t="s">
        <v>263</v>
      </c>
      <c r="C1108" s="63">
        <v>46746</v>
      </c>
      <c r="D1108" s="64" t="s">
        <v>359</v>
      </c>
    </row>
    <row r="1109" spans="2:4" x14ac:dyDescent="0.2">
      <c r="B1109" s="62" t="s">
        <v>263</v>
      </c>
      <c r="C1109" s="63">
        <v>46752</v>
      </c>
      <c r="D1109" s="64" t="s">
        <v>364</v>
      </c>
    </row>
    <row r="1110" spans="2:4" x14ac:dyDescent="0.2">
      <c r="B1110" s="62" t="s">
        <v>263</v>
      </c>
      <c r="C1110" s="63">
        <v>46753</v>
      </c>
      <c r="D1110" s="64" t="s">
        <v>350</v>
      </c>
    </row>
    <row r="1111" spans="2:4" x14ac:dyDescent="0.2">
      <c r="B1111" s="62" t="s">
        <v>263</v>
      </c>
      <c r="C1111" s="63">
        <v>46769</v>
      </c>
      <c r="D1111" s="64" t="s">
        <v>389</v>
      </c>
    </row>
    <row r="1112" spans="2:4" x14ac:dyDescent="0.2">
      <c r="B1112" s="62" t="s">
        <v>263</v>
      </c>
      <c r="C1112" s="63">
        <v>46804</v>
      </c>
      <c r="D1112" s="64" t="s">
        <v>390</v>
      </c>
    </row>
    <row r="1113" spans="2:4" x14ac:dyDescent="0.2">
      <c r="B1113" s="62" t="s">
        <v>263</v>
      </c>
      <c r="C1113" s="63">
        <v>46902</v>
      </c>
      <c r="D1113" s="64" t="s">
        <v>391</v>
      </c>
    </row>
    <row r="1114" spans="2:4" x14ac:dyDescent="0.2">
      <c r="B1114" s="62" t="s">
        <v>263</v>
      </c>
      <c r="C1114" s="63">
        <v>46923</v>
      </c>
      <c r="D1114" s="64" t="s">
        <v>392</v>
      </c>
    </row>
    <row r="1115" spans="2:4" x14ac:dyDescent="0.2">
      <c r="B1115" s="62" t="s">
        <v>263</v>
      </c>
      <c r="C1115" s="63">
        <v>46938</v>
      </c>
      <c r="D1115" s="64" t="s">
        <v>393</v>
      </c>
    </row>
    <row r="1116" spans="2:4" x14ac:dyDescent="0.2">
      <c r="B1116" s="62" t="s">
        <v>263</v>
      </c>
      <c r="C1116" s="63">
        <v>47000</v>
      </c>
      <c r="D1116" s="64" t="s">
        <v>358</v>
      </c>
    </row>
    <row r="1117" spans="2:4" x14ac:dyDescent="0.2">
      <c r="B1117" s="62" t="s">
        <v>263</v>
      </c>
      <c r="C1117" s="63">
        <v>47035</v>
      </c>
      <c r="D1117" s="64" t="s">
        <v>394</v>
      </c>
    </row>
    <row r="1118" spans="2:4" x14ac:dyDescent="0.2">
      <c r="B1118" s="62" t="s">
        <v>263</v>
      </c>
      <c r="C1118" s="63">
        <v>47067</v>
      </c>
      <c r="D1118" s="64" t="s">
        <v>399</v>
      </c>
    </row>
    <row r="1119" spans="2:4" x14ac:dyDescent="0.2">
      <c r="B1119" s="62" t="s">
        <v>263</v>
      </c>
      <c r="C1119" s="63">
        <v>47068</v>
      </c>
      <c r="D1119" s="64" t="s">
        <v>395</v>
      </c>
    </row>
    <row r="1120" spans="2:4" x14ac:dyDescent="0.2">
      <c r="B1120" s="62" t="s">
        <v>263</v>
      </c>
      <c r="C1120" s="63">
        <v>47080</v>
      </c>
      <c r="D1120" s="64" t="s">
        <v>396</v>
      </c>
    </row>
    <row r="1121" spans="2:4" x14ac:dyDescent="0.2">
      <c r="B1121" s="62" t="s">
        <v>263</v>
      </c>
      <c r="C1121" s="63">
        <v>47112</v>
      </c>
      <c r="D1121" s="64" t="s">
        <v>359</v>
      </c>
    </row>
    <row r="1122" spans="2:4" x14ac:dyDescent="0.2">
      <c r="B1122" s="62" t="s">
        <v>263</v>
      </c>
      <c r="C1122" s="63">
        <v>47119</v>
      </c>
      <c r="D1122" s="64" t="s">
        <v>350</v>
      </c>
    </row>
    <row r="1123" spans="2:4" x14ac:dyDescent="0.2">
      <c r="B1123" s="62" t="s">
        <v>263</v>
      </c>
      <c r="C1123" s="63">
        <v>47133</v>
      </c>
      <c r="D1123" s="64" t="s">
        <v>389</v>
      </c>
    </row>
    <row r="1124" spans="2:4" x14ac:dyDescent="0.2">
      <c r="B1124" s="62" t="s">
        <v>263</v>
      </c>
      <c r="C1124" s="63">
        <v>47168</v>
      </c>
      <c r="D1124" s="64" t="s">
        <v>390</v>
      </c>
    </row>
    <row r="1125" spans="2:4" x14ac:dyDescent="0.2">
      <c r="B1125" s="62" t="s">
        <v>263</v>
      </c>
      <c r="C1125" s="63">
        <v>47266</v>
      </c>
      <c r="D1125" s="64" t="s">
        <v>391</v>
      </c>
    </row>
    <row r="1126" spans="2:4" x14ac:dyDescent="0.2">
      <c r="B1126" s="62" t="s">
        <v>263</v>
      </c>
      <c r="C1126" s="63">
        <v>47288</v>
      </c>
      <c r="D1126" s="64" t="s">
        <v>392</v>
      </c>
    </row>
    <row r="1127" spans="2:4" x14ac:dyDescent="0.2">
      <c r="B1127" s="62" t="s">
        <v>263</v>
      </c>
      <c r="C1127" s="63">
        <v>47303</v>
      </c>
      <c r="D1127" s="64" t="s">
        <v>393</v>
      </c>
    </row>
    <row r="1128" spans="2:4" x14ac:dyDescent="0.2">
      <c r="B1128" s="62" t="s">
        <v>263</v>
      </c>
      <c r="C1128" s="63">
        <v>47364</v>
      </c>
      <c r="D1128" s="64" t="s">
        <v>358</v>
      </c>
    </row>
    <row r="1129" spans="2:4" x14ac:dyDescent="0.2">
      <c r="B1129" s="62" t="s">
        <v>263</v>
      </c>
      <c r="C1129" s="63">
        <v>47399</v>
      </c>
      <c r="D1129" s="64" t="s">
        <v>394</v>
      </c>
    </row>
    <row r="1130" spans="2:4" x14ac:dyDescent="0.2">
      <c r="B1130" s="62" t="s">
        <v>263</v>
      </c>
      <c r="C1130" s="63">
        <v>47433</v>
      </c>
      <c r="D1130" s="64" t="s">
        <v>395</v>
      </c>
    </row>
    <row r="1131" spans="2:4" x14ac:dyDescent="0.2">
      <c r="B1131" s="62" t="s">
        <v>263</v>
      </c>
      <c r="C1131" s="63">
        <v>47434</v>
      </c>
      <c r="D1131" s="64" t="s">
        <v>399</v>
      </c>
    </row>
    <row r="1132" spans="2:4" x14ac:dyDescent="0.2">
      <c r="B1132" s="62" t="s">
        <v>263</v>
      </c>
      <c r="C1132" s="63">
        <v>47444</v>
      </c>
      <c r="D1132" s="64" t="s">
        <v>396</v>
      </c>
    </row>
    <row r="1133" spans="2:4" x14ac:dyDescent="0.2">
      <c r="B1133" s="62" t="s">
        <v>263</v>
      </c>
      <c r="C1133" s="63">
        <v>47477</v>
      </c>
      <c r="D1133" s="64" t="s">
        <v>359</v>
      </c>
    </row>
    <row r="1134" spans="2:4" x14ac:dyDescent="0.2">
      <c r="B1134" s="62" t="s">
        <v>263</v>
      </c>
      <c r="C1134" s="63">
        <v>47484</v>
      </c>
      <c r="D1134" s="64" t="s">
        <v>350</v>
      </c>
    </row>
    <row r="1135" spans="2:4" x14ac:dyDescent="0.2">
      <c r="B1135" s="62" t="s">
        <v>263</v>
      </c>
      <c r="C1135" s="63">
        <v>47504</v>
      </c>
      <c r="D1135" s="64" t="s">
        <v>389</v>
      </c>
    </row>
    <row r="1136" spans="2:4" x14ac:dyDescent="0.2">
      <c r="B1136" s="62" t="s">
        <v>263</v>
      </c>
      <c r="C1136" s="63">
        <v>47532</v>
      </c>
      <c r="D1136" s="64" t="s">
        <v>390</v>
      </c>
    </row>
    <row r="1137" spans="2:4" x14ac:dyDescent="0.2">
      <c r="B1137" s="62" t="s">
        <v>263</v>
      </c>
      <c r="C1137" s="63">
        <v>47630</v>
      </c>
      <c r="D1137" s="64" t="s">
        <v>391</v>
      </c>
    </row>
    <row r="1138" spans="2:4" x14ac:dyDescent="0.2">
      <c r="B1138" s="62" t="s">
        <v>263</v>
      </c>
      <c r="C1138" s="63">
        <v>47653</v>
      </c>
      <c r="D1138" s="64" t="s">
        <v>392</v>
      </c>
    </row>
    <row r="1139" spans="2:4" x14ac:dyDescent="0.2">
      <c r="B1139" s="62" t="s">
        <v>263</v>
      </c>
      <c r="C1139" s="63">
        <v>47668</v>
      </c>
      <c r="D1139" s="64" t="s">
        <v>393</v>
      </c>
    </row>
    <row r="1140" spans="2:4" x14ac:dyDescent="0.2">
      <c r="B1140" s="62" t="s">
        <v>263</v>
      </c>
      <c r="C1140" s="63">
        <v>47728</v>
      </c>
      <c r="D1140" s="64" t="s">
        <v>358</v>
      </c>
    </row>
    <row r="1141" spans="2:4" x14ac:dyDescent="0.2">
      <c r="B1141" s="62" t="s">
        <v>263</v>
      </c>
      <c r="C1141" s="63">
        <v>47770</v>
      </c>
      <c r="D1141" s="64" t="s">
        <v>394</v>
      </c>
    </row>
    <row r="1142" spans="2:4" x14ac:dyDescent="0.2">
      <c r="B1142" s="62" t="s">
        <v>263</v>
      </c>
      <c r="C1142" s="63">
        <v>47798</v>
      </c>
      <c r="D1142" s="64" t="s">
        <v>395</v>
      </c>
    </row>
    <row r="1143" spans="2:4" x14ac:dyDescent="0.2">
      <c r="B1143" s="62" t="s">
        <v>263</v>
      </c>
      <c r="C1143" s="63">
        <v>47815</v>
      </c>
      <c r="D1143" s="64" t="s">
        <v>396</v>
      </c>
    </row>
    <row r="1144" spans="2:4" x14ac:dyDescent="0.2">
      <c r="B1144" s="62" t="s">
        <v>263</v>
      </c>
      <c r="C1144" s="63">
        <v>47842</v>
      </c>
      <c r="D1144" s="64" t="s">
        <v>359</v>
      </c>
    </row>
    <row r="1145" spans="2:4" x14ac:dyDescent="0.2">
      <c r="B1145" s="62" t="s">
        <v>264</v>
      </c>
      <c r="C1145" s="63">
        <v>45658</v>
      </c>
      <c r="D1145" s="64" t="s">
        <v>350</v>
      </c>
    </row>
    <row r="1146" spans="2:4" x14ac:dyDescent="0.2">
      <c r="B1146" s="62" t="s">
        <v>264</v>
      </c>
      <c r="C1146" s="63">
        <v>45677</v>
      </c>
      <c r="D1146" s="64" t="s">
        <v>389</v>
      </c>
    </row>
    <row r="1147" spans="2:4" x14ac:dyDescent="0.2">
      <c r="B1147" s="62" t="s">
        <v>264</v>
      </c>
      <c r="C1147" s="63">
        <v>45703</v>
      </c>
      <c r="D1147" s="64" t="s">
        <v>400</v>
      </c>
    </row>
    <row r="1148" spans="2:4" x14ac:dyDescent="0.2">
      <c r="B1148" s="62" t="s">
        <v>264</v>
      </c>
      <c r="C1148" s="63">
        <v>45705</v>
      </c>
      <c r="D1148" s="64" t="s">
        <v>401</v>
      </c>
    </row>
    <row r="1149" spans="2:4" x14ac:dyDescent="0.2">
      <c r="B1149" s="62" t="s">
        <v>264</v>
      </c>
      <c r="C1149" s="63">
        <v>45747</v>
      </c>
      <c r="D1149" s="64" t="s">
        <v>402</v>
      </c>
    </row>
    <row r="1150" spans="2:4" x14ac:dyDescent="0.2">
      <c r="B1150" s="62" t="s">
        <v>264</v>
      </c>
      <c r="C1150" s="63">
        <v>45803</v>
      </c>
      <c r="D1150" s="64" t="s">
        <v>391</v>
      </c>
    </row>
    <row r="1151" spans="2:4" x14ac:dyDescent="0.2">
      <c r="B1151" s="62" t="s">
        <v>264</v>
      </c>
      <c r="C1151" s="63">
        <v>45827</v>
      </c>
      <c r="D1151" s="64" t="s">
        <v>392</v>
      </c>
    </row>
    <row r="1152" spans="2:4" x14ac:dyDescent="0.2">
      <c r="B1152" s="62" t="s">
        <v>264</v>
      </c>
      <c r="C1152" s="63">
        <v>45842</v>
      </c>
      <c r="D1152" s="64" t="s">
        <v>393</v>
      </c>
    </row>
    <row r="1153" spans="2:4" x14ac:dyDescent="0.2">
      <c r="B1153" s="62" t="s">
        <v>264</v>
      </c>
      <c r="C1153" s="63">
        <v>45901</v>
      </c>
      <c r="D1153" s="64" t="s">
        <v>358</v>
      </c>
    </row>
    <row r="1154" spans="2:4" x14ac:dyDescent="0.2">
      <c r="B1154" s="62" t="s">
        <v>264</v>
      </c>
      <c r="C1154" s="63">
        <v>45972</v>
      </c>
      <c r="D1154" s="64" t="s">
        <v>395</v>
      </c>
    </row>
    <row r="1155" spans="2:4" x14ac:dyDescent="0.2">
      <c r="B1155" s="62" t="s">
        <v>264</v>
      </c>
      <c r="C1155" s="63">
        <v>45988</v>
      </c>
      <c r="D1155" s="64" t="s">
        <v>396</v>
      </c>
    </row>
    <row r="1156" spans="2:4" x14ac:dyDescent="0.2">
      <c r="B1156" s="62" t="s">
        <v>264</v>
      </c>
      <c r="C1156" s="63">
        <v>45989</v>
      </c>
      <c r="D1156" s="64" t="s">
        <v>403</v>
      </c>
    </row>
    <row r="1157" spans="2:4" x14ac:dyDescent="0.2">
      <c r="B1157" s="62" t="s">
        <v>264</v>
      </c>
      <c r="C1157" s="63">
        <v>46016</v>
      </c>
      <c r="D1157" s="64" t="s">
        <v>359</v>
      </c>
    </row>
    <row r="1158" spans="2:4" x14ac:dyDescent="0.2">
      <c r="B1158" s="62" t="s">
        <v>264</v>
      </c>
      <c r="C1158" s="63">
        <v>46023</v>
      </c>
      <c r="D1158" s="64" t="s">
        <v>350</v>
      </c>
    </row>
    <row r="1159" spans="2:4" x14ac:dyDescent="0.2">
      <c r="B1159" s="62" t="s">
        <v>264</v>
      </c>
      <c r="C1159" s="63">
        <v>46041</v>
      </c>
      <c r="D1159" s="64" t="s">
        <v>389</v>
      </c>
    </row>
    <row r="1160" spans="2:4" x14ac:dyDescent="0.2">
      <c r="B1160" s="62" t="s">
        <v>264</v>
      </c>
      <c r="C1160" s="63">
        <v>46068</v>
      </c>
      <c r="D1160" s="64" t="s">
        <v>400</v>
      </c>
    </row>
    <row r="1161" spans="2:4" x14ac:dyDescent="0.2">
      <c r="B1161" s="62" t="s">
        <v>264</v>
      </c>
      <c r="C1161" s="63">
        <v>46069</v>
      </c>
      <c r="D1161" s="64" t="s">
        <v>401</v>
      </c>
    </row>
    <row r="1162" spans="2:4" x14ac:dyDescent="0.2">
      <c r="B1162" s="62" t="s">
        <v>264</v>
      </c>
      <c r="C1162" s="63">
        <v>46112</v>
      </c>
      <c r="D1162" s="64" t="s">
        <v>402</v>
      </c>
    </row>
    <row r="1163" spans="2:4" x14ac:dyDescent="0.2">
      <c r="B1163" s="62" t="s">
        <v>264</v>
      </c>
      <c r="C1163" s="63">
        <v>46167</v>
      </c>
      <c r="D1163" s="64" t="s">
        <v>391</v>
      </c>
    </row>
    <row r="1164" spans="2:4" x14ac:dyDescent="0.2">
      <c r="B1164" s="62" t="s">
        <v>264</v>
      </c>
      <c r="C1164" s="63">
        <v>46192</v>
      </c>
      <c r="D1164" s="64" t="s">
        <v>392</v>
      </c>
    </row>
    <row r="1165" spans="2:4" x14ac:dyDescent="0.2">
      <c r="B1165" s="62" t="s">
        <v>264</v>
      </c>
      <c r="C1165" s="63">
        <v>46206</v>
      </c>
      <c r="D1165" s="64" t="s">
        <v>397</v>
      </c>
    </row>
    <row r="1166" spans="2:4" x14ac:dyDescent="0.2">
      <c r="B1166" s="62" t="s">
        <v>264</v>
      </c>
      <c r="C1166" s="63">
        <v>46207</v>
      </c>
      <c r="D1166" s="64" t="s">
        <v>393</v>
      </c>
    </row>
    <row r="1167" spans="2:4" x14ac:dyDescent="0.2">
      <c r="B1167" s="62" t="s">
        <v>264</v>
      </c>
      <c r="C1167" s="63">
        <v>46272</v>
      </c>
      <c r="D1167" s="64" t="s">
        <v>358</v>
      </c>
    </row>
    <row r="1168" spans="2:4" x14ac:dyDescent="0.2">
      <c r="B1168" s="62" t="s">
        <v>264</v>
      </c>
      <c r="C1168" s="63">
        <v>46334</v>
      </c>
      <c r="D1168" s="64" t="s">
        <v>404</v>
      </c>
    </row>
    <row r="1169" spans="2:4" x14ac:dyDescent="0.2">
      <c r="B1169" s="62" t="s">
        <v>264</v>
      </c>
      <c r="C1169" s="63">
        <v>46337</v>
      </c>
      <c r="D1169" s="64" t="s">
        <v>395</v>
      </c>
    </row>
    <row r="1170" spans="2:4" x14ac:dyDescent="0.2">
      <c r="B1170" s="62" t="s">
        <v>264</v>
      </c>
      <c r="C1170" s="63">
        <v>46352</v>
      </c>
      <c r="D1170" s="64" t="s">
        <v>396</v>
      </c>
    </row>
    <row r="1171" spans="2:4" x14ac:dyDescent="0.2">
      <c r="B1171" s="62" t="s">
        <v>264</v>
      </c>
      <c r="C1171" s="63">
        <v>46353</v>
      </c>
      <c r="D1171" s="64" t="s">
        <v>403</v>
      </c>
    </row>
    <row r="1172" spans="2:4" x14ac:dyDescent="0.2">
      <c r="B1172" s="62" t="s">
        <v>264</v>
      </c>
      <c r="C1172" s="63">
        <v>46381</v>
      </c>
      <c r="D1172" s="64" t="s">
        <v>359</v>
      </c>
    </row>
    <row r="1173" spans="2:4" x14ac:dyDescent="0.2">
      <c r="B1173" s="62" t="s">
        <v>264</v>
      </c>
      <c r="C1173" s="63">
        <v>46388</v>
      </c>
      <c r="D1173" s="64" t="s">
        <v>350</v>
      </c>
    </row>
    <row r="1174" spans="2:4" x14ac:dyDescent="0.2">
      <c r="B1174" s="62" t="s">
        <v>264</v>
      </c>
      <c r="C1174" s="63">
        <v>46405</v>
      </c>
      <c r="D1174" s="64" t="s">
        <v>389</v>
      </c>
    </row>
    <row r="1175" spans="2:4" x14ac:dyDescent="0.2">
      <c r="B1175" s="62" t="s">
        <v>264</v>
      </c>
      <c r="C1175" s="63">
        <v>46433</v>
      </c>
      <c r="D1175" s="64" t="s">
        <v>405</v>
      </c>
    </row>
    <row r="1176" spans="2:4" x14ac:dyDescent="0.2">
      <c r="B1176" s="62" t="s">
        <v>264</v>
      </c>
      <c r="C1176" s="63">
        <v>46477</v>
      </c>
      <c r="D1176" s="64" t="s">
        <v>402</v>
      </c>
    </row>
    <row r="1177" spans="2:4" x14ac:dyDescent="0.2">
      <c r="B1177" s="62" t="s">
        <v>264</v>
      </c>
      <c r="C1177" s="63">
        <v>46538</v>
      </c>
      <c r="D1177" s="64" t="s">
        <v>391</v>
      </c>
    </row>
    <row r="1178" spans="2:4" x14ac:dyDescent="0.2">
      <c r="B1178" s="62" t="s">
        <v>264</v>
      </c>
      <c r="C1178" s="63">
        <v>46556</v>
      </c>
      <c r="D1178" s="64" t="s">
        <v>398</v>
      </c>
    </row>
    <row r="1179" spans="2:4" x14ac:dyDescent="0.2">
      <c r="B1179" s="62" t="s">
        <v>264</v>
      </c>
      <c r="C1179" s="63">
        <v>46557</v>
      </c>
      <c r="D1179" s="64" t="s">
        <v>392</v>
      </c>
    </row>
    <row r="1180" spans="2:4" x14ac:dyDescent="0.2">
      <c r="B1180" s="62" t="s">
        <v>264</v>
      </c>
      <c r="C1180" s="63">
        <v>46572</v>
      </c>
      <c r="D1180" s="64" t="s">
        <v>393</v>
      </c>
    </row>
    <row r="1181" spans="2:4" x14ac:dyDescent="0.2">
      <c r="B1181" s="62" t="s">
        <v>264</v>
      </c>
      <c r="C1181" s="63">
        <v>46573</v>
      </c>
      <c r="D1181" s="64" t="s">
        <v>397</v>
      </c>
    </row>
    <row r="1182" spans="2:4" x14ac:dyDescent="0.2">
      <c r="B1182" s="62" t="s">
        <v>264</v>
      </c>
      <c r="C1182" s="63">
        <v>46636</v>
      </c>
      <c r="D1182" s="64" t="s">
        <v>358</v>
      </c>
    </row>
    <row r="1183" spans="2:4" x14ac:dyDescent="0.2">
      <c r="B1183" s="62" t="s">
        <v>264</v>
      </c>
      <c r="C1183" s="63">
        <v>46689</v>
      </c>
      <c r="D1183" s="64" t="s">
        <v>404</v>
      </c>
    </row>
    <row r="1184" spans="2:4" x14ac:dyDescent="0.2">
      <c r="B1184" s="62" t="s">
        <v>264</v>
      </c>
      <c r="C1184" s="63">
        <v>46702</v>
      </c>
      <c r="D1184" s="64" t="s">
        <v>395</v>
      </c>
    </row>
    <row r="1185" spans="2:4" x14ac:dyDescent="0.2">
      <c r="B1185" s="62" t="s">
        <v>264</v>
      </c>
      <c r="C1185" s="63">
        <v>46716</v>
      </c>
      <c r="D1185" s="64" t="s">
        <v>396</v>
      </c>
    </row>
    <row r="1186" spans="2:4" x14ac:dyDescent="0.2">
      <c r="B1186" s="62" t="s">
        <v>264</v>
      </c>
      <c r="C1186" s="63">
        <v>46717</v>
      </c>
      <c r="D1186" s="64" t="s">
        <v>403</v>
      </c>
    </row>
    <row r="1187" spans="2:4" x14ac:dyDescent="0.2">
      <c r="B1187" s="62" t="s">
        <v>264</v>
      </c>
      <c r="C1187" s="63">
        <v>46745</v>
      </c>
      <c r="D1187" s="64" t="s">
        <v>363</v>
      </c>
    </row>
    <row r="1188" spans="2:4" x14ac:dyDescent="0.2">
      <c r="B1188" s="62" t="s">
        <v>264</v>
      </c>
      <c r="C1188" s="63">
        <v>46746</v>
      </c>
      <c r="D1188" s="64" t="s">
        <v>359</v>
      </c>
    </row>
    <row r="1189" spans="2:4" x14ac:dyDescent="0.2">
      <c r="B1189" s="62" t="s">
        <v>264</v>
      </c>
      <c r="C1189" s="63">
        <v>46752</v>
      </c>
      <c r="D1189" s="64" t="s">
        <v>364</v>
      </c>
    </row>
    <row r="1190" spans="2:4" x14ac:dyDescent="0.2">
      <c r="B1190" s="62" t="s">
        <v>264</v>
      </c>
      <c r="C1190" s="63">
        <v>46753</v>
      </c>
      <c r="D1190" s="64" t="s">
        <v>350</v>
      </c>
    </row>
    <row r="1191" spans="2:4" x14ac:dyDescent="0.2">
      <c r="B1191" s="62" t="s">
        <v>264</v>
      </c>
      <c r="C1191" s="63">
        <v>46769</v>
      </c>
      <c r="D1191" s="64" t="s">
        <v>389</v>
      </c>
    </row>
    <row r="1192" spans="2:4" x14ac:dyDescent="0.2">
      <c r="B1192" s="62" t="s">
        <v>264</v>
      </c>
      <c r="C1192" s="63">
        <v>46798</v>
      </c>
      <c r="D1192" s="64" t="s">
        <v>400</v>
      </c>
    </row>
    <row r="1193" spans="2:4" x14ac:dyDescent="0.2">
      <c r="B1193" s="62" t="s">
        <v>264</v>
      </c>
      <c r="C1193" s="63">
        <v>46804</v>
      </c>
      <c r="D1193" s="64" t="s">
        <v>401</v>
      </c>
    </row>
    <row r="1194" spans="2:4" x14ac:dyDescent="0.2">
      <c r="B1194" s="62" t="s">
        <v>264</v>
      </c>
      <c r="C1194" s="63">
        <v>46843</v>
      </c>
      <c r="D1194" s="64" t="s">
        <v>402</v>
      </c>
    </row>
    <row r="1195" spans="2:4" x14ac:dyDescent="0.2">
      <c r="B1195" s="62" t="s">
        <v>264</v>
      </c>
      <c r="C1195" s="63">
        <v>46902</v>
      </c>
      <c r="D1195" s="64" t="s">
        <v>391</v>
      </c>
    </row>
    <row r="1196" spans="2:4" x14ac:dyDescent="0.2">
      <c r="B1196" s="62" t="s">
        <v>264</v>
      </c>
      <c r="C1196" s="63">
        <v>46923</v>
      </c>
      <c r="D1196" s="64" t="s">
        <v>392</v>
      </c>
    </row>
    <row r="1197" spans="2:4" x14ac:dyDescent="0.2">
      <c r="B1197" s="62" t="s">
        <v>264</v>
      </c>
      <c r="C1197" s="63">
        <v>46938</v>
      </c>
      <c r="D1197" s="64" t="s">
        <v>393</v>
      </c>
    </row>
    <row r="1198" spans="2:4" x14ac:dyDescent="0.2">
      <c r="B1198" s="62" t="s">
        <v>264</v>
      </c>
      <c r="C1198" s="63">
        <v>47000</v>
      </c>
      <c r="D1198" s="64" t="s">
        <v>358</v>
      </c>
    </row>
    <row r="1199" spans="2:4" x14ac:dyDescent="0.2">
      <c r="B1199" s="62" t="s">
        <v>264</v>
      </c>
      <c r="C1199" s="63">
        <v>47043</v>
      </c>
      <c r="D1199" s="64" t="s">
        <v>404</v>
      </c>
    </row>
    <row r="1200" spans="2:4" x14ac:dyDescent="0.2">
      <c r="B1200" s="62" t="s">
        <v>264</v>
      </c>
      <c r="C1200" s="63">
        <v>47067</v>
      </c>
      <c r="D1200" s="64" t="s">
        <v>399</v>
      </c>
    </row>
    <row r="1201" spans="2:4" x14ac:dyDescent="0.2">
      <c r="B1201" s="62" t="s">
        <v>264</v>
      </c>
      <c r="C1201" s="63">
        <v>47068</v>
      </c>
      <c r="D1201" s="64" t="s">
        <v>395</v>
      </c>
    </row>
    <row r="1202" spans="2:4" x14ac:dyDescent="0.2">
      <c r="B1202" s="62" t="s">
        <v>264</v>
      </c>
      <c r="C1202" s="63">
        <v>47080</v>
      </c>
      <c r="D1202" s="64" t="s">
        <v>396</v>
      </c>
    </row>
    <row r="1203" spans="2:4" x14ac:dyDescent="0.2">
      <c r="B1203" s="62" t="s">
        <v>264</v>
      </c>
      <c r="C1203" s="63">
        <v>47081</v>
      </c>
      <c r="D1203" s="64" t="s">
        <v>403</v>
      </c>
    </row>
    <row r="1204" spans="2:4" x14ac:dyDescent="0.2">
      <c r="B1204" s="62" t="s">
        <v>264</v>
      </c>
      <c r="C1204" s="63">
        <v>47112</v>
      </c>
      <c r="D1204" s="64" t="s">
        <v>359</v>
      </c>
    </row>
    <row r="1205" spans="2:4" x14ac:dyDescent="0.2">
      <c r="B1205" s="62" t="s">
        <v>264</v>
      </c>
      <c r="C1205" s="63">
        <v>47119</v>
      </c>
      <c r="D1205" s="64" t="s">
        <v>350</v>
      </c>
    </row>
    <row r="1206" spans="2:4" x14ac:dyDescent="0.2">
      <c r="B1206" s="62" t="s">
        <v>264</v>
      </c>
      <c r="C1206" s="63">
        <v>47133</v>
      </c>
      <c r="D1206" s="64" t="s">
        <v>389</v>
      </c>
    </row>
    <row r="1207" spans="2:4" x14ac:dyDescent="0.2">
      <c r="B1207" s="62" t="s">
        <v>264</v>
      </c>
      <c r="C1207" s="63">
        <v>47164</v>
      </c>
      <c r="D1207" s="64" t="s">
        <v>400</v>
      </c>
    </row>
    <row r="1208" spans="2:4" x14ac:dyDescent="0.2">
      <c r="B1208" s="62" t="s">
        <v>264</v>
      </c>
      <c r="C1208" s="63">
        <v>47168</v>
      </c>
      <c r="D1208" s="64" t="s">
        <v>401</v>
      </c>
    </row>
    <row r="1209" spans="2:4" x14ac:dyDescent="0.2">
      <c r="B1209" s="62" t="s">
        <v>264</v>
      </c>
      <c r="C1209" s="63">
        <v>47208</v>
      </c>
      <c r="D1209" s="64" t="s">
        <v>402</v>
      </c>
    </row>
    <row r="1210" spans="2:4" x14ac:dyDescent="0.2">
      <c r="B1210" s="62" t="s">
        <v>264</v>
      </c>
      <c r="C1210" s="63">
        <v>47266</v>
      </c>
      <c r="D1210" s="64" t="s">
        <v>391</v>
      </c>
    </row>
    <row r="1211" spans="2:4" x14ac:dyDescent="0.2">
      <c r="B1211" s="62" t="s">
        <v>264</v>
      </c>
      <c r="C1211" s="63">
        <v>47288</v>
      </c>
      <c r="D1211" s="64" t="s">
        <v>392</v>
      </c>
    </row>
    <row r="1212" spans="2:4" x14ac:dyDescent="0.2">
      <c r="B1212" s="62" t="s">
        <v>264</v>
      </c>
      <c r="C1212" s="63">
        <v>47303</v>
      </c>
      <c r="D1212" s="64" t="s">
        <v>393</v>
      </c>
    </row>
    <row r="1213" spans="2:4" x14ac:dyDescent="0.2">
      <c r="B1213" s="62" t="s">
        <v>264</v>
      </c>
      <c r="C1213" s="63">
        <v>47364</v>
      </c>
      <c r="D1213" s="64" t="s">
        <v>358</v>
      </c>
    </row>
    <row r="1214" spans="2:4" x14ac:dyDescent="0.2">
      <c r="B1214" s="62" t="s">
        <v>264</v>
      </c>
      <c r="C1214" s="63">
        <v>47427</v>
      </c>
      <c r="D1214" s="64" t="s">
        <v>404</v>
      </c>
    </row>
    <row r="1215" spans="2:4" x14ac:dyDescent="0.2">
      <c r="B1215" s="62" t="s">
        <v>264</v>
      </c>
      <c r="C1215" s="63">
        <v>47433</v>
      </c>
      <c r="D1215" s="64" t="s">
        <v>395</v>
      </c>
    </row>
    <row r="1216" spans="2:4" x14ac:dyDescent="0.2">
      <c r="B1216" s="62" t="s">
        <v>264</v>
      </c>
      <c r="C1216" s="63">
        <v>47434</v>
      </c>
      <c r="D1216" s="64" t="s">
        <v>399</v>
      </c>
    </row>
    <row r="1217" spans="2:4" x14ac:dyDescent="0.2">
      <c r="B1217" s="62" t="s">
        <v>264</v>
      </c>
      <c r="C1217" s="63">
        <v>47444</v>
      </c>
      <c r="D1217" s="64" t="s">
        <v>396</v>
      </c>
    </row>
    <row r="1218" spans="2:4" x14ac:dyDescent="0.2">
      <c r="B1218" s="62" t="s">
        <v>264</v>
      </c>
      <c r="C1218" s="63">
        <v>47445</v>
      </c>
      <c r="D1218" s="64" t="s">
        <v>403</v>
      </c>
    </row>
    <row r="1219" spans="2:4" x14ac:dyDescent="0.2">
      <c r="B1219" s="62" t="s">
        <v>264</v>
      </c>
      <c r="C1219" s="63">
        <v>47477</v>
      </c>
      <c r="D1219" s="64" t="s">
        <v>359</v>
      </c>
    </row>
    <row r="1220" spans="2:4" x14ac:dyDescent="0.2">
      <c r="B1220" s="62" t="s">
        <v>264</v>
      </c>
      <c r="C1220" s="63">
        <v>47484</v>
      </c>
      <c r="D1220" s="64" t="s">
        <v>350</v>
      </c>
    </row>
    <row r="1221" spans="2:4" x14ac:dyDescent="0.2">
      <c r="B1221" s="62" t="s">
        <v>264</v>
      </c>
      <c r="C1221" s="63">
        <v>47504</v>
      </c>
      <c r="D1221" s="64" t="s">
        <v>389</v>
      </c>
    </row>
    <row r="1222" spans="2:4" x14ac:dyDescent="0.2">
      <c r="B1222" s="62" t="s">
        <v>264</v>
      </c>
      <c r="C1222" s="63">
        <v>47529</v>
      </c>
      <c r="D1222" s="64" t="s">
        <v>400</v>
      </c>
    </row>
    <row r="1223" spans="2:4" x14ac:dyDescent="0.2">
      <c r="B1223" s="62" t="s">
        <v>264</v>
      </c>
      <c r="C1223" s="63">
        <v>47532</v>
      </c>
      <c r="D1223" s="64" t="s">
        <v>401</v>
      </c>
    </row>
    <row r="1224" spans="2:4" x14ac:dyDescent="0.2">
      <c r="B1224" s="62" t="s">
        <v>264</v>
      </c>
      <c r="C1224" s="63">
        <v>47573</v>
      </c>
      <c r="D1224" s="64" t="s">
        <v>402</v>
      </c>
    </row>
    <row r="1225" spans="2:4" x14ac:dyDescent="0.2">
      <c r="B1225" s="62" t="s">
        <v>264</v>
      </c>
      <c r="C1225" s="63">
        <v>47574</v>
      </c>
      <c r="D1225" s="64" t="s">
        <v>406</v>
      </c>
    </row>
    <row r="1226" spans="2:4" x14ac:dyDescent="0.2">
      <c r="B1226" s="62" t="s">
        <v>264</v>
      </c>
      <c r="C1226" s="63">
        <v>47630</v>
      </c>
      <c r="D1226" s="64" t="s">
        <v>391</v>
      </c>
    </row>
    <row r="1227" spans="2:4" x14ac:dyDescent="0.2">
      <c r="B1227" s="62" t="s">
        <v>264</v>
      </c>
      <c r="C1227" s="63">
        <v>47653</v>
      </c>
      <c r="D1227" s="64" t="s">
        <v>392</v>
      </c>
    </row>
    <row r="1228" spans="2:4" x14ac:dyDescent="0.2">
      <c r="B1228" s="62" t="s">
        <v>264</v>
      </c>
      <c r="C1228" s="63">
        <v>47668</v>
      </c>
      <c r="D1228" s="64" t="s">
        <v>393</v>
      </c>
    </row>
    <row r="1229" spans="2:4" x14ac:dyDescent="0.2">
      <c r="B1229" s="62" t="s">
        <v>264</v>
      </c>
      <c r="C1229" s="63">
        <v>47728</v>
      </c>
      <c r="D1229" s="64" t="s">
        <v>358</v>
      </c>
    </row>
    <row r="1230" spans="2:4" x14ac:dyDescent="0.2">
      <c r="B1230" s="62" t="s">
        <v>264</v>
      </c>
      <c r="C1230" s="63">
        <v>47782</v>
      </c>
      <c r="D1230" s="64" t="s">
        <v>404</v>
      </c>
    </row>
    <row r="1231" spans="2:4" x14ac:dyDescent="0.2">
      <c r="B1231" s="62" t="s">
        <v>264</v>
      </c>
      <c r="C1231" s="63">
        <v>47798</v>
      </c>
      <c r="D1231" s="64" t="s">
        <v>395</v>
      </c>
    </row>
    <row r="1232" spans="2:4" x14ac:dyDescent="0.2">
      <c r="B1232" s="62" t="s">
        <v>264</v>
      </c>
      <c r="C1232" s="63">
        <v>47815</v>
      </c>
      <c r="D1232" s="64" t="s">
        <v>396</v>
      </c>
    </row>
    <row r="1233" spans="2:4" x14ac:dyDescent="0.2">
      <c r="B1233" s="62" t="s">
        <v>264</v>
      </c>
      <c r="C1233" s="63">
        <v>47816</v>
      </c>
      <c r="D1233" s="64" t="s">
        <v>403</v>
      </c>
    </row>
    <row r="1234" spans="2:4" x14ac:dyDescent="0.2">
      <c r="B1234" s="62" t="s">
        <v>264</v>
      </c>
      <c r="C1234" s="63">
        <v>47842</v>
      </c>
      <c r="D1234" s="64" t="s">
        <v>359</v>
      </c>
    </row>
    <row r="1235" spans="2:4" x14ac:dyDescent="0.2">
      <c r="B1235" s="62" t="s">
        <v>265</v>
      </c>
      <c r="C1235" s="63">
        <v>45658</v>
      </c>
      <c r="D1235" s="64" t="s">
        <v>350</v>
      </c>
    </row>
    <row r="1236" spans="2:4" x14ac:dyDescent="0.2">
      <c r="B1236" s="62" t="s">
        <v>265</v>
      </c>
      <c r="C1236" s="63">
        <v>45677</v>
      </c>
      <c r="D1236" s="64" t="s">
        <v>389</v>
      </c>
    </row>
    <row r="1237" spans="2:4" x14ac:dyDescent="0.2">
      <c r="B1237" s="62" t="s">
        <v>265</v>
      </c>
      <c r="C1237" s="63">
        <v>45700</v>
      </c>
      <c r="D1237" s="64" t="s">
        <v>407</v>
      </c>
    </row>
    <row r="1238" spans="2:4" x14ac:dyDescent="0.2">
      <c r="B1238" s="62" t="s">
        <v>265</v>
      </c>
      <c r="C1238" s="63">
        <v>45703</v>
      </c>
      <c r="D1238" s="64" t="s">
        <v>400</v>
      </c>
    </row>
    <row r="1239" spans="2:4" x14ac:dyDescent="0.2">
      <c r="B1239" s="62" t="s">
        <v>265</v>
      </c>
      <c r="C1239" s="63">
        <v>45705</v>
      </c>
      <c r="D1239" s="64" t="s">
        <v>390</v>
      </c>
    </row>
    <row r="1240" spans="2:4" x14ac:dyDescent="0.2">
      <c r="B1240" s="62" t="s">
        <v>265</v>
      </c>
      <c r="C1240" s="63">
        <v>45803</v>
      </c>
      <c r="D1240" s="64" t="s">
        <v>391</v>
      </c>
    </row>
    <row r="1241" spans="2:4" x14ac:dyDescent="0.2">
      <c r="B1241" s="62" t="s">
        <v>265</v>
      </c>
      <c r="C1241" s="63">
        <v>45827</v>
      </c>
      <c r="D1241" s="64" t="s">
        <v>392</v>
      </c>
    </row>
    <row r="1242" spans="2:4" x14ac:dyDescent="0.2">
      <c r="B1242" s="62" t="s">
        <v>265</v>
      </c>
      <c r="C1242" s="63">
        <v>45842</v>
      </c>
      <c r="D1242" s="64" t="s">
        <v>393</v>
      </c>
    </row>
    <row r="1243" spans="2:4" x14ac:dyDescent="0.2">
      <c r="B1243" s="62" t="s">
        <v>265</v>
      </c>
      <c r="C1243" s="63">
        <v>45901</v>
      </c>
      <c r="D1243" s="64" t="s">
        <v>358</v>
      </c>
    </row>
    <row r="1244" spans="2:4" x14ac:dyDescent="0.2">
      <c r="B1244" s="62" t="s">
        <v>265</v>
      </c>
      <c r="C1244" s="63">
        <v>45943</v>
      </c>
      <c r="D1244" s="64" t="s">
        <v>394</v>
      </c>
    </row>
    <row r="1245" spans="2:4" x14ac:dyDescent="0.2">
      <c r="B1245" s="62" t="s">
        <v>265</v>
      </c>
      <c r="C1245" s="63">
        <v>45965</v>
      </c>
      <c r="D1245" s="64" t="s">
        <v>408</v>
      </c>
    </row>
    <row r="1246" spans="2:4" x14ac:dyDescent="0.2">
      <c r="B1246" s="62" t="s">
        <v>265</v>
      </c>
      <c r="C1246" s="63">
        <v>45972</v>
      </c>
      <c r="D1246" s="64" t="s">
        <v>395</v>
      </c>
    </row>
    <row r="1247" spans="2:4" x14ac:dyDescent="0.2">
      <c r="B1247" s="62" t="s">
        <v>265</v>
      </c>
      <c r="C1247" s="63">
        <v>45988</v>
      </c>
      <c r="D1247" s="64" t="s">
        <v>396</v>
      </c>
    </row>
    <row r="1248" spans="2:4" x14ac:dyDescent="0.2">
      <c r="B1248" s="62" t="s">
        <v>265</v>
      </c>
      <c r="C1248" s="63">
        <v>46016</v>
      </c>
      <c r="D1248" s="64" t="s">
        <v>359</v>
      </c>
    </row>
    <row r="1249" spans="2:4" x14ac:dyDescent="0.2">
      <c r="B1249" s="62" t="s">
        <v>265</v>
      </c>
      <c r="C1249" s="63">
        <v>46023</v>
      </c>
      <c r="D1249" s="64" t="s">
        <v>350</v>
      </c>
    </row>
    <row r="1250" spans="2:4" x14ac:dyDescent="0.2">
      <c r="B1250" s="62" t="s">
        <v>265</v>
      </c>
      <c r="C1250" s="63">
        <v>46041</v>
      </c>
      <c r="D1250" s="64" t="s">
        <v>389</v>
      </c>
    </row>
    <row r="1251" spans="2:4" x14ac:dyDescent="0.2">
      <c r="B1251" s="62" t="s">
        <v>265</v>
      </c>
      <c r="C1251" s="63">
        <v>46065</v>
      </c>
      <c r="D1251" s="64" t="s">
        <v>407</v>
      </c>
    </row>
    <row r="1252" spans="2:4" x14ac:dyDescent="0.2">
      <c r="B1252" s="62" t="s">
        <v>265</v>
      </c>
      <c r="C1252" s="63">
        <v>46068</v>
      </c>
      <c r="D1252" s="64" t="s">
        <v>400</v>
      </c>
    </row>
    <row r="1253" spans="2:4" x14ac:dyDescent="0.2">
      <c r="B1253" s="62" t="s">
        <v>265</v>
      </c>
      <c r="C1253" s="63">
        <v>46069</v>
      </c>
      <c r="D1253" s="64" t="s">
        <v>390</v>
      </c>
    </row>
    <row r="1254" spans="2:4" x14ac:dyDescent="0.2">
      <c r="B1254" s="62" t="s">
        <v>265</v>
      </c>
      <c r="C1254" s="63">
        <v>46167</v>
      </c>
      <c r="D1254" s="64" t="s">
        <v>391</v>
      </c>
    </row>
    <row r="1255" spans="2:4" x14ac:dyDescent="0.2">
      <c r="B1255" s="62" t="s">
        <v>265</v>
      </c>
      <c r="C1255" s="63">
        <v>46192</v>
      </c>
      <c r="D1255" s="64" t="s">
        <v>392</v>
      </c>
    </row>
    <row r="1256" spans="2:4" x14ac:dyDescent="0.2">
      <c r="B1256" s="62" t="s">
        <v>265</v>
      </c>
      <c r="C1256" s="63">
        <v>46206</v>
      </c>
      <c r="D1256" s="64" t="s">
        <v>397</v>
      </c>
    </row>
    <row r="1257" spans="2:4" x14ac:dyDescent="0.2">
      <c r="B1257" s="62" t="s">
        <v>265</v>
      </c>
      <c r="C1257" s="63">
        <v>46207</v>
      </c>
      <c r="D1257" s="64" t="s">
        <v>393</v>
      </c>
    </row>
    <row r="1258" spans="2:4" x14ac:dyDescent="0.2">
      <c r="B1258" s="62" t="s">
        <v>265</v>
      </c>
      <c r="C1258" s="63">
        <v>46272</v>
      </c>
      <c r="D1258" s="64" t="s">
        <v>358</v>
      </c>
    </row>
    <row r="1259" spans="2:4" x14ac:dyDescent="0.2">
      <c r="B1259" s="62" t="s">
        <v>265</v>
      </c>
      <c r="C1259" s="63">
        <v>46307</v>
      </c>
      <c r="D1259" s="64" t="s">
        <v>394</v>
      </c>
    </row>
    <row r="1260" spans="2:4" x14ac:dyDescent="0.2">
      <c r="B1260" s="62" t="s">
        <v>265</v>
      </c>
      <c r="C1260" s="63">
        <v>46329</v>
      </c>
      <c r="D1260" s="64" t="s">
        <v>408</v>
      </c>
    </row>
    <row r="1261" spans="2:4" x14ac:dyDescent="0.2">
      <c r="B1261" s="62" t="s">
        <v>265</v>
      </c>
      <c r="C1261" s="63">
        <v>46337</v>
      </c>
      <c r="D1261" s="64" t="s">
        <v>395</v>
      </c>
    </row>
    <row r="1262" spans="2:4" x14ac:dyDescent="0.2">
      <c r="B1262" s="62" t="s">
        <v>265</v>
      </c>
      <c r="C1262" s="63">
        <v>46352</v>
      </c>
      <c r="D1262" s="64" t="s">
        <v>396</v>
      </c>
    </row>
    <row r="1263" spans="2:4" x14ac:dyDescent="0.2">
      <c r="B1263" s="62" t="s">
        <v>265</v>
      </c>
      <c r="C1263" s="63">
        <v>46381</v>
      </c>
      <c r="D1263" s="64" t="s">
        <v>359</v>
      </c>
    </row>
    <row r="1264" spans="2:4" x14ac:dyDescent="0.2">
      <c r="B1264" s="62" t="s">
        <v>265</v>
      </c>
      <c r="C1264" s="63">
        <v>46388</v>
      </c>
      <c r="D1264" s="64" t="s">
        <v>350</v>
      </c>
    </row>
    <row r="1265" spans="2:4" x14ac:dyDescent="0.2">
      <c r="B1265" s="62" t="s">
        <v>265</v>
      </c>
      <c r="C1265" s="63">
        <v>46405</v>
      </c>
      <c r="D1265" s="64" t="s">
        <v>389</v>
      </c>
    </row>
    <row r="1266" spans="2:4" x14ac:dyDescent="0.2">
      <c r="B1266" s="62" t="s">
        <v>265</v>
      </c>
      <c r="C1266" s="63">
        <v>46430</v>
      </c>
      <c r="D1266" s="64" t="s">
        <v>407</v>
      </c>
    </row>
    <row r="1267" spans="2:4" x14ac:dyDescent="0.2">
      <c r="B1267" s="62" t="s">
        <v>265</v>
      </c>
      <c r="C1267" s="63">
        <v>46433</v>
      </c>
      <c r="D1267" s="64" t="s">
        <v>409</v>
      </c>
    </row>
    <row r="1268" spans="2:4" x14ac:dyDescent="0.2">
      <c r="B1268" s="62" t="s">
        <v>265</v>
      </c>
      <c r="C1268" s="63">
        <v>46538</v>
      </c>
      <c r="D1268" s="64" t="s">
        <v>391</v>
      </c>
    </row>
    <row r="1269" spans="2:4" x14ac:dyDescent="0.2">
      <c r="B1269" s="62" t="s">
        <v>265</v>
      </c>
      <c r="C1269" s="63">
        <v>46556</v>
      </c>
      <c r="D1269" s="64" t="s">
        <v>398</v>
      </c>
    </row>
    <row r="1270" spans="2:4" x14ac:dyDescent="0.2">
      <c r="B1270" s="62" t="s">
        <v>265</v>
      </c>
      <c r="C1270" s="63">
        <v>46557</v>
      </c>
      <c r="D1270" s="64" t="s">
        <v>392</v>
      </c>
    </row>
    <row r="1271" spans="2:4" x14ac:dyDescent="0.2">
      <c r="B1271" s="62" t="s">
        <v>265</v>
      </c>
      <c r="C1271" s="63">
        <v>46572</v>
      </c>
      <c r="D1271" s="64" t="s">
        <v>393</v>
      </c>
    </row>
    <row r="1272" spans="2:4" x14ac:dyDescent="0.2">
      <c r="B1272" s="62" t="s">
        <v>265</v>
      </c>
      <c r="C1272" s="63">
        <v>46573</v>
      </c>
      <c r="D1272" s="64" t="s">
        <v>397</v>
      </c>
    </row>
    <row r="1273" spans="2:4" x14ac:dyDescent="0.2">
      <c r="B1273" s="62" t="s">
        <v>265</v>
      </c>
      <c r="C1273" s="63">
        <v>46636</v>
      </c>
      <c r="D1273" s="64" t="s">
        <v>358</v>
      </c>
    </row>
    <row r="1274" spans="2:4" x14ac:dyDescent="0.2">
      <c r="B1274" s="62" t="s">
        <v>265</v>
      </c>
      <c r="C1274" s="63">
        <v>46671</v>
      </c>
      <c r="D1274" s="64" t="s">
        <v>394</v>
      </c>
    </row>
    <row r="1275" spans="2:4" x14ac:dyDescent="0.2">
      <c r="B1275" s="62" t="s">
        <v>265</v>
      </c>
      <c r="C1275" s="63">
        <v>46693</v>
      </c>
      <c r="D1275" s="64" t="s">
        <v>408</v>
      </c>
    </row>
    <row r="1276" spans="2:4" x14ac:dyDescent="0.2">
      <c r="B1276" s="62" t="s">
        <v>265</v>
      </c>
      <c r="C1276" s="63">
        <v>46702</v>
      </c>
      <c r="D1276" s="64" t="s">
        <v>395</v>
      </c>
    </row>
    <row r="1277" spans="2:4" x14ac:dyDescent="0.2">
      <c r="B1277" s="62" t="s">
        <v>265</v>
      </c>
      <c r="C1277" s="63">
        <v>46716</v>
      </c>
      <c r="D1277" s="64" t="s">
        <v>396</v>
      </c>
    </row>
    <row r="1278" spans="2:4" x14ac:dyDescent="0.2">
      <c r="B1278" s="62" t="s">
        <v>265</v>
      </c>
      <c r="C1278" s="63">
        <v>46745</v>
      </c>
      <c r="D1278" s="64" t="s">
        <v>363</v>
      </c>
    </row>
    <row r="1279" spans="2:4" x14ac:dyDescent="0.2">
      <c r="B1279" s="62" t="s">
        <v>265</v>
      </c>
      <c r="C1279" s="63">
        <v>46746</v>
      </c>
      <c r="D1279" s="64" t="s">
        <v>359</v>
      </c>
    </row>
    <row r="1280" spans="2:4" x14ac:dyDescent="0.2">
      <c r="B1280" s="62" t="s">
        <v>265</v>
      </c>
      <c r="C1280" s="63">
        <v>46752</v>
      </c>
      <c r="D1280" s="64" t="s">
        <v>364</v>
      </c>
    </row>
    <row r="1281" spans="2:4" x14ac:dyDescent="0.2">
      <c r="B1281" s="62" t="s">
        <v>265</v>
      </c>
      <c r="C1281" s="63">
        <v>46753</v>
      </c>
      <c r="D1281" s="64" t="s">
        <v>350</v>
      </c>
    </row>
    <row r="1282" spans="2:4" x14ac:dyDescent="0.2">
      <c r="B1282" s="62" t="s">
        <v>265</v>
      </c>
      <c r="C1282" s="63">
        <v>46769</v>
      </c>
      <c r="D1282" s="64" t="s">
        <v>389</v>
      </c>
    </row>
    <row r="1283" spans="2:4" x14ac:dyDescent="0.2">
      <c r="B1283" s="62" t="s">
        <v>265</v>
      </c>
      <c r="C1283" s="63">
        <v>46794</v>
      </c>
      <c r="D1283" s="64" t="s">
        <v>410</v>
      </c>
    </row>
    <row r="1284" spans="2:4" x14ac:dyDescent="0.2">
      <c r="B1284" s="62" t="s">
        <v>265</v>
      </c>
      <c r="C1284" s="63">
        <v>46795</v>
      </c>
      <c r="D1284" s="64" t="s">
        <v>407</v>
      </c>
    </row>
    <row r="1285" spans="2:4" x14ac:dyDescent="0.2">
      <c r="B1285" s="62" t="s">
        <v>265</v>
      </c>
      <c r="C1285" s="63">
        <v>46798</v>
      </c>
      <c r="D1285" s="64" t="s">
        <v>400</v>
      </c>
    </row>
    <row r="1286" spans="2:4" x14ac:dyDescent="0.2">
      <c r="B1286" s="62" t="s">
        <v>265</v>
      </c>
      <c r="C1286" s="63">
        <v>46804</v>
      </c>
      <c r="D1286" s="64" t="s">
        <v>390</v>
      </c>
    </row>
    <row r="1287" spans="2:4" x14ac:dyDescent="0.2">
      <c r="B1287" s="62" t="s">
        <v>265</v>
      </c>
      <c r="C1287" s="63">
        <v>46902</v>
      </c>
      <c r="D1287" s="64" t="s">
        <v>391</v>
      </c>
    </row>
    <row r="1288" spans="2:4" x14ac:dyDescent="0.2">
      <c r="B1288" s="62" t="s">
        <v>265</v>
      </c>
      <c r="C1288" s="63">
        <v>46923</v>
      </c>
      <c r="D1288" s="64" t="s">
        <v>392</v>
      </c>
    </row>
    <row r="1289" spans="2:4" x14ac:dyDescent="0.2">
      <c r="B1289" s="62" t="s">
        <v>265</v>
      </c>
      <c r="C1289" s="63">
        <v>46938</v>
      </c>
      <c r="D1289" s="64" t="s">
        <v>393</v>
      </c>
    </row>
    <row r="1290" spans="2:4" x14ac:dyDescent="0.2">
      <c r="B1290" s="62" t="s">
        <v>265</v>
      </c>
      <c r="C1290" s="63">
        <v>47000</v>
      </c>
      <c r="D1290" s="64" t="s">
        <v>358</v>
      </c>
    </row>
    <row r="1291" spans="2:4" x14ac:dyDescent="0.2">
      <c r="B1291" s="62" t="s">
        <v>265</v>
      </c>
      <c r="C1291" s="63">
        <v>47035</v>
      </c>
      <c r="D1291" s="64" t="s">
        <v>394</v>
      </c>
    </row>
    <row r="1292" spans="2:4" x14ac:dyDescent="0.2">
      <c r="B1292" s="62" t="s">
        <v>265</v>
      </c>
      <c r="C1292" s="63">
        <v>47064</v>
      </c>
      <c r="D1292" s="64" t="s">
        <v>408</v>
      </c>
    </row>
    <row r="1293" spans="2:4" x14ac:dyDescent="0.2">
      <c r="B1293" s="62" t="s">
        <v>265</v>
      </c>
      <c r="C1293" s="63">
        <v>47067</v>
      </c>
      <c r="D1293" s="64" t="s">
        <v>399</v>
      </c>
    </row>
    <row r="1294" spans="2:4" x14ac:dyDescent="0.2">
      <c r="B1294" s="62" t="s">
        <v>265</v>
      </c>
      <c r="C1294" s="63">
        <v>47068</v>
      </c>
      <c r="D1294" s="64" t="s">
        <v>395</v>
      </c>
    </row>
    <row r="1295" spans="2:4" x14ac:dyDescent="0.2">
      <c r="B1295" s="62" t="s">
        <v>265</v>
      </c>
      <c r="C1295" s="63">
        <v>47080</v>
      </c>
      <c r="D1295" s="64" t="s">
        <v>396</v>
      </c>
    </row>
    <row r="1296" spans="2:4" x14ac:dyDescent="0.2">
      <c r="B1296" s="62" t="s">
        <v>265</v>
      </c>
      <c r="C1296" s="63">
        <v>47112</v>
      </c>
      <c r="D1296" s="64" t="s">
        <v>359</v>
      </c>
    </row>
    <row r="1297" spans="2:4" x14ac:dyDescent="0.2">
      <c r="B1297" s="62" t="s">
        <v>265</v>
      </c>
      <c r="C1297" s="63">
        <v>47119</v>
      </c>
      <c r="D1297" s="64" t="s">
        <v>350</v>
      </c>
    </row>
    <row r="1298" spans="2:4" x14ac:dyDescent="0.2">
      <c r="B1298" s="62" t="s">
        <v>265</v>
      </c>
      <c r="C1298" s="63">
        <v>47133</v>
      </c>
      <c r="D1298" s="64" t="s">
        <v>389</v>
      </c>
    </row>
    <row r="1299" spans="2:4" x14ac:dyDescent="0.2">
      <c r="B1299" s="62" t="s">
        <v>265</v>
      </c>
      <c r="C1299" s="63">
        <v>47161</v>
      </c>
      <c r="D1299" s="64" t="s">
        <v>407</v>
      </c>
    </row>
    <row r="1300" spans="2:4" x14ac:dyDescent="0.2">
      <c r="B1300" s="62" t="s">
        <v>265</v>
      </c>
      <c r="C1300" s="63">
        <v>47164</v>
      </c>
      <c r="D1300" s="64" t="s">
        <v>400</v>
      </c>
    </row>
    <row r="1301" spans="2:4" x14ac:dyDescent="0.2">
      <c r="B1301" s="62" t="s">
        <v>265</v>
      </c>
      <c r="C1301" s="63">
        <v>47168</v>
      </c>
      <c r="D1301" s="64" t="s">
        <v>390</v>
      </c>
    </row>
    <row r="1302" spans="2:4" x14ac:dyDescent="0.2">
      <c r="B1302" s="62" t="s">
        <v>265</v>
      </c>
      <c r="C1302" s="63">
        <v>47266</v>
      </c>
      <c r="D1302" s="64" t="s">
        <v>391</v>
      </c>
    </row>
    <row r="1303" spans="2:4" x14ac:dyDescent="0.2">
      <c r="B1303" s="62" t="s">
        <v>265</v>
      </c>
      <c r="C1303" s="63">
        <v>47288</v>
      </c>
      <c r="D1303" s="64" t="s">
        <v>392</v>
      </c>
    </row>
    <row r="1304" spans="2:4" x14ac:dyDescent="0.2">
      <c r="B1304" s="62" t="s">
        <v>265</v>
      </c>
      <c r="C1304" s="63">
        <v>47303</v>
      </c>
      <c r="D1304" s="64" t="s">
        <v>393</v>
      </c>
    </row>
    <row r="1305" spans="2:4" x14ac:dyDescent="0.2">
      <c r="B1305" s="62" t="s">
        <v>265</v>
      </c>
      <c r="C1305" s="63">
        <v>47364</v>
      </c>
      <c r="D1305" s="64" t="s">
        <v>358</v>
      </c>
    </row>
    <row r="1306" spans="2:4" x14ac:dyDescent="0.2">
      <c r="B1306" s="62" t="s">
        <v>265</v>
      </c>
      <c r="C1306" s="63">
        <v>47399</v>
      </c>
      <c r="D1306" s="64" t="s">
        <v>394</v>
      </c>
    </row>
    <row r="1307" spans="2:4" x14ac:dyDescent="0.2">
      <c r="B1307" s="62" t="s">
        <v>265</v>
      </c>
      <c r="C1307" s="63">
        <v>47428</v>
      </c>
      <c r="D1307" s="64" t="s">
        <v>408</v>
      </c>
    </row>
    <row r="1308" spans="2:4" x14ac:dyDescent="0.2">
      <c r="B1308" s="62" t="s">
        <v>265</v>
      </c>
      <c r="C1308" s="63">
        <v>47433</v>
      </c>
      <c r="D1308" s="64" t="s">
        <v>395</v>
      </c>
    </row>
    <row r="1309" spans="2:4" x14ac:dyDescent="0.2">
      <c r="B1309" s="62" t="s">
        <v>265</v>
      </c>
      <c r="C1309" s="63">
        <v>47434</v>
      </c>
      <c r="D1309" s="64" t="s">
        <v>399</v>
      </c>
    </row>
    <row r="1310" spans="2:4" x14ac:dyDescent="0.2">
      <c r="B1310" s="62" t="s">
        <v>265</v>
      </c>
      <c r="C1310" s="63">
        <v>47444</v>
      </c>
      <c r="D1310" s="64" t="s">
        <v>396</v>
      </c>
    </row>
    <row r="1311" spans="2:4" x14ac:dyDescent="0.2">
      <c r="B1311" s="62" t="s">
        <v>265</v>
      </c>
      <c r="C1311" s="63">
        <v>47477</v>
      </c>
      <c r="D1311" s="64" t="s">
        <v>359</v>
      </c>
    </row>
    <row r="1312" spans="2:4" x14ac:dyDescent="0.2">
      <c r="B1312" s="62" t="s">
        <v>265</v>
      </c>
      <c r="C1312" s="63">
        <v>47484</v>
      </c>
      <c r="D1312" s="64" t="s">
        <v>350</v>
      </c>
    </row>
    <row r="1313" spans="2:4" x14ac:dyDescent="0.2">
      <c r="B1313" s="62" t="s">
        <v>265</v>
      </c>
      <c r="C1313" s="63">
        <v>47504</v>
      </c>
      <c r="D1313" s="64" t="s">
        <v>389</v>
      </c>
    </row>
    <row r="1314" spans="2:4" x14ac:dyDescent="0.2">
      <c r="B1314" s="62" t="s">
        <v>265</v>
      </c>
      <c r="C1314" s="63">
        <v>47526</v>
      </c>
      <c r="D1314" s="64" t="s">
        <v>407</v>
      </c>
    </row>
    <row r="1315" spans="2:4" x14ac:dyDescent="0.2">
      <c r="B1315" s="62" t="s">
        <v>265</v>
      </c>
      <c r="C1315" s="63">
        <v>47529</v>
      </c>
      <c r="D1315" s="64" t="s">
        <v>400</v>
      </c>
    </row>
    <row r="1316" spans="2:4" x14ac:dyDescent="0.2">
      <c r="B1316" s="62" t="s">
        <v>265</v>
      </c>
      <c r="C1316" s="63">
        <v>47532</v>
      </c>
      <c r="D1316" s="64" t="s">
        <v>390</v>
      </c>
    </row>
    <row r="1317" spans="2:4" x14ac:dyDescent="0.2">
      <c r="B1317" s="62" t="s">
        <v>265</v>
      </c>
      <c r="C1317" s="63">
        <v>47630</v>
      </c>
      <c r="D1317" s="64" t="s">
        <v>391</v>
      </c>
    </row>
    <row r="1318" spans="2:4" x14ac:dyDescent="0.2">
      <c r="B1318" s="62" t="s">
        <v>265</v>
      </c>
      <c r="C1318" s="63">
        <v>47653</v>
      </c>
      <c r="D1318" s="64" t="s">
        <v>392</v>
      </c>
    </row>
    <row r="1319" spans="2:4" x14ac:dyDescent="0.2">
      <c r="B1319" s="62" t="s">
        <v>265</v>
      </c>
      <c r="C1319" s="63">
        <v>47668</v>
      </c>
      <c r="D1319" s="64" t="s">
        <v>393</v>
      </c>
    </row>
    <row r="1320" spans="2:4" x14ac:dyDescent="0.2">
      <c r="B1320" s="62" t="s">
        <v>265</v>
      </c>
      <c r="C1320" s="63">
        <v>47728</v>
      </c>
      <c r="D1320" s="64" t="s">
        <v>358</v>
      </c>
    </row>
    <row r="1321" spans="2:4" x14ac:dyDescent="0.2">
      <c r="B1321" s="62" t="s">
        <v>265</v>
      </c>
      <c r="C1321" s="63">
        <v>47770</v>
      </c>
      <c r="D1321" s="64" t="s">
        <v>394</v>
      </c>
    </row>
    <row r="1322" spans="2:4" x14ac:dyDescent="0.2">
      <c r="B1322" s="62" t="s">
        <v>265</v>
      </c>
      <c r="C1322" s="63">
        <v>47792</v>
      </c>
      <c r="D1322" s="64" t="s">
        <v>408</v>
      </c>
    </row>
    <row r="1323" spans="2:4" x14ac:dyDescent="0.2">
      <c r="B1323" s="62" t="s">
        <v>265</v>
      </c>
      <c r="C1323" s="63">
        <v>47798</v>
      </c>
      <c r="D1323" s="64" t="s">
        <v>395</v>
      </c>
    </row>
    <row r="1324" spans="2:4" x14ac:dyDescent="0.2">
      <c r="B1324" s="62" t="s">
        <v>265</v>
      </c>
      <c r="C1324" s="63">
        <v>47815</v>
      </c>
      <c r="D1324" s="64" t="s">
        <v>396</v>
      </c>
    </row>
    <row r="1325" spans="2:4" x14ac:dyDescent="0.2">
      <c r="B1325" s="62" t="s">
        <v>265</v>
      </c>
      <c r="C1325" s="63">
        <v>47842</v>
      </c>
      <c r="D1325" s="64" t="s">
        <v>359</v>
      </c>
    </row>
    <row r="1326" spans="2:4" x14ac:dyDescent="0.2">
      <c r="B1326" s="62" t="s">
        <v>266</v>
      </c>
      <c r="C1326" s="63">
        <v>45658</v>
      </c>
      <c r="D1326" s="64" t="s">
        <v>350</v>
      </c>
    </row>
    <row r="1327" spans="2:4" x14ac:dyDescent="0.2">
      <c r="B1327" s="62" t="s">
        <v>266</v>
      </c>
      <c r="C1327" s="63">
        <v>45676</v>
      </c>
      <c r="D1327" s="64" t="s">
        <v>411</v>
      </c>
    </row>
    <row r="1328" spans="2:4" x14ac:dyDescent="0.2">
      <c r="B1328" s="62" t="s">
        <v>266</v>
      </c>
      <c r="C1328" s="63">
        <v>45677</v>
      </c>
      <c r="D1328" s="64" t="s">
        <v>389</v>
      </c>
    </row>
    <row r="1329" spans="2:4" x14ac:dyDescent="0.2">
      <c r="B1329" s="62" t="s">
        <v>266</v>
      </c>
      <c r="C1329" s="63">
        <v>45705</v>
      </c>
      <c r="D1329" s="64" t="s">
        <v>401</v>
      </c>
    </row>
    <row r="1330" spans="2:4" x14ac:dyDescent="0.2">
      <c r="B1330" s="62" t="s">
        <v>266</v>
      </c>
      <c r="C1330" s="63">
        <v>45718</v>
      </c>
      <c r="D1330" s="64" t="s">
        <v>412</v>
      </c>
    </row>
    <row r="1331" spans="2:4" x14ac:dyDescent="0.2">
      <c r="B1331" s="62" t="s">
        <v>266</v>
      </c>
      <c r="C1331" s="63">
        <v>45747</v>
      </c>
      <c r="D1331" s="64" t="s">
        <v>402</v>
      </c>
    </row>
    <row r="1332" spans="2:4" x14ac:dyDescent="0.2">
      <c r="B1332" s="62" t="s">
        <v>266</v>
      </c>
      <c r="C1332" s="63">
        <v>45765</v>
      </c>
      <c r="D1332" s="64" t="s">
        <v>352</v>
      </c>
    </row>
    <row r="1333" spans="2:4" x14ac:dyDescent="0.2">
      <c r="B1333" s="62" t="s">
        <v>266</v>
      </c>
      <c r="C1333" s="63">
        <v>45768</v>
      </c>
      <c r="D1333" s="64" t="s">
        <v>413</v>
      </c>
    </row>
    <row r="1334" spans="2:4" x14ac:dyDescent="0.2">
      <c r="B1334" s="62" t="s">
        <v>266</v>
      </c>
      <c r="C1334" s="63">
        <v>45803</v>
      </c>
      <c r="D1334" s="64" t="s">
        <v>391</v>
      </c>
    </row>
    <row r="1335" spans="2:4" x14ac:dyDescent="0.2">
      <c r="B1335" s="62" t="s">
        <v>266</v>
      </c>
      <c r="C1335" s="63">
        <v>45827</v>
      </c>
      <c r="D1335" s="64" t="s">
        <v>414</v>
      </c>
    </row>
    <row r="1336" spans="2:4" x14ac:dyDescent="0.2">
      <c r="B1336" s="62" t="s">
        <v>266</v>
      </c>
      <c r="C1336" s="63">
        <v>45842</v>
      </c>
      <c r="D1336" s="64" t="s">
        <v>393</v>
      </c>
    </row>
    <row r="1337" spans="2:4" x14ac:dyDescent="0.2">
      <c r="B1337" s="62" t="s">
        <v>266</v>
      </c>
      <c r="C1337" s="63">
        <v>45896</v>
      </c>
      <c r="D1337" s="64" t="s">
        <v>415</v>
      </c>
    </row>
    <row r="1338" spans="2:4" x14ac:dyDescent="0.2">
      <c r="B1338" s="62" t="s">
        <v>266</v>
      </c>
      <c r="C1338" s="63">
        <v>45901</v>
      </c>
      <c r="D1338" s="64" t="s">
        <v>358</v>
      </c>
    </row>
    <row r="1339" spans="2:4" x14ac:dyDescent="0.2">
      <c r="B1339" s="62" t="s">
        <v>266</v>
      </c>
      <c r="C1339" s="63">
        <v>45972</v>
      </c>
      <c r="D1339" s="64" t="s">
        <v>395</v>
      </c>
    </row>
    <row r="1340" spans="2:4" x14ac:dyDescent="0.2">
      <c r="B1340" s="62" t="s">
        <v>266</v>
      </c>
      <c r="C1340" s="63">
        <v>45988</v>
      </c>
      <c r="D1340" s="64" t="s">
        <v>396</v>
      </c>
    </row>
    <row r="1341" spans="2:4" x14ac:dyDescent="0.2">
      <c r="B1341" s="62" t="s">
        <v>266</v>
      </c>
      <c r="C1341" s="63">
        <v>45989</v>
      </c>
      <c r="D1341" s="64" t="s">
        <v>416</v>
      </c>
    </row>
    <row r="1342" spans="2:4" x14ac:dyDescent="0.2">
      <c r="B1342" s="62" t="s">
        <v>266</v>
      </c>
      <c r="C1342" s="63">
        <v>46015</v>
      </c>
      <c r="D1342" s="64" t="s">
        <v>417</v>
      </c>
    </row>
    <row r="1343" spans="2:4" x14ac:dyDescent="0.2">
      <c r="B1343" s="62" t="s">
        <v>266</v>
      </c>
      <c r="C1343" s="63">
        <v>46016</v>
      </c>
      <c r="D1343" s="64" t="s">
        <v>359</v>
      </c>
    </row>
    <row r="1344" spans="2:4" x14ac:dyDescent="0.2">
      <c r="B1344" s="62" t="s">
        <v>266</v>
      </c>
      <c r="C1344" s="63">
        <v>46017</v>
      </c>
      <c r="D1344" s="64" t="s">
        <v>418</v>
      </c>
    </row>
    <row r="1345" spans="2:4" x14ac:dyDescent="0.2">
      <c r="B1345" s="62" t="s">
        <v>266</v>
      </c>
      <c r="C1345" s="63">
        <v>46023</v>
      </c>
      <c r="D1345" s="64" t="s">
        <v>350</v>
      </c>
    </row>
    <row r="1346" spans="2:4" x14ac:dyDescent="0.2">
      <c r="B1346" s="62" t="s">
        <v>266</v>
      </c>
      <c r="C1346" s="63">
        <v>46041</v>
      </c>
      <c r="D1346" s="64" t="s">
        <v>419</v>
      </c>
    </row>
    <row r="1347" spans="2:4" x14ac:dyDescent="0.2">
      <c r="B1347" s="62" t="s">
        <v>266</v>
      </c>
      <c r="C1347" s="63">
        <v>46069</v>
      </c>
      <c r="D1347" s="64" t="s">
        <v>401</v>
      </c>
    </row>
    <row r="1348" spans="2:4" x14ac:dyDescent="0.2">
      <c r="B1348" s="62" t="s">
        <v>266</v>
      </c>
      <c r="C1348" s="63">
        <v>46083</v>
      </c>
      <c r="D1348" s="64" t="s">
        <v>412</v>
      </c>
    </row>
    <row r="1349" spans="2:4" x14ac:dyDescent="0.2">
      <c r="B1349" s="62" t="s">
        <v>266</v>
      </c>
      <c r="C1349" s="63">
        <v>46112</v>
      </c>
      <c r="D1349" s="64" t="s">
        <v>402</v>
      </c>
    </row>
    <row r="1350" spans="2:4" x14ac:dyDescent="0.2">
      <c r="B1350" s="62" t="s">
        <v>266</v>
      </c>
      <c r="C1350" s="63">
        <v>46115</v>
      </c>
      <c r="D1350" s="64" t="s">
        <v>352</v>
      </c>
    </row>
    <row r="1351" spans="2:4" x14ac:dyDescent="0.2">
      <c r="B1351" s="62" t="s">
        <v>266</v>
      </c>
      <c r="C1351" s="63">
        <v>46133</v>
      </c>
      <c r="D1351" s="64" t="s">
        <v>413</v>
      </c>
    </row>
    <row r="1352" spans="2:4" x14ac:dyDescent="0.2">
      <c r="B1352" s="62" t="s">
        <v>266</v>
      </c>
      <c r="C1352" s="63">
        <v>46167</v>
      </c>
      <c r="D1352" s="64" t="s">
        <v>391</v>
      </c>
    </row>
    <row r="1353" spans="2:4" x14ac:dyDescent="0.2">
      <c r="B1353" s="62" t="s">
        <v>266</v>
      </c>
      <c r="C1353" s="63">
        <v>46192</v>
      </c>
      <c r="D1353" s="64" t="s">
        <v>414</v>
      </c>
    </row>
    <row r="1354" spans="2:4" x14ac:dyDescent="0.2">
      <c r="B1354" s="62" t="s">
        <v>266</v>
      </c>
      <c r="C1354" s="63">
        <v>46206</v>
      </c>
      <c r="D1354" s="64" t="s">
        <v>397</v>
      </c>
    </row>
    <row r="1355" spans="2:4" x14ac:dyDescent="0.2">
      <c r="B1355" s="62" t="s">
        <v>266</v>
      </c>
      <c r="C1355" s="63">
        <v>46207</v>
      </c>
      <c r="D1355" s="64" t="s">
        <v>393</v>
      </c>
    </row>
    <row r="1356" spans="2:4" x14ac:dyDescent="0.2">
      <c r="B1356" s="62" t="s">
        <v>266</v>
      </c>
      <c r="C1356" s="63">
        <v>46261</v>
      </c>
      <c r="D1356" s="64" t="s">
        <v>415</v>
      </c>
    </row>
    <row r="1357" spans="2:4" x14ac:dyDescent="0.2">
      <c r="B1357" s="62" t="s">
        <v>266</v>
      </c>
      <c r="C1357" s="63">
        <v>46272</v>
      </c>
      <c r="D1357" s="64" t="s">
        <v>358</v>
      </c>
    </row>
    <row r="1358" spans="2:4" x14ac:dyDescent="0.2">
      <c r="B1358" s="62" t="s">
        <v>266</v>
      </c>
      <c r="C1358" s="63">
        <v>46337</v>
      </c>
      <c r="D1358" s="64" t="s">
        <v>395</v>
      </c>
    </row>
    <row r="1359" spans="2:4" x14ac:dyDescent="0.2">
      <c r="B1359" s="62" t="s">
        <v>266</v>
      </c>
      <c r="C1359" s="63">
        <v>46352</v>
      </c>
      <c r="D1359" s="64" t="s">
        <v>396</v>
      </c>
    </row>
    <row r="1360" spans="2:4" x14ac:dyDescent="0.2">
      <c r="B1360" s="62" t="s">
        <v>266</v>
      </c>
      <c r="C1360" s="63">
        <v>46353</v>
      </c>
      <c r="D1360" s="64" t="s">
        <v>416</v>
      </c>
    </row>
    <row r="1361" spans="2:4" x14ac:dyDescent="0.2">
      <c r="B1361" s="62" t="s">
        <v>266</v>
      </c>
      <c r="C1361" s="63">
        <v>46380</v>
      </c>
      <c r="D1361" s="64" t="s">
        <v>417</v>
      </c>
    </row>
    <row r="1362" spans="2:4" x14ac:dyDescent="0.2">
      <c r="B1362" s="62" t="s">
        <v>266</v>
      </c>
      <c r="C1362" s="63">
        <v>46381</v>
      </c>
      <c r="D1362" s="64" t="s">
        <v>359</v>
      </c>
    </row>
    <row r="1363" spans="2:4" x14ac:dyDescent="0.2">
      <c r="B1363" s="62" t="s">
        <v>266</v>
      </c>
      <c r="C1363" s="63">
        <v>46382</v>
      </c>
      <c r="D1363" s="64" t="s">
        <v>418</v>
      </c>
    </row>
    <row r="1364" spans="2:4" x14ac:dyDescent="0.2">
      <c r="B1364" s="62" t="s">
        <v>266</v>
      </c>
      <c r="C1364" s="63">
        <v>46388</v>
      </c>
      <c r="D1364" s="64" t="s">
        <v>350</v>
      </c>
    </row>
    <row r="1365" spans="2:4" x14ac:dyDescent="0.2">
      <c r="B1365" s="62" t="s">
        <v>266</v>
      </c>
      <c r="C1365" s="63">
        <v>46405</v>
      </c>
      <c r="D1365" s="64" t="s">
        <v>389</v>
      </c>
    </row>
    <row r="1366" spans="2:4" x14ac:dyDescent="0.2">
      <c r="B1366" s="62" t="s">
        <v>266</v>
      </c>
      <c r="C1366" s="63">
        <v>46406</v>
      </c>
      <c r="D1366" s="64" t="s">
        <v>411</v>
      </c>
    </row>
    <row r="1367" spans="2:4" x14ac:dyDescent="0.2">
      <c r="B1367" s="62" t="s">
        <v>266</v>
      </c>
      <c r="C1367" s="63">
        <v>46433</v>
      </c>
      <c r="D1367" s="64" t="s">
        <v>401</v>
      </c>
    </row>
    <row r="1368" spans="2:4" x14ac:dyDescent="0.2">
      <c r="B1368" s="62" t="s">
        <v>266</v>
      </c>
      <c r="C1368" s="63">
        <v>46448</v>
      </c>
      <c r="D1368" s="64" t="s">
        <v>412</v>
      </c>
    </row>
    <row r="1369" spans="2:4" x14ac:dyDescent="0.2">
      <c r="B1369" s="62" t="s">
        <v>266</v>
      </c>
      <c r="C1369" s="63">
        <v>46472</v>
      </c>
      <c r="D1369" s="64" t="s">
        <v>352</v>
      </c>
    </row>
    <row r="1370" spans="2:4" x14ac:dyDescent="0.2">
      <c r="B1370" s="62" t="s">
        <v>266</v>
      </c>
      <c r="C1370" s="63">
        <v>46477</v>
      </c>
      <c r="D1370" s="64" t="s">
        <v>402</v>
      </c>
    </row>
    <row r="1371" spans="2:4" x14ac:dyDescent="0.2">
      <c r="B1371" s="62" t="s">
        <v>266</v>
      </c>
      <c r="C1371" s="63">
        <v>46498</v>
      </c>
      <c r="D1371" s="64" t="s">
        <v>413</v>
      </c>
    </row>
    <row r="1372" spans="2:4" x14ac:dyDescent="0.2">
      <c r="B1372" s="62" t="s">
        <v>266</v>
      </c>
      <c r="C1372" s="63">
        <v>46538</v>
      </c>
      <c r="D1372" s="64" t="s">
        <v>391</v>
      </c>
    </row>
    <row r="1373" spans="2:4" x14ac:dyDescent="0.2">
      <c r="B1373" s="62" t="s">
        <v>266</v>
      </c>
      <c r="C1373" s="63">
        <v>46556</v>
      </c>
      <c r="D1373" s="64" t="s">
        <v>398</v>
      </c>
    </row>
    <row r="1374" spans="2:4" x14ac:dyDescent="0.2">
      <c r="B1374" s="62" t="s">
        <v>266</v>
      </c>
      <c r="C1374" s="63">
        <v>46557</v>
      </c>
      <c r="D1374" s="64" t="s">
        <v>414</v>
      </c>
    </row>
    <row r="1375" spans="2:4" x14ac:dyDescent="0.2">
      <c r="B1375" s="62" t="s">
        <v>266</v>
      </c>
      <c r="C1375" s="63">
        <v>46572</v>
      </c>
      <c r="D1375" s="64" t="s">
        <v>393</v>
      </c>
    </row>
    <row r="1376" spans="2:4" x14ac:dyDescent="0.2">
      <c r="B1376" s="62" t="s">
        <v>266</v>
      </c>
      <c r="C1376" s="63">
        <v>46573</v>
      </c>
      <c r="D1376" s="64" t="s">
        <v>397</v>
      </c>
    </row>
    <row r="1377" spans="2:4" x14ac:dyDescent="0.2">
      <c r="B1377" s="62" t="s">
        <v>266</v>
      </c>
      <c r="C1377" s="63">
        <v>46626</v>
      </c>
      <c r="D1377" s="64" t="s">
        <v>415</v>
      </c>
    </row>
    <row r="1378" spans="2:4" x14ac:dyDescent="0.2">
      <c r="B1378" s="62" t="s">
        <v>266</v>
      </c>
      <c r="C1378" s="63">
        <v>46636</v>
      </c>
      <c r="D1378" s="64" t="s">
        <v>358</v>
      </c>
    </row>
    <row r="1379" spans="2:4" x14ac:dyDescent="0.2">
      <c r="B1379" s="62" t="s">
        <v>266</v>
      </c>
      <c r="C1379" s="63">
        <v>46702</v>
      </c>
      <c r="D1379" s="64" t="s">
        <v>395</v>
      </c>
    </row>
    <row r="1380" spans="2:4" x14ac:dyDescent="0.2">
      <c r="B1380" s="62" t="s">
        <v>266</v>
      </c>
      <c r="C1380" s="63">
        <v>46716</v>
      </c>
      <c r="D1380" s="64" t="s">
        <v>396</v>
      </c>
    </row>
    <row r="1381" spans="2:4" x14ac:dyDescent="0.2">
      <c r="B1381" s="62" t="s">
        <v>266</v>
      </c>
      <c r="C1381" s="63">
        <v>46717</v>
      </c>
      <c r="D1381" s="64" t="s">
        <v>416</v>
      </c>
    </row>
    <row r="1382" spans="2:4" x14ac:dyDescent="0.2">
      <c r="B1382" s="62" t="s">
        <v>266</v>
      </c>
      <c r="C1382" s="63">
        <v>46744</v>
      </c>
      <c r="D1382" s="64" t="s">
        <v>420</v>
      </c>
    </row>
    <row r="1383" spans="2:4" x14ac:dyDescent="0.2">
      <c r="B1383" s="62" t="s">
        <v>266</v>
      </c>
      <c r="C1383" s="63">
        <v>46745</v>
      </c>
      <c r="D1383" s="64" t="s">
        <v>421</v>
      </c>
    </row>
    <row r="1384" spans="2:4" x14ac:dyDescent="0.2">
      <c r="B1384" s="62" t="s">
        <v>266</v>
      </c>
      <c r="C1384" s="63">
        <v>46746</v>
      </c>
      <c r="D1384" s="64" t="s">
        <v>359</v>
      </c>
    </row>
    <row r="1385" spans="2:4" x14ac:dyDescent="0.2">
      <c r="B1385" s="62" t="s">
        <v>266</v>
      </c>
      <c r="C1385" s="63">
        <v>46747</v>
      </c>
      <c r="D1385" s="64" t="s">
        <v>418</v>
      </c>
    </row>
    <row r="1386" spans="2:4" x14ac:dyDescent="0.2">
      <c r="B1386" s="62" t="s">
        <v>266</v>
      </c>
      <c r="C1386" s="63">
        <v>46752</v>
      </c>
      <c r="D1386" s="64" t="s">
        <v>364</v>
      </c>
    </row>
    <row r="1387" spans="2:4" x14ac:dyDescent="0.2">
      <c r="B1387" s="62" t="s">
        <v>266</v>
      </c>
      <c r="C1387" s="63">
        <v>46753</v>
      </c>
      <c r="D1387" s="64" t="s">
        <v>350</v>
      </c>
    </row>
    <row r="1388" spans="2:4" x14ac:dyDescent="0.2">
      <c r="B1388" s="62" t="s">
        <v>266</v>
      </c>
      <c r="C1388" s="63">
        <v>46769</v>
      </c>
      <c r="D1388" s="64" t="s">
        <v>389</v>
      </c>
    </row>
    <row r="1389" spans="2:4" x14ac:dyDescent="0.2">
      <c r="B1389" s="62" t="s">
        <v>266</v>
      </c>
      <c r="C1389" s="63">
        <v>46771</v>
      </c>
      <c r="D1389" s="64" t="s">
        <v>411</v>
      </c>
    </row>
    <row r="1390" spans="2:4" x14ac:dyDescent="0.2">
      <c r="B1390" s="62" t="s">
        <v>266</v>
      </c>
      <c r="C1390" s="63">
        <v>46804</v>
      </c>
      <c r="D1390" s="64" t="s">
        <v>401</v>
      </c>
    </row>
    <row r="1391" spans="2:4" x14ac:dyDescent="0.2">
      <c r="B1391" s="62" t="s">
        <v>266</v>
      </c>
      <c r="C1391" s="63">
        <v>46814</v>
      </c>
      <c r="D1391" s="64" t="s">
        <v>412</v>
      </c>
    </row>
    <row r="1392" spans="2:4" x14ac:dyDescent="0.2">
      <c r="B1392" s="62" t="s">
        <v>266</v>
      </c>
      <c r="C1392" s="63">
        <v>46843</v>
      </c>
      <c r="D1392" s="64" t="s">
        <v>402</v>
      </c>
    </row>
    <row r="1393" spans="2:4" x14ac:dyDescent="0.2">
      <c r="B1393" s="62" t="s">
        <v>266</v>
      </c>
      <c r="C1393" s="63">
        <v>46857</v>
      </c>
      <c r="D1393" s="64" t="s">
        <v>352</v>
      </c>
    </row>
    <row r="1394" spans="2:4" x14ac:dyDescent="0.2">
      <c r="B1394" s="62" t="s">
        <v>266</v>
      </c>
      <c r="C1394" s="63">
        <v>46864</v>
      </c>
      <c r="D1394" s="64" t="s">
        <v>413</v>
      </c>
    </row>
    <row r="1395" spans="2:4" x14ac:dyDescent="0.2">
      <c r="B1395" s="62" t="s">
        <v>266</v>
      </c>
      <c r="C1395" s="63">
        <v>46902</v>
      </c>
      <c r="D1395" s="64" t="s">
        <v>391</v>
      </c>
    </row>
    <row r="1396" spans="2:4" x14ac:dyDescent="0.2">
      <c r="B1396" s="62" t="s">
        <v>266</v>
      </c>
      <c r="C1396" s="63">
        <v>46923</v>
      </c>
      <c r="D1396" s="64" t="s">
        <v>414</v>
      </c>
    </row>
    <row r="1397" spans="2:4" x14ac:dyDescent="0.2">
      <c r="B1397" s="62" t="s">
        <v>266</v>
      </c>
      <c r="C1397" s="63">
        <v>46938</v>
      </c>
      <c r="D1397" s="64" t="s">
        <v>393</v>
      </c>
    </row>
    <row r="1398" spans="2:4" x14ac:dyDescent="0.2">
      <c r="B1398" s="62" t="s">
        <v>266</v>
      </c>
      <c r="C1398" s="63">
        <v>46992</v>
      </c>
      <c r="D1398" s="64" t="s">
        <v>415</v>
      </c>
    </row>
    <row r="1399" spans="2:4" x14ac:dyDescent="0.2">
      <c r="B1399" s="62" t="s">
        <v>266</v>
      </c>
      <c r="C1399" s="63">
        <v>47000</v>
      </c>
      <c r="D1399" s="64" t="s">
        <v>358</v>
      </c>
    </row>
    <row r="1400" spans="2:4" x14ac:dyDescent="0.2">
      <c r="B1400" s="62" t="s">
        <v>266</v>
      </c>
      <c r="C1400" s="63">
        <v>47067</v>
      </c>
      <c r="D1400" s="64" t="s">
        <v>399</v>
      </c>
    </row>
    <row r="1401" spans="2:4" x14ac:dyDescent="0.2">
      <c r="B1401" s="62" t="s">
        <v>266</v>
      </c>
      <c r="C1401" s="63">
        <v>47068</v>
      </c>
      <c r="D1401" s="64" t="s">
        <v>395</v>
      </c>
    </row>
    <row r="1402" spans="2:4" x14ac:dyDescent="0.2">
      <c r="B1402" s="62" t="s">
        <v>266</v>
      </c>
      <c r="C1402" s="63">
        <v>47080</v>
      </c>
      <c r="D1402" s="64" t="s">
        <v>396</v>
      </c>
    </row>
    <row r="1403" spans="2:4" x14ac:dyDescent="0.2">
      <c r="B1403" s="62" t="s">
        <v>266</v>
      </c>
      <c r="C1403" s="63">
        <v>47081</v>
      </c>
      <c r="D1403" s="64" t="s">
        <v>416</v>
      </c>
    </row>
    <row r="1404" spans="2:4" x14ac:dyDescent="0.2">
      <c r="B1404" s="62" t="s">
        <v>266</v>
      </c>
      <c r="C1404" s="63">
        <v>47109</v>
      </c>
      <c r="D1404" s="64" t="s">
        <v>420</v>
      </c>
    </row>
    <row r="1405" spans="2:4" x14ac:dyDescent="0.2">
      <c r="B1405" s="62" t="s">
        <v>266</v>
      </c>
      <c r="C1405" s="63">
        <v>47111</v>
      </c>
      <c r="D1405" s="64" t="s">
        <v>417</v>
      </c>
    </row>
    <row r="1406" spans="2:4" x14ac:dyDescent="0.2">
      <c r="B1406" s="62" t="s">
        <v>266</v>
      </c>
      <c r="C1406" s="63">
        <v>47112</v>
      </c>
      <c r="D1406" s="64" t="s">
        <v>359</v>
      </c>
    </row>
    <row r="1407" spans="2:4" x14ac:dyDescent="0.2">
      <c r="B1407" s="62" t="s">
        <v>266</v>
      </c>
      <c r="C1407" s="63">
        <v>47113</v>
      </c>
      <c r="D1407" s="64" t="s">
        <v>418</v>
      </c>
    </row>
    <row r="1408" spans="2:4" x14ac:dyDescent="0.2">
      <c r="B1408" s="62" t="s">
        <v>266</v>
      </c>
      <c r="C1408" s="63">
        <v>47119</v>
      </c>
      <c r="D1408" s="64" t="s">
        <v>350</v>
      </c>
    </row>
    <row r="1409" spans="2:4" x14ac:dyDescent="0.2">
      <c r="B1409" s="62" t="s">
        <v>266</v>
      </c>
      <c r="C1409" s="63">
        <v>47133</v>
      </c>
      <c r="D1409" s="64" t="s">
        <v>389</v>
      </c>
    </row>
    <row r="1410" spans="2:4" x14ac:dyDescent="0.2">
      <c r="B1410" s="62" t="s">
        <v>266</v>
      </c>
      <c r="C1410" s="63">
        <v>47137</v>
      </c>
      <c r="D1410" s="64" t="s">
        <v>411</v>
      </c>
    </row>
    <row r="1411" spans="2:4" x14ac:dyDescent="0.2">
      <c r="B1411" s="62" t="s">
        <v>266</v>
      </c>
      <c r="C1411" s="63">
        <v>47168</v>
      </c>
      <c r="D1411" s="64" t="s">
        <v>401</v>
      </c>
    </row>
    <row r="1412" spans="2:4" x14ac:dyDescent="0.2">
      <c r="B1412" s="62" t="s">
        <v>266</v>
      </c>
      <c r="C1412" s="63">
        <v>47179</v>
      </c>
      <c r="D1412" s="64" t="s">
        <v>412</v>
      </c>
    </row>
    <row r="1413" spans="2:4" x14ac:dyDescent="0.2">
      <c r="B1413" s="62" t="s">
        <v>266</v>
      </c>
      <c r="C1413" s="63">
        <v>47207</v>
      </c>
      <c r="D1413" s="64" t="s">
        <v>352</v>
      </c>
    </row>
    <row r="1414" spans="2:4" x14ac:dyDescent="0.2">
      <c r="B1414" s="62" t="s">
        <v>266</v>
      </c>
      <c r="C1414" s="63">
        <v>47208</v>
      </c>
      <c r="D1414" s="64" t="s">
        <v>402</v>
      </c>
    </row>
    <row r="1415" spans="2:4" x14ac:dyDescent="0.2">
      <c r="B1415" s="62" t="s">
        <v>266</v>
      </c>
      <c r="C1415" s="63">
        <v>47229</v>
      </c>
      <c r="D1415" s="64" t="s">
        <v>413</v>
      </c>
    </row>
    <row r="1416" spans="2:4" x14ac:dyDescent="0.2">
      <c r="B1416" s="62" t="s">
        <v>266</v>
      </c>
      <c r="C1416" s="63">
        <v>47266</v>
      </c>
      <c r="D1416" s="64" t="s">
        <v>391</v>
      </c>
    </row>
    <row r="1417" spans="2:4" x14ac:dyDescent="0.2">
      <c r="B1417" s="62" t="s">
        <v>266</v>
      </c>
      <c r="C1417" s="63">
        <v>47288</v>
      </c>
      <c r="D1417" s="64" t="s">
        <v>414</v>
      </c>
    </row>
    <row r="1418" spans="2:4" x14ac:dyDescent="0.2">
      <c r="B1418" s="62" t="s">
        <v>266</v>
      </c>
      <c r="C1418" s="63">
        <v>47303</v>
      </c>
      <c r="D1418" s="64" t="s">
        <v>393</v>
      </c>
    </row>
    <row r="1419" spans="2:4" x14ac:dyDescent="0.2">
      <c r="B1419" s="62" t="s">
        <v>266</v>
      </c>
      <c r="C1419" s="63">
        <v>47357</v>
      </c>
      <c r="D1419" s="64" t="s">
        <v>415</v>
      </c>
    </row>
    <row r="1420" spans="2:4" x14ac:dyDescent="0.2">
      <c r="B1420" s="62" t="s">
        <v>266</v>
      </c>
      <c r="C1420" s="63">
        <v>47364</v>
      </c>
      <c r="D1420" s="64" t="s">
        <v>358</v>
      </c>
    </row>
    <row r="1421" spans="2:4" x14ac:dyDescent="0.2">
      <c r="B1421" s="62" t="s">
        <v>266</v>
      </c>
      <c r="C1421" s="63">
        <v>47433</v>
      </c>
      <c r="D1421" s="64" t="s">
        <v>395</v>
      </c>
    </row>
    <row r="1422" spans="2:4" x14ac:dyDescent="0.2">
      <c r="B1422" s="62" t="s">
        <v>266</v>
      </c>
      <c r="C1422" s="63">
        <v>47434</v>
      </c>
      <c r="D1422" s="64" t="s">
        <v>399</v>
      </c>
    </row>
    <row r="1423" spans="2:4" x14ac:dyDescent="0.2">
      <c r="B1423" s="62" t="s">
        <v>266</v>
      </c>
      <c r="C1423" s="63">
        <v>47444</v>
      </c>
      <c r="D1423" s="64" t="s">
        <v>396</v>
      </c>
    </row>
    <row r="1424" spans="2:4" x14ac:dyDescent="0.2">
      <c r="B1424" s="62" t="s">
        <v>266</v>
      </c>
      <c r="C1424" s="63">
        <v>47445</v>
      </c>
      <c r="D1424" s="64" t="s">
        <v>416</v>
      </c>
    </row>
    <row r="1425" spans="2:4" x14ac:dyDescent="0.2">
      <c r="B1425" s="62" t="s">
        <v>266</v>
      </c>
      <c r="C1425" s="63">
        <v>47476</v>
      </c>
      <c r="D1425" s="64" t="s">
        <v>417</v>
      </c>
    </row>
    <row r="1426" spans="2:4" x14ac:dyDescent="0.2">
      <c r="B1426" s="62" t="s">
        <v>266</v>
      </c>
      <c r="C1426" s="63">
        <v>47477</v>
      </c>
      <c r="D1426" s="64" t="s">
        <v>359</v>
      </c>
    </row>
    <row r="1427" spans="2:4" x14ac:dyDescent="0.2">
      <c r="B1427" s="62" t="s">
        <v>266</v>
      </c>
      <c r="C1427" s="63">
        <v>47478</v>
      </c>
      <c r="D1427" s="64" t="s">
        <v>418</v>
      </c>
    </row>
    <row r="1428" spans="2:4" x14ac:dyDescent="0.2">
      <c r="B1428" s="62" t="s">
        <v>266</v>
      </c>
      <c r="C1428" s="63">
        <v>47484</v>
      </c>
      <c r="D1428" s="64" t="s">
        <v>350</v>
      </c>
    </row>
    <row r="1429" spans="2:4" x14ac:dyDescent="0.2">
      <c r="B1429" s="62" t="s">
        <v>266</v>
      </c>
      <c r="C1429" s="63">
        <v>47502</v>
      </c>
      <c r="D1429" s="64" t="s">
        <v>411</v>
      </c>
    </row>
    <row r="1430" spans="2:4" x14ac:dyDescent="0.2">
      <c r="B1430" s="62" t="s">
        <v>266</v>
      </c>
      <c r="C1430" s="63">
        <v>47504</v>
      </c>
      <c r="D1430" s="64" t="s">
        <v>389</v>
      </c>
    </row>
    <row r="1431" spans="2:4" x14ac:dyDescent="0.2">
      <c r="B1431" s="62" t="s">
        <v>266</v>
      </c>
      <c r="C1431" s="63">
        <v>47532</v>
      </c>
      <c r="D1431" s="64" t="s">
        <v>401</v>
      </c>
    </row>
    <row r="1432" spans="2:4" x14ac:dyDescent="0.2">
      <c r="B1432" s="62" t="s">
        <v>266</v>
      </c>
      <c r="C1432" s="63">
        <v>47544</v>
      </c>
      <c r="D1432" s="64" t="s">
        <v>412</v>
      </c>
    </row>
    <row r="1433" spans="2:4" x14ac:dyDescent="0.2">
      <c r="B1433" s="62" t="s">
        <v>266</v>
      </c>
      <c r="C1433" s="63">
        <v>47573</v>
      </c>
      <c r="D1433" s="64" t="s">
        <v>402</v>
      </c>
    </row>
    <row r="1434" spans="2:4" x14ac:dyDescent="0.2">
      <c r="B1434" s="62" t="s">
        <v>266</v>
      </c>
      <c r="C1434" s="63">
        <v>47592</v>
      </c>
      <c r="D1434" s="64" t="s">
        <v>352</v>
      </c>
    </row>
    <row r="1435" spans="2:4" x14ac:dyDescent="0.2">
      <c r="B1435" s="62" t="s">
        <v>266</v>
      </c>
      <c r="C1435" s="63">
        <v>47594</v>
      </c>
      <c r="D1435" s="64" t="s">
        <v>413</v>
      </c>
    </row>
    <row r="1436" spans="2:4" x14ac:dyDescent="0.2">
      <c r="B1436" s="62" t="s">
        <v>266</v>
      </c>
      <c r="C1436" s="63">
        <v>47630</v>
      </c>
      <c r="D1436" s="64" t="s">
        <v>391</v>
      </c>
    </row>
    <row r="1437" spans="2:4" x14ac:dyDescent="0.2">
      <c r="B1437" s="62" t="s">
        <v>266</v>
      </c>
      <c r="C1437" s="63">
        <v>47653</v>
      </c>
      <c r="D1437" s="64" t="s">
        <v>414</v>
      </c>
    </row>
    <row r="1438" spans="2:4" x14ac:dyDescent="0.2">
      <c r="B1438" s="62" t="s">
        <v>266</v>
      </c>
      <c r="C1438" s="63">
        <v>47668</v>
      </c>
      <c r="D1438" s="64" t="s">
        <v>393</v>
      </c>
    </row>
    <row r="1439" spans="2:4" x14ac:dyDescent="0.2">
      <c r="B1439" s="62" t="s">
        <v>266</v>
      </c>
      <c r="C1439" s="63">
        <v>47722</v>
      </c>
      <c r="D1439" s="64" t="s">
        <v>415</v>
      </c>
    </row>
    <row r="1440" spans="2:4" x14ac:dyDescent="0.2">
      <c r="B1440" s="62" t="s">
        <v>266</v>
      </c>
      <c r="C1440" s="63">
        <v>47728</v>
      </c>
      <c r="D1440" s="64" t="s">
        <v>358</v>
      </c>
    </row>
    <row r="1441" spans="2:4" x14ac:dyDescent="0.2">
      <c r="B1441" s="62" t="s">
        <v>266</v>
      </c>
      <c r="C1441" s="63">
        <v>47798</v>
      </c>
      <c r="D1441" s="64" t="s">
        <v>395</v>
      </c>
    </row>
    <row r="1442" spans="2:4" x14ac:dyDescent="0.2">
      <c r="B1442" s="62" t="s">
        <v>266</v>
      </c>
      <c r="C1442" s="63">
        <v>47815</v>
      </c>
      <c r="D1442" s="64" t="s">
        <v>396</v>
      </c>
    </row>
    <row r="1443" spans="2:4" x14ac:dyDescent="0.2">
      <c r="B1443" s="62" t="s">
        <v>266</v>
      </c>
      <c r="C1443" s="63">
        <v>47816</v>
      </c>
      <c r="D1443" s="64" t="s">
        <v>416</v>
      </c>
    </row>
    <row r="1444" spans="2:4" x14ac:dyDescent="0.2">
      <c r="B1444" s="62" t="s">
        <v>266</v>
      </c>
      <c r="C1444" s="63">
        <v>47841</v>
      </c>
      <c r="D1444" s="64" t="s">
        <v>417</v>
      </c>
    </row>
    <row r="1445" spans="2:4" x14ac:dyDescent="0.2">
      <c r="B1445" s="62" t="s">
        <v>266</v>
      </c>
      <c r="C1445" s="63">
        <v>47842</v>
      </c>
      <c r="D1445" s="64" t="s">
        <v>359</v>
      </c>
    </row>
    <row r="1446" spans="2:4" x14ac:dyDescent="0.2">
      <c r="B1446" s="62" t="s">
        <v>266</v>
      </c>
      <c r="C1446" s="63">
        <v>47843</v>
      </c>
      <c r="D1446" s="64" t="s">
        <v>418</v>
      </c>
    </row>
    <row r="1447" spans="2:4" x14ac:dyDescent="0.2">
      <c r="B1447" s="62" t="s">
        <v>267</v>
      </c>
      <c r="C1447" s="63">
        <v>45658</v>
      </c>
      <c r="D1447" s="64" t="s">
        <v>350</v>
      </c>
    </row>
    <row r="1448" spans="2:4" x14ac:dyDescent="0.2">
      <c r="B1448" s="62" t="s">
        <v>267</v>
      </c>
      <c r="C1448" s="63">
        <v>45677</v>
      </c>
      <c r="D1448" s="64" t="s">
        <v>389</v>
      </c>
    </row>
    <row r="1449" spans="2:4" x14ac:dyDescent="0.2">
      <c r="B1449" s="62" t="s">
        <v>267</v>
      </c>
      <c r="C1449" s="63">
        <v>45705</v>
      </c>
      <c r="D1449" s="64" t="s">
        <v>390</v>
      </c>
    </row>
    <row r="1450" spans="2:4" x14ac:dyDescent="0.2">
      <c r="B1450" s="62" t="s">
        <v>267</v>
      </c>
      <c r="C1450" s="63">
        <v>45768</v>
      </c>
      <c r="D1450" s="64" t="s">
        <v>422</v>
      </c>
    </row>
    <row r="1451" spans="2:4" x14ac:dyDescent="0.2">
      <c r="B1451" s="62" t="s">
        <v>267</v>
      </c>
      <c r="C1451" s="63">
        <v>45803</v>
      </c>
      <c r="D1451" s="64" t="s">
        <v>391</v>
      </c>
    </row>
    <row r="1452" spans="2:4" x14ac:dyDescent="0.2">
      <c r="B1452" s="62" t="s">
        <v>267</v>
      </c>
      <c r="C1452" s="63">
        <v>45827</v>
      </c>
      <c r="D1452" s="64" t="s">
        <v>392</v>
      </c>
    </row>
    <row r="1453" spans="2:4" x14ac:dyDescent="0.2">
      <c r="B1453" s="62" t="s">
        <v>267</v>
      </c>
      <c r="C1453" s="63">
        <v>45842</v>
      </c>
      <c r="D1453" s="64" t="s">
        <v>393</v>
      </c>
    </row>
    <row r="1454" spans="2:4" x14ac:dyDescent="0.2">
      <c r="B1454" s="62" t="s">
        <v>267</v>
      </c>
      <c r="C1454" s="63">
        <v>45901</v>
      </c>
      <c r="D1454" s="64" t="s">
        <v>358</v>
      </c>
    </row>
    <row r="1455" spans="2:4" x14ac:dyDescent="0.2">
      <c r="B1455" s="62" t="s">
        <v>267</v>
      </c>
      <c r="C1455" s="63">
        <v>45943</v>
      </c>
      <c r="D1455" s="64" t="s">
        <v>394</v>
      </c>
    </row>
    <row r="1456" spans="2:4" x14ac:dyDescent="0.2">
      <c r="B1456" s="62" t="s">
        <v>267</v>
      </c>
      <c r="C1456" s="63">
        <v>45972</v>
      </c>
      <c r="D1456" s="64" t="s">
        <v>395</v>
      </c>
    </row>
    <row r="1457" spans="2:4" x14ac:dyDescent="0.2">
      <c r="B1457" s="62" t="s">
        <v>267</v>
      </c>
      <c r="C1457" s="63">
        <v>45988</v>
      </c>
      <c r="D1457" s="64" t="s">
        <v>396</v>
      </c>
    </row>
    <row r="1458" spans="2:4" x14ac:dyDescent="0.2">
      <c r="B1458" s="62" t="s">
        <v>267</v>
      </c>
      <c r="C1458" s="63">
        <v>46016</v>
      </c>
      <c r="D1458" s="64" t="s">
        <v>359</v>
      </c>
    </row>
    <row r="1459" spans="2:4" x14ac:dyDescent="0.2">
      <c r="B1459" s="62" t="s">
        <v>267</v>
      </c>
      <c r="C1459" s="63">
        <v>46023</v>
      </c>
      <c r="D1459" s="64" t="s">
        <v>350</v>
      </c>
    </row>
    <row r="1460" spans="2:4" x14ac:dyDescent="0.2">
      <c r="B1460" s="62" t="s">
        <v>267</v>
      </c>
      <c r="C1460" s="63">
        <v>46041</v>
      </c>
      <c r="D1460" s="64" t="s">
        <v>389</v>
      </c>
    </row>
    <row r="1461" spans="2:4" x14ac:dyDescent="0.2">
      <c r="B1461" s="62" t="s">
        <v>267</v>
      </c>
      <c r="C1461" s="63">
        <v>46069</v>
      </c>
      <c r="D1461" s="64" t="s">
        <v>390</v>
      </c>
    </row>
    <row r="1462" spans="2:4" x14ac:dyDescent="0.2">
      <c r="B1462" s="62" t="s">
        <v>267</v>
      </c>
      <c r="C1462" s="63">
        <v>46132</v>
      </c>
      <c r="D1462" s="64" t="s">
        <v>422</v>
      </c>
    </row>
    <row r="1463" spans="2:4" x14ac:dyDescent="0.2">
      <c r="B1463" s="62" t="s">
        <v>267</v>
      </c>
      <c r="C1463" s="63">
        <v>46167</v>
      </c>
      <c r="D1463" s="64" t="s">
        <v>391</v>
      </c>
    </row>
    <row r="1464" spans="2:4" x14ac:dyDescent="0.2">
      <c r="B1464" s="62" t="s">
        <v>267</v>
      </c>
      <c r="C1464" s="63">
        <v>46192</v>
      </c>
      <c r="D1464" s="64" t="s">
        <v>392</v>
      </c>
    </row>
    <row r="1465" spans="2:4" x14ac:dyDescent="0.2">
      <c r="B1465" s="62" t="s">
        <v>267</v>
      </c>
      <c r="C1465" s="63">
        <v>46207</v>
      </c>
      <c r="D1465" s="64" t="s">
        <v>393</v>
      </c>
    </row>
    <row r="1466" spans="2:4" x14ac:dyDescent="0.2">
      <c r="B1466" s="62" t="s">
        <v>267</v>
      </c>
      <c r="C1466" s="63">
        <v>46272</v>
      </c>
      <c r="D1466" s="64" t="s">
        <v>358</v>
      </c>
    </row>
    <row r="1467" spans="2:4" x14ac:dyDescent="0.2">
      <c r="B1467" s="62" t="s">
        <v>267</v>
      </c>
      <c r="C1467" s="63">
        <v>46307</v>
      </c>
      <c r="D1467" s="64" t="s">
        <v>394</v>
      </c>
    </row>
    <row r="1468" spans="2:4" x14ac:dyDescent="0.2">
      <c r="B1468" s="62" t="s">
        <v>267</v>
      </c>
      <c r="C1468" s="63">
        <v>46337</v>
      </c>
      <c r="D1468" s="64" t="s">
        <v>395</v>
      </c>
    </row>
    <row r="1469" spans="2:4" x14ac:dyDescent="0.2">
      <c r="B1469" s="62" t="s">
        <v>267</v>
      </c>
      <c r="C1469" s="63">
        <v>46352</v>
      </c>
      <c r="D1469" s="64" t="s">
        <v>396</v>
      </c>
    </row>
    <row r="1470" spans="2:4" x14ac:dyDescent="0.2">
      <c r="B1470" s="62" t="s">
        <v>267</v>
      </c>
      <c r="C1470" s="63">
        <v>46381</v>
      </c>
      <c r="D1470" s="64" t="s">
        <v>359</v>
      </c>
    </row>
    <row r="1471" spans="2:4" x14ac:dyDescent="0.2">
      <c r="B1471" s="62" t="s">
        <v>267</v>
      </c>
      <c r="C1471" s="63">
        <v>46388</v>
      </c>
      <c r="D1471" s="64" t="s">
        <v>350</v>
      </c>
    </row>
    <row r="1472" spans="2:4" x14ac:dyDescent="0.2">
      <c r="B1472" s="62" t="s">
        <v>267</v>
      </c>
      <c r="C1472" s="63">
        <v>46405</v>
      </c>
      <c r="D1472" s="64" t="s">
        <v>389</v>
      </c>
    </row>
    <row r="1473" spans="2:4" x14ac:dyDescent="0.2">
      <c r="B1473" s="62" t="s">
        <v>267</v>
      </c>
      <c r="C1473" s="63">
        <v>46433</v>
      </c>
      <c r="D1473" s="64" t="s">
        <v>390</v>
      </c>
    </row>
    <row r="1474" spans="2:4" x14ac:dyDescent="0.2">
      <c r="B1474" s="62" t="s">
        <v>267</v>
      </c>
      <c r="C1474" s="63">
        <v>46496</v>
      </c>
      <c r="D1474" s="64" t="s">
        <v>422</v>
      </c>
    </row>
    <row r="1475" spans="2:4" x14ac:dyDescent="0.2">
      <c r="B1475" s="62" t="s">
        <v>267</v>
      </c>
      <c r="C1475" s="63">
        <v>46538</v>
      </c>
      <c r="D1475" s="64" t="s">
        <v>391</v>
      </c>
    </row>
    <row r="1476" spans="2:4" x14ac:dyDescent="0.2">
      <c r="B1476" s="62" t="s">
        <v>267</v>
      </c>
      <c r="C1476" s="63">
        <v>46557</v>
      </c>
      <c r="D1476" s="64" t="s">
        <v>392</v>
      </c>
    </row>
    <row r="1477" spans="2:4" x14ac:dyDescent="0.2">
      <c r="B1477" s="62" t="s">
        <v>267</v>
      </c>
      <c r="C1477" s="63">
        <v>46572</v>
      </c>
      <c r="D1477" s="64" t="s">
        <v>393</v>
      </c>
    </row>
    <row r="1478" spans="2:4" x14ac:dyDescent="0.2">
      <c r="B1478" s="62" t="s">
        <v>267</v>
      </c>
      <c r="C1478" s="63">
        <v>46573</v>
      </c>
      <c r="D1478" s="64" t="s">
        <v>397</v>
      </c>
    </row>
    <row r="1479" spans="2:4" x14ac:dyDescent="0.2">
      <c r="B1479" s="62" t="s">
        <v>267</v>
      </c>
      <c r="C1479" s="63">
        <v>46636</v>
      </c>
      <c r="D1479" s="64" t="s">
        <v>358</v>
      </c>
    </row>
    <row r="1480" spans="2:4" x14ac:dyDescent="0.2">
      <c r="B1480" s="62" t="s">
        <v>267</v>
      </c>
      <c r="C1480" s="63">
        <v>46671</v>
      </c>
      <c r="D1480" s="64" t="s">
        <v>394</v>
      </c>
    </row>
    <row r="1481" spans="2:4" x14ac:dyDescent="0.2">
      <c r="B1481" s="62" t="s">
        <v>267</v>
      </c>
      <c r="C1481" s="63">
        <v>46702</v>
      </c>
      <c r="D1481" s="64" t="s">
        <v>395</v>
      </c>
    </row>
    <row r="1482" spans="2:4" x14ac:dyDescent="0.2">
      <c r="B1482" s="62" t="s">
        <v>267</v>
      </c>
      <c r="C1482" s="63">
        <v>46716</v>
      </c>
      <c r="D1482" s="64" t="s">
        <v>396</v>
      </c>
    </row>
    <row r="1483" spans="2:4" x14ac:dyDescent="0.2">
      <c r="B1483" s="62" t="s">
        <v>267</v>
      </c>
      <c r="C1483" s="63">
        <v>46746</v>
      </c>
      <c r="D1483" s="64" t="s">
        <v>359</v>
      </c>
    </row>
    <row r="1484" spans="2:4" x14ac:dyDescent="0.2">
      <c r="B1484" s="62" t="s">
        <v>267</v>
      </c>
      <c r="C1484" s="63">
        <v>46753</v>
      </c>
      <c r="D1484" s="64" t="s">
        <v>350</v>
      </c>
    </row>
    <row r="1485" spans="2:4" x14ac:dyDescent="0.2">
      <c r="B1485" s="62" t="s">
        <v>267</v>
      </c>
      <c r="C1485" s="63">
        <v>46769</v>
      </c>
      <c r="D1485" s="64" t="s">
        <v>389</v>
      </c>
    </row>
    <row r="1486" spans="2:4" x14ac:dyDescent="0.2">
      <c r="B1486" s="62" t="s">
        <v>267</v>
      </c>
      <c r="C1486" s="63">
        <v>46804</v>
      </c>
      <c r="D1486" s="64" t="s">
        <v>390</v>
      </c>
    </row>
    <row r="1487" spans="2:4" x14ac:dyDescent="0.2">
      <c r="B1487" s="62" t="s">
        <v>267</v>
      </c>
      <c r="C1487" s="63">
        <v>46860</v>
      </c>
      <c r="D1487" s="64" t="s">
        <v>422</v>
      </c>
    </row>
    <row r="1488" spans="2:4" x14ac:dyDescent="0.2">
      <c r="B1488" s="62" t="s">
        <v>267</v>
      </c>
      <c r="C1488" s="63">
        <v>46902</v>
      </c>
      <c r="D1488" s="64" t="s">
        <v>391</v>
      </c>
    </row>
    <row r="1489" spans="2:4" x14ac:dyDescent="0.2">
      <c r="B1489" s="62" t="s">
        <v>267</v>
      </c>
      <c r="C1489" s="63">
        <v>46923</v>
      </c>
      <c r="D1489" s="64" t="s">
        <v>392</v>
      </c>
    </row>
    <row r="1490" spans="2:4" x14ac:dyDescent="0.2">
      <c r="B1490" s="62" t="s">
        <v>267</v>
      </c>
      <c r="C1490" s="63">
        <v>46938</v>
      </c>
      <c r="D1490" s="64" t="s">
        <v>393</v>
      </c>
    </row>
    <row r="1491" spans="2:4" x14ac:dyDescent="0.2">
      <c r="B1491" s="62" t="s">
        <v>267</v>
      </c>
      <c r="C1491" s="63">
        <v>47000</v>
      </c>
      <c r="D1491" s="64" t="s">
        <v>358</v>
      </c>
    </row>
    <row r="1492" spans="2:4" x14ac:dyDescent="0.2">
      <c r="B1492" s="62" t="s">
        <v>267</v>
      </c>
      <c r="C1492" s="63">
        <v>47035</v>
      </c>
      <c r="D1492" s="64" t="s">
        <v>394</v>
      </c>
    </row>
    <row r="1493" spans="2:4" x14ac:dyDescent="0.2">
      <c r="B1493" s="62" t="s">
        <v>267</v>
      </c>
      <c r="C1493" s="63">
        <v>47068</v>
      </c>
      <c r="D1493" s="64" t="s">
        <v>395</v>
      </c>
    </row>
    <row r="1494" spans="2:4" x14ac:dyDescent="0.2">
      <c r="B1494" s="62" t="s">
        <v>267</v>
      </c>
      <c r="C1494" s="63">
        <v>47080</v>
      </c>
      <c r="D1494" s="64" t="s">
        <v>396</v>
      </c>
    </row>
    <row r="1495" spans="2:4" x14ac:dyDescent="0.2">
      <c r="B1495" s="62" t="s">
        <v>267</v>
      </c>
      <c r="C1495" s="63">
        <v>47112</v>
      </c>
      <c r="D1495" s="64" t="s">
        <v>359</v>
      </c>
    </row>
    <row r="1496" spans="2:4" x14ac:dyDescent="0.2">
      <c r="B1496" s="62" t="s">
        <v>267</v>
      </c>
      <c r="C1496" s="63">
        <v>47119</v>
      </c>
      <c r="D1496" s="64" t="s">
        <v>350</v>
      </c>
    </row>
    <row r="1497" spans="2:4" x14ac:dyDescent="0.2">
      <c r="B1497" s="62" t="s">
        <v>267</v>
      </c>
      <c r="C1497" s="63">
        <v>47133</v>
      </c>
      <c r="D1497" s="64" t="s">
        <v>389</v>
      </c>
    </row>
    <row r="1498" spans="2:4" x14ac:dyDescent="0.2">
      <c r="B1498" s="62" t="s">
        <v>267</v>
      </c>
      <c r="C1498" s="63">
        <v>47168</v>
      </c>
      <c r="D1498" s="64" t="s">
        <v>390</v>
      </c>
    </row>
    <row r="1499" spans="2:4" x14ac:dyDescent="0.2">
      <c r="B1499" s="62" t="s">
        <v>267</v>
      </c>
      <c r="C1499" s="63">
        <v>47224</v>
      </c>
      <c r="D1499" s="64" t="s">
        <v>422</v>
      </c>
    </row>
    <row r="1500" spans="2:4" x14ac:dyDescent="0.2">
      <c r="B1500" s="62" t="s">
        <v>267</v>
      </c>
      <c r="C1500" s="63">
        <v>47266</v>
      </c>
      <c r="D1500" s="64" t="s">
        <v>391</v>
      </c>
    </row>
    <row r="1501" spans="2:4" x14ac:dyDescent="0.2">
      <c r="B1501" s="62" t="s">
        <v>267</v>
      </c>
      <c r="C1501" s="63">
        <v>47288</v>
      </c>
      <c r="D1501" s="64" t="s">
        <v>392</v>
      </c>
    </row>
    <row r="1502" spans="2:4" x14ac:dyDescent="0.2">
      <c r="B1502" s="62" t="s">
        <v>267</v>
      </c>
      <c r="C1502" s="63">
        <v>47303</v>
      </c>
      <c r="D1502" s="64" t="s">
        <v>393</v>
      </c>
    </row>
    <row r="1503" spans="2:4" x14ac:dyDescent="0.2">
      <c r="B1503" s="62" t="s">
        <v>267</v>
      </c>
      <c r="C1503" s="63">
        <v>47364</v>
      </c>
      <c r="D1503" s="64" t="s">
        <v>358</v>
      </c>
    </row>
    <row r="1504" spans="2:4" x14ac:dyDescent="0.2">
      <c r="B1504" s="62" t="s">
        <v>267</v>
      </c>
      <c r="C1504" s="63">
        <v>47399</v>
      </c>
      <c r="D1504" s="64" t="s">
        <v>394</v>
      </c>
    </row>
    <row r="1505" spans="2:4" x14ac:dyDescent="0.2">
      <c r="B1505" s="62" t="s">
        <v>267</v>
      </c>
      <c r="C1505" s="63">
        <v>47433</v>
      </c>
      <c r="D1505" s="64" t="s">
        <v>395</v>
      </c>
    </row>
    <row r="1506" spans="2:4" x14ac:dyDescent="0.2">
      <c r="B1506" s="62" t="s">
        <v>267</v>
      </c>
      <c r="C1506" s="63">
        <v>47434</v>
      </c>
      <c r="D1506" s="64" t="s">
        <v>399</v>
      </c>
    </row>
    <row r="1507" spans="2:4" x14ac:dyDescent="0.2">
      <c r="B1507" s="62" t="s">
        <v>267</v>
      </c>
      <c r="C1507" s="63">
        <v>47444</v>
      </c>
      <c r="D1507" s="64" t="s">
        <v>396</v>
      </c>
    </row>
    <row r="1508" spans="2:4" x14ac:dyDescent="0.2">
      <c r="B1508" s="62" t="s">
        <v>267</v>
      </c>
      <c r="C1508" s="63">
        <v>47477</v>
      </c>
      <c r="D1508" s="64" t="s">
        <v>359</v>
      </c>
    </row>
    <row r="1509" spans="2:4" x14ac:dyDescent="0.2">
      <c r="B1509" s="62" t="s">
        <v>267</v>
      </c>
      <c r="C1509" s="63">
        <v>47484</v>
      </c>
      <c r="D1509" s="64" t="s">
        <v>350</v>
      </c>
    </row>
    <row r="1510" spans="2:4" x14ac:dyDescent="0.2">
      <c r="B1510" s="62" t="s">
        <v>267</v>
      </c>
      <c r="C1510" s="63">
        <v>47504</v>
      </c>
      <c r="D1510" s="64" t="s">
        <v>389</v>
      </c>
    </row>
    <row r="1511" spans="2:4" x14ac:dyDescent="0.2">
      <c r="B1511" s="62" t="s">
        <v>267</v>
      </c>
      <c r="C1511" s="63">
        <v>47532</v>
      </c>
      <c r="D1511" s="64" t="s">
        <v>390</v>
      </c>
    </row>
    <row r="1512" spans="2:4" x14ac:dyDescent="0.2">
      <c r="B1512" s="62" t="s">
        <v>267</v>
      </c>
      <c r="C1512" s="63">
        <v>47588</v>
      </c>
      <c r="D1512" s="64" t="s">
        <v>422</v>
      </c>
    </row>
    <row r="1513" spans="2:4" x14ac:dyDescent="0.2">
      <c r="B1513" s="62" t="s">
        <v>267</v>
      </c>
      <c r="C1513" s="63">
        <v>47630</v>
      </c>
      <c r="D1513" s="64" t="s">
        <v>391</v>
      </c>
    </row>
    <row r="1514" spans="2:4" x14ac:dyDescent="0.2">
      <c r="B1514" s="62" t="s">
        <v>267</v>
      </c>
      <c r="C1514" s="63">
        <v>47653</v>
      </c>
      <c r="D1514" s="64" t="s">
        <v>392</v>
      </c>
    </row>
    <row r="1515" spans="2:4" x14ac:dyDescent="0.2">
      <c r="B1515" s="62" t="s">
        <v>267</v>
      </c>
      <c r="C1515" s="63">
        <v>47668</v>
      </c>
      <c r="D1515" s="64" t="s">
        <v>393</v>
      </c>
    </row>
    <row r="1516" spans="2:4" x14ac:dyDescent="0.2">
      <c r="B1516" s="62" t="s">
        <v>267</v>
      </c>
      <c r="C1516" s="63">
        <v>47728</v>
      </c>
      <c r="D1516" s="64" t="s">
        <v>358</v>
      </c>
    </row>
    <row r="1517" spans="2:4" x14ac:dyDescent="0.2">
      <c r="B1517" s="62" t="s">
        <v>267</v>
      </c>
      <c r="C1517" s="63">
        <v>47770</v>
      </c>
      <c r="D1517" s="64" t="s">
        <v>394</v>
      </c>
    </row>
    <row r="1518" spans="2:4" x14ac:dyDescent="0.2">
      <c r="B1518" s="62" t="s">
        <v>267</v>
      </c>
      <c r="C1518" s="63">
        <v>47798</v>
      </c>
      <c r="D1518" s="64" t="s">
        <v>395</v>
      </c>
    </row>
    <row r="1519" spans="2:4" x14ac:dyDescent="0.2">
      <c r="B1519" s="62" t="s">
        <v>267</v>
      </c>
      <c r="C1519" s="63">
        <v>47815</v>
      </c>
      <c r="D1519" s="64" t="s">
        <v>396</v>
      </c>
    </row>
    <row r="1520" spans="2:4" x14ac:dyDescent="0.2">
      <c r="B1520" s="62" t="s">
        <v>267</v>
      </c>
      <c r="C1520" s="63">
        <v>47842</v>
      </c>
      <c r="D1520" s="64" t="s">
        <v>359</v>
      </c>
    </row>
    <row r="1521" spans="2:4" x14ac:dyDescent="0.2">
      <c r="B1521" s="62" t="s">
        <v>268</v>
      </c>
      <c r="C1521" s="63">
        <v>45658</v>
      </c>
      <c r="D1521" s="64" t="s">
        <v>350</v>
      </c>
    </row>
    <row r="1522" spans="2:4" x14ac:dyDescent="0.2">
      <c r="B1522" s="62" t="s">
        <v>268</v>
      </c>
      <c r="C1522" s="63">
        <v>45677</v>
      </c>
      <c r="D1522" s="64" t="s">
        <v>389</v>
      </c>
    </row>
    <row r="1523" spans="2:4" x14ac:dyDescent="0.2">
      <c r="B1523" s="62" t="s">
        <v>268</v>
      </c>
      <c r="C1523" s="63">
        <v>45700</v>
      </c>
      <c r="D1523" s="64" t="s">
        <v>407</v>
      </c>
    </row>
    <row r="1524" spans="2:4" x14ac:dyDescent="0.2">
      <c r="B1524" s="62" t="s">
        <v>268</v>
      </c>
      <c r="C1524" s="63">
        <v>45705</v>
      </c>
      <c r="D1524" s="64" t="s">
        <v>390</v>
      </c>
    </row>
    <row r="1525" spans="2:4" x14ac:dyDescent="0.2">
      <c r="B1525" s="62" t="s">
        <v>268</v>
      </c>
      <c r="C1525" s="63">
        <v>45719</v>
      </c>
      <c r="D1525" s="64" t="s">
        <v>423</v>
      </c>
    </row>
    <row r="1526" spans="2:4" x14ac:dyDescent="0.2">
      <c r="B1526" s="62" t="s">
        <v>268</v>
      </c>
      <c r="C1526" s="63">
        <v>45803</v>
      </c>
      <c r="D1526" s="64" t="s">
        <v>391</v>
      </c>
    </row>
    <row r="1527" spans="2:4" x14ac:dyDescent="0.2">
      <c r="B1527" s="62" t="s">
        <v>268</v>
      </c>
      <c r="C1527" s="63">
        <v>45827</v>
      </c>
      <c r="D1527" s="64" t="s">
        <v>392</v>
      </c>
    </row>
    <row r="1528" spans="2:4" x14ac:dyDescent="0.2">
      <c r="B1528" s="62" t="s">
        <v>268</v>
      </c>
      <c r="C1528" s="63">
        <v>45842</v>
      </c>
      <c r="D1528" s="64" t="s">
        <v>393</v>
      </c>
    </row>
    <row r="1529" spans="2:4" x14ac:dyDescent="0.2">
      <c r="B1529" s="62" t="s">
        <v>268</v>
      </c>
      <c r="C1529" s="63">
        <v>45901</v>
      </c>
      <c r="D1529" s="64" t="s">
        <v>358</v>
      </c>
    </row>
    <row r="1530" spans="2:4" x14ac:dyDescent="0.2">
      <c r="B1530" s="62" t="s">
        <v>268</v>
      </c>
      <c r="C1530" s="63">
        <v>45943</v>
      </c>
      <c r="D1530" s="64" t="s">
        <v>394</v>
      </c>
    </row>
    <row r="1531" spans="2:4" x14ac:dyDescent="0.2">
      <c r="B1531" s="62" t="s">
        <v>268</v>
      </c>
      <c r="C1531" s="63">
        <v>45972</v>
      </c>
      <c r="D1531" s="64" t="s">
        <v>395</v>
      </c>
    </row>
    <row r="1532" spans="2:4" x14ac:dyDescent="0.2">
      <c r="B1532" s="62" t="s">
        <v>268</v>
      </c>
      <c r="C1532" s="63">
        <v>45988</v>
      </c>
      <c r="D1532" s="64" t="s">
        <v>396</v>
      </c>
    </row>
    <row r="1533" spans="2:4" x14ac:dyDescent="0.2">
      <c r="B1533" s="62" t="s">
        <v>268</v>
      </c>
      <c r="C1533" s="63">
        <v>46016</v>
      </c>
      <c r="D1533" s="64" t="s">
        <v>359</v>
      </c>
    </row>
    <row r="1534" spans="2:4" x14ac:dyDescent="0.2">
      <c r="B1534" s="62" t="s">
        <v>268</v>
      </c>
      <c r="C1534" s="63">
        <v>46023</v>
      </c>
      <c r="D1534" s="64" t="s">
        <v>350</v>
      </c>
    </row>
    <row r="1535" spans="2:4" x14ac:dyDescent="0.2">
      <c r="B1535" s="62" t="s">
        <v>268</v>
      </c>
      <c r="C1535" s="63">
        <v>46041</v>
      </c>
      <c r="D1535" s="64" t="s">
        <v>389</v>
      </c>
    </row>
    <row r="1536" spans="2:4" x14ac:dyDescent="0.2">
      <c r="B1536" s="62" t="s">
        <v>268</v>
      </c>
      <c r="C1536" s="63">
        <v>46065</v>
      </c>
      <c r="D1536" s="64" t="s">
        <v>407</v>
      </c>
    </row>
    <row r="1537" spans="2:4" x14ac:dyDescent="0.2">
      <c r="B1537" s="62" t="s">
        <v>268</v>
      </c>
      <c r="C1537" s="63">
        <v>46069</v>
      </c>
      <c r="D1537" s="64" t="s">
        <v>390</v>
      </c>
    </row>
    <row r="1538" spans="2:4" x14ac:dyDescent="0.2">
      <c r="B1538" s="62" t="s">
        <v>268</v>
      </c>
      <c r="C1538" s="63">
        <v>46083</v>
      </c>
      <c r="D1538" s="64" t="s">
        <v>423</v>
      </c>
    </row>
    <row r="1539" spans="2:4" x14ac:dyDescent="0.2">
      <c r="B1539" s="62" t="s">
        <v>268</v>
      </c>
      <c r="C1539" s="63">
        <v>46167</v>
      </c>
      <c r="D1539" s="64" t="s">
        <v>391</v>
      </c>
    </row>
    <row r="1540" spans="2:4" x14ac:dyDescent="0.2">
      <c r="B1540" s="62" t="s">
        <v>268</v>
      </c>
      <c r="C1540" s="63">
        <v>46192</v>
      </c>
      <c r="D1540" s="64" t="s">
        <v>392</v>
      </c>
    </row>
    <row r="1541" spans="2:4" x14ac:dyDescent="0.2">
      <c r="B1541" s="62" t="s">
        <v>268</v>
      </c>
      <c r="C1541" s="63">
        <v>46206</v>
      </c>
      <c r="D1541" s="64" t="s">
        <v>397</v>
      </c>
    </row>
    <row r="1542" spans="2:4" x14ac:dyDescent="0.2">
      <c r="B1542" s="62" t="s">
        <v>268</v>
      </c>
      <c r="C1542" s="63">
        <v>46207</v>
      </c>
      <c r="D1542" s="64" t="s">
        <v>393</v>
      </c>
    </row>
    <row r="1543" spans="2:4" x14ac:dyDescent="0.2">
      <c r="B1543" s="62" t="s">
        <v>268</v>
      </c>
      <c r="C1543" s="63">
        <v>46272</v>
      </c>
      <c r="D1543" s="64" t="s">
        <v>358</v>
      </c>
    </row>
    <row r="1544" spans="2:4" x14ac:dyDescent="0.2">
      <c r="B1544" s="62" t="s">
        <v>268</v>
      </c>
      <c r="C1544" s="63">
        <v>46307</v>
      </c>
      <c r="D1544" s="64" t="s">
        <v>394</v>
      </c>
    </row>
    <row r="1545" spans="2:4" x14ac:dyDescent="0.2">
      <c r="B1545" s="62" t="s">
        <v>268</v>
      </c>
      <c r="C1545" s="63">
        <v>46329</v>
      </c>
      <c r="D1545" s="64" t="s">
        <v>408</v>
      </c>
    </row>
    <row r="1546" spans="2:4" x14ac:dyDescent="0.2">
      <c r="B1546" s="62" t="s">
        <v>268</v>
      </c>
      <c r="C1546" s="63">
        <v>46337</v>
      </c>
      <c r="D1546" s="64" t="s">
        <v>395</v>
      </c>
    </row>
    <row r="1547" spans="2:4" x14ac:dyDescent="0.2">
      <c r="B1547" s="62" t="s">
        <v>268</v>
      </c>
      <c r="C1547" s="63">
        <v>46352</v>
      </c>
      <c r="D1547" s="64" t="s">
        <v>396</v>
      </c>
    </row>
    <row r="1548" spans="2:4" x14ac:dyDescent="0.2">
      <c r="B1548" s="62" t="s">
        <v>268</v>
      </c>
      <c r="C1548" s="63">
        <v>46381</v>
      </c>
      <c r="D1548" s="64" t="s">
        <v>359</v>
      </c>
    </row>
    <row r="1549" spans="2:4" x14ac:dyDescent="0.2">
      <c r="B1549" s="62" t="s">
        <v>268</v>
      </c>
      <c r="C1549" s="63">
        <v>46388</v>
      </c>
      <c r="D1549" s="64" t="s">
        <v>350</v>
      </c>
    </row>
    <row r="1550" spans="2:4" x14ac:dyDescent="0.2">
      <c r="B1550" s="62" t="s">
        <v>268</v>
      </c>
      <c r="C1550" s="63">
        <v>46405</v>
      </c>
      <c r="D1550" s="64" t="s">
        <v>389</v>
      </c>
    </row>
    <row r="1551" spans="2:4" x14ac:dyDescent="0.2">
      <c r="B1551" s="62" t="s">
        <v>268</v>
      </c>
      <c r="C1551" s="63">
        <v>46430</v>
      </c>
      <c r="D1551" s="64" t="s">
        <v>407</v>
      </c>
    </row>
    <row r="1552" spans="2:4" x14ac:dyDescent="0.2">
      <c r="B1552" s="62" t="s">
        <v>268</v>
      </c>
      <c r="C1552" s="63">
        <v>46433</v>
      </c>
      <c r="D1552" s="64" t="s">
        <v>390</v>
      </c>
    </row>
    <row r="1553" spans="2:4" x14ac:dyDescent="0.2">
      <c r="B1553" s="62" t="s">
        <v>268</v>
      </c>
      <c r="C1553" s="63">
        <v>46447</v>
      </c>
      <c r="D1553" s="64" t="s">
        <v>423</v>
      </c>
    </row>
    <row r="1554" spans="2:4" x14ac:dyDescent="0.2">
      <c r="B1554" s="62" t="s">
        <v>268</v>
      </c>
      <c r="C1554" s="63">
        <v>46538</v>
      </c>
      <c r="D1554" s="64" t="s">
        <v>391</v>
      </c>
    </row>
    <row r="1555" spans="2:4" x14ac:dyDescent="0.2">
      <c r="B1555" s="62" t="s">
        <v>268</v>
      </c>
      <c r="C1555" s="63">
        <v>46556</v>
      </c>
      <c r="D1555" s="64" t="s">
        <v>398</v>
      </c>
    </row>
    <row r="1556" spans="2:4" x14ac:dyDescent="0.2">
      <c r="B1556" s="62" t="s">
        <v>268</v>
      </c>
      <c r="C1556" s="63">
        <v>46557</v>
      </c>
      <c r="D1556" s="64" t="s">
        <v>392</v>
      </c>
    </row>
    <row r="1557" spans="2:4" x14ac:dyDescent="0.2">
      <c r="B1557" s="62" t="s">
        <v>268</v>
      </c>
      <c r="C1557" s="63">
        <v>46572</v>
      </c>
      <c r="D1557" s="64" t="s">
        <v>393</v>
      </c>
    </row>
    <row r="1558" spans="2:4" x14ac:dyDescent="0.2">
      <c r="B1558" s="62" t="s">
        <v>268</v>
      </c>
      <c r="C1558" s="63">
        <v>46573</v>
      </c>
      <c r="D1558" s="64" t="s">
        <v>397</v>
      </c>
    </row>
    <row r="1559" spans="2:4" x14ac:dyDescent="0.2">
      <c r="B1559" s="62" t="s">
        <v>268</v>
      </c>
      <c r="C1559" s="63">
        <v>46636</v>
      </c>
      <c r="D1559" s="64" t="s">
        <v>358</v>
      </c>
    </row>
    <row r="1560" spans="2:4" x14ac:dyDescent="0.2">
      <c r="B1560" s="62" t="s">
        <v>268</v>
      </c>
      <c r="C1560" s="63">
        <v>46671</v>
      </c>
      <c r="D1560" s="64" t="s">
        <v>394</v>
      </c>
    </row>
    <row r="1561" spans="2:4" x14ac:dyDescent="0.2">
      <c r="B1561" s="62" t="s">
        <v>268</v>
      </c>
      <c r="C1561" s="63">
        <v>46702</v>
      </c>
      <c r="D1561" s="64" t="s">
        <v>395</v>
      </c>
    </row>
    <row r="1562" spans="2:4" x14ac:dyDescent="0.2">
      <c r="B1562" s="62" t="s">
        <v>268</v>
      </c>
      <c r="C1562" s="63">
        <v>46716</v>
      </c>
      <c r="D1562" s="64" t="s">
        <v>396</v>
      </c>
    </row>
    <row r="1563" spans="2:4" x14ac:dyDescent="0.2">
      <c r="B1563" s="62" t="s">
        <v>268</v>
      </c>
      <c r="C1563" s="63">
        <v>46745</v>
      </c>
      <c r="D1563" s="64" t="s">
        <v>363</v>
      </c>
    </row>
    <row r="1564" spans="2:4" x14ac:dyDescent="0.2">
      <c r="B1564" s="62" t="s">
        <v>268</v>
      </c>
      <c r="C1564" s="63">
        <v>46746</v>
      </c>
      <c r="D1564" s="64" t="s">
        <v>359</v>
      </c>
    </row>
    <row r="1565" spans="2:4" x14ac:dyDescent="0.2">
      <c r="B1565" s="62" t="s">
        <v>268</v>
      </c>
      <c r="C1565" s="63">
        <v>46752</v>
      </c>
      <c r="D1565" s="64" t="s">
        <v>364</v>
      </c>
    </row>
    <row r="1566" spans="2:4" x14ac:dyDescent="0.2">
      <c r="B1566" s="62" t="s">
        <v>268</v>
      </c>
      <c r="C1566" s="63">
        <v>46753</v>
      </c>
      <c r="D1566" s="64" t="s">
        <v>350</v>
      </c>
    </row>
    <row r="1567" spans="2:4" x14ac:dyDescent="0.2">
      <c r="B1567" s="62" t="s">
        <v>268</v>
      </c>
      <c r="C1567" s="63">
        <v>46769</v>
      </c>
      <c r="D1567" s="64" t="s">
        <v>389</v>
      </c>
    </row>
    <row r="1568" spans="2:4" x14ac:dyDescent="0.2">
      <c r="B1568" s="62" t="s">
        <v>268</v>
      </c>
      <c r="C1568" s="63">
        <v>46794</v>
      </c>
      <c r="D1568" s="64" t="s">
        <v>410</v>
      </c>
    </row>
    <row r="1569" spans="2:4" x14ac:dyDescent="0.2">
      <c r="B1569" s="62" t="s">
        <v>268</v>
      </c>
      <c r="C1569" s="63">
        <v>46795</v>
      </c>
      <c r="D1569" s="64" t="s">
        <v>407</v>
      </c>
    </row>
    <row r="1570" spans="2:4" x14ac:dyDescent="0.2">
      <c r="B1570" s="62" t="s">
        <v>268</v>
      </c>
      <c r="C1570" s="63">
        <v>46804</v>
      </c>
      <c r="D1570" s="64" t="s">
        <v>390</v>
      </c>
    </row>
    <row r="1571" spans="2:4" x14ac:dyDescent="0.2">
      <c r="B1571" s="62" t="s">
        <v>268</v>
      </c>
      <c r="C1571" s="63">
        <v>46818</v>
      </c>
      <c r="D1571" s="64" t="s">
        <v>423</v>
      </c>
    </row>
    <row r="1572" spans="2:4" x14ac:dyDescent="0.2">
      <c r="B1572" s="62" t="s">
        <v>268</v>
      </c>
      <c r="C1572" s="63">
        <v>46902</v>
      </c>
      <c r="D1572" s="64" t="s">
        <v>391</v>
      </c>
    </row>
    <row r="1573" spans="2:4" x14ac:dyDescent="0.2">
      <c r="B1573" s="62" t="s">
        <v>268</v>
      </c>
      <c r="C1573" s="63">
        <v>46923</v>
      </c>
      <c r="D1573" s="64" t="s">
        <v>392</v>
      </c>
    </row>
    <row r="1574" spans="2:4" x14ac:dyDescent="0.2">
      <c r="B1574" s="62" t="s">
        <v>268</v>
      </c>
      <c r="C1574" s="63">
        <v>46938</v>
      </c>
      <c r="D1574" s="64" t="s">
        <v>393</v>
      </c>
    </row>
    <row r="1575" spans="2:4" x14ac:dyDescent="0.2">
      <c r="B1575" s="62" t="s">
        <v>268</v>
      </c>
      <c r="C1575" s="63">
        <v>47000</v>
      </c>
      <c r="D1575" s="64" t="s">
        <v>358</v>
      </c>
    </row>
    <row r="1576" spans="2:4" x14ac:dyDescent="0.2">
      <c r="B1576" s="62" t="s">
        <v>268</v>
      </c>
      <c r="C1576" s="63">
        <v>47035</v>
      </c>
      <c r="D1576" s="64" t="s">
        <v>394</v>
      </c>
    </row>
    <row r="1577" spans="2:4" x14ac:dyDescent="0.2">
      <c r="B1577" s="62" t="s">
        <v>268</v>
      </c>
      <c r="C1577" s="63">
        <v>47064</v>
      </c>
      <c r="D1577" s="64" t="s">
        <v>408</v>
      </c>
    </row>
    <row r="1578" spans="2:4" x14ac:dyDescent="0.2">
      <c r="B1578" s="62" t="s">
        <v>268</v>
      </c>
      <c r="C1578" s="63">
        <v>47067</v>
      </c>
      <c r="D1578" s="64" t="s">
        <v>399</v>
      </c>
    </row>
    <row r="1579" spans="2:4" x14ac:dyDescent="0.2">
      <c r="B1579" s="62" t="s">
        <v>268</v>
      </c>
      <c r="C1579" s="63">
        <v>47068</v>
      </c>
      <c r="D1579" s="64" t="s">
        <v>395</v>
      </c>
    </row>
    <row r="1580" spans="2:4" x14ac:dyDescent="0.2">
      <c r="B1580" s="62" t="s">
        <v>268</v>
      </c>
      <c r="C1580" s="63">
        <v>47080</v>
      </c>
      <c r="D1580" s="64" t="s">
        <v>396</v>
      </c>
    </row>
    <row r="1581" spans="2:4" x14ac:dyDescent="0.2">
      <c r="B1581" s="62" t="s">
        <v>268</v>
      </c>
      <c r="C1581" s="63">
        <v>47112</v>
      </c>
      <c r="D1581" s="64" t="s">
        <v>359</v>
      </c>
    </row>
    <row r="1582" spans="2:4" x14ac:dyDescent="0.2">
      <c r="B1582" s="62" t="s">
        <v>268</v>
      </c>
      <c r="C1582" s="63">
        <v>47119</v>
      </c>
      <c r="D1582" s="64" t="s">
        <v>350</v>
      </c>
    </row>
    <row r="1583" spans="2:4" x14ac:dyDescent="0.2">
      <c r="B1583" s="62" t="s">
        <v>268</v>
      </c>
      <c r="C1583" s="63">
        <v>47133</v>
      </c>
      <c r="D1583" s="64" t="s">
        <v>389</v>
      </c>
    </row>
    <row r="1584" spans="2:4" x14ac:dyDescent="0.2">
      <c r="B1584" s="62" t="s">
        <v>268</v>
      </c>
      <c r="C1584" s="63">
        <v>47161</v>
      </c>
      <c r="D1584" s="64" t="s">
        <v>407</v>
      </c>
    </row>
    <row r="1585" spans="2:4" x14ac:dyDescent="0.2">
      <c r="B1585" s="62" t="s">
        <v>268</v>
      </c>
      <c r="C1585" s="63">
        <v>47168</v>
      </c>
      <c r="D1585" s="64" t="s">
        <v>390</v>
      </c>
    </row>
    <row r="1586" spans="2:4" x14ac:dyDescent="0.2">
      <c r="B1586" s="62" t="s">
        <v>268</v>
      </c>
      <c r="C1586" s="63">
        <v>47182</v>
      </c>
      <c r="D1586" s="64" t="s">
        <v>423</v>
      </c>
    </row>
    <row r="1587" spans="2:4" x14ac:dyDescent="0.2">
      <c r="B1587" s="62" t="s">
        <v>268</v>
      </c>
      <c r="C1587" s="63">
        <v>47266</v>
      </c>
      <c r="D1587" s="64" t="s">
        <v>391</v>
      </c>
    </row>
    <row r="1588" spans="2:4" x14ac:dyDescent="0.2">
      <c r="B1588" s="62" t="s">
        <v>268</v>
      </c>
      <c r="C1588" s="63">
        <v>47288</v>
      </c>
      <c r="D1588" s="64" t="s">
        <v>392</v>
      </c>
    </row>
    <row r="1589" spans="2:4" x14ac:dyDescent="0.2">
      <c r="B1589" s="62" t="s">
        <v>268</v>
      </c>
      <c r="C1589" s="63">
        <v>47303</v>
      </c>
      <c r="D1589" s="64" t="s">
        <v>393</v>
      </c>
    </row>
    <row r="1590" spans="2:4" x14ac:dyDescent="0.2">
      <c r="B1590" s="62" t="s">
        <v>268</v>
      </c>
      <c r="C1590" s="63">
        <v>47364</v>
      </c>
      <c r="D1590" s="64" t="s">
        <v>358</v>
      </c>
    </row>
    <row r="1591" spans="2:4" x14ac:dyDescent="0.2">
      <c r="B1591" s="62" t="s">
        <v>268</v>
      </c>
      <c r="C1591" s="63">
        <v>47399</v>
      </c>
      <c r="D1591" s="64" t="s">
        <v>394</v>
      </c>
    </row>
    <row r="1592" spans="2:4" x14ac:dyDescent="0.2">
      <c r="B1592" s="62" t="s">
        <v>268</v>
      </c>
      <c r="C1592" s="63">
        <v>47433</v>
      </c>
      <c r="D1592" s="64" t="s">
        <v>395</v>
      </c>
    </row>
    <row r="1593" spans="2:4" x14ac:dyDescent="0.2">
      <c r="B1593" s="62" t="s">
        <v>268</v>
      </c>
      <c r="C1593" s="63">
        <v>47434</v>
      </c>
      <c r="D1593" s="64" t="s">
        <v>399</v>
      </c>
    </row>
    <row r="1594" spans="2:4" x14ac:dyDescent="0.2">
      <c r="B1594" s="62" t="s">
        <v>268</v>
      </c>
      <c r="C1594" s="63">
        <v>47444</v>
      </c>
      <c r="D1594" s="64" t="s">
        <v>396</v>
      </c>
    </row>
    <row r="1595" spans="2:4" x14ac:dyDescent="0.2">
      <c r="B1595" s="62" t="s">
        <v>268</v>
      </c>
      <c r="C1595" s="63">
        <v>47477</v>
      </c>
      <c r="D1595" s="64" t="s">
        <v>359</v>
      </c>
    </row>
    <row r="1596" spans="2:4" x14ac:dyDescent="0.2">
      <c r="B1596" s="62" t="s">
        <v>268</v>
      </c>
      <c r="C1596" s="63">
        <v>47484</v>
      </c>
      <c r="D1596" s="64" t="s">
        <v>350</v>
      </c>
    </row>
    <row r="1597" spans="2:4" x14ac:dyDescent="0.2">
      <c r="B1597" s="62" t="s">
        <v>268</v>
      </c>
      <c r="C1597" s="63">
        <v>47504</v>
      </c>
      <c r="D1597" s="64" t="s">
        <v>389</v>
      </c>
    </row>
    <row r="1598" spans="2:4" x14ac:dyDescent="0.2">
      <c r="B1598" s="62" t="s">
        <v>268</v>
      </c>
      <c r="C1598" s="63">
        <v>47526</v>
      </c>
      <c r="D1598" s="64" t="s">
        <v>407</v>
      </c>
    </row>
    <row r="1599" spans="2:4" x14ac:dyDescent="0.2">
      <c r="B1599" s="62" t="s">
        <v>268</v>
      </c>
      <c r="C1599" s="63">
        <v>47532</v>
      </c>
      <c r="D1599" s="64" t="s">
        <v>390</v>
      </c>
    </row>
    <row r="1600" spans="2:4" x14ac:dyDescent="0.2">
      <c r="B1600" s="62" t="s">
        <v>268</v>
      </c>
      <c r="C1600" s="63">
        <v>47546</v>
      </c>
      <c r="D1600" s="64" t="s">
        <v>423</v>
      </c>
    </row>
    <row r="1601" spans="2:4" x14ac:dyDescent="0.2">
      <c r="B1601" s="62" t="s">
        <v>268</v>
      </c>
      <c r="C1601" s="63">
        <v>47630</v>
      </c>
      <c r="D1601" s="64" t="s">
        <v>391</v>
      </c>
    </row>
    <row r="1602" spans="2:4" x14ac:dyDescent="0.2">
      <c r="B1602" s="62" t="s">
        <v>268</v>
      </c>
      <c r="C1602" s="63">
        <v>47653</v>
      </c>
      <c r="D1602" s="64" t="s">
        <v>392</v>
      </c>
    </row>
    <row r="1603" spans="2:4" x14ac:dyDescent="0.2">
      <c r="B1603" s="62" t="s">
        <v>268</v>
      </c>
      <c r="C1603" s="63">
        <v>47668</v>
      </c>
      <c r="D1603" s="64" t="s">
        <v>393</v>
      </c>
    </row>
    <row r="1604" spans="2:4" x14ac:dyDescent="0.2">
      <c r="B1604" s="62" t="s">
        <v>268</v>
      </c>
      <c r="C1604" s="63">
        <v>47728</v>
      </c>
      <c r="D1604" s="64" t="s">
        <v>358</v>
      </c>
    </row>
    <row r="1605" spans="2:4" x14ac:dyDescent="0.2">
      <c r="B1605" s="62" t="s">
        <v>268</v>
      </c>
      <c r="C1605" s="63">
        <v>47770</v>
      </c>
      <c r="D1605" s="64" t="s">
        <v>394</v>
      </c>
    </row>
    <row r="1606" spans="2:4" x14ac:dyDescent="0.2">
      <c r="B1606" s="62" t="s">
        <v>268</v>
      </c>
      <c r="C1606" s="63">
        <v>47792</v>
      </c>
      <c r="D1606" s="64" t="s">
        <v>408</v>
      </c>
    </row>
    <row r="1607" spans="2:4" x14ac:dyDescent="0.2">
      <c r="B1607" s="62" t="s">
        <v>268</v>
      </c>
      <c r="C1607" s="63">
        <v>47798</v>
      </c>
      <c r="D1607" s="64" t="s">
        <v>395</v>
      </c>
    </row>
    <row r="1608" spans="2:4" x14ac:dyDescent="0.2">
      <c r="B1608" s="62" t="s">
        <v>268</v>
      </c>
      <c r="C1608" s="63">
        <v>47815</v>
      </c>
      <c r="D1608" s="64" t="s">
        <v>396</v>
      </c>
    </row>
    <row r="1609" spans="2:4" x14ac:dyDescent="0.2">
      <c r="B1609" s="62" t="s">
        <v>268</v>
      </c>
      <c r="C1609" s="63">
        <v>47842</v>
      </c>
      <c r="D1609" s="64" t="s">
        <v>359</v>
      </c>
    </row>
    <row r="1610" spans="2:4" x14ac:dyDescent="0.2">
      <c r="B1610" s="62" t="s">
        <v>200</v>
      </c>
      <c r="C1610" s="63">
        <v>45658</v>
      </c>
      <c r="D1610" s="64" t="s">
        <v>350</v>
      </c>
    </row>
    <row r="1611" spans="2:4" x14ac:dyDescent="0.2">
      <c r="B1611" s="62" t="s">
        <v>200</v>
      </c>
      <c r="C1611" s="63">
        <v>45686</v>
      </c>
      <c r="D1611" s="64" t="s">
        <v>424</v>
      </c>
    </row>
    <row r="1612" spans="2:4" x14ac:dyDescent="0.2">
      <c r="B1612" s="62" t="s">
        <v>200</v>
      </c>
      <c r="C1612" s="63">
        <v>45748</v>
      </c>
      <c r="D1612" s="64" t="s">
        <v>425</v>
      </c>
    </row>
    <row r="1613" spans="2:4" x14ac:dyDescent="0.2">
      <c r="B1613" s="62" t="s">
        <v>200</v>
      </c>
      <c r="C1613" s="63">
        <v>45756</v>
      </c>
      <c r="D1613" s="64" t="s">
        <v>426</v>
      </c>
    </row>
    <row r="1614" spans="2:4" x14ac:dyDescent="0.2">
      <c r="B1614" s="62" t="s">
        <v>200</v>
      </c>
      <c r="C1614" s="63">
        <v>45764</v>
      </c>
      <c r="D1614" s="64" t="s">
        <v>427</v>
      </c>
    </row>
    <row r="1615" spans="2:4" x14ac:dyDescent="0.2">
      <c r="B1615" s="62" t="s">
        <v>200</v>
      </c>
      <c r="C1615" s="63">
        <v>45765</v>
      </c>
      <c r="D1615" s="64" t="s">
        <v>352</v>
      </c>
    </row>
    <row r="1616" spans="2:4" x14ac:dyDescent="0.2">
      <c r="B1616" s="62" t="s">
        <v>200</v>
      </c>
      <c r="C1616" s="63">
        <v>45766</v>
      </c>
      <c r="D1616" s="64" t="s">
        <v>428</v>
      </c>
    </row>
    <row r="1617" spans="2:4" x14ac:dyDescent="0.2">
      <c r="B1617" s="62" t="s">
        <v>200</v>
      </c>
      <c r="C1617" s="63">
        <v>45778</v>
      </c>
      <c r="D1617" s="64" t="s">
        <v>358</v>
      </c>
    </row>
    <row r="1618" spans="2:4" x14ac:dyDescent="0.2">
      <c r="B1618" s="62" t="s">
        <v>200</v>
      </c>
      <c r="C1618" s="63">
        <v>45789</v>
      </c>
      <c r="D1618" s="64" t="s">
        <v>429</v>
      </c>
    </row>
    <row r="1619" spans="2:4" x14ac:dyDescent="0.2">
      <c r="B1619" s="62" t="s">
        <v>200</v>
      </c>
      <c r="C1619" s="63">
        <v>45814</v>
      </c>
      <c r="D1619" s="64" t="s">
        <v>430</v>
      </c>
    </row>
    <row r="1620" spans="2:4" x14ac:dyDescent="0.2">
      <c r="B1620" s="62" t="s">
        <v>200</v>
      </c>
      <c r="C1620" s="63">
        <v>45820</v>
      </c>
      <c r="D1620" s="64" t="s">
        <v>393</v>
      </c>
    </row>
    <row r="1621" spans="2:4" x14ac:dyDescent="0.2">
      <c r="B1621" s="62" t="s">
        <v>200</v>
      </c>
      <c r="C1621" s="63">
        <v>45865</v>
      </c>
      <c r="D1621" s="64" t="s">
        <v>431</v>
      </c>
    </row>
    <row r="1622" spans="2:4" x14ac:dyDescent="0.2">
      <c r="B1622" s="62" t="s">
        <v>200</v>
      </c>
      <c r="C1622" s="63">
        <v>45890</v>
      </c>
      <c r="D1622" s="64" t="s">
        <v>432</v>
      </c>
    </row>
    <row r="1623" spans="2:4" x14ac:dyDescent="0.2">
      <c r="B1623" s="62" t="s">
        <v>200</v>
      </c>
      <c r="C1623" s="63">
        <v>45894</v>
      </c>
      <c r="D1623" s="64" t="s">
        <v>433</v>
      </c>
    </row>
    <row r="1624" spans="2:4" x14ac:dyDescent="0.2">
      <c r="B1624" s="62" t="s">
        <v>200</v>
      </c>
      <c r="C1624" s="63">
        <v>45961</v>
      </c>
      <c r="D1624" s="64" t="s">
        <v>434</v>
      </c>
    </row>
    <row r="1625" spans="2:4" x14ac:dyDescent="0.2">
      <c r="B1625" s="62" t="s">
        <v>200</v>
      </c>
      <c r="C1625" s="63">
        <v>45962</v>
      </c>
      <c r="D1625" s="64" t="s">
        <v>435</v>
      </c>
    </row>
    <row r="1626" spans="2:4" x14ac:dyDescent="0.2">
      <c r="B1626" s="62" t="s">
        <v>200</v>
      </c>
      <c r="C1626" s="63">
        <v>45991</v>
      </c>
      <c r="D1626" s="64" t="s">
        <v>436</v>
      </c>
    </row>
    <row r="1627" spans="2:4" x14ac:dyDescent="0.2">
      <c r="B1627" s="62" t="s">
        <v>200</v>
      </c>
      <c r="C1627" s="63">
        <v>45999</v>
      </c>
      <c r="D1627" s="64" t="s">
        <v>437</v>
      </c>
    </row>
    <row r="1628" spans="2:4" x14ac:dyDescent="0.2">
      <c r="B1628" s="62" t="s">
        <v>200</v>
      </c>
      <c r="C1628" s="63">
        <v>46015</v>
      </c>
      <c r="D1628" s="64" t="s">
        <v>417</v>
      </c>
    </row>
    <row r="1629" spans="2:4" x14ac:dyDescent="0.2">
      <c r="B1629" s="62" t="s">
        <v>200</v>
      </c>
      <c r="C1629" s="63">
        <v>46016</v>
      </c>
      <c r="D1629" s="64" t="s">
        <v>359</v>
      </c>
    </row>
    <row r="1630" spans="2:4" x14ac:dyDescent="0.2">
      <c r="B1630" s="62" t="s">
        <v>200</v>
      </c>
      <c r="C1630" s="63">
        <v>46021</v>
      </c>
      <c r="D1630" s="64" t="s">
        <v>438</v>
      </c>
    </row>
    <row r="1631" spans="2:4" x14ac:dyDescent="0.2">
      <c r="B1631" s="62" t="s">
        <v>200</v>
      </c>
      <c r="C1631" s="63">
        <v>46022</v>
      </c>
      <c r="D1631" s="64" t="s">
        <v>439</v>
      </c>
    </row>
    <row r="1632" spans="2:4" x14ac:dyDescent="0.2">
      <c r="B1632" s="62" t="s">
        <v>200</v>
      </c>
      <c r="C1632" s="63">
        <v>46023</v>
      </c>
      <c r="D1632" s="64" t="s">
        <v>350</v>
      </c>
    </row>
    <row r="1633" spans="2:4" x14ac:dyDescent="0.2">
      <c r="B1633" s="62" t="s">
        <v>200</v>
      </c>
      <c r="C1633" s="63">
        <v>46070</v>
      </c>
      <c r="D1633" s="64" t="s">
        <v>424</v>
      </c>
    </row>
    <row r="1634" spans="2:4" x14ac:dyDescent="0.2">
      <c r="B1634" s="62" t="s">
        <v>200</v>
      </c>
      <c r="C1634" s="63">
        <v>46101</v>
      </c>
      <c r="D1634" s="64" t="s">
        <v>425</v>
      </c>
    </row>
    <row r="1635" spans="2:4" x14ac:dyDescent="0.2">
      <c r="B1635" s="62" t="s">
        <v>200</v>
      </c>
      <c r="C1635" s="63">
        <v>46114</v>
      </c>
      <c r="D1635" s="64" t="s">
        <v>427</v>
      </c>
    </row>
    <row r="1636" spans="2:4" x14ac:dyDescent="0.2">
      <c r="B1636" s="62" t="s">
        <v>200</v>
      </c>
      <c r="C1636" s="63">
        <v>46115</v>
      </c>
      <c r="D1636" s="64" t="s">
        <v>352</v>
      </c>
    </row>
    <row r="1637" spans="2:4" x14ac:dyDescent="0.2">
      <c r="B1637" s="62" t="s">
        <v>200</v>
      </c>
      <c r="C1637" s="63">
        <v>46116</v>
      </c>
      <c r="D1637" s="64" t="s">
        <v>428</v>
      </c>
    </row>
    <row r="1638" spans="2:4" x14ac:dyDescent="0.2">
      <c r="B1638" s="62" t="s">
        <v>200</v>
      </c>
      <c r="C1638" s="63">
        <v>46121</v>
      </c>
      <c r="D1638" s="64" t="s">
        <v>426</v>
      </c>
    </row>
    <row r="1639" spans="2:4" x14ac:dyDescent="0.2">
      <c r="B1639" s="62" t="s">
        <v>200</v>
      </c>
      <c r="C1639" s="63">
        <v>46143</v>
      </c>
      <c r="D1639" s="64" t="s">
        <v>358</v>
      </c>
    </row>
    <row r="1640" spans="2:4" x14ac:dyDescent="0.2">
      <c r="B1640" s="62" t="s">
        <v>200</v>
      </c>
      <c r="C1640" s="63">
        <v>46169</v>
      </c>
      <c r="D1640" s="64" t="s">
        <v>430</v>
      </c>
    </row>
    <row r="1641" spans="2:4" x14ac:dyDescent="0.2">
      <c r="B1641" s="62" t="s">
        <v>200</v>
      </c>
      <c r="C1641" s="63">
        <v>46185</v>
      </c>
      <c r="D1641" s="64" t="s">
        <v>393</v>
      </c>
    </row>
    <row r="1642" spans="2:4" x14ac:dyDescent="0.2">
      <c r="B1642" s="62" t="s">
        <v>200</v>
      </c>
      <c r="C1642" s="63">
        <v>46255</v>
      </c>
      <c r="D1642" s="64" t="s">
        <v>432</v>
      </c>
    </row>
    <row r="1643" spans="2:4" x14ac:dyDescent="0.2">
      <c r="B1643" s="62" t="s">
        <v>200</v>
      </c>
      <c r="C1643" s="63">
        <v>46265</v>
      </c>
      <c r="D1643" s="64" t="s">
        <v>433</v>
      </c>
    </row>
    <row r="1644" spans="2:4" x14ac:dyDescent="0.2">
      <c r="B1644" s="62" t="s">
        <v>200</v>
      </c>
      <c r="C1644" s="63">
        <v>46327</v>
      </c>
      <c r="D1644" s="64" t="s">
        <v>435</v>
      </c>
    </row>
    <row r="1645" spans="2:4" x14ac:dyDescent="0.2">
      <c r="B1645" s="62" t="s">
        <v>200</v>
      </c>
      <c r="C1645" s="63">
        <v>46328</v>
      </c>
      <c r="D1645" s="64" t="s">
        <v>440</v>
      </c>
    </row>
    <row r="1646" spans="2:4" x14ac:dyDescent="0.2">
      <c r="B1646" s="62" t="s">
        <v>200</v>
      </c>
      <c r="C1646" s="63">
        <v>46356</v>
      </c>
      <c r="D1646" s="64" t="s">
        <v>436</v>
      </c>
    </row>
    <row r="1647" spans="2:4" x14ac:dyDescent="0.2">
      <c r="B1647" s="62" t="s">
        <v>200</v>
      </c>
      <c r="C1647" s="63">
        <v>46364</v>
      </c>
      <c r="D1647" s="64" t="s">
        <v>437</v>
      </c>
    </row>
    <row r="1648" spans="2:4" x14ac:dyDescent="0.2">
      <c r="B1648" s="62" t="s">
        <v>200</v>
      </c>
      <c r="C1648" s="63">
        <v>46380</v>
      </c>
      <c r="D1648" s="64" t="s">
        <v>417</v>
      </c>
    </row>
    <row r="1649" spans="2:4" x14ac:dyDescent="0.2">
      <c r="B1649" s="62" t="s">
        <v>200</v>
      </c>
      <c r="C1649" s="63">
        <v>46381</v>
      </c>
      <c r="D1649" s="64" t="s">
        <v>359</v>
      </c>
    </row>
    <row r="1650" spans="2:4" x14ac:dyDescent="0.2">
      <c r="B1650" s="62" t="s">
        <v>200</v>
      </c>
      <c r="C1650" s="63">
        <v>46386</v>
      </c>
      <c r="D1650" s="64" t="s">
        <v>438</v>
      </c>
    </row>
    <row r="1651" spans="2:4" x14ac:dyDescent="0.2">
      <c r="B1651" s="62" t="s">
        <v>200</v>
      </c>
      <c r="C1651" s="63">
        <v>46387</v>
      </c>
      <c r="D1651" s="64" t="s">
        <v>439</v>
      </c>
    </row>
    <row r="1652" spans="2:4" x14ac:dyDescent="0.2">
      <c r="B1652" s="62" t="s">
        <v>200</v>
      </c>
      <c r="C1652" s="63">
        <v>46388</v>
      </c>
      <c r="D1652" s="64" t="s">
        <v>350</v>
      </c>
    </row>
    <row r="1653" spans="2:4" x14ac:dyDescent="0.2">
      <c r="B1653" s="62" t="s">
        <v>200</v>
      </c>
      <c r="C1653" s="63">
        <v>46424</v>
      </c>
      <c r="D1653" s="64" t="s">
        <v>424</v>
      </c>
    </row>
    <row r="1654" spans="2:4" x14ac:dyDescent="0.2">
      <c r="B1654" s="62" t="s">
        <v>200</v>
      </c>
      <c r="C1654" s="63">
        <v>46455</v>
      </c>
      <c r="D1654" s="64" t="s">
        <v>441</v>
      </c>
    </row>
    <row r="1655" spans="2:4" x14ac:dyDescent="0.2">
      <c r="B1655" s="62" t="s">
        <v>200</v>
      </c>
      <c r="C1655" s="63">
        <v>46471</v>
      </c>
      <c r="D1655" s="64" t="s">
        <v>427</v>
      </c>
    </row>
    <row r="1656" spans="2:4" x14ac:dyDescent="0.2">
      <c r="B1656" s="62" t="s">
        <v>200</v>
      </c>
      <c r="C1656" s="63">
        <v>46472</v>
      </c>
      <c r="D1656" s="64" t="s">
        <v>352</v>
      </c>
    </row>
    <row r="1657" spans="2:4" x14ac:dyDescent="0.2">
      <c r="B1657" s="62" t="s">
        <v>200</v>
      </c>
      <c r="C1657" s="63">
        <v>46473</v>
      </c>
      <c r="D1657" s="64" t="s">
        <v>428</v>
      </c>
    </row>
    <row r="1658" spans="2:4" x14ac:dyDescent="0.2">
      <c r="B1658" s="62" t="s">
        <v>200</v>
      </c>
      <c r="C1658" s="63">
        <v>46486</v>
      </c>
      <c r="D1658" s="64" t="s">
        <v>426</v>
      </c>
    </row>
    <row r="1659" spans="2:4" x14ac:dyDescent="0.2">
      <c r="B1659" s="62" t="s">
        <v>200</v>
      </c>
      <c r="C1659" s="63">
        <v>46508</v>
      </c>
      <c r="D1659" s="64" t="s">
        <v>358</v>
      </c>
    </row>
    <row r="1660" spans="2:4" x14ac:dyDescent="0.2">
      <c r="B1660" s="62" t="s">
        <v>200</v>
      </c>
      <c r="C1660" s="63">
        <v>46523</v>
      </c>
      <c r="D1660" s="64" t="s">
        <v>442</v>
      </c>
    </row>
    <row r="1661" spans="2:4" x14ac:dyDescent="0.2">
      <c r="B1661" s="62" t="s">
        <v>200</v>
      </c>
      <c r="C1661" s="63">
        <v>46550</v>
      </c>
      <c r="D1661" s="64" t="s">
        <v>393</v>
      </c>
    </row>
    <row r="1662" spans="2:4" x14ac:dyDescent="0.2">
      <c r="B1662" s="62" t="s">
        <v>200</v>
      </c>
      <c r="C1662" s="63">
        <v>46620</v>
      </c>
      <c r="D1662" s="64" t="s">
        <v>432</v>
      </c>
    </row>
    <row r="1663" spans="2:4" x14ac:dyDescent="0.2">
      <c r="B1663" s="62" t="s">
        <v>200</v>
      </c>
      <c r="C1663" s="63">
        <v>46629</v>
      </c>
      <c r="D1663" s="64" t="s">
        <v>433</v>
      </c>
    </row>
    <row r="1664" spans="2:4" x14ac:dyDescent="0.2">
      <c r="B1664" s="62" t="s">
        <v>200</v>
      </c>
      <c r="C1664" s="63">
        <v>46692</v>
      </c>
      <c r="D1664" s="64" t="s">
        <v>435</v>
      </c>
    </row>
    <row r="1665" spans="2:4" x14ac:dyDescent="0.2">
      <c r="B1665" s="62" t="s">
        <v>200</v>
      </c>
      <c r="C1665" s="63">
        <v>46721</v>
      </c>
      <c r="D1665" s="64" t="s">
        <v>436</v>
      </c>
    </row>
    <row r="1666" spans="2:4" x14ac:dyDescent="0.2">
      <c r="B1666" s="62" t="s">
        <v>200</v>
      </c>
      <c r="C1666" s="63">
        <v>46729</v>
      </c>
      <c r="D1666" s="64" t="s">
        <v>437</v>
      </c>
    </row>
    <row r="1667" spans="2:4" x14ac:dyDescent="0.2">
      <c r="B1667" s="62" t="s">
        <v>200</v>
      </c>
      <c r="C1667" s="63">
        <v>46746</v>
      </c>
      <c r="D1667" s="64" t="s">
        <v>359</v>
      </c>
    </row>
    <row r="1668" spans="2:4" x14ac:dyDescent="0.2">
      <c r="B1668" s="62" t="s">
        <v>200</v>
      </c>
      <c r="C1668" s="63">
        <v>46751</v>
      </c>
      <c r="D1668" s="64" t="s">
        <v>438</v>
      </c>
    </row>
    <row r="1669" spans="2:4" x14ac:dyDescent="0.2">
      <c r="B1669" s="62" t="s">
        <v>200</v>
      </c>
      <c r="C1669" s="63">
        <v>46752</v>
      </c>
      <c r="D1669" s="64" t="s">
        <v>439</v>
      </c>
    </row>
    <row r="1670" spans="2:4" x14ac:dyDescent="0.2">
      <c r="B1670" s="62" t="s">
        <v>200</v>
      </c>
      <c r="C1670" s="63">
        <v>46753</v>
      </c>
      <c r="D1670" s="64" t="s">
        <v>350</v>
      </c>
    </row>
    <row r="1671" spans="2:4" x14ac:dyDescent="0.2">
      <c r="B1671" s="62" t="s">
        <v>200</v>
      </c>
      <c r="C1671" s="63">
        <v>46778</v>
      </c>
      <c r="D1671" s="64" t="s">
        <v>424</v>
      </c>
    </row>
    <row r="1672" spans="2:4" x14ac:dyDescent="0.2">
      <c r="B1672" s="62" t="s">
        <v>200</v>
      </c>
      <c r="C1672" s="63">
        <v>46809</v>
      </c>
      <c r="D1672" s="64" t="s">
        <v>441</v>
      </c>
    </row>
    <row r="1673" spans="2:4" x14ac:dyDescent="0.2">
      <c r="B1673" s="62" t="s">
        <v>200</v>
      </c>
      <c r="C1673" s="63">
        <v>46852</v>
      </c>
      <c r="D1673" s="64" t="s">
        <v>426</v>
      </c>
    </row>
    <row r="1674" spans="2:4" x14ac:dyDescent="0.2">
      <c r="B1674" s="62" t="s">
        <v>200</v>
      </c>
      <c r="C1674" s="63">
        <v>46856</v>
      </c>
      <c r="D1674" s="64" t="s">
        <v>427</v>
      </c>
    </row>
    <row r="1675" spans="2:4" x14ac:dyDescent="0.2">
      <c r="B1675" s="62" t="s">
        <v>200</v>
      </c>
      <c r="C1675" s="63">
        <v>46857</v>
      </c>
      <c r="D1675" s="64" t="s">
        <v>352</v>
      </c>
    </row>
    <row r="1676" spans="2:4" x14ac:dyDescent="0.2">
      <c r="B1676" s="62" t="s">
        <v>200</v>
      </c>
      <c r="C1676" s="63">
        <v>46858</v>
      </c>
      <c r="D1676" s="64" t="s">
        <v>428</v>
      </c>
    </row>
    <row r="1677" spans="2:4" x14ac:dyDescent="0.2">
      <c r="B1677" s="62" t="s">
        <v>200</v>
      </c>
      <c r="C1677" s="63">
        <v>46874</v>
      </c>
      <c r="D1677" s="64" t="s">
        <v>358</v>
      </c>
    </row>
    <row r="1678" spans="2:4" x14ac:dyDescent="0.2">
      <c r="B1678" s="62" t="s">
        <v>200</v>
      </c>
      <c r="C1678" s="63">
        <v>46878</v>
      </c>
      <c r="D1678" s="64" t="s">
        <v>442</v>
      </c>
    </row>
    <row r="1679" spans="2:4" x14ac:dyDescent="0.2">
      <c r="B1679" s="62" t="s">
        <v>200</v>
      </c>
      <c r="C1679" s="63">
        <v>46916</v>
      </c>
      <c r="D1679" s="64" t="s">
        <v>393</v>
      </c>
    </row>
    <row r="1680" spans="2:4" x14ac:dyDescent="0.2">
      <c r="B1680" s="62" t="s">
        <v>200</v>
      </c>
      <c r="C1680" s="63">
        <v>46986</v>
      </c>
      <c r="D1680" s="64" t="s">
        <v>432</v>
      </c>
    </row>
    <row r="1681" spans="2:4" x14ac:dyDescent="0.2">
      <c r="B1681" s="62" t="s">
        <v>200</v>
      </c>
      <c r="C1681" s="63">
        <v>46993</v>
      </c>
      <c r="D1681" s="64" t="s">
        <v>433</v>
      </c>
    </row>
    <row r="1682" spans="2:4" x14ac:dyDescent="0.2">
      <c r="B1682" s="62" t="s">
        <v>200</v>
      </c>
      <c r="C1682" s="63">
        <v>47058</v>
      </c>
      <c r="D1682" s="64" t="s">
        <v>435</v>
      </c>
    </row>
    <row r="1683" spans="2:4" x14ac:dyDescent="0.2">
      <c r="B1683" s="62" t="s">
        <v>200</v>
      </c>
      <c r="C1683" s="63">
        <v>47087</v>
      </c>
      <c r="D1683" s="64" t="s">
        <v>436</v>
      </c>
    </row>
    <row r="1684" spans="2:4" x14ac:dyDescent="0.2">
      <c r="B1684" s="62" t="s">
        <v>200</v>
      </c>
      <c r="C1684" s="63">
        <v>47095</v>
      </c>
      <c r="D1684" s="64" t="s">
        <v>437</v>
      </c>
    </row>
    <row r="1685" spans="2:4" x14ac:dyDescent="0.2">
      <c r="B1685" s="62" t="s">
        <v>200</v>
      </c>
      <c r="C1685" s="63">
        <v>47112</v>
      </c>
      <c r="D1685" s="64" t="s">
        <v>359</v>
      </c>
    </row>
    <row r="1686" spans="2:4" x14ac:dyDescent="0.2">
      <c r="B1686" s="62" t="s">
        <v>200</v>
      </c>
      <c r="C1686" s="63">
        <v>47117</v>
      </c>
      <c r="D1686" s="64" t="s">
        <v>438</v>
      </c>
    </row>
    <row r="1687" spans="2:4" x14ac:dyDescent="0.2">
      <c r="B1687" s="62" t="s">
        <v>200</v>
      </c>
      <c r="C1687" s="63">
        <v>47118</v>
      </c>
      <c r="D1687" s="64" t="s">
        <v>439</v>
      </c>
    </row>
    <row r="1688" spans="2:4" x14ac:dyDescent="0.2">
      <c r="B1688" s="62" t="s">
        <v>200</v>
      </c>
      <c r="C1688" s="63">
        <v>47119</v>
      </c>
      <c r="D1688" s="64" t="s">
        <v>350</v>
      </c>
    </row>
    <row r="1689" spans="2:4" x14ac:dyDescent="0.2">
      <c r="B1689" s="62" t="s">
        <v>200</v>
      </c>
      <c r="C1689" s="63">
        <v>47162</v>
      </c>
      <c r="D1689" s="64" t="s">
        <v>424</v>
      </c>
    </row>
    <row r="1690" spans="2:4" x14ac:dyDescent="0.2">
      <c r="B1690" s="62" t="s">
        <v>200</v>
      </c>
      <c r="C1690" s="63">
        <v>47163</v>
      </c>
      <c r="D1690" s="64" t="s">
        <v>441</v>
      </c>
    </row>
    <row r="1691" spans="2:4" x14ac:dyDescent="0.2">
      <c r="B1691" s="62" t="s">
        <v>200</v>
      </c>
      <c r="C1691" s="63">
        <v>47206</v>
      </c>
      <c r="D1691" s="64" t="s">
        <v>427</v>
      </c>
    </row>
    <row r="1692" spans="2:4" x14ac:dyDescent="0.2">
      <c r="B1692" s="62" t="s">
        <v>200</v>
      </c>
      <c r="C1692" s="63">
        <v>47207</v>
      </c>
      <c r="D1692" s="64" t="s">
        <v>352</v>
      </c>
    </row>
    <row r="1693" spans="2:4" x14ac:dyDescent="0.2">
      <c r="B1693" s="62" t="s">
        <v>200</v>
      </c>
      <c r="C1693" s="63">
        <v>47208</v>
      </c>
      <c r="D1693" s="64" t="s">
        <v>428</v>
      </c>
    </row>
    <row r="1694" spans="2:4" x14ac:dyDescent="0.2">
      <c r="B1694" s="62" t="s">
        <v>200</v>
      </c>
      <c r="C1694" s="63">
        <v>47217</v>
      </c>
      <c r="D1694" s="64" t="s">
        <v>426</v>
      </c>
    </row>
    <row r="1695" spans="2:4" x14ac:dyDescent="0.2">
      <c r="B1695" s="62" t="s">
        <v>200</v>
      </c>
      <c r="C1695" s="63">
        <v>47232</v>
      </c>
      <c r="D1695" s="64" t="s">
        <v>442</v>
      </c>
    </row>
    <row r="1696" spans="2:4" x14ac:dyDescent="0.2">
      <c r="B1696" s="62" t="s">
        <v>200</v>
      </c>
      <c r="C1696" s="63">
        <v>47239</v>
      </c>
      <c r="D1696" s="64" t="s">
        <v>358</v>
      </c>
    </row>
    <row r="1697" spans="2:4" x14ac:dyDescent="0.2">
      <c r="B1697" s="62" t="s">
        <v>200</v>
      </c>
      <c r="C1697" s="63">
        <v>47281</v>
      </c>
      <c r="D1697" s="64" t="s">
        <v>393</v>
      </c>
    </row>
    <row r="1698" spans="2:4" x14ac:dyDescent="0.2">
      <c r="B1698" s="62" t="s">
        <v>200</v>
      </c>
      <c r="C1698" s="63">
        <v>47351</v>
      </c>
      <c r="D1698" s="64" t="s">
        <v>432</v>
      </c>
    </row>
    <row r="1699" spans="2:4" x14ac:dyDescent="0.2">
      <c r="B1699" s="62" t="s">
        <v>200</v>
      </c>
      <c r="C1699" s="63">
        <v>47357</v>
      </c>
      <c r="D1699" s="64" t="s">
        <v>433</v>
      </c>
    </row>
    <row r="1700" spans="2:4" x14ac:dyDescent="0.2">
      <c r="B1700" s="62" t="s">
        <v>200</v>
      </c>
      <c r="C1700" s="63">
        <v>47423</v>
      </c>
      <c r="D1700" s="64" t="s">
        <v>435</v>
      </c>
    </row>
    <row r="1701" spans="2:4" x14ac:dyDescent="0.2">
      <c r="B1701" s="62" t="s">
        <v>200</v>
      </c>
      <c r="C1701" s="63">
        <v>47452</v>
      </c>
      <c r="D1701" s="64" t="s">
        <v>436</v>
      </c>
    </row>
    <row r="1702" spans="2:4" x14ac:dyDescent="0.2">
      <c r="B1702" s="62" t="s">
        <v>200</v>
      </c>
      <c r="C1702" s="63">
        <v>47460</v>
      </c>
      <c r="D1702" s="64" t="s">
        <v>437</v>
      </c>
    </row>
    <row r="1703" spans="2:4" x14ac:dyDescent="0.2">
      <c r="B1703" s="62" t="s">
        <v>200</v>
      </c>
      <c r="C1703" s="63">
        <v>47477</v>
      </c>
      <c r="D1703" s="64" t="s">
        <v>359</v>
      </c>
    </row>
    <row r="1704" spans="2:4" x14ac:dyDescent="0.2">
      <c r="B1704" s="62" t="s">
        <v>200</v>
      </c>
      <c r="C1704" s="63">
        <v>47482</v>
      </c>
      <c r="D1704" s="64" t="s">
        <v>438</v>
      </c>
    </row>
    <row r="1705" spans="2:4" x14ac:dyDescent="0.2">
      <c r="B1705" s="62" t="s">
        <v>200</v>
      </c>
      <c r="C1705" s="63">
        <v>47483</v>
      </c>
      <c r="D1705" s="64" t="s">
        <v>439</v>
      </c>
    </row>
    <row r="1706" spans="2:4" x14ac:dyDescent="0.2">
      <c r="B1706" s="62" t="s">
        <v>200</v>
      </c>
      <c r="C1706" s="63">
        <v>47484</v>
      </c>
      <c r="D1706" s="64" t="s">
        <v>350</v>
      </c>
    </row>
    <row r="1707" spans="2:4" x14ac:dyDescent="0.2">
      <c r="B1707" s="62" t="s">
        <v>200</v>
      </c>
      <c r="C1707" s="63">
        <v>47517</v>
      </c>
      <c r="D1707" s="64" t="s">
        <v>424</v>
      </c>
    </row>
    <row r="1708" spans="2:4" x14ac:dyDescent="0.2">
      <c r="B1708" s="62" t="s">
        <v>200</v>
      </c>
      <c r="C1708" s="63">
        <v>47518</v>
      </c>
      <c r="D1708" s="64" t="s">
        <v>441</v>
      </c>
    </row>
    <row r="1709" spans="2:4" x14ac:dyDescent="0.2">
      <c r="B1709" s="62" t="s">
        <v>200</v>
      </c>
      <c r="C1709" s="63">
        <v>47582</v>
      </c>
      <c r="D1709" s="64" t="s">
        <v>426</v>
      </c>
    </row>
    <row r="1710" spans="2:4" x14ac:dyDescent="0.2">
      <c r="B1710" s="62" t="s">
        <v>200</v>
      </c>
      <c r="C1710" s="63">
        <v>47586</v>
      </c>
      <c r="D1710" s="64" t="s">
        <v>442</v>
      </c>
    </row>
    <row r="1711" spans="2:4" x14ac:dyDescent="0.2">
      <c r="B1711" s="62" t="s">
        <v>200</v>
      </c>
      <c r="C1711" s="63">
        <v>47591</v>
      </c>
      <c r="D1711" s="64" t="s">
        <v>427</v>
      </c>
    </row>
    <row r="1712" spans="2:4" x14ac:dyDescent="0.2">
      <c r="B1712" s="62" t="s">
        <v>200</v>
      </c>
      <c r="C1712" s="63">
        <v>47592</v>
      </c>
      <c r="D1712" s="64" t="s">
        <v>352</v>
      </c>
    </row>
    <row r="1713" spans="2:4" x14ac:dyDescent="0.2">
      <c r="B1713" s="62" t="s">
        <v>200</v>
      </c>
      <c r="C1713" s="63">
        <v>47593</v>
      </c>
      <c r="D1713" s="64" t="s">
        <v>428</v>
      </c>
    </row>
    <row r="1714" spans="2:4" x14ac:dyDescent="0.2">
      <c r="B1714" s="62" t="s">
        <v>200</v>
      </c>
      <c r="C1714" s="63">
        <v>47604</v>
      </c>
      <c r="D1714" s="64" t="s">
        <v>358</v>
      </c>
    </row>
    <row r="1715" spans="2:4" x14ac:dyDescent="0.2">
      <c r="B1715" s="62" t="s">
        <v>200</v>
      </c>
      <c r="C1715" s="63">
        <v>47646</v>
      </c>
      <c r="D1715" s="64" t="s">
        <v>393</v>
      </c>
    </row>
    <row r="1716" spans="2:4" x14ac:dyDescent="0.2">
      <c r="B1716" s="62" t="s">
        <v>200</v>
      </c>
      <c r="C1716" s="63">
        <v>47716</v>
      </c>
      <c r="D1716" s="64" t="s">
        <v>432</v>
      </c>
    </row>
    <row r="1717" spans="2:4" x14ac:dyDescent="0.2">
      <c r="B1717" s="62" t="s">
        <v>200</v>
      </c>
      <c r="C1717" s="63">
        <v>47721</v>
      </c>
      <c r="D1717" s="64" t="s">
        <v>433</v>
      </c>
    </row>
    <row r="1718" spans="2:4" x14ac:dyDescent="0.2">
      <c r="B1718" s="62" t="s">
        <v>200</v>
      </c>
      <c r="C1718" s="63">
        <v>47788</v>
      </c>
      <c r="D1718" s="64" t="s">
        <v>435</v>
      </c>
    </row>
    <row r="1719" spans="2:4" x14ac:dyDescent="0.2">
      <c r="B1719" s="62" t="s">
        <v>200</v>
      </c>
      <c r="C1719" s="63">
        <v>47817</v>
      </c>
      <c r="D1719" s="64" t="s">
        <v>436</v>
      </c>
    </row>
    <row r="1720" spans="2:4" x14ac:dyDescent="0.2">
      <c r="B1720" s="62" t="s">
        <v>200</v>
      </c>
      <c r="C1720" s="63">
        <v>47825</v>
      </c>
      <c r="D1720" s="64" t="s">
        <v>437</v>
      </c>
    </row>
    <row r="1721" spans="2:4" x14ac:dyDescent="0.2">
      <c r="B1721" s="62" t="s">
        <v>200</v>
      </c>
      <c r="C1721" s="63">
        <v>47842</v>
      </c>
      <c r="D1721" s="64" t="s">
        <v>359</v>
      </c>
    </row>
    <row r="1722" spans="2:4" x14ac:dyDescent="0.2">
      <c r="B1722" s="62" t="s">
        <v>200</v>
      </c>
      <c r="C1722" s="63">
        <v>47847</v>
      </c>
      <c r="D1722" s="64" t="s">
        <v>438</v>
      </c>
    </row>
    <row r="1723" spans="2:4" x14ac:dyDescent="0.2">
      <c r="B1723" s="62" t="s">
        <v>200</v>
      </c>
      <c r="C1723" s="63">
        <v>47848</v>
      </c>
      <c r="D1723" s="64" t="s">
        <v>439</v>
      </c>
    </row>
    <row r="1724" spans="2:4" x14ac:dyDescent="0.2">
      <c r="B1724" s="62" t="s">
        <v>201</v>
      </c>
      <c r="C1724" s="63">
        <v>45683</v>
      </c>
      <c r="D1724" s="64" t="s">
        <v>443</v>
      </c>
    </row>
    <row r="1725" spans="2:4" x14ac:dyDescent="0.2">
      <c r="B1725" s="62" t="s">
        <v>201</v>
      </c>
      <c r="C1725" s="63">
        <v>45714</v>
      </c>
      <c r="D1725" s="64" t="s">
        <v>444</v>
      </c>
    </row>
    <row r="1726" spans="2:4" x14ac:dyDescent="0.2">
      <c r="B1726" s="62" t="s">
        <v>201</v>
      </c>
      <c r="C1726" s="63">
        <v>45747</v>
      </c>
      <c r="D1726" s="64" t="s">
        <v>425</v>
      </c>
    </row>
    <row r="1727" spans="2:4" x14ac:dyDescent="0.2">
      <c r="B1727" s="62" t="s">
        <v>201</v>
      </c>
      <c r="C1727" s="63">
        <v>45757</v>
      </c>
      <c r="D1727" s="64" t="s">
        <v>445</v>
      </c>
    </row>
    <row r="1728" spans="2:4" x14ac:dyDescent="0.2">
      <c r="B1728" s="62" t="s">
        <v>201</v>
      </c>
      <c r="C1728" s="63">
        <v>45765</v>
      </c>
      <c r="D1728" s="64" t="s">
        <v>352</v>
      </c>
    </row>
    <row r="1729" spans="2:4" x14ac:dyDescent="0.2">
      <c r="B1729" s="62" t="s">
        <v>201</v>
      </c>
      <c r="C1729" s="63">
        <v>45789</v>
      </c>
      <c r="D1729" s="64" t="s">
        <v>446</v>
      </c>
    </row>
    <row r="1730" spans="2:4" x14ac:dyDescent="0.2">
      <c r="B1730" s="62" t="s">
        <v>201</v>
      </c>
      <c r="C1730" s="63">
        <v>45815</v>
      </c>
      <c r="D1730" s="64" t="s">
        <v>430</v>
      </c>
    </row>
    <row r="1731" spans="2:4" x14ac:dyDescent="0.2">
      <c r="B1731" s="62" t="s">
        <v>201</v>
      </c>
      <c r="C1731" s="63">
        <v>45844</v>
      </c>
      <c r="D1731" s="64" t="s">
        <v>447</v>
      </c>
    </row>
    <row r="1732" spans="2:4" x14ac:dyDescent="0.2">
      <c r="B1732" s="62" t="s">
        <v>201</v>
      </c>
      <c r="C1732" s="63">
        <v>45884</v>
      </c>
      <c r="D1732" s="64" t="s">
        <v>393</v>
      </c>
    </row>
    <row r="1733" spans="2:4" x14ac:dyDescent="0.2">
      <c r="B1733" s="62" t="s">
        <v>201</v>
      </c>
      <c r="C1733" s="63">
        <v>45885</v>
      </c>
      <c r="D1733" s="64" t="s">
        <v>448</v>
      </c>
    </row>
    <row r="1734" spans="2:4" x14ac:dyDescent="0.2">
      <c r="B1734" s="62" t="s">
        <v>201</v>
      </c>
      <c r="C1734" s="63">
        <v>45905</v>
      </c>
      <c r="D1734" s="64" t="s">
        <v>449</v>
      </c>
    </row>
    <row r="1735" spans="2:4" x14ac:dyDescent="0.2">
      <c r="B1735" s="62" t="s">
        <v>201</v>
      </c>
      <c r="C1735" s="63">
        <v>45932</v>
      </c>
      <c r="D1735" s="64" t="s">
        <v>450</v>
      </c>
    </row>
    <row r="1736" spans="2:4" x14ac:dyDescent="0.2">
      <c r="B1736" s="62" t="s">
        <v>201</v>
      </c>
      <c r="C1736" s="63">
        <v>45950</v>
      </c>
      <c r="D1736" s="64" t="s">
        <v>404</v>
      </c>
    </row>
    <row r="1737" spans="2:4" x14ac:dyDescent="0.2">
      <c r="B1737" s="62" t="s">
        <v>201</v>
      </c>
      <c r="C1737" s="63">
        <v>45966</v>
      </c>
      <c r="D1737" s="64" t="s">
        <v>451</v>
      </c>
    </row>
    <row r="1738" spans="2:4" x14ac:dyDescent="0.2">
      <c r="B1738" s="62" t="s">
        <v>201</v>
      </c>
      <c r="C1738" s="63">
        <v>46016</v>
      </c>
      <c r="D1738" s="64" t="s">
        <v>452</v>
      </c>
    </row>
    <row r="1739" spans="2:4" x14ac:dyDescent="0.2">
      <c r="B1739" s="62" t="s">
        <v>201</v>
      </c>
      <c r="C1739" s="63">
        <v>46048</v>
      </c>
      <c r="D1739" s="64" t="s">
        <v>443</v>
      </c>
    </row>
    <row r="1740" spans="2:4" x14ac:dyDescent="0.2">
      <c r="B1740" s="62" t="s">
        <v>201</v>
      </c>
      <c r="C1740" s="63">
        <v>46068</v>
      </c>
      <c r="D1740" s="64" t="s">
        <v>444</v>
      </c>
    </row>
    <row r="1741" spans="2:4" x14ac:dyDescent="0.2">
      <c r="B1741" s="62" t="s">
        <v>201</v>
      </c>
      <c r="C1741" s="63">
        <v>46102</v>
      </c>
      <c r="D1741" s="64" t="s">
        <v>441</v>
      </c>
    </row>
    <row r="1742" spans="2:4" x14ac:dyDescent="0.2">
      <c r="B1742" s="62" t="s">
        <v>201</v>
      </c>
      <c r="C1742" s="63">
        <v>46112</v>
      </c>
      <c r="D1742" s="64" t="s">
        <v>445</v>
      </c>
    </row>
    <row r="1743" spans="2:4" x14ac:dyDescent="0.2">
      <c r="B1743" s="62" t="s">
        <v>201</v>
      </c>
      <c r="C1743" s="63">
        <v>46115</v>
      </c>
      <c r="D1743" s="64" t="s">
        <v>352</v>
      </c>
    </row>
    <row r="1744" spans="2:4" x14ac:dyDescent="0.2">
      <c r="B1744" s="62" t="s">
        <v>201</v>
      </c>
      <c r="C1744" s="63">
        <v>46143</v>
      </c>
      <c r="D1744" s="64" t="s">
        <v>446</v>
      </c>
    </row>
    <row r="1745" spans="2:4" x14ac:dyDescent="0.2">
      <c r="B1745" s="62" t="s">
        <v>201</v>
      </c>
      <c r="C1745" s="63">
        <v>46170</v>
      </c>
      <c r="D1745" s="64" t="s">
        <v>442</v>
      </c>
    </row>
    <row r="1746" spans="2:4" x14ac:dyDescent="0.2">
      <c r="B1746" s="62" t="s">
        <v>201</v>
      </c>
      <c r="C1746" s="63">
        <v>46199</v>
      </c>
      <c r="D1746" s="64" t="s">
        <v>453</v>
      </c>
    </row>
    <row r="1747" spans="2:4" x14ac:dyDescent="0.2">
      <c r="B1747" s="62" t="s">
        <v>201</v>
      </c>
      <c r="C1747" s="63">
        <v>46249</v>
      </c>
      <c r="D1747" s="64" t="s">
        <v>393</v>
      </c>
    </row>
    <row r="1748" spans="2:4" x14ac:dyDescent="0.2">
      <c r="B1748" s="62" t="s">
        <v>201</v>
      </c>
      <c r="C1748" s="63">
        <v>46260</v>
      </c>
      <c r="D1748" s="64" t="s">
        <v>454</v>
      </c>
    </row>
    <row r="1749" spans="2:4" x14ac:dyDescent="0.2">
      <c r="B1749" s="62" t="s">
        <v>201</v>
      </c>
      <c r="C1749" s="63">
        <v>46269</v>
      </c>
      <c r="D1749" s="64" t="s">
        <v>448</v>
      </c>
    </row>
    <row r="1750" spans="2:4" x14ac:dyDescent="0.2">
      <c r="B1750" s="62" t="s">
        <v>201</v>
      </c>
      <c r="C1750" s="63">
        <v>46297</v>
      </c>
      <c r="D1750" s="64" t="s">
        <v>455</v>
      </c>
    </row>
    <row r="1751" spans="2:4" x14ac:dyDescent="0.2">
      <c r="B1751" s="62" t="s">
        <v>201</v>
      </c>
      <c r="C1751" s="63">
        <v>46315</v>
      </c>
      <c r="D1751" s="64" t="s">
        <v>456</v>
      </c>
    </row>
    <row r="1752" spans="2:4" x14ac:dyDescent="0.2">
      <c r="B1752" s="62" t="s">
        <v>201</v>
      </c>
      <c r="C1752" s="63">
        <v>46334</v>
      </c>
      <c r="D1752" s="64" t="s">
        <v>404</v>
      </c>
    </row>
    <row r="1753" spans="2:4" x14ac:dyDescent="0.2">
      <c r="B1753" s="62" t="s">
        <v>201</v>
      </c>
      <c r="C1753" s="63">
        <v>46350</v>
      </c>
      <c r="D1753" s="64" t="s">
        <v>451</v>
      </c>
    </row>
    <row r="1754" spans="2:4" x14ac:dyDescent="0.2">
      <c r="B1754" s="62" t="s">
        <v>201</v>
      </c>
      <c r="C1754" s="63">
        <v>46381</v>
      </c>
      <c r="D1754" s="64" t="s">
        <v>452</v>
      </c>
    </row>
    <row r="1755" spans="2:4" x14ac:dyDescent="0.2">
      <c r="B1755" s="62" t="s">
        <v>201</v>
      </c>
      <c r="C1755" s="63">
        <v>46413</v>
      </c>
      <c r="D1755" s="64" t="s">
        <v>443</v>
      </c>
    </row>
    <row r="1756" spans="2:4" x14ac:dyDescent="0.2">
      <c r="B1756" s="62" t="s">
        <v>201</v>
      </c>
      <c r="C1756" s="63">
        <v>46452</v>
      </c>
      <c r="D1756" s="64" t="s">
        <v>444</v>
      </c>
    </row>
    <row r="1757" spans="2:4" x14ac:dyDescent="0.2">
      <c r="B1757" s="62" t="s">
        <v>201</v>
      </c>
      <c r="C1757" s="63">
        <v>46456</v>
      </c>
      <c r="D1757" s="64" t="s">
        <v>441</v>
      </c>
    </row>
    <row r="1758" spans="2:4" x14ac:dyDescent="0.2">
      <c r="B1758" s="62" t="s">
        <v>201</v>
      </c>
      <c r="C1758" s="63">
        <v>46472</v>
      </c>
      <c r="D1758" s="64" t="s">
        <v>352</v>
      </c>
    </row>
    <row r="1759" spans="2:4" x14ac:dyDescent="0.2">
      <c r="B1759" s="62" t="s">
        <v>201</v>
      </c>
      <c r="C1759" s="63">
        <v>46495</v>
      </c>
      <c r="D1759" s="64" t="s">
        <v>445</v>
      </c>
    </row>
    <row r="1760" spans="2:4" x14ac:dyDescent="0.2">
      <c r="B1760" s="62" t="s">
        <v>201</v>
      </c>
      <c r="C1760" s="63">
        <v>46524</v>
      </c>
      <c r="D1760" s="64" t="s">
        <v>442</v>
      </c>
    </row>
    <row r="1761" spans="2:4" x14ac:dyDescent="0.2">
      <c r="B1761" s="62" t="s">
        <v>201</v>
      </c>
      <c r="C1761" s="63">
        <v>46527</v>
      </c>
      <c r="D1761" s="64" t="s">
        <v>446</v>
      </c>
    </row>
    <row r="1762" spans="2:4" x14ac:dyDescent="0.2">
      <c r="B1762" s="62" t="s">
        <v>201</v>
      </c>
      <c r="C1762" s="63">
        <v>46554</v>
      </c>
      <c r="D1762" s="64" t="s">
        <v>453</v>
      </c>
    </row>
    <row r="1763" spans="2:4" x14ac:dyDescent="0.2">
      <c r="B1763" s="62" t="s">
        <v>201</v>
      </c>
      <c r="C1763" s="63">
        <v>46614</v>
      </c>
      <c r="D1763" s="64" t="s">
        <v>457</v>
      </c>
    </row>
    <row r="1764" spans="2:4" x14ac:dyDescent="0.2">
      <c r="B1764" s="62" t="s">
        <v>201</v>
      </c>
      <c r="C1764" s="63">
        <v>46624</v>
      </c>
      <c r="D1764" s="64" t="s">
        <v>448</v>
      </c>
    </row>
    <row r="1765" spans="2:4" x14ac:dyDescent="0.2">
      <c r="B1765" s="62" t="s">
        <v>201</v>
      </c>
      <c r="C1765" s="63">
        <v>46662</v>
      </c>
      <c r="D1765" s="64" t="s">
        <v>455</v>
      </c>
    </row>
    <row r="1766" spans="2:4" x14ac:dyDescent="0.2">
      <c r="B1766" s="62" t="s">
        <v>201</v>
      </c>
      <c r="C1766" s="63">
        <v>46669</v>
      </c>
      <c r="D1766" s="64" t="s">
        <v>456</v>
      </c>
    </row>
    <row r="1767" spans="2:4" x14ac:dyDescent="0.2">
      <c r="B1767" s="62" t="s">
        <v>201</v>
      </c>
      <c r="C1767" s="63">
        <v>46689</v>
      </c>
      <c r="D1767" s="64" t="s">
        <v>404</v>
      </c>
    </row>
    <row r="1768" spans="2:4" x14ac:dyDescent="0.2">
      <c r="B1768" s="62" t="s">
        <v>201</v>
      </c>
      <c r="C1768" s="63">
        <v>46705</v>
      </c>
      <c r="D1768" s="64" t="s">
        <v>451</v>
      </c>
    </row>
    <row r="1769" spans="2:4" x14ac:dyDescent="0.2">
      <c r="B1769" s="62" t="s">
        <v>201</v>
      </c>
      <c r="C1769" s="63">
        <v>46746</v>
      </c>
      <c r="D1769" s="64" t="s">
        <v>452</v>
      </c>
    </row>
    <row r="1770" spans="2:4" x14ac:dyDescent="0.2">
      <c r="B1770" s="62" t="s">
        <v>201</v>
      </c>
      <c r="C1770" s="63">
        <v>46778</v>
      </c>
      <c r="D1770" s="64" t="s">
        <v>443</v>
      </c>
    </row>
    <row r="1771" spans="2:4" x14ac:dyDescent="0.2">
      <c r="B1771" s="62" t="s">
        <v>201</v>
      </c>
      <c r="C1771" s="63">
        <v>46806</v>
      </c>
      <c r="D1771" s="64" t="s">
        <v>444</v>
      </c>
    </row>
    <row r="1772" spans="2:4" x14ac:dyDescent="0.2">
      <c r="B1772" s="62" t="s">
        <v>201</v>
      </c>
      <c r="C1772" s="63">
        <v>46810</v>
      </c>
      <c r="D1772" s="64" t="s">
        <v>441</v>
      </c>
    </row>
    <row r="1773" spans="2:4" x14ac:dyDescent="0.2">
      <c r="B1773" s="62" t="s">
        <v>201</v>
      </c>
      <c r="C1773" s="63">
        <v>46850</v>
      </c>
      <c r="D1773" s="64" t="s">
        <v>445</v>
      </c>
    </row>
    <row r="1774" spans="2:4" x14ac:dyDescent="0.2">
      <c r="B1774" s="62" t="s">
        <v>201</v>
      </c>
      <c r="C1774" s="63">
        <v>46857</v>
      </c>
      <c r="D1774" s="64" t="s">
        <v>352</v>
      </c>
    </row>
    <row r="1775" spans="2:4" x14ac:dyDescent="0.2">
      <c r="B1775" s="62" t="s">
        <v>201</v>
      </c>
      <c r="C1775" s="63">
        <v>46879</v>
      </c>
      <c r="D1775" s="64" t="s">
        <v>442</v>
      </c>
    </row>
    <row r="1776" spans="2:4" x14ac:dyDescent="0.2">
      <c r="B1776" s="62" t="s">
        <v>201</v>
      </c>
      <c r="C1776" s="63">
        <v>46881</v>
      </c>
      <c r="D1776" s="64" t="s">
        <v>446</v>
      </c>
    </row>
    <row r="1777" spans="2:4" x14ac:dyDescent="0.2">
      <c r="B1777" s="62" t="s">
        <v>201</v>
      </c>
      <c r="C1777" s="63">
        <v>46908</v>
      </c>
      <c r="D1777" s="64" t="s">
        <v>453</v>
      </c>
    </row>
    <row r="1778" spans="2:4" x14ac:dyDescent="0.2">
      <c r="B1778" s="62" t="s">
        <v>201</v>
      </c>
      <c r="C1778" s="63">
        <v>46969</v>
      </c>
      <c r="D1778" s="64" t="s">
        <v>454</v>
      </c>
    </row>
    <row r="1779" spans="2:4" x14ac:dyDescent="0.2">
      <c r="B1779" s="62" t="s">
        <v>201</v>
      </c>
      <c r="C1779" s="63">
        <v>46978</v>
      </c>
      <c r="D1779" s="64" t="s">
        <v>448</v>
      </c>
    </row>
    <row r="1780" spans="2:4" x14ac:dyDescent="0.2">
      <c r="B1780" s="62" t="s">
        <v>201</v>
      </c>
      <c r="C1780" s="63">
        <v>46980</v>
      </c>
      <c r="D1780" s="64" t="s">
        <v>393</v>
      </c>
    </row>
    <row r="1781" spans="2:4" x14ac:dyDescent="0.2">
      <c r="B1781" s="62" t="s">
        <v>201</v>
      </c>
      <c r="C1781" s="63">
        <v>47023</v>
      </c>
      <c r="D1781" s="64" t="s">
        <v>456</v>
      </c>
    </row>
    <row r="1782" spans="2:4" x14ac:dyDescent="0.2">
      <c r="B1782" s="62" t="s">
        <v>201</v>
      </c>
      <c r="C1782" s="63">
        <v>47028</v>
      </c>
      <c r="D1782" s="64" t="s">
        <v>455</v>
      </c>
    </row>
    <row r="1783" spans="2:4" x14ac:dyDescent="0.2">
      <c r="B1783" s="62" t="s">
        <v>201</v>
      </c>
      <c r="C1783" s="63">
        <v>47043</v>
      </c>
      <c r="D1783" s="64" t="s">
        <v>404</v>
      </c>
    </row>
    <row r="1784" spans="2:4" x14ac:dyDescent="0.2">
      <c r="B1784" s="62" t="s">
        <v>201</v>
      </c>
      <c r="C1784" s="63">
        <v>47059</v>
      </c>
      <c r="D1784" s="64" t="s">
        <v>451</v>
      </c>
    </row>
    <row r="1785" spans="2:4" x14ac:dyDescent="0.2">
      <c r="B1785" s="62" t="s">
        <v>201</v>
      </c>
      <c r="C1785" s="63">
        <v>47112</v>
      </c>
      <c r="D1785" s="64" t="s">
        <v>452</v>
      </c>
    </row>
    <row r="1786" spans="2:4" x14ac:dyDescent="0.2">
      <c r="B1786" s="62" t="s">
        <v>201</v>
      </c>
      <c r="C1786" s="63">
        <v>47144</v>
      </c>
      <c r="D1786" s="64" t="s">
        <v>443</v>
      </c>
    </row>
    <row r="1787" spans="2:4" x14ac:dyDescent="0.2">
      <c r="B1787" s="62" t="s">
        <v>201</v>
      </c>
      <c r="C1787" s="63">
        <v>47160</v>
      </c>
      <c r="D1787" s="64" t="s">
        <v>444</v>
      </c>
    </row>
    <row r="1788" spans="2:4" x14ac:dyDescent="0.2">
      <c r="B1788" s="62" t="s">
        <v>201</v>
      </c>
      <c r="C1788" s="63">
        <v>47164</v>
      </c>
      <c r="D1788" s="64" t="s">
        <v>441</v>
      </c>
    </row>
    <row r="1789" spans="2:4" x14ac:dyDescent="0.2">
      <c r="B1789" s="62" t="s">
        <v>201</v>
      </c>
      <c r="C1789" s="63">
        <v>47207</v>
      </c>
      <c r="D1789" s="64" t="s">
        <v>352</v>
      </c>
    </row>
    <row r="1790" spans="2:4" x14ac:dyDescent="0.2">
      <c r="B1790" s="62" t="s">
        <v>201</v>
      </c>
      <c r="C1790" s="63">
        <v>47233</v>
      </c>
      <c r="D1790" s="64" t="s">
        <v>442</v>
      </c>
    </row>
    <row r="1791" spans="2:4" x14ac:dyDescent="0.2">
      <c r="B1791" s="62" t="s">
        <v>201</v>
      </c>
      <c r="C1791" s="63">
        <v>47234</v>
      </c>
      <c r="D1791" s="64" t="s">
        <v>445</v>
      </c>
    </row>
    <row r="1792" spans="2:4" x14ac:dyDescent="0.2">
      <c r="B1792" s="62" t="s">
        <v>201</v>
      </c>
      <c r="C1792" s="63">
        <v>47262</v>
      </c>
      <c r="D1792" s="64" t="s">
        <v>453</v>
      </c>
    </row>
    <row r="1793" spans="2:4" x14ac:dyDescent="0.2">
      <c r="B1793" s="62" t="s">
        <v>201</v>
      </c>
      <c r="C1793" s="63">
        <v>47265</v>
      </c>
      <c r="D1793" s="64" t="s">
        <v>446</v>
      </c>
    </row>
    <row r="1794" spans="2:4" x14ac:dyDescent="0.2">
      <c r="B1794" s="62" t="s">
        <v>201</v>
      </c>
      <c r="C1794" s="63">
        <v>47324</v>
      </c>
      <c r="D1794" s="64" t="s">
        <v>454</v>
      </c>
    </row>
    <row r="1795" spans="2:4" x14ac:dyDescent="0.2">
      <c r="B1795" s="62" t="s">
        <v>201</v>
      </c>
      <c r="C1795" s="63">
        <v>47345</v>
      </c>
      <c r="D1795" s="64" t="s">
        <v>393</v>
      </c>
    </row>
    <row r="1796" spans="2:4" x14ac:dyDescent="0.2">
      <c r="B1796" s="62" t="s">
        <v>201</v>
      </c>
      <c r="C1796" s="63">
        <v>47362</v>
      </c>
      <c r="D1796" s="64" t="s">
        <v>448</v>
      </c>
    </row>
    <row r="1797" spans="2:4" x14ac:dyDescent="0.2">
      <c r="B1797" s="62" t="s">
        <v>201</v>
      </c>
      <c r="C1797" s="63">
        <v>47393</v>
      </c>
      <c r="D1797" s="64" t="s">
        <v>455</v>
      </c>
    </row>
    <row r="1798" spans="2:4" x14ac:dyDescent="0.2">
      <c r="B1798" s="62" t="s">
        <v>201</v>
      </c>
      <c r="C1798" s="63">
        <v>47407</v>
      </c>
      <c r="D1798" s="64" t="s">
        <v>456</v>
      </c>
    </row>
    <row r="1799" spans="2:4" x14ac:dyDescent="0.2">
      <c r="B1799" s="62" t="s">
        <v>201</v>
      </c>
      <c r="C1799" s="63">
        <v>47427</v>
      </c>
      <c r="D1799" s="64" t="s">
        <v>404</v>
      </c>
    </row>
    <row r="1800" spans="2:4" x14ac:dyDescent="0.2">
      <c r="B1800" s="62" t="s">
        <v>201</v>
      </c>
      <c r="C1800" s="63">
        <v>47443</v>
      </c>
      <c r="D1800" s="64" t="s">
        <v>451</v>
      </c>
    </row>
    <row r="1801" spans="2:4" x14ac:dyDescent="0.2">
      <c r="B1801" s="62" t="s">
        <v>201</v>
      </c>
      <c r="C1801" s="63">
        <v>47477</v>
      </c>
      <c r="D1801" s="64" t="s">
        <v>452</v>
      </c>
    </row>
    <row r="1802" spans="2:4" x14ac:dyDescent="0.2">
      <c r="B1802" s="62" t="s">
        <v>201</v>
      </c>
      <c r="C1802" s="63">
        <v>47509</v>
      </c>
      <c r="D1802" s="64" t="s">
        <v>443</v>
      </c>
    </row>
    <row r="1803" spans="2:4" x14ac:dyDescent="0.2">
      <c r="B1803" s="62" t="s">
        <v>201</v>
      </c>
      <c r="C1803" s="63">
        <v>47519</v>
      </c>
      <c r="D1803" s="64" t="s">
        <v>441</v>
      </c>
    </row>
    <row r="1804" spans="2:4" x14ac:dyDescent="0.2">
      <c r="B1804" s="62" t="s">
        <v>201</v>
      </c>
      <c r="C1804" s="63">
        <v>47544</v>
      </c>
      <c r="D1804" s="64" t="s">
        <v>444</v>
      </c>
    </row>
    <row r="1805" spans="2:4" x14ac:dyDescent="0.2">
      <c r="B1805" s="62" t="s">
        <v>201</v>
      </c>
      <c r="C1805" s="63">
        <v>47587</v>
      </c>
      <c r="D1805" s="64" t="s">
        <v>442</v>
      </c>
    </row>
    <row r="1806" spans="2:4" x14ac:dyDescent="0.2">
      <c r="B1806" s="62" t="s">
        <v>201</v>
      </c>
      <c r="C1806" s="63">
        <v>47589</v>
      </c>
      <c r="D1806" s="64" t="s">
        <v>445</v>
      </c>
    </row>
    <row r="1807" spans="2:4" x14ac:dyDescent="0.2">
      <c r="B1807" s="62" t="s">
        <v>201</v>
      </c>
      <c r="C1807" s="63">
        <v>47592</v>
      </c>
      <c r="D1807" s="64" t="s">
        <v>352</v>
      </c>
    </row>
    <row r="1808" spans="2:4" x14ac:dyDescent="0.2">
      <c r="B1808" s="62" t="s">
        <v>201</v>
      </c>
      <c r="C1808" s="63">
        <v>47616</v>
      </c>
      <c r="D1808" s="64" t="s">
        <v>453</v>
      </c>
    </row>
    <row r="1809" spans="2:4" x14ac:dyDescent="0.2">
      <c r="B1809" s="62" t="s">
        <v>201</v>
      </c>
      <c r="C1809" s="63">
        <v>47620</v>
      </c>
      <c r="D1809" s="64" t="s">
        <v>446</v>
      </c>
    </row>
    <row r="1810" spans="2:4" x14ac:dyDescent="0.2">
      <c r="B1810" s="62" t="s">
        <v>201</v>
      </c>
      <c r="C1810" s="63">
        <v>47678</v>
      </c>
      <c r="D1810" s="64" t="s">
        <v>454</v>
      </c>
    </row>
    <row r="1811" spans="2:4" x14ac:dyDescent="0.2">
      <c r="B1811" s="62" t="s">
        <v>201</v>
      </c>
      <c r="C1811" s="63">
        <v>47710</v>
      </c>
      <c r="D1811" s="64" t="s">
        <v>393</v>
      </c>
    </row>
    <row r="1812" spans="2:4" x14ac:dyDescent="0.2">
      <c r="B1812" s="62" t="s">
        <v>201</v>
      </c>
      <c r="C1812" s="63">
        <v>47716</v>
      </c>
      <c r="D1812" s="64" t="s">
        <v>448</v>
      </c>
    </row>
    <row r="1813" spans="2:4" x14ac:dyDescent="0.2">
      <c r="B1813" s="62" t="s">
        <v>201</v>
      </c>
      <c r="C1813" s="63">
        <v>47758</v>
      </c>
      <c r="D1813" s="64" t="s">
        <v>455</v>
      </c>
    </row>
    <row r="1814" spans="2:4" x14ac:dyDescent="0.2">
      <c r="B1814" s="62" t="s">
        <v>201</v>
      </c>
      <c r="C1814" s="63">
        <v>47762</v>
      </c>
      <c r="D1814" s="64" t="s">
        <v>456</v>
      </c>
    </row>
    <row r="1815" spans="2:4" x14ac:dyDescent="0.2">
      <c r="B1815" s="62" t="s">
        <v>201</v>
      </c>
      <c r="C1815" s="63">
        <v>47782</v>
      </c>
      <c r="D1815" s="64" t="s">
        <v>404</v>
      </c>
    </row>
    <row r="1816" spans="2:4" x14ac:dyDescent="0.2">
      <c r="B1816" s="62" t="s">
        <v>201</v>
      </c>
      <c r="C1816" s="63">
        <v>47797</v>
      </c>
      <c r="D1816" s="64" t="s">
        <v>451</v>
      </c>
    </row>
    <row r="1817" spans="2:4" x14ac:dyDescent="0.2">
      <c r="B1817" s="62" t="s">
        <v>201</v>
      </c>
      <c r="C1817" s="63">
        <v>47842</v>
      </c>
      <c r="D1817" s="64" t="s">
        <v>452</v>
      </c>
    </row>
    <row r="1818" spans="2:4" x14ac:dyDescent="0.2">
      <c r="B1818" s="62" t="s">
        <v>204</v>
      </c>
      <c r="C1818" s="63">
        <v>45670</v>
      </c>
      <c r="D1818" s="64" t="s">
        <v>458</v>
      </c>
    </row>
    <row r="1819" spans="2:4" x14ac:dyDescent="0.2">
      <c r="B1819" s="62" t="s">
        <v>204</v>
      </c>
      <c r="C1819" s="63">
        <v>45671</v>
      </c>
      <c r="D1819" s="64" t="s">
        <v>459</v>
      </c>
    </row>
    <row r="1820" spans="2:4" x14ac:dyDescent="0.2">
      <c r="B1820" s="62" t="s">
        <v>204</v>
      </c>
      <c r="C1820" s="63">
        <v>45692</v>
      </c>
      <c r="D1820" s="64" t="s">
        <v>393</v>
      </c>
    </row>
    <row r="1821" spans="2:4" x14ac:dyDescent="0.2">
      <c r="B1821" s="62" t="s">
        <v>204</v>
      </c>
      <c r="C1821" s="63">
        <v>45700</v>
      </c>
      <c r="D1821" s="64" t="s">
        <v>460</v>
      </c>
    </row>
    <row r="1822" spans="2:4" x14ac:dyDescent="0.2">
      <c r="B1822" s="62" t="s">
        <v>204</v>
      </c>
      <c r="C1822" s="63">
        <v>45714</v>
      </c>
      <c r="D1822" s="64" t="s">
        <v>461</v>
      </c>
    </row>
    <row r="1823" spans="2:4" x14ac:dyDescent="0.2">
      <c r="B1823" s="62" t="s">
        <v>204</v>
      </c>
      <c r="C1823" s="63">
        <v>45729</v>
      </c>
      <c r="D1823" s="64" t="s">
        <v>462</v>
      </c>
    </row>
    <row r="1824" spans="2:4" x14ac:dyDescent="0.2">
      <c r="B1824" s="62" t="s">
        <v>204</v>
      </c>
      <c r="C1824" s="63">
        <v>45747</v>
      </c>
      <c r="D1824" s="64" t="s">
        <v>425</v>
      </c>
    </row>
    <row r="1825" spans="2:4" x14ac:dyDescent="0.2">
      <c r="B1825" s="62" t="s">
        <v>204</v>
      </c>
      <c r="C1825" s="63">
        <v>45759</v>
      </c>
      <c r="D1825" s="64" t="s">
        <v>463</v>
      </c>
    </row>
    <row r="1826" spans="2:4" x14ac:dyDescent="0.2">
      <c r="B1826" s="62" t="s">
        <v>204</v>
      </c>
      <c r="C1826" s="63">
        <v>45760</v>
      </c>
      <c r="D1826" s="64" t="s">
        <v>464</v>
      </c>
    </row>
    <row r="1827" spans="2:4" x14ac:dyDescent="0.2">
      <c r="B1827" s="62" t="s">
        <v>204</v>
      </c>
      <c r="C1827" s="63">
        <v>45761</v>
      </c>
      <c r="D1827" s="64" t="s">
        <v>465</v>
      </c>
    </row>
    <row r="1828" spans="2:4" x14ac:dyDescent="0.2">
      <c r="B1828" s="62" t="s">
        <v>204</v>
      </c>
      <c r="C1828" s="63">
        <v>45765</v>
      </c>
      <c r="D1828" s="64" t="s">
        <v>352</v>
      </c>
    </row>
    <row r="1829" spans="2:4" x14ac:dyDescent="0.2">
      <c r="B1829" s="62" t="s">
        <v>204</v>
      </c>
      <c r="C1829" s="63">
        <v>45778</v>
      </c>
      <c r="D1829" s="64" t="s">
        <v>466</v>
      </c>
    </row>
    <row r="1830" spans="2:4" x14ac:dyDescent="0.2">
      <c r="B1830" s="62" t="s">
        <v>204</v>
      </c>
      <c r="C1830" s="63">
        <v>45789</v>
      </c>
      <c r="D1830" s="64" t="s">
        <v>467</v>
      </c>
    </row>
    <row r="1831" spans="2:4" x14ac:dyDescent="0.2">
      <c r="B1831" s="62" t="s">
        <v>204</v>
      </c>
      <c r="C1831" s="63">
        <v>45790</v>
      </c>
      <c r="D1831" s="64" t="s">
        <v>468</v>
      </c>
    </row>
    <row r="1832" spans="2:4" x14ac:dyDescent="0.2">
      <c r="B1832" s="62" t="s">
        <v>204</v>
      </c>
      <c r="C1832" s="63">
        <v>45815</v>
      </c>
      <c r="D1832" s="64" t="s">
        <v>430</v>
      </c>
    </row>
    <row r="1833" spans="2:4" x14ac:dyDescent="0.2">
      <c r="B1833" s="62" t="s">
        <v>204</v>
      </c>
      <c r="C1833" s="63">
        <v>45818</v>
      </c>
      <c r="D1833" s="64" t="s">
        <v>469</v>
      </c>
    </row>
    <row r="1834" spans="2:4" x14ac:dyDescent="0.2">
      <c r="B1834" s="62" t="s">
        <v>204</v>
      </c>
      <c r="C1834" s="63">
        <v>45848</v>
      </c>
      <c r="D1834" s="64" t="s">
        <v>470</v>
      </c>
    </row>
    <row r="1835" spans="2:4" x14ac:dyDescent="0.2">
      <c r="B1835" s="62" t="s">
        <v>204</v>
      </c>
      <c r="C1835" s="63">
        <v>45877</v>
      </c>
      <c r="D1835" s="64" t="s">
        <v>471</v>
      </c>
    </row>
    <row r="1836" spans="2:4" x14ac:dyDescent="0.2">
      <c r="B1836" s="62" t="s">
        <v>204</v>
      </c>
      <c r="C1836" s="63">
        <v>45905</v>
      </c>
      <c r="D1836" s="64" t="s">
        <v>449</v>
      </c>
    </row>
    <row r="1837" spans="2:4" x14ac:dyDescent="0.2">
      <c r="B1837" s="62" t="s">
        <v>204</v>
      </c>
      <c r="C1837" s="63">
        <v>45907</v>
      </c>
      <c r="D1837" s="64" t="s">
        <v>472</v>
      </c>
    </row>
    <row r="1838" spans="2:4" x14ac:dyDescent="0.2">
      <c r="B1838" s="62" t="s">
        <v>204</v>
      </c>
      <c r="C1838" s="63">
        <v>45936</v>
      </c>
      <c r="D1838" s="64" t="s">
        <v>473</v>
      </c>
    </row>
    <row r="1839" spans="2:4" x14ac:dyDescent="0.2">
      <c r="B1839" s="62" t="s">
        <v>204</v>
      </c>
      <c r="C1839" s="63">
        <v>45950</v>
      </c>
      <c r="D1839" s="64" t="s">
        <v>474</v>
      </c>
    </row>
    <row r="1840" spans="2:4" x14ac:dyDescent="0.2">
      <c r="B1840" s="62" t="s">
        <v>204</v>
      </c>
      <c r="C1840" s="63">
        <v>45966</v>
      </c>
      <c r="D1840" s="64" t="s">
        <v>475</v>
      </c>
    </row>
    <row r="1841" spans="2:4" x14ac:dyDescent="0.2">
      <c r="B1841" s="62" t="s">
        <v>204</v>
      </c>
      <c r="C1841" s="63">
        <v>45995</v>
      </c>
      <c r="D1841" s="64" t="s">
        <v>476</v>
      </c>
    </row>
    <row r="1842" spans="2:4" x14ac:dyDescent="0.2">
      <c r="B1842" s="62" t="s">
        <v>204</v>
      </c>
      <c r="C1842" s="63">
        <v>46016</v>
      </c>
      <c r="D1842" s="64" t="s">
        <v>359</v>
      </c>
    </row>
    <row r="1843" spans="2:4" x14ac:dyDescent="0.2">
      <c r="B1843" s="62" t="s">
        <v>204</v>
      </c>
      <c r="C1843" s="63">
        <v>46025</v>
      </c>
      <c r="D1843" s="64" t="s">
        <v>458</v>
      </c>
    </row>
    <row r="1844" spans="2:4" x14ac:dyDescent="0.2">
      <c r="B1844" s="62" t="s">
        <v>204</v>
      </c>
      <c r="C1844" s="63">
        <v>46037</v>
      </c>
      <c r="D1844" s="64" t="s">
        <v>459</v>
      </c>
    </row>
    <row r="1845" spans="2:4" x14ac:dyDescent="0.2">
      <c r="B1845" s="62" t="s">
        <v>204</v>
      </c>
      <c r="C1845" s="63">
        <v>46054</v>
      </c>
      <c r="D1845" s="64" t="s">
        <v>460</v>
      </c>
    </row>
    <row r="1846" spans="2:4" x14ac:dyDescent="0.2">
      <c r="B1846" s="62" t="s">
        <v>204</v>
      </c>
      <c r="C1846" s="63">
        <v>46057</v>
      </c>
      <c r="D1846" s="64" t="s">
        <v>393</v>
      </c>
    </row>
    <row r="1847" spans="2:4" x14ac:dyDescent="0.2">
      <c r="B1847" s="62" t="s">
        <v>204</v>
      </c>
      <c r="C1847" s="63">
        <v>46068</v>
      </c>
      <c r="D1847" s="64" t="s">
        <v>461</v>
      </c>
    </row>
    <row r="1848" spans="2:4" x14ac:dyDescent="0.2">
      <c r="B1848" s="62" t="s">
        <v>204</v>
      </c>
      <c r="C1848" s="63">
        <v>46083</v>
      </c>
      <c r="D1848" s="64" t="s">
        <v>462</v>
      </c>
    </row>
    <row r="1849" spans="2:4" x14ac:dyDescent="0.2">
      <c r="B1849" s="62" t="s">
        <v>204</v>
      </c>
      <c r="C1849" s="63">
        <v>46102</v>
      </c>
      <c r="D1849" s="64" t="s">
        <v>425</v>
      </c>
    </row>
    <row r="1850" spans="2:4" x14ac:dyDescent="0.2">
      <c r="B1850" s="62" t="s">
        <v>204</v>
      </c>
      <c r="C1850" s="63">
        <v>46113</v>
      </c>
      <c r="D1850" s="64" t="s">
        <v>463</v>
      </c>
    </row>
    <row r="1851" spans="2:4" x14ac:dyDescent="0.2">
      <c r="B1851" s="62" t="s">
        <v>204</v>
      </c>
      <c r="C1851" s="63">
        <v>46115</v>
      </c>
      <c r="D1851" s="64" t="s">
        <v>352</v>
      </c>
    </row>
    <row r="1852" spans="2:4" x14ac:dyDescent="0.2">
      <c r="B1852" s="62" t="s">
        <v>204</v>
      </c>
      <c r="C1852" s="63">
        <v>46125</v>
      </c>
      <c r="D1852" s="64" t="s">
        <v>464</v>
      </c>
    </row>
    <row r="1853" spans="2:4" x14ac:dyDescent="0.2">
      <c r="B1853" s="62" t="s">
        <v>204</v>
      </c>
      <c r="C1853" s="63">
        <v>46126</v>
      </c>
      <c r="D1853" s="64" t="s">
        <v>465</v>
      </c>
    </row>
    <row r="1854" spans="2:4" x14ac:dyDescent="0.2">
      <c r="B1854" s="62" t="s">
        <v>204</v>
      </c>
      <c r="C1854" s="63">
        <v>46143</v>
      </c>
      <c r="D1854" s="64" t="s">
        <v>477</v>
      </c>
    </row>
    <row r="1855" spans="2:4" x14ac:dyDescent="0.2">
      <c r="B1855" s="62" t="s">
        <v>204</v>
      </c>
      <c r="C1855" s="63">
        <v>46144</v>
      </c>
      <c r="D1855" s="64" t="s">
        <v>468</v>
      </c>
    </row>
    <row r="1856" spans="2:4" x14ac:dyDescent="0.2">
      <c r="B1856" s="62" t="s">
        <v>204</v>
      </c>
      <c r="C1856" s="63">
        <v>46170</v>
      </c>
      <c r="D1856" s="64" t="s">
        <v>430</v>
      </c>
    </row>
    <row r="1857" spans="2:4" x14ac:dyDescent="0.2">
      <c r="B1857" s="62" t="s">
        <v>204</v>
      </c>
      <c r="C1857" s="63">
        <v>46172</v>
      </c>
      <c r="D1857" s="64" t="s">
        <v>478</v>
      </c>
    </row>
    <row r="1858" spans="2:4" x14ac:dyDescent="0.2">
      <c r="B1858" s="62" t="s">
        <v>204</v>
      </c>
      <c r="C1858" s="63">
        <v>46202</v>
      </c>
      <c r="D1858" s="64" t="s">
        <v>469</v>
      </c>
    </row>
    <row r="1859" spans="2:4" x14ac:dyDescent="0.2">
      <c r="B1859" s="62" t="s">
        <v>204</v>
      </c>
      <c r="C1859" s="63">
        <v>46232</v>
      </c>
      <c r="D1859" s="64" t="s">
        <v>470</v>
      </c>
    </row>
    <row r="1860" spans="2:4" x14ac:dyDescent="0.2">
      <c r="B1860" s="62" t="s">
        <v>204</v>
      </c>
      <c r="C1860" s="63">
        <v>46260</v>
      </c>
      <c r="D1860" s="64" t="s">
        <v>449</v>
      </c>
    </row>
    <row r="1861" spans="2:4" x14ac:dyDescent="0.2">
      <c r="B1861" s="62" t="s">
        <v>204</v>
      </c>
      <c r="C1861" s="63">
        <v>46261</v>
      </c>
      <c r="D1861" s="64" t="s">
        <v>471</v>
      </c>
    </row>
    <row r="1862" spans="2:4" x14ac:dyDescent="0.2">
      <c r="B1862" s="62" t="s">
        <v>204</v>
      </c>
      <c r="C1862" s="63">
        <v>46291</v>
      </c>
      <c r="D1862" s="64" t="s">
        <v>472</v>
      </c>
    </row>
    <row r="1863" spans="2:4" x14ac:dyDescent="0.2">
      <c r="B1863" s="62" t="s">
        <v>204</v>
      </c>
      <c r="C1863" s="63">
        <v>46320</v>
      </c>
      <c r="D1863" s="64" t="s">
        <v>473</v>
      </c>
    </row>
    <row r="1864" spans="2:4" x14ac:dyDescent="0.2">
      <c r="B1864" s="62" t="s">
        <v>204</v>
      </c>
      <c r="C1864" s="63">
        <v>46334</v>
      </c>
      <c r="D1864" s="64" t="s">
        <v>474</v>
      </c>
    </row>
    <row r="1865" spans="2:4" x14ac:dyDescent="0.2">
      <c r="B1865" s="62" t="s">
        <v>204</v>
      </c>
      <c r="C1865" s="63">
        <v>46350</v>
      </c>
      <c r="D1865" s="64" t="s">
        <v>475</v>
      </c>
    </row>
    <row r="1866" spans="2:4" x14ac:dyDescent="0.2">
      <c r="B1866" s="62" t="s">
        <v>204</v>
      </c>
      <c r="C1866" s="63">
        <v>46379</v>
      </c>
      <c r="D1866" s="64" t="s">
        <v>476</v>
      </c>
    </row>
    <row r="1867" spans="2:4" x14ac:dyDescent="0.2">
      <c r="B1867" s="62" t="s">
        <v>204</v>
      </c>
      <c r="C1867" s="63">
        <v>46381</v>
      </c>
      <c r="D1867" s="64" t="s">
        <v>359</v>
      </c>
    </row>
    <row r="1868" spans="2:4" x14ac:dyDescent="0.2">
      <c r="B1868" s="62" t="s">
        <v>269</v>
      </c>
      <c r="C1868" s="63">
        <v>45658</v>
      </c>
      <c r="D1868" s="64" t="s">
        <v>350</v>
      </c>
    </row>
    <row r="1869" spans="2:4" x14ac:dyDescent="0.2">
      <c r="B1869" s="62" t="s">
        <v>269</v>
      </c>
      <c r="C1869" s="63">
        <v>45684</v>
      </c>
      <c r="D1869" s="64" t="s">
        <v>479</v>
      </c>
    </row>
    <row r="1870" spans="2:4" x14ac:dyDescent="0.2">
      <c r="B1870" s="62" t="s">
        <v>269</v>
      </c>
      <c r="C1870" s="63">
        <v>45685</v>
      </c>
      <c r="D1870" s="64" t="s">
        <v>480</v>
      </c>
    </row>
    <row r="1871" spans="2:4" x14ac:dyDescent="0.2">
      <c r="B1871" s="62" t="s">
        <v>269</v>
      </c>
      <c r="C1871" s="63">
        <v>45686</v>
      </c>
      <c r="D1871" s="64" t="s">
        <v>481</v>
      </c>
    </row>
    <row r="1872" spans="2:4" x14ac:dyDescent="0.2">
      <c r="B1872" s="62" t="s">
        <v>269</v>
      </c>
      <c r="C1872" s="63">
        <v>45687</v>
      </c>
      <c r="D1872" s="64" t="s">
        <v>482</v>
      </c>
    </row>
    <row r="1873" spans="2:4" x14ac:dyDescent="0.2">
      <c r="B1873" s="62" t="s">
        <v>269</v>
      </c>
      <c r="C1873" s="63">
        <v>45688</v>
      </c>
      <c r="D1873" s="64" t="s">
        <v>483</v>
      </c>
    </row>
    <row r="1874" spans="2:4" x14ac:dyDescent="0.2">
      <c r="B1874" s="62" t="s">
        <v>269</v>
      </c>
      <c r="C1874" s="63">
        <v>45689</v>
      </c>
      <c r="D1874" s="64" t="s">
        <v>484</v>
      </c>
    </row>
    <row r="1875" spans="2:4" x14ac:dyDescent="0.2">
      <c r="B1875" s="62" t="s">
        <v>269</v>
      </c>
      <c r="C1875" s="63">
        <v>45754</v>
      </c>
      <c r="D1875" s="64" t="s">
        <v>485</v>
      </c>
    </row>
    <row r="1876" spans="2:4" x14ac:dyDescent="0.2">
      <c r="B1876" s="62" t="s">
        <v>269</v>
      </c>
      <c r="C1876" s="63">
        <v>45777</v>
      </c>
      <c r="D1876" s="64" t="s">
        <v>486</v>
      </c>
    </row>
    <row r="1877" spans="2:4" x14ac:dyDescent="0.2">
      <c r="B1877" s="62" t="s">
        <v>269</v>
      </c>
      <c r="C1877" s="63">
        <v>45778</v>
      </c>
      <c r="D1877" s="64" t="s">
        <v>487</v>
      </c>
    </row>
    <row r="1878" spans="2:4" x14ac:dyDescent="0.2">
      <c r="B1878" s="62" t="s">
        <v>269</v>
      </c>
      <c r="C1878" s="63">
        <v>45901</v>
      </c>
      <c r="D1878" s="64" t="s">
        <v>488</v>
      </c>
    </row>
    <row r="1879" spans="2:4" x14ac:dyDescent="0.2">
      <c r="B1879" s="62" t="s">
        <v>269</v>
      </c>
      <c r="C1879" s="63">
        <v>45902</v>
      </c>
      <c r="D1879" s="64" t="s">
        <v>488</v>
      </c>
    </row>
    <row r="1880" spans="2:4" x14ac:dyDescent="0.2">
      <c r="B1880" s="62" t="s">
        <v>269</v>
      </c>
      <c r="C1880" s="63">
        <v>46023</v>
      </c>
      <c r="D1880" s="64" t="s">
        <v>350</v>
      </c>
    </row>
    <row r="1881" spans="2:4" x14ac:dyDescent="0.2">
      <c r="B1881" s="62" t="s">
        <v>269</v>
      </c>
      <c r="C1881" s="63">
        <v>46069</v>
      </c>
      <c r="D1881" s="64" t="s">
        <v>480</v>
      </c>
    </row>
    <row r="1882" spans="2:4" x14ac:dyDescent="0.2">
      <c r="B1882" s="62" t="s">
        <v>269</v>
      </c>
      <c r="C1882" s="63">
        <v>46070</v>
      </c>
      <c r="D1882" s="64" t="s">
        <v>481</v>
      </c>
    </row>
    <row r="1883" spans="2:4" x14ac:dyDescent="0.2">
      <c r="B1883" s="62" t="s">
        <v>269</v>
      </c>
      <c r="C1883" s="63">
        <v>46071</v>
      </c>
      <c r="D1883" s="64" t="s">
        <v>482</v>
      </c>
    </row>
    <row r="1884" spans="2:4" x14ac:dyDescent="0.2">
      <c r="B1884" s="62" t="s">
        <v>269</v>
      </c>
      <c r="C1884" s="63">
        <v>46072</v>
      </c>
      <c r="D1884" s="64" t="s">
        <v>483</v>
      </c>
    </row>
    <row r="1885" spans="2:4" x14ac:dyDescent="0.2">
      <c r="B1885" s="62" t="s">
        <v>269</v>
      </c>
      <c r="C1885" s="63">
        <v>46073</v>
      </c>
      <c r="D1885" s="64" t="s">
        <v>484</v>
      </c>
    </row>
    <row r="1886" spans="2:4" x14ac:dyDescent="0.2">
      <c r="B1886" s="62" t="s">
        <v>269</v>
      </c>
      <c r="C1886" s="63">
        <v>46138</v>
      </c>
      <c r="D1886" s="64" t="s">
        <v>485</v>
      </c>
    </row>
    <row r="1887" spans="2:4" x14ac:dyDescent="0.2">
      <c r="B1887" s="62" t="s">
        <v>269</v>
      </c>
      <c r="C1887" s="63">
        <v>46139</v>
      </c>
      <c r="D1887" s="64" t="s">
        <v>489</v>
      </c>
    </row>
    <row r="1888" spans="2:4" x14ac:dyDescent="0.2">
      <c r="B1888" s="62" t="s">
        <v>269</v>
      </c>
      <c r="C1888" s="63">
        <v>46142</v>
      </c>
      <c r="D1888" s="64" t="s">
        <v>486</v>
      </c>
    </row>
    <row r="1889" spans="2:4" x14ac:dyDescent="0.2">
      <c r="B1889" s="62" t="s">
        <v>269</v>
      </c>
      <c r="C1889" s="63">
        <v>46143</v>
      </c>
      <c r="D1889" s="64" t="s">
        <v>487</v>
      </c>
    </row>
    <row r="1890" spans="2:4" x14ac:dyDescent="0.2">
      <c r="B1890" s="62" t="s">
        <v>269</v>
      </c>
      <c r="C1890" s="63">
        <v>46266</v>
      </c>
      <c r="D1890" s="64" t="s">
        <v>488</v>
      </c>
    </row>
    <row r="1891" spans="2:4" x14ac:dyDescent="0.2">
      <c r="B1891" s="62" t="s">
        <v>269</v>
      </c>
      <c r="C1891" s="63">
        <v>46267</v>
      </c>
      <c r="D1891" s="64" t="s">
        <v>488</v>
      </c>
    </row>
    <row r="1892" spans="2:4" x14ac:dyDescent="0.2">
      <c r="B1892" s="62" t="s">
        <v>269</v>
      </c>
      <c r="C1892" s="63">
        <v>46388</v>
      </c>
      <c r="D1892" s="64" t="s">
        <v>350</v>
      </c>
    </row>
    <row r="1893" spans="2:4" x14ac:dyDescent="0.2">
      <c r="B1893" s="62" t="s">
        <v>269</v>
      </c>
      <c r="C1893" s="63">
        <v>46422</v>
      </c>
      <c r="D1893" s="64" t="s">
        <v>479</v>
      </c>
    </row>
    <row r="1894" spans="2:4" x14ac:dyDescent="0.2">
      <c r="B1894" s="62" t="s">
        <v>269</v>
      </c>
      <c r="C1894" s="63">
        <v>46423</v>
      </c>
      <c r="D1894" s="64" t="s">
        <v>480</v>
      </c>
    </row>
    <row r="1895" spans="2:4" x14ac:dyDescent="0.2">
      <c r="B1895" s="62" t="s">
        <v>269</v>
      </c>
      <c r="C1895" s="63">
        <v>46424</v>
      </c>
      <c r="D1895" s="64" t="s">
        <v>481</v>
      </c>
    </row>
    <row r="1896" spans="2:4" x14ac:dyDescent="0.2">
      <c r="B1896" s="62" t="s">
        <v>269</v>
      </c>
      <c r="C1896" s="63">
        <v>46425</v>
      </c>
      <c r="D1896" s="64" t="s">
        <v>482</v>
      </c>
    </row>
    <row r="1897" spans="2:4" x14ac:dyDescent="0.2">
      <c r="B1897" s="62" t="s">
        <v>269</v>
      </c>
      <c r="C1897" s="63">
        <v>46426</v>
      </c>
      <c r="D1897" s="64" t="s">
        <v>483</v>
      </c>
    </row>
    <row r="1898" spans="2:4" x14ac:dyDescent="0.2">
      <c r="B1898" s="62" t="s">
        <v>269</v>
      </c>
      <c r="C1898" s="63">
        <v>46427</v>
      </c>
      <c r="D1898" s="64" t="s">
        <v>484</v>
      </c>
    </row>
    <row r="1899" spans="2:4" x14ac:dyDescent="0.2">
      <c r="B1899" s="62" t="s">
        <v>269</v>
      </c>
      <c r="C1899" s="63">
        <v>46428</v>
      </c>
      <c r="D1899" s="64" t="s">
        <v>490</v>
      </c>
    </row>
    <row r="1900" spans="2:4" x14ac:dyDescent="0.2">
      <c r="B1900" s="62" t="s">
        <v>269</v>
      </c>
      <c r="C1900" s="63">
        <v>46493</v>
      </c>
      <c r="D1900" s="64" t="s">
        <v>485</v>
      </c>
    </row>
    <row r="1901" spans="2:4" x14ac:dyDescent="0.2">
      <c r="B1901" s="62" t="s">
        <v>269</v>
      </c>
      <c r="C1901" s="63">
        <v>46507</v>
      </c>
      <c r="D1901" s="64" t="s">
        <v>486</v>
      </c>
    </row>
    <row r="1902" spans="2:4" x14ac:dyDescent="0.2">
      <c r="B1902" s="62" t="s">
        <v>269</v>
      </c>
      <c r="C1902" s="63">
        <v>46508</v>
      </c>
      <c r="D1902" s="64" t="s">
        <v>487</v>
      </c>
    </row>
    <row r="1903" spans="2:4" x14ac:dyDescent="0.2">
      <c r="B1903" s="62" t="s">
        <v>269</v>
      </c>
      <c r="C1903" s="63">
        <v>46510</v>
      </c>
      <c r="D1903" s="64" t="s">
        <v>491</v>
      </c>
    </row>
    <row r="1904" spans="2:4" x14ac:dyDescent="0.2">
      <c r="B1904" s="62" t="s">
        <v>269</v>
      </c>
      <c r="C1904" s="63">
        <v>46632</v>
      </c>
      <c r="D1904" s="64" t="s">
        <v>488</v>
      </c>
    </row>
    <row r="1905" spans="2:4" x14ac:dyDescent="0.2">
      <c r="B1905" s="62" t="s">
        <v>269</v>
      </c>
      <c r="C1905" s="63">
        <v>46633</v>
      </c>
      <c r="D1905" s="64" t="s">
        <v>488</v>
      </c>
    </row>
    <row r="1906" spans="2:4" x14ac:dyDescent="0.2">
      <c r="B1906" s="62" t="s">
        <v>269</v>
      </c>
      <c r="C1906" s="63">
        <v>46753</v>
      </c>
      <c r="D1906" s="64" t="s">
        <v>350</v>
      </c>
    </row>
    <row r="1907" spans="2:4" x14ac:dyDescent="0.2">
      <c r="B1907" s="62" t="s">
        <v>269</v>
      </c>
      <c r="C1907" s="63">
        <v>46755</v>
      </c>
      <c r="D1907" s="64" t="s">
        <v>364</v>
      </c>
    </row>
    <row r="1908" spans="2:4" x14ac:dyDescent="0.2">
      <c r="B1908" s="62" t="s">
        <v>269</v>
      </c>
      <c r="C1908" s="63">
        <v>46776</v>
      </c>
      <c r="D1908" s="64" t="s">
        <v>479</v>
      </c>
    </row>
    <row r="1909" spans="2:4" x14ac:dyDescent="0.2">
      <c r="B1909" s="62" t="s">
        <v>269</v>
      </c>
      <c r="C1909" s="63">
        <v>46777</v>
      </c>
      <c r="D1909" s="64" t="s">
        <v>480</v>
      </c>
    </row>
    <row r="1910" spans="2:4" x14ac:dyDescent="0.2">
      <c r="B1910" s="62" t="s">
        <v>269</v>
      </c>
      <c r="C1910" s="63">
        <v>46778</v>
      </c>
      <c r="D1910" s="64" t="s">
        <v>481</v>
      </c>
    </row>
    <row r="1911" spans="2:4" x14ac:dyDescent="0.2">
      <c r="B1911" s="62" t="s">
        <v>269</v>
      </c>
      <c r="C1911" s="63">
        <v>46779</v>
      </c>
      <c r="D1911" s="64" t="s">
        <v>482</v>
      </c>
    </row>
    <row r="1912" spans="2:4" x14ac:dyDescent="0.2">
      <c r="B1912" s="62" t="s">
        <v>269</v>
      </c>
      <c r="C1912" s="63">
        <v>46780</v>
      </c>
      <c r="D1912" s="64" t="s">
        <v>483</v>
      </c>
    </row>
    <row r="1913" spans="2:4" x14ac:dyDescent="0.2">
      <c r="B1913" s="62" t="s">
        <v>269</v>
      </c>
      <c r="C1913" s="63">
        <v>46781</v>
      </c>
      <c r="D1913" s="64" t="s">
        <v>484</v>
      </c>
    </row>
    <row r="1914" spans="2:4" x14ac:dyDescent="0.2">
      <c r="B1914" s="62" t="s">
        <v>269</v>
      </c>
      <c r="C1914" s="63">
        <v>46847</v>
      </c>
      <c r="D1914" s="64" t="s">
        <v>485</v>
      </c>
    </row>
    <row r="1915" spans="2:4" x14ac:dyDescent="0.2">
      <c r="B1915" s="62" t="s">
        <v>269</v>
      </c>
      <c r="C1915" s="63">
        <v>46873</v>
      </c>
      <c r="D1915" s="64" t="s">
        <v>486</v>
      </c>
    </row>
    <row r="1916" spans="2:4" x14ac:dyDescent="0.2">
      <c r="B1916" s="62" t="s">
        <v>269</v>
      </c>
      <c r="C1916" s="63">
        <v>46874</v>
      </c>
      <c r="D1916" s="64" t="s">
        <v>487</v>
      </c>
    </row>
    <row r="1917" spans="2:4" x14ac:dyDescent="0.2">
      <c r="B1917" s="62" t="s">
        <v>269</v>
      </c>
      <c r="C1917" s="63">
        <v>46875</v>
      </c>
      <c r="D1917" s="64" t="s">
        <v>492</v>
      </c>
    </row>
    <row r="1918" spans="2:4" x14ac:dyDescent="0.2">
      <c r="B1918" s="62" t="s">
        <v>269</v>
      </c>
      <c r="C1918" s="63">
        <v>46997</v>
      </c>
      <c r="D1918" s="64" t="s">
        <v>488</v>
      </c>
    </row>
    <row r="1919" spans="2:4" x14ac:dyDescent="0.2">
      <c r="B1919" s="62" t="s">
        <v>269</v>
      </c>
      <c r="C1919" s="63">
        <v>46998</v>
      </c>
      <c r="D1919" s="64" t="s">
        <v>488</v>
      </c>
    </row>
    <row r="1920" spans="2:4" x14ac:dyDescent="0.2">
      <c r="B1920" s="62" t="s">
        <v>269</v>
      </c>
      <c r="C1920" s="63">
        <v>47000</v>
      </c>
      <c r="D1920" s="64" t="s">
        <v>493</v>
      </c>
    </row>
    <row r="1921" spans="2:4" x14ac:dyDescent="0.2">
      <c r="B1921" s="62" t="s">
        <v>269</v>
      </c>
      <c r="C1921" s="63">
        <v>47119</v>
      </c>
      <c r="D1921" s="64" t="s">
        <v>350</v>
      </c>
    </row>
    <row r="1922" spans="2:4" x14ac:dyDescent="0.2">
      <c r="B1922" s="62" t="s">
        <v>269</v>
      </c>
      <c r="C1922" s="63">
        <v>47161</v>
      </c>
      <c r="D1922" s="64" t="s">
        <v>480</v>
      </c>
    </row>
    <row r="1923" spans="2:4" x14ac:dyDescent="0.2">
      <c r="B1923" s="62" t="s">
        <v>269</v>
      </c>
      <c r="C1923" s="63">
        <v>47162</v>
      </c>
      <c r="D1923" s="64" t="s">
        <v>481</v>
      </c>
    </row>
    <row r="1924" spans="2:4" x14ac:dyDescent="0.2">
      <c r="B1924" s="62" t="s">
        <v>269</v>
      </c>
      <c r="C1924" s="63">
        <v>47163</v>
      </c>
      <c r="D1924" s="64" t="s">
        <v>482</v>
      </c>
    </row>
    <row r="1925" spans="2:4" x14ac:dyDescent="0.2">
      <c r="B1925" s="62" t="s">
        <v>269</v>
      </c>
      <c r="C1925" s="63">
        <v>47164</v>
      </c>
      <c r="D1925" s="64" t="s">
        <v>483</v>
      </c>
    </row>
    <row r="1926" spans="2:4" x14ac:dyDescent="0.2">
      <c r="B1926" s="62" t="s">
        <v>269</v>
      </c>
      <c r="C1926" s="63">
        <v>47165</v>
      </c>
      <c r="D1926" s="64" t="s">
        <v>484</v>
      </c>
    </row>
    <row r="1927" spans="2:4" x14ac:dyDescent="0.2">
      <c r="B1927" s="62" t="s">
        <v>269</v>
      </c>
      <c r="C1927" s="63">
        <v>47231</v>
      </c>
      <c r="D1927" s="64" t="s">
        <v>485</v>
      </c>
    </row>
    <row r="1928" spans="2:4" x14ac:dyDescent="0.2">
      <c r="B1928" s="62" t="s">
        <v>269</v>
      </c>
      <c r="C1928" s="63">
        <v>47238</v>
      </c>
      <c r="D1928" s="64" t="s">
        <v>486</v>
      </c>
    </row>
    <row r="1929" spans="2:4" x14ac:dyDescent="0.2">
      <c r="B1929" s="62" t="s">
        <v>269</v>
      </c>
      <c r="C1929" s="63">
        <v>47239</v>
      </c>
      <c r="D1929" s="64" t="s">
        <v>487</v>
      </c>
    </row>
    <row r="1930" spans="2:4" x14ac:dyDescent="0.2">
      <c r="B1930" s="62" t="s">
        <v>269</v>
      </c>
      <c r="C1930" s="63">
        <v>47363</v>
      </c>
      <c r="D1930" s="64" t="s">
        <v>488</v>
      </c>
    </row>
    <row r="1931" spans="2:4" x14ac:dyDescent="0.2">
      <c r="B1931" s="62" t="s">
        <v>269</v>
      </c>
      <c r="C1931" s="63">
        <v>47364</v>
      </c>
      <c r="D1931" s="64" t="s">
        <v>488</v>
      </c>
    </row>
    <row r="1932" spans="2:4" x14ac:dyDescent="0.2">
      <c r="B1932" s="62" t="s">
        <v>269</v>
      </c>
      <c r="C1932" s="63">
        <v>47365</v>
      </c>
      <c r="D1932" s="64" t="s">
        <v>493</v>
      </c>
    </row>
    <row r="1933" spans="2:4" x14ac:dyDescent="0.2">
      <c r="B1933" s="62" t="s">
        <v>269</v>
      </c>
      <c r="C1933" s="63">
        <v>47484</v>
      </c>
      <c r="D1933" s="64" t="s">
        <v>350</v>
      </c>
    </row>
    <row r="1934" spans="2:4" x14ac:dyDescent="0.2">
      <c r="B1934" s="62" t="s">
        <v>269</v>
      </c>
      <c r="C1934" s="63">
        <v>47514</v>
      </c>
      <c r="D1934" s="64" t="s">
        <v>479</v>
      </c>
    </row>
    <row r="1935" spans="2:4" x14ac:dyDescent="0.2">
      <c r="B1935" s="62" t="s">
        <v>269</v>
      </c>
      <c r="C1935" s="63">
        <v>47515</v>
      </c>
      <c r="D1935" s="64" t="s">
        <v>480</v>
      </c>
    </row>
    <row r="1936" spans="2:4" x14ac:dyDescent="0.2">
      <c r="B1936" s="62" t="s">
        <v>269</v>
      </c>
      <c r="C1936" s="63">
        <v>47516</v>
      </c>
      <c r="D1936" s="64" t="s">
        <v>481</v>
      </c>
    </row>
    <row r="1937" spans="2:4" x14ac:dyDescent="0.2">
      <c r="B1937" s="62" t="s">
        <v>269</v>
      </c>
      <c r="C1937" s="63">
        <v>47517</v>
      </c>
      <c r="D1937" s="64" t="s">
        <v>482</v>
      </c>
    </row>
    <row r="1938" spans="2:4" x14ac:dyDescent="0.2">
      <c r="B1938" s="62" t="s">
        <v>269</v>
      </c>
      <c r="C1938" s="63">
        <v>47518</v>
      </c>
      <c r="D1938" s="64" t="s">
        <v>483</v>
      </c>
    </row>
    <row r="1939" spans="2:4" x14ac:dyDescent="0.2">
      <c r="B1939" s="62" t="s">
        <v>269</v>
      </c>
      <c r="C1939" s="63">
        <v>47519</v>
      </c>
      <c r="D1939" s="64" t="s">
        <v>484</v>
      </c>
    </row>
    <row r="1940" spans="2:4" x14ac:dyDescent="0.2">
      <c r="B1940" s="62" t="s">
        <v>269</v>
      </c>
      <c r="C1940" s="63">
        <v>47520</v>
      </c>
      <c r="D1940" s="64" t="s">
        <v>490</v>
      </c>
    </row>
    <row r="1941" spans="2:4" x14ac:dyDescent="0.2">
      <c r="B1941" s="62" t="s">
        <v>269</v>
      </c>
      <c r="C1941" s="63">
        <v>47585</v>
      </c>
      <c r="D1941" s="64" t="s">
        <v>485</v>
      </c>
    </row>
    <row r="1942" spans="2:4" x14ac:dyDescent="0.2">
      <c r="B1942" s="62" t="s">
        <v>269</v>
      </c>
      <c r="C1942" s="63">
        <v>47603</v>
      </c>
      <c r="D1942" s="64" t="s">
        <v>486</v>
      </c>
    </row>
    <row r="1943" spans="2:4" x14ac:dyDescent="0.2">
      <c r="B1943" s="62" t="s">
        <v>269</v>
      </c>
      <c r="C1943" s="63">
        <v>47604</v>
      </c>
      <c r="D1943" s="64" t="s">
        <v>487</v>
      </c>
    </row>
    <row r="1944" spans="2:4" x14ac:dyDescent="0.2">
      <c r="B1944" s="62" t="s">
        <v>269</v>
      </c>
      <c r="C1944" s="63">
        <v>47728</v>
      </c>
      <c r="D1944" s="64" t="s">
        <v>488</v>
      </c>
    </row>
    <row r="1945" spans="2:4" x14ac:dyDescent="0.2">
      <c r="B1945" s="62" t="s">
        <v>269</v>
      </c>
      <c r="C1945" s="63">
        <v>47729</v>
      </c>
      <c r="D1945" s="64" t="s">
        <v>488</v>
      </c>
    </row>
    <row r="1946" spans="2:4" x14ac:dyDescent="0.2">
      <c r="B1946" s="62" t="s">
        <v>270</v>
      </c>
      <c r="C1946" s="63">
        <v>45658</v>
      </c>
      <c r="D1946" s="64" t="s">
        <v>350</v>
      </c>
    </row>
    <row r="1947" spans="2:4" x14ac:dyDescent="0.2">
      <c r="B1947" s="62" t="s">
        <v>270</v>
      </c>
      <c r="C1947" s="63">
        <v>45737</v>
      </c>
      <c r="D1947" s="64" t="s">
        <v>494</v>
      </c>
    </row>
    <row r="1948" spans="2:4" x14ac:dyDescent="0.2">
      <c r="B1948" s="62" t="s">
        <v>270</v>
      </c>
      <c r="C1948" s="63">
        <v>45765</v>
      </c>
      <c r="D1948" s="64" t="s">
        <v>352</v>
      </c>
    </row>
    <row r="1949" spans="2:4" x14ac:dyDescent="0.2">
      <c r="B1949" s="62" t="s">
        <v>270</v>
      </c>
      <c r="C1949" s="63">
        <v>45768</v>
      </c>
      <c r="D1949" s="64" t="s">
        <v>495</v>
      </c>
    </row>
    <row r="1950" spans="2:4" x14ac:dyDescent="0.2">
      <c r="B1950" s="62" t="s">
        <v>270</v>
      </c>
      <c r="C1950" s="63">
        <v>45774</v>
      </c>
      <c r="D1950" s="64" t="s">
        <v>496</v>
      </c>
    </row>
    <row r="1951" spans="2:4" x14ac:dyDescent="0.2">
      <c r="B1951" s="62" t="s">
        <v>270</v>
      </c>
      <c r="C1951" s="63">
        <v>45775</v>
      </c>
      <c r="D1951" s="64" t="s">
        <v>497</v>
      </c>
    </row>
    <row r="1952" spans="2:4" x14ac:dyDescent="0.2">
      <c r="B1952" s="62" t="s">
        <v>270</v>
      </c>
      <c r="C1952" s="63">
        <v>45778</v>
      </c>
      <c r="D1952" s="64" t="s">
        <v>498</v>
      </c>
    </row>
    <row r="1953" spans="2:4" x14ac:dyDescent="0.2">
      <c r="B1953" s="62" t="s">
        <v>270</v>
      </c>
      <c r="C1953" s="63">
        <v>45824</v>
      </c>
      <c r="D1953" s="64" t="s">
        <v>499</v>
      </c>
    </row>
    <row r="1954" spans="2:4" x14ac:dyDescent="0.2">
      <c r="B1954" s="62" t="s">
        <v>270</v>
      </c>
      <c r="C1954" s="63">
        <v>45878</v>
      </c>
      <c r="D1954" s="64" t="s">
        <v>500</v>
      </c>
    </row>
    <row r="1955" spans="2:4" x14ac:dyDescent="0.2">
      <c r="B1955" s="62" t="s">
        <v>270</v>
      </c>
      <c r="C1955" s="63">
        <v>45924</v>
      </c>
      <c r="D1955" s="64" t="s">
        <v>501</v>
      </c>
    </row>
    <row r="1956" spans="2:4" x14ac:dyDescent="0.2">
      <c r="B1956" s="62" t="s">
        <v>270</v>
      </c>
      <c r="C1956" s="63">
        <v>46007</v>
      </c>
      <c r="D1956" s="64" t="s">
        <v>502</v>
      </c>
    </row>
    <row r="1957" spans="2:4" x14ac:dyDescent="0.2">
      <c r="B1957" s="62" t="s">
        <v>270</v>
      </c>
      <c r="C1957" s="63">
        <v>46016</v>
      </c>
      <c r="D1957" s="64" t="s">
        <v>359</v>
      </c>
    </row>
    <row r="1958" spans="2:4" x14ac:dyDescent="0.2">
      <c r="B1958" s="62" t="s">
        <v>270</v>
      </c>
      <c r="C1958" s="63">
        <v>46017</v>
      </c>
      <c r="D1958" s="64" t="s">
        <v>503</v>
      </c>
    </row>
    <row r="1959" spans="2:4" x14ac:dyDescent="0.2">
      <c r="B1959" s="62" t="s">
        <v>270</v>
      </c>
      <c r="C1959" s="63">
        <v>46023</v>
      </c>
      <c r="D1959" s="64" t="s">
        <v>350</v>
      </c>
    </row>
    <row r="1960" spans="2:4" x14ac:dyDescent="0.2">
      <c r="B1960" s="62" t="s">
        <v>270</v>
      </c>
      <c r="C1960" s="63">
        <v>46102</v>
      </c>
      <c r="D1960" s="64" t="s">
        <v>494</v>
      </c>
    </row>
    <row r="1961" spans="2:4" x14ac:dyDescent="0.2">
      <c r="B1961" s="62" t="s">
        <v>270</v>
      </c>
      <c r="C1961" s="63">
        <v>46115</v>
      </c>
      <c r="D1961" s="64" t="s">
        <v>352</v>
      </c>
    </row>
    <row r="1962" spans="2:4" x14ac:dyDescent="0.2">
      <c r="B1962" s="62" t="s">
        <v>270</v>
      </c>
      <c r="C1962" s="63">
        <v>46118</v>
      </c>
      <c r="D1962" s="64" t="s">
        <v>495</v>
      </c>
    </row>
    <row r="1963" spans="2:4" x14ac:dyDescent="0.2">
      <c r="B1963" s="62" t="s">
        <v>270</v>
      </c>
      <c r="C1963" s="63">
        <v>46139</v>
      </c>
      <c r="D1963" s="64" t="s">
        <v>496</v>
      </c>
    </row>
    <row r="1964" spans="2:4" x14ac:dyDescent="0.2">
      <c r="B1964" s="62" t="s">
        <v>270</v>
      </c>
      <c r="C1964" s="63">
        <v>46143</v>
      </c>
      <c r="D1964" s="64" t="s">
        <v>498</v>
      </c>
    </row>
    <row r="1965" spans="2:4" x14ac:dyDescent="0.2">
      <c r="B1965" s="62" t="s">
        <v>270</v>
      </c>
      <c r="C1965" s="63">
        <v>46189</v>
      </c>
      <c r="D1965" s="64" t="s">
        <v>499</v>
      </c>
    </row>
    <row r="1966" spans="2:4" x14ac:dyDescent="0.2">
      <c r="B1966" s="62" t="s">
        <v>270</v>
      </c>
      <c r="C1966" s="63">
        <v>46243</v>
      </c>
      <c r="D1966" s="64" t="s">
        <v>500</v>
      </c>
    </row>
    <row r="1967" spans="2:4" x14ac:dyDescent="0.2">
      <c r="B1967" s="62" t="s">
        <v>270</v>
      </c>
      <c r="C1967" s="63">
        <v>46244</v>
      </c>
      <c r="D1967" s="64" t="s">
        <v>504</v>
      </c>
    </row>
    <row r="1968" spans="2:4" x14ac:dyDescent="0.2">
      <c r="B1968" s="62" t="s">
        <v>270</v>
      </c>
      <c r="C1968" s="63">
        <v>46289</v>
      </c>
      <c r="D1968" s="64" t="s">
        <v>501</v>
      </c>
    </row>
    <row r="1969" spans="2:4" x14ac:dyDescent="0.2">
      <c r="B1969" s="62" t="s">
        <v>270</v>
      </c>
      <c r="C1969" s="63">
        <v>46372</v>
      </c>
      <c r="D1969" s="64" t="s">
        <v>502</v>
      </c>
    </row>
    <row r="1970" spans="2:4" x14ac:dyDescent="0.2">
      <c r="B1970" s="62" t="s">
        <v>270</v>
      </c>
      <c r="C1970" s="63">
        <v>46381</v>
      </c>
      <c r="D1970" s="64" t="s">
        <v>359</v>
      </c>
    </row>
    <row r="1971" spans="2:4" x14ac:dyDescent="0.2">
      <c r="B1971" s="62" t="s">
        <v>270</v>
      </c>
      <c r="C1971" s="63">
        <v>46382</v>
      </c>
      <c r="D1971" s="64" t="s">
        <v>503</v>
      </c>
    </row>
    <row r="1972" spans="2:4" x14ac:dyDescent="0.2">
      <c r="B1972" s="62" t="s">
        <v>270</v>
      </c>
      <c r="C1972" s="63">
        <v>46388</v>
      </c>
      <c r="D1972" s="64" t="s">
        <v>350</v>
      </c>
    </row>
    <row r="1973" spans="2:4" x14ac:dyDescent="0.2">
      <c r="B1973" s="62" t="s">
        <v>270</v>
      </c>
      <c r="C1973" s="63">
        <v>46467</v>
      </c>
      <c r="D1973" s="64" t="s">
        <v>494</v>
      </c>
    </row>
    <row r="1974" spans="2:4" x14ac:dyDescent="0.2">
      <c r="B1974" s="62" t="s">
        <v>270</v>
      </c>
      <c r="C1974" s="63">
        <v>46468</v>
      </c>
      <c r="D1974" s="64" t="s">
        <v>505</v>
      </c>
    </row>
    <row r="1975" spans="2:4" x14ac:dyDescent="0.2">
      <c r="B1975" s="62" t="s">
        <v>270</v>
      </c>
      <c r="C1975" s="63">
        <v>46472</v>
      </c>
      <c r="D1975" s="64" t="s">
        <v>352</v>
      </c>
    </row>
    <row r="1976" spans="2:4" x14ac:dyDescent="0.2">
      <c r="B1976" s="62" t="s">
        <v>270</v>
      </c>
      <c r="C1976" s="63">
        <v>46475</v>
      </c>
      <c r="D1976" s="64" t="s">
        <v>495</v>
      </c>
    </row>
    <row r="1977" spans="2:4" x14ac:dyDescent="0.2">
      <c r="B1977" s="62" t="s">
        <v>270</v>
      </c>
      <c r="C1977" s="63">
        <v>46504</v>
      </c>
      <c r="D1977" s="64" t="s">
        <v>496</v>
      </c>
    </row>
    <row r="1978" spans="2:4" x14ac:dyDescent="0.2">
      <c r="B1978" s="62" t="s">
        <v>270</v>
      </c>
      <c r="C1978" s="63">
        <v>46508</v>
      </c>
      <c r="D1978" s="64" t="s">
        <v>498</v>
      </c>
    </row>
    <row r="1979" spans="2:4" x14ac:dyDescent="0.2">
      <c r="B1979" s="62" t="s">
        <v>270</v>
      </c>
      <c r="C1979" s="63">
        <v>46554</v>
      </c>
      <c r="D1979" s="64" t="s">
        <v>499</v>
      </c>
    </row>
    <row r="1980" spans="2:4" x14ac:dyDescent="0.2">
      <c r="B1980" s="62" t="s">
        <v>270</v>
      </c>
      <c r="C1980" s="63">
        <v>46608</v>
      </c>
      <c r="D1980" s="64" t="s">
        <v>500</v>
      </c>
    </row>
    <row r="1981" spans="2:4" x14ac:dyDescent="0.2">
      <c r="B1981" s="62" t="s">
        <v>270</v>
      </c>
      <c r="C1981" s="63">
        <v>46654</v>
      </c>
      <c r="D1981" s="64" t="s">
        <v>501</v>
      </c>
    </row>
    <row r="1982" spans="2:4" x14ac:dyDescent="0.2">
      <c r="B1982" s="62" t="s">
        <v>270</v>
      </c>
      <c r="C1982" s="63">
        <v>46737</v>
      </c>
      <c r="D1982" s="64" t="s">
        <v>502</v>
      </c>
    </row>
    <row r="1983" spans="2:4" x14ac:dyDescent="0.2">
      <c r="B1983" s="62" t="s">
        <v>270</v>
      </c>
      <c r="C1983" s="63">
        <v>46746</v>
      </c>
      <c r="D1983" s="64" t="s">
        <v>359</v>
      </c>
    </row>
    <row r="1984" spans="2:4" x14ac:dyDescent="0.2">
      <c r="B1984" s="62" t="s">
        <v>270</v>
      </c>
      <c r="C1984" s="63">
        <v>46747</v>
      </c>
      <c r="D1984" s="64" t="s">
        <v>503</v>
      </c>
    </row>
    <row r="1985" spans="2:4" x14ac:dyDescent="0.2">
      <c r="B1985" s="62" t="s">
        <v>270</v>
      </c>
      <c r="C1985" s="63">
        <v>46748</v>
      </c>
      <c r="D1985" s="64" t="s">
        <v>506</v>
      </c>
    </row>
    <row r="1986" spans="2:4" x14ac:dyDescent="0.2">
      <c r="B1986" s="62" t="s">
        <v>270</v>
      </c>
      <c r="C1986" s="63">
        <v>46753</v>
      </c>
      <c r="D1986" s="64" t="s">
        <v>350</v>
      </c>
    </row>
    <row r="1987" spans="2:4" x14ac:dyDescent="0.2">
      <c r="B1987" s="62" t="s">
        <v>270</v>
      </c>
      <c r="C1987" s="63">
        <v>46833</v>
      </c>
      <c r="D1987" s="64" t="s">
        <v>494</v>
      </c>
    </row>
    <row r="1988" spans="2:4" x14ac:dyDescent="0.2">
      <c r="B1988" s="62" t="s">
        <v>270</v>
      </c>
      <c r="C1988" s="63">
        <v>46857</v>
      </c>
      <c r="D1988" s="64" t="s">
        <v>352</v>
      </c>
    </row>
    <row r="1989" spans="2:4" x14ac:dyDescent="0.2">
      <c r="B1989" s="62" t="s">
        <v>270</v>
      </c>
      <c r="C1989" s="63">
        <v>46860</v>
      </c>
      <c r="D1989" s="64" t="s">
        <v>495</v>
      </c>
    </row>
    <row r="1990" spans="2:4" x14ac:dyDescent="0.2">
      <c r="B1990" s="62" t="s">
        <v>270</v>
      </c>
      <c r="C1990" s="63">
        <v>46870</v>
      </c>
      <c r="D1990" s="64" t="s">
        <v>496</v>
      </c>
    </row>
    <row r="1991" spans="2:4" x14ac:dyDescent="0.2">
      <c r="B1991" s="62" t="s">
        <v>270</v>
      </c>
      <c r="C1991" s="63">
        <v>46874</v>
      </c>
      <c r="D1991" s="64" t="s">
        <v>498</v>
      </c>
    </row>
    <row r="1992" spans="2:4" x14ac:dyDescent="0.2">
      <c r="B1992" s="62" t="s">
        <v>270</v>
      </c>
      <c r="C1992" s="63">
        <v>46920</v>
      </c>
      <c r="D1992" s="64" t="s">
        <v>499</v>
      </c>
    </row>
    <row r="1993" spans="2:4" x14ac:dyDescent="0.2">
      <c r="B1993" s="62" t="s">
        <v>270</v>
      </c>
      <c r="C1993" s="63">
        <v>46974</v>
      </c>
      <c r="D1993" s="64" t="s">
        <v>500</v>
      </c>
    </row>
    <row r="1994" spans="2:4" x14ac:dyDescent="0.2">
      <c r="B1994" s="62" t="s">
        <v>270</v>
      </c>
      <c r="C1994" s="63">
        <v>47020</v>
      </c>
      <c r="D1994" s="64" t="s">
        <v>501</v>
      </c>
    </row>
    <row r="1995" spans="2:4" x14ac:dyDescent="0.2">
      <c r="B1995" s="62" t="s">
        <v>270</v>
      </c>
      <c r="C1995" s="63">
        <v>47021</v>
      </c>
      <c r="D1995" s="64" t="s">
        <v>507</v>
      </c>
    </row>
    <row r="1996" spans="2:4" x14ac:dyDescent="0.2">
      <c r="B1996" s="62" t="s">
        <v>270</v>
      </c>
      <c r="C1996" s="63">
        <v>47103</v>
      </c>
      <c r="D1996" s="64" t="s">
        <v>502</v>
      </c>
    </row>
    <row r="1997" spans="2:4" x14ac:dyDescent="0.2">
      <c r="B1997" s="62" t="s">
        <v>270</v>
      </c>
      <c r="C1997" s="63">
        <v>47112</v>
      </c>
      <c r="D1997" s="64" t="s">
        <v>359</v>
      </c>
    </row>
    <row r="1998" spans="2:4" x14ac:dyDescent="0.2">
      <c r="B1998" s="62" t="s">
        <v>270</v>
      </c>
      <c r="C1998" s="63">
        <v>47113</v>
      </c>
      <c r="D1998" s="64" t="s">
        <v>503</v>
      </c>
    </row>
    <row r="1999" spans="2:4" x14ac:dyDescent="0.2">
      <c r="B1999" s="62" t="s">
        <v>270</v>
      </c>
      <c r="C1999" s="63">
        <v>47119</v>
      </c>
      <c r="D1999" s="64" t="s">
        <v>350</v>
      </c>
    </row>
    <row r="2000" spans="2:4" x14ac:dyDescent="0.2">
      <c r="B2000" s="62" t="s">
        <v>270</v>
      </c>
      <c r="C2000" s="63">
        <v>47198</v>
      </c>
      <c r="D2000" s="64" t="s">
        <v>494</v>
      </c>
    </row>
    <row r="2001" spans="2:4" x14ac:dyDescent="0.2">
      <c r="B2001" s="62" t="s">
        <v>270</v>
      </c>
      <c r="C2001" s="63">
        <v>47207</v>
      </c>
      <c r="D2001" s="64" t="s">
        <v>352</v>
      </c>
    </row>
    <row r="2002" spans="2:4" x14ac:dyDescent="0.2">
      <c r="B2002" s="62" t="s">
        <v>270</v>
      </c>
      <c r="C2002" s="63">
        <v>47210</v>
      </c>
      <c r="D2002" s="64" t="s">
        <v>495</v>
      </c>
    </row>
    <row r="2003" spans="2:4" x14ac:dyDescent="0.2">
      <c r="B2003" s="62" t="s">
        <v>270</v>
      </c>
      <c r="C2003" s="63">
        <v>47235</v>
      </c>
      <c r="D2003" s="64" t="s">
        <v>496</v>
      </c>
    </row>
    <row r="2004" spans="2:4" x14ac:dyDescent="0.2">
      <c r="B2004" s="62" t="s">
        <v>270</v>
      </c>
      <c r="C2004" s="63">
        <v>47239</v>
      </c>
      <c r="D2004" s="64" t="s">
        <v>498</v>
      </c>
    </row>
    <row r="2005" spans="2:4" x14ac:dyDescent="0.2">
      <c r="B2005" s="62" t="s">
        <v>270</v>
      </c>
      <c r="C2005" s="63">
        <v>47285</v>
      </c>
      <c r="D2005" s="64" t="s">
        <v>499</v>
      </c>
    </row>
    <row r="2006" spans="2:4" x14ac:dyDescent="0.2">
      <c r="B2006" s="62" t="s">
        <v>270</v>
      </c>
      <c r="C2006" s="63">
        <v>47339</v>
      </c>
      <c r="D2006" s="64" t="s">
        <v>500</v>
      </c>
    </row>
    <row r="2007" spans="2:4" x14ac:dyDescent="0.2">
      <c r="B2007" s="62" t="s">
        <v>270</v>
      </c>
      <c r="C2007" s="63">
        <v>47385</v>
      </c>
      <c r="D2007" s="64" t="s">
        <v>501</v>
      </c>
    </row>
    <row r="2008" spans="2:4" x14ac:dyDescent="0.2">
      <c r="B2008" s="62" t="s">
        <v>270</v>
      </c>
      <c r="C2008" s="63">
        <v>47468</v>
      </c>
      <c r="D2008" s="64" t="s">
        <v>502</v>
      </c>
    </row>
    <row r="2009" spans="2:4" x14ac:dyDescent="0.2">
      <c r="B2009" s="62" t="s">
        <v>270</v>
      </c>
      <c r="C2009" s="63">
        <v>47469</v>
      </c>
      <c r="D2009" s="64" t="s">
        <v>508</v>
      </c>
    </row>
    <row r="2010" spans="2:4" x14ac:dyDescent="0.2">
      <c r="B2010" s="62" t="s">
        <v>270</v>
      </c>
      <c r="C2010" s="63">
        <v>47477</v>
      </c>
      <c r="D2010" s="64" t="s">
        <v>359</v>
      </c>
    </row>
    <row r="2011" spans="2:4" x14ac:dyDescent="0.2">
      <c r="B2011" s="62" t="s">
        <v>270</v>
      </c>
      <c r="C2011" s="63">
        <v>47478</v>
      </c>
      <c r="D2011" s="64" t="s">
        <v>503</v>
      </c>
    </row>
    <row r="2012" spans="2:4" x14ac:dyDescent="0.2">
      <c r="B2012" s="62" t="s">
        <v>270</v>
      </c>
      <c r="C2012" s="63">
        <v>47484</v>
      </c>
      <c r="D2012" s="64" t="s">
        <v>350</v>
      </c>
    </row>
    <row r="2013" spans="2:4" x14ac:dyDescent="0.2">
      <c r="B2013" s="62" t="s">
        <v>270</v>
      </c>
      <c r="C2013" s="63">
        <v>47563</v>
      </c>
      <c r="D2013" s="64" t="s">
        <v>494</v>
      </c>
    </row>
    <row r="2014" spans="2:4" x14ac:dyDescent="0.2">
      <c r="B2014" s="62" t="s">
        <v>270</v>
      </c>
      <c r="C2014" s="63">
        <v>47592</v>
      </c>
      <c r="D2014" s="64" t="s">
        <v>352</v>
      </c>
    </row>
    <row r="2015" spans="2:4" x14ac:dyDescent="0.2">
      <c r="B2015" s="62" t="s">
        <v>270</v>
      </c>
      <c r="C2015" s="63">
        <v>47595</v>
      </c>
      <c r="D2015" s="64" t="s">
        <v>495</v>
      </c>
    </row>
    <row r="2016" spans="2:4" x14ac:dyDescent="0.2">
      <c r="B2016" s="62" t="s">
        <v>270</v>
      </c>
      <c r="C2016" s="63">
        <v>47600</v>
      </c>
      <c r="D2016" s="64" t="s">
        <v>496</v>
      </c>
    </row>
    <row r="2017" spans="2:4" x14ac:dyDescent="0.2">
      <c r="B2017" s="62" t="s">
        <v>270</v>
      </c>
      <c r="C2017" s="63">
        <v>47604</v>
      </c>
      <c r="D2017" s="64" t="s">
        <v>498</v>
      </c>
    </row>
    <row r="2018" spans="2:4" x14ac:dyDescent="0.2">
      <c r="B2018" s="62" t="s">
        <v>270</v>
      </c>
      <c r="C2018" s="63">
        <v>47650</v>
      </c>
      <c r="D2018" s="64" t="s">
        <v>499</v>
      </c>
    </row>
    <row r="2019" spans="2:4" x14ac:dyDescent="0.2">
      <c r="B2019" s="62" t="s">
        <v>270</v>
      </c>
      <c r="C2019" s="63">
        <v>47651</v>
      </c>
      <c r="D2019" s="64" t="s">
        <v>509</v>
      </c>
    </row>
    <row r="2020" spans="2:4" x14ac:dyDescent="0.2">
      <c r="B2020" s="62" t="s">
        <v>270</v>
      </c>
      <c r="C2020" s="63">
        <v>47704</v>
      </c>
      <c r="D2020" s="64" t="s">
        <v>500</v>
      </c>
    </row>
    <row r="2021" spans="2:4" x14ac:dyDescent="0.2">
      <c r="B2021" s="62" t="s">
        <v>270</v>
      </c>
      <c r="C2021" s="63">
        <v>47750</v>
      </c>
      <c r="D2021" s="64" t="s">
        <v>501</v>
      </c>
    </row>
    <row r="2022" spans="2:4" x14ac:dyDescent="0.2">
      <c r="B2022" s="62" t="s">
        <v>270</v>
      </c>
      <c r="C2022" s="63">
        <v>47833</v>
      </c>
      <c r="D2022" s="64" t="s">
        <v>502</v>
      </c>
    </row>
    <row r="2023" spans="2:4" x14ac:dyDescent="0.2">
      <c r="B2023" s="62" t="s">
        <v>270</v>
      </c>
      <c r="C2023" s="63">
        <v>47842</v>
      </c>
      <c r="D2023" s="64" t="s">
        <v>359</v>
      </c>
    </row>
    <row r="2024" spans="2:4" x14ac:dyDescent="0.2">
      <c r="B2024" s="62" t="s">
        <v>270</v>
      </c>
      <c r="C2024" s="63">
        <v>47843</v>
      </c>
      <c r="D2024" s="64" t="s">
        <v>503</v>
      </c>
    </row>
    <row r="2025" spans="2:4" x14ac:dyDescent="0.2">
      <c r="B2025" s="62" t="s">
        <v>271</v>
      </c>
      <c r="C2025" s="63">
        <v>45658</v>
      </c>
      <c r="D2025" s="64" t="s">
        <v>350</v>
      </c>
    </row>
    <row r="2026" spans="2:4" x14ac:dyDescent="0.2">
      <c r="B2026" s="62" t="s">
        <v>271</v>
      </c>
      <c r="C2026" s="63">
        <v>45663</v>
      </c>
      <c r="D2026" s="64" t="s">
        <v>510</v>
      </c>
    </row>
    <row r="2027" spans="2:4" x14ac:dyDescent="0.2">
      <c r="B2027" s="62" t="s">
        <v>271</v>
      </c>
      <c r="C2027" s="63">
        <v>45767</v>
      </c>
      <c r="D2027" s="64" t="s">
        <v>354</v>
      </c>
    </row>
    <row r="2028" spans="2:4" x14ac:dyDescent="0.2">
      <c r="B2028" s="62" t="s">
        <v>271</v>
      </c>
      <c r="C2028" s="63">
        <v>45768</v>
      </c>
      <c r="D2028" s="64" t="s">
        <v>355</v>
      </c>
    </row>
    <row r="2029" spans="2:4" x14ac:dyDescent="0.2">
      <c r="B2029" s="62" t="s">
        <v>271</v>
      </c>
      <c r="C2029" s="63">
        <v>45778</v>
      </c>
      <c r="D2029" s="64" t="s">
        <v>488</v>
      </c>
    </row>
    <row r="2030" spans="2:4" x14ac:dyDescent="0.2">
      <c r="B2030" s="62" t="s">
        <v>271</v>
      </c>
      <c r="C2030" s="63">
        <v>45780</v>
      </c>
      <c r="D2030" s="64" t="s">
        <v>511</v>
      </c>
    </row>
    <row r="2031" spans="2:4" x14ac:dyDescent="0.2">
      <c r="B2031" s="62" t="s">
        <v>271</v>
      </c>
      <c r="C2031" s="63">
        <v>45816</v>
      </c>
      <c r="D2031" s="64" t="s">
        <v>512</v>
      </c>
    </row>
    <row r="2032" spans="2:4" x14ac:dyDescent="0.2">
      <c r="B2032" s="62" t="s">
        <v>271</v>
      </c>
      <c r="C2032" s="63">
        <v>45827</v>
      </c>
      <c r="D2032" s="64" t="s">
        <v>513</v>
      </c>
    </row>
    <row r="2033" spans="2:4" x14ac:dyDescent="0.2">
      <c r="B2033" s="62" t="s">
        <v>271</v>
      </c>
      <c r="C2033" s="63">
        <v>45884</v>
      </c>
      <c r="D2033" s="64" t="s">
        <v>514</v>
      </c>
    </row>
    <row r="2034" spans="2:4" x14ac:dyDescent="0.2">
      <c r="B2034" s="62" t="s">
        <v>271</v>
      </c>
      <c r="C2034" s="63">
        <v>45962</v>
      </c>
      <c r="D2034" s="64" t="s">
        <v>435</v>
      </c>
    </row>
    <row r="2035" spans="2:4" x14ac:dyDescent="0.2">
      <c r="B2035" s="62" t="s">
        <v>271</v>
      </c>
      <c r="C2035" s="63">
        <v>45972</v>
      </c>
      <c r="D2035" s="64" t="s">
        <v>515</v>
      </c>
    </row>
    <row r="2036" spans="2:4" x14ac:dyDescent="0.2">
      <c r="B2036" s="62" t="s">
        <v>271</v>
      </c>
      <c r="C2036" s="63">
        <v>46015</v>
      </c>
      <c r="D2036" s="64" t="s">
        <v>417</v>
      </c>
    </row>
    <row r="2037" spans="2:4" x14ac:dyDescent="0.2">
      <c r="B2037" s="62" t="s">
        <v>271</v>
      </c>
      <c r="C2037" s="63">
        <v>46016</v>
      </c>
      <c r="D2037" s="64" t="s">
        <v>359</v>
      </c>
    </row>
    <row r="2038" spans="2:4" x14ac:dyDescent="0.2">
      <c r="B2038" s="62" t="s">
        <v>271</v>
      </c>
      <c r="C2038" s="63">
        <v>46017</v>
      </c>
      <c r="D2038" s="64" t="s">
        <v>516</v>
      </c>
    </row>
    <row r="2039" spans="2:4" x14ac:dyDescent="0.2">
      <c r="B2039" s="62" t="s">
        <v>271</v>
      </c>
      <c r="C2039" s="63">
        <v>46023</v>
      </c>
      <c r="D2039" s="64" t="s">
        <v>350</v>
      </c>
    </row>
    <row r="2040" spans="2:4" x14ac:dyDescent="0.2">
      <c r="B2040" s="62" t="s">
        <v>271</v>
      </c>
      <c r="C2040" s="63">
        <v>46028</v>
      </c>
      <c r="D2040" s="64" t="s">
        <v>510</v>
      </c>
    </row>
    <row r="2041" spans="2:4" x14ac:dyDescent="0.2">
      <c r="B2041" s="62" t="s">
        <v>271</v>
      </c>
      <c r="C2041" s="63">
        <v>46117</v>
      </c>
      <c r="D2041" s="64" t="s">
        <v>354</v>
      </c>
    </row>
    <row r="2042" spans="2:4" x14ac:dyDescent="0.2">
      <c r="B2042" s="62" t="s">
        <v>271</v>
      </c>
      <c r="C2042" s="63">
        <v>46118</v>
      </c>
      <c r="D2042" s="64" t="s">
        <v>355</v>
      </c>
    </row>
    <row r="2043" spans="2:4" x14ac:dyDescent="0.2">
      <c r="B2043" s="62" t="s">
        <v>271</v>
      </c>
      <c r="C2043" s="63">
        <v>46143</v>
      </c>
      <c r="D2043" s="64" t="s">
        <v>488</v>
      </c>
    </row>
    <row r="2044" spans="2:4" x14ac:dyDescent="0.2">
      <c r="B2044" s="62" t="s">
        <v>271</v>
      </c>
      <c r="C2044" s="63">
        <v>46145</v>
      </c>
      <c r="D2044" s="64" t="s">
        <v>511</v>
      </c>
    </row>
    <row r="2045" spans="2:4" x14ac:dyDescent="0.2">
      <c r="B2045" s="62" t="s">
        <v>271</v>
      </c>
      <c r="C2045" s="63">
        <v>46166</v>
      </c>
      <c r="D2045" s="64" t="s">
        <v>512</v>
      </c>
    </row>
    <row r="2046" spans="2:4" x14ac:dyDescent="0.2">
      <c r="B2046" s="62" t="s">
        <v>271</v>
      </c>
      <c r="C2046" s="63">
        <v>46177</v>
      </c>
      <c r="D2046" s="64" t="s">
        <v>513</v>
      </c>
    </row>
    <row r="2047" spans="2:4" x14ac:dyDescent="0.2">
      <c r="B2047" s="62" t="s">
        <v>271</v>
      </c>
      <c r="C2047" s="63">
        <v>46249</v>
      </c>
      <c r="D2047" s="64" t="s">
        <v>514</v>
      </c>
    </row>
    <row r="2048" spans="2:4" x14ac:dyDescent="0.2">
      <c r="B2048" s="62" t="s">
        <v>271</v>
      </c>
      <c r="C2048" s="63">
        <v>46327</v>
      </c>
      <c r="D2048" s="64" t="s">
        <v>435</v>
      </c>
    </row>
    <row r="2049" spans="2:4" x14ac:dyDescent="0.2">
      <c r="B2049" s="62" t="s">
        <v>271</v>
      </c>
      <c r="C2049" s="63">
        <v>46337</v>
      </c>
      <c r="D2049" s="64" t="s">
        <v>515</v>
      </c>
    </row>
    <row r="2050" spans="2:4" x14ac:dyDescent="0.2">
      <c r="B2050" s="62" t="s">
        <v>271</v>
      </c>
      <c r="C2050" s="63">
        <v>46380</v>
      </c>
      <c r="D2050" s="64" t="s">
        <v>417</v>
      </c>
    </row>
    <row r="2051" spans="2:4" x14ac:dyDescent="0.2">
      <c r="B2051" s="62" t="s">
        <v>271</v>
      </c>
      <c r="C2051" s="63">
        <v>46381</v>
      </c>
      <c r="D2051" s="64" t="s">
        <v>359</v>
      </c>
    </row>
    <row r="2052" spans="2:4" x14ac:dyDescent="0.2">
      <c r="B2052" s="62" t="s">
        <v>271</v>
      </c>
      <c r="C2052" s="63">
        <v>46382</v>
      </c>
      <c r="D2052" s="64" t="s">
        <v>516</v>
      </c>
    </row>
    <row r="2053" spans="2:4" x14ac:dyDescent="0.2">
      <c r="B2053" s="62" t="s">
        <v>271</v>
      </c>
      <c r="C2053" s="63">
        <v>46388</v>
      </c>
      <c r="D2053" s="64" t="s">
        <v>350</v>
      </c>
    </row>
    <row r="2054" spans="2:4" x14ac:dyDescent="0.2">
      <c r="B2054" s="62" t="s">
        <v>271</v>
      </c>
      <c r="C2054" s="63">
        <v>46393</v>
      </c>
      <c r="D2054" s="64" t="s">
        <v>510</v>
      </c>
    </row>
    <row r="2055" spans="2:4" x14ac:dyDescent="0.2">
      <c r="B2055" s="62" t="s">
        <v>271</v>
      </c>
      <c r="C2055" s="63">
        <v>46474</v>
      </c>
      <c r="D2055" s="64" t="s">
        <v>354</v>
      </c>
    </row>
    <row r="2056" spans="2:4" x14ac:dyDescent="0.2">
      <c r="B2056" s="62" t="s">
        <v>271</v>
      </c>
      <c r="C2056" s="63">
        <v>46475</v>
      </c>
      <c r="D2056" s="64" t="s">
        <v>355</v>
      </c>
    </row>
    <row r="2057" spans="2:4" x14ac:dyDescent="0.2">
      <c r="B2057" s="62" t="s">
        <v>271</v>
      </c>
      <c r="C2057" s="63">
        <v>46508</v>
      </c>
      <c r="D2057" s="64" t="s">
        <v>488</v>
      </c>
    </row>
    <row r="2058" spans="2:4" x14ac:dyDescent="0.2">
      <c r="B2058" s="62" t="s">
        <v>271</v>
      </c>
      <c r="C2058" s="63">
        <v>46510</v>
      </c>
      <c r="D2058" s="64" t="s">
        <v>511</v>
      </c>
    </row>
    <row r="2059" spans="2:4" x14ac:dyDescent="0.2">
      <c r="B2059" s="62" t="s">
        <v>271</v>
      </c>
      <c r="C2059" s="63">
        <v>46523</v>
      </c>
      <c r="D2059" s="64" t="s">
        <v>512</v>
      </c>
    </row>
    <row r="2060" spans="2:4" x14ac:dyDescent="0.2">
      <c r="B2060" s="62" t="s">
        <v>271</v>
      </c>
      <c r="C2060" s="63">
        <v>46534</v>
      </c>
      <c r="D2060" s="64" t="s">
        <v>513</v>
      </c>
    </row>
    <row r="2061" spans="2:4" x14ac:dyDescent="0.2">
      <c r="B2061" s="62" t="s">
        <v>271</v>
      </c>
      <c r="C2061" s="63">
        <v>46614</v>
      </c>
      <c r="D2061" s="64" t="s">
        <v>514</v>
      </c>
    </row>
    <row r="2062" spans="2:4" x14ac:dyDescent="0.2">
      <c r="B2062" s="62" t="s">
        <v>271</v>
      </c>
      <c r="C2062" s="63">
        <v>46692</v>
      </c>
      <c r="D2062" s="64" t="s">
        <v>435</v>
      </c>
    </row>
    <row r="2063" spans="2:4" x14ac:dyDescent="0.2">
      <c r="B2063" s="62" t="s">
        <v>271</v>
      </c>
      <c r="C2063" s="63">
        <v>46702</v>
      </c>
      <c r="D2063" s="64" t="s">
        <v>515</v>
      </c>
    </row>
    <row r="2064" spans="2:4" x14ac:dyDescent="0.2">
      <c r="B2064" s="62" t="s">
        <v>271</v>
      </c>
      <c r="C2064" s="63">
        <v>46745</v>
      </c>
      <c r="D2064" s="64" t="s">
        <v>417</v>
      </c>
    </row>
    <row r="2065" spans="2:4" x14ac:dyDescent="0.2">
      <c r="B2065" s="62" t="s">
        <v>271</v>
      </c>
      <c r="C2065" s="63">
        <v>46746</v>
      </c>
      <c r="D2065" s="64" t="s">
        <v>359</v>
      </c>
    </row>
    <row r="2066" spans="2:4" x14ac:dyDescent="0.2">
      <c r="B2066" s="62" t="s">
        <v>271</v>
      </c>
      <c r="C2066" s="63">
        <v>46747</v>
      </c>
      <c r="D2066" s="64" t="s">
        <v>516</v>
      </c>
    </row>
    <row r="2067" spans="2:4" x14ac:dyDescent="0.2">
      <c r="B2067" s="62" t="s">
        <v>271</v>
      </c>
      <c r="C2067" s="63">
        <v>46753</v>
      </c>
      <c r="D2067" s="64" t="s">
        <v>350</v>
      </c>
    </row>
    <row r="2068" spans="2:4" x14ac:dyDescent="0.2">
      <c r="B2068" s="62" t="s">
        <v>271</v>
      </c>
      <c r="C2068" s="63">
        <v>46758</v>
      </c>
      <c r="D2068" s="64" t="s">
        <v>510</v>
      </c>
    </row>
    <row r="2069" spans="2:4" x14ac:dyDescent="0.2">
      <c r="B2069" s="62" t="s">
        <v>271</v>
      </c>
      <c r="C2069" s="63">
        <v>46859</v>
      </c>
      <c r="D2069" s="64" t="s">
        <v>354</v>
      </c>
    </row>
    <row r="2070" spans="2:4" x14ac:dyDescent="0.2">
      <c r="B2070" s="62" t="s">
        <v>271</v>
      </c>
      <c r="C2070" s="63">
        <v>46860</v>
      </c>
      <c r="D2070" s="64" t="s">
        <v>355</v>
      </c>
    </row>
    <row r="2071" spans="2:4" x14ac:dyDescent="0.2">
      <c r="B2071" s="62" t="s">
        <v>271</v>
      </c>
      <c r="C2071" s="63">
        <v>46874</v>
      </c>
      <c r="D2071" s="64" t="s">
        <v>488</v>
      </c>
    </row>
    <row r="2072" spans="2:4" x14ac:dyDescent="0.2">
      <c r="B2072" s="62" t="s">
        <v>271</v>
      </c>
      <c r="C2072" s="63">
        <v>46876</v>
      </c>
      <c r="D2072" s="64" t="s">
        <v>511</v>
      </c>
    </row>
    <row r="2073" spans="2:4" x14ac:dyDescent="0.2">
      <c r="B2073" s="62" t="s">
        <v>271</v>
      </c>
      <c r="C2073" s="63">
        <v>46908</v>
      </c>
      <c r="D2073" s="64" t="s">
        <v>512</v>
      </c>
    </row>
    <row r="2074" spans="2:4" x14ac:dyDescent="0.2">
      <c r="B2074" s="62" t="s">
        <v>271</v>
      </c>
      <c r="C2074" s="63">
        <v>46919</v>
      </c>
      <c r="D2074" s="64" t="s">
        <v>513</v>
      </c>
    </row>
    <row r="2075" spans="2:4" x14ac:dyDescent="0.2">
      <c r="B2075" s="62" t="s">
        <v>271</v>
      </c>
      <c r="C2075" s="63">
        <v>46980</v>
      </c>
      <c r="D2075" s="64" t="s">
        <v>514</v>
      </c>
    </row>
    <row r="2076" spans="2:4" x14ac:dyDescent="0.2">
      <c r="B2076" s="62" t="s">
        <v>271</v>
      </c>
      <c r="C2076" s="63">
        <v>47058</v>
      </c>
      <c r="D2076" s="64" t="s">
        <v>435</v>
      </c>
    </row>
    <row r="2077" spans="2:4" x14ac:dyDescent="0.2">
      <c r="B2077" s="62" t="s">
        <v>271</v>
      </c>
      <c r="C2077" s="63">
        <v>47068</v>
      </c>
      <c r="D2077" s="64" t="s">
        <v>515</v>
      </c>
    </row>
    <row r="2078" spans="2:4" x14ac:dyDescent="0.2">
      <c r="B2078" s="62" t="s">
        <v>271</v>
      </c>
      <c r="C2078" s="63">
        <v>47111</v>
      </c>
      <c r="D2078" s="64" t="s">
        <v>417</v>
      </c>
    </row>
    <row r="2079" spans="2:4" x14ac:dyDescent="0.2">
      <c r="B2079" s="62" t="s">
        <v>271</v>
      </c>
      <c r="C2079" s="63">
        <v>47112</v>
      </c>
      <c r="D2079" s="64" t="s">
        <v>359</v>
      </c>
    </row>
    <row r="2080" spans="2:4" x14ac:dyDescent="0.2">
      <c r="B2080" s="62" t="s">
        <v>271</v>
      </c>
      <c r="C2080" s="63">
        <v>47113</v>
      </c>
      <c r="D2080" s="64" t="s">
        <v>516</v>
      </c>
    </row>
    <row r="2081" spans="2:4" x14ac:dyDescent="0.2">
      <c r="B2081" s="62" t="s">
        <v>271</v>
      </c>
      <c r="C2081" s="63">
        <v>47119</v>
      </c>
      <c r="D2081" s="64" t="s">
        <v>350</v>
      </c>
    </row>
    <row r="2082" spans="2:4" x14ac:dyDescent="0.2">
      <c r="B2082" s="62" t="s">
        <v>271</v>
      </c>
      <c r="C2082" s="63">
        <v>47124</v>
      </c>
      <c r="D2082" s="64" t="s">
        <v>510</v>
      </c>
    </row>
    <row r="2083" spans="2:4" x14ac:dyDescent="0.2">
      <c r="B2083" s="62" t="s">
        <v>271</v>
      </c>
      <c r="C2083" s="63">
        <v>47209</v>
      </c>
      <c r="D2083" s="64" t="s">
        <v>354</v>
      </c>
    </row>
    <row r="2084" spans="2:4" x14ac:dyDescent="0.2">
      <c r="B2084" s="62" t="s">
        <v>271</v>
      </c>
      <c r="C2084" s="63">
        <v>47210</v>
      </c>
      <c r="D2084" s="64" t="s">
        <v>355</v>
      </c>
    </row>
    <row r="2085" spans="2:4" x14ac:dyDescent="0.2">
      <c r="B2085" s="62" t="s">
        <v>271</v>
      </c>
      <c r="C2085" s="63">
        <v>47239</v>
      </c>
      <c r="D2085" s="64" t="s">
        <v>488</v>
      </c>
    </row>
    <row r="2086" spans="2:4" x14ac:dyDescent="0.2">
      <c r="B2086" s="62" t="s">
        <v>271</v>
      </c>
      <c r="C2086" s="63">
        <v>47241</v>
      </c>
      <c r="D2086" s="64" t="s">
        <v>511</v>
      </c>
    </row>
    <row r="2087" spans="2:4" x14ac:dyDescent="0.2">
      <c r="B2087" s="62" t="s">
        <v>271</v>
      </c>
      <c r="C2087" s="63">
        <v>47258</v>
      </c>
      <c r="D2087" s="64" t="s">
        <v>512</v>
      </c>
    </row>
    <row r="2088" spans="2:4" x14ac:dyDescent="0.2">
      <c r="B2088" s="62" t="s">
        <v>271</v>
      </c>
      <c r="C2088" s="63">
        <v>47269</v>
      </c>
      <c r="D2088" s="64" t="s">
        <v>513</v>
      </c>
    </row>
    <row r="2089" spans="2:4" x14ac:dyDescent="0.2">
      <c r="B2089" s="62" t="s">
        <v>271</v>
      </c>
      <c r="C2089" s="63">
        <v>47345</v>
      </c>
      <c r="D2089" s="64" t="s">
        <v>514</v>
      </c>
    </row>
    <row r="2090" spans="2:4" x14ac:dyDescent="0.2">
      <c r="B2090" s="62" t="s">
        <v>271</v>
      </c>
      <c r="C2090" s="63">
        <v>47423</v>
      </c>
      <c r="D2090" s="64" t="s">
        <v>435</v>
      </c>
    </row>
    <row r="2091" spans="2:4" x14ac:dyDescent="0.2">
      <c r="B2091" s="62" t="s">
        <v>271</v>
      </c>
      <c r="C2091" s="63">
        <v>47433</v>
      </c>
      <c r="D2091" s="64" t="s">
        <v>515</v>
      </c>
    </row>
    <row r="2092" spans="2:4" x14ac:dyDescent="0.2">
      <c r="B2092" s="62" t="s">
        <v>271</v>
      </c>
      <c r="C2092" s="63">
        <v>47476</v>
      </c>
      <c r="D2092" s="64" t="s">
        <v>417</v>
      </c>
    </row>
    <row r="2093" spans="2:4" x14ac:dyDescent="0.2">
      <c r="B2093" s="62" t="s">
        <v>271</v>
      </c>
      <c r="C2093" s="63">
        <v>47477</v>
      </c>
      <c r="D2093" s="64" t="s">
        <v>359</v>
      </c>
    </row>
    <row r="2094" spans="2:4" x14ac:dyDescent="0.2">
      <c r="B2094" s="62" t="s">
        <v>271</v>
      </c>
      <c r="C2094" s="63">
        <v>47478</v>
      </c>
      <c r="D2094" s="64" t="s">
        <v>516</v>
      </c>
    </row>
    <row r="2095" spans="2:4" x14ac:dyDescent="0.2">
      <c r="B2095" s="62" t="s">
        <v>271</v>
      </c>
      <c r="C2095" s="63">
        <v>47484</v>
      </c>
      <c r="D2095" s="64" t="s">
        <v>350</v>
      </c>
    </row>
    <row r="2096" spans="2:4" x14ac:dyDescent="0.2">
      <c r="B2096" s="62" t="s">
        <v>271</v>
      </c>
      <c r="C2096" s="63">
        <v>47489</v>
      </c>
      <c r="D2096" s="64" t="s">
        <v>510</v>
      </c>
    </row>
    <row r="2097" spans="2:4" x14ac:dyDescent="0.2">
      <c r="B2097" s="62" t="s">
        <v>271</v>
      </c>
      <c r="C2097" s="63">
        <v>47594</v>
      </c>
      <c r="D2097" s="64" t="s">
        <v>354</v>
      </c>
    </row>
    <row r="2098" spans="2:4" x14ac:dyDescent="0.2">
      <c r="B2098" s="62" t="s">
        <v>271</v>
      </c>
      <c r="C2098" s="63">
        <v>47595</v>
      </c>
      <c r="D2098" s="64" t="s">
        <v>355</v>
      </c>
    </row>
    <row r="2099" spans="2:4" x14ac:dyDescent="0.2">
      <c r="B2099" s="62" t="s">
        <v>271</v>
      </c>
      <c r="C2099" s="63">
        <v>47604</v>
      </c>
      <c r="D2099" s="64" t="s">
        <v>488</v>
      </c>
    </row>
    <row r="2100" spans="2:4" x14ac:dyDescent="0.2">
      <c r="B2100" s="62" t="s">
        <v>271</v>
      </c>
      <c r="C2100" s="63">
        <v>47606</v>
      </c>
      <c r="D2100" s="64" t="s">
        <v>511</v>
      </c>
    </row>
    <row r="2101" spans="2:4" x14ac:dyDescent="0.2">
      <c r="B2101" s="62" t="s">
        <v>271</v>
      </c>
      <c r="C2101" s="63">
        <v>47643</v>
      </c>
      <c r="D2101" s="64" t="s">
        <v>512</v>
      </c>
    </row>
    <row r="2102" spans="2:4" x14ac:dyDescent="0.2">
      <c r="B2102" s="62" t="s">
        <v>271</v>
      </c>
      <c r="C2102" s="63">
        <v>47654</v>
      </c>
      <c r="D2102" s="64" t="s">
        <v>513</v>
      </c>
    </row>
    <row r="2103" spans="2:4" x14ac:dyDescent="0.2">
      <c r="B2103" s="62" t="s">
        <v>271</v>
      </c>
      <c r="C2103" s="63">
        <v>47710</v>
      </c>
      <c r="D2103" s="64" t="s">
        <v>514</v>
      </c>
    </row>
    <row r="2104" spans="2:4" x14ac:dyDescent="0.2">
      <c r="B2104" s="62" t="s">
        <v>271</v>
      </c>
      <c r="C2104" s="63">
        <v>47788</v>
      </c>
      <c r="D2104" s="64" t="s">
        <v>435</v>
      </c>
    </row>
    <row r="2105" spans="2:4" x14ac:dyDescent="0.2">
      <c r="B2105" s="62" t="s">
        <v>271</v>
      </c>
      <c r="C2105" s="63">
        <v>47798</v>
      </c>
      <c r="D2105" s="64" t="s">
        <v>515</v>
      </c>
    </row>
    <row r="2106" spans="2:4" x14ac:dyDescent="0.2">
      <c r="B2106" s="62" t="s">
        <v>271</v>
      </c>
      <c r="C2106" s="63">
        <v>47841</v>
      </c>
      <c r="D2106" s="64" t="s">
        <v>417</v>
      </c>
    </row>
    <row r="2107" spans="2:4" x14ac:dyDescent="0.2">
      <c r="B2107" s="62" t="s">
        <v>271</v>
      </c>
      <c r="C2107" s="63">
        <v>47842</v>
      </c>
      <c r="D2107" s="64" t="s">
        <v>359</v>
      </c>
    </row>
    <row r="2108" spans="2:4" x14ac:dyDescent="0.2">
      <c r="B2108" s="62" t="s">
        <v>271</v>
      </c>
      <c r="C2108" s="63">
        <v>47843</v>
      </c>
      <c r="D2108" s="64" t="s">
        <v>516</v>
      </c>
    </row>
    <row r="2109" spans="2:4" x14ac:dyDescent="0.2">
      <c r="B2109" s="62" t="s">
        <v>272</v>
      </c>
      <c r="C2109" s="63">
        <v>45658</v>
      </c>
      <c r="D2109" s="64" t="s">
        <v>350</v>
      </c>
    </row>
    <row r="2110" spans="2:4" x14ac:dyDescent="0.2">
      <c r="B2110" s="62" t="s">
        <v>272</v>
      </c>
      <c r="C2110" s="63">
        <v>45765</v>
      </c>
      <c r="D2110" s="64" t="s">
        <v>352</v>
      </c>
    </row>
    <row r="2111" spans="2:4" x14ac:dyDescent="0.2">
      <c r="B2111" s="62" t="s">
        <v>272</v>
      </c>
      <c r="C2111" s="63">
        <v>45768</v>
      </c>
      <c r="D2111" s="64" t="s">
        <v>355</v>
      </c>
    </row>
    <row r="2112" spans="2:4" x14ac:dyDescent="0.2">
      <c r="B2112" s="62" t="s">
        <v>272</v>
      </c>
      <c r="C2112" s="63">
        <v>45782</v>
      </c>
      <c r="D2112" s="64" t="s">
        <v>375</v>
      </c>
    </row>
    <row r="2113" spans="2:4" x14ac:dyDescent="0.2">
      <c r="B2113" s="62" t="s">
        <v>272</v>
      </c>
      <c r="C2113" s="63">
        <v>45803</v>
      </c>
      <c r="D2113" s="64" t="s">
        <v>517</v>
      </c>
    </row>
    <row r="2114" spans="2:4" x14ac:dyDescent="0.2">
      <c r="B2114" s="62" t="s">
        <v>272</v>
      </c>
      <c r="C2114" s="63">
        <v>45894</v>
      </c>
      <c r="D2114" s="64" t="s">
        <v>518</v>
      </c>
    </row>
    <row r="2115" spans="2:4" x14ac:dyDescent="0.2">
      <c r="B2115" s="62" t="s">
        <v>272</v>
      </c>
      <c r="C2115" s="63">
        <v>46016</v>
      </c>
      <c r="D2115" s="64" t="s">
        <v>359</v>
      </c>
    </row>
    <row r="2116" spans="2:4" x14ac:dyDescent="0.2">
      <c r="B2116" s="62" t="s">
        <v>272</v>
      </c>
      <c r="C2116" s="63">
        <v>46017</v>
      </c>
      <c r="D2116" s="64" t="s">
        <v>360</v>
      </c>
    </row>
    <row r="2117" spans="2:4" x14ac:dyDescent="0.2">
      <c r="B2117" s="62" t="s">
        <v>272</v>
      </c>
      <c r="C2117" s="63">
        <v>46023</v>
      </c>
      <c r="D2117" s="64" t="s">
        <v>350</v>
      </c>
    </row>
    <row r="2118" spans="2:4" x14ac:dyDescent="0.2">
      <c r="B2118" s="62" t="s">
        <v>272</v>
      </c>
      <c r="C2118" s="63">
        <v>46115</v>
      </c>
      <c r="D2118" s="64" t="s">
        <v>352</v>
      </c>
    </row>
    <row r="2119" spans="2:4" x14ac:dyDescent="0.2">
      <c r="B2119" s="62" t="s">
        <v>272</v>
      </c>
      <c r="C2119" s="63">
        <v>46118</v>
      </c>
      <c r="D2119" s="64" t="s">
        <v>355</v>
      </c>
    </row>
    <row r="2120" spans="2:4" x14ac:dyDescent="0.2">
      <c r="B2120" s="62" t="s">
        <v>272</v>
      </c>
      <c r="C2120" s="63">
        <v>46146</v>
      </c>
      <c r="D2120" s="64" t="s">
        <v>375</v>
      </c>
    </row>
    <row r="2121" spans="2:4" x14ac:dyDescent="0.2">
      <c r="B2121" s="62" t="s">
        <v>272</v>
      </c>
      <c r="C2121" s="63">
        <v>46167</v>
      </c>
      <c r="D2121" s="64" t="s">
        <v>517</v>
      </c>
    </row>
    <row r="2122" spans="2:4" x14ac:dyDescent="0.2">
      <c r="B2122" s="62" t="s">
        <v>272</v>
      </c>
      <c r="C2122" s="63">
        <v>46265</v>
      </c>
      <c r="D2122" s="64" t="s">
        <v>518</v>
      </c>
    </row>
    <row r="2123" spans="2:4" x14ac:dyDescent="0.2">
      <c r="B2123" s="62" t="s">
        <v>272</v>
      </c>
      <c r="C2123" s="63">
        <v>46381</v>
      </c>
      <c r="D2123" s="64" t="s">
        <v>359</v>
      </c>
    </row>
    <row r="2124" spans="2:4" x14ac:dyDescent="0.2">
      <c r="B2124" s="62" t="s">
        <v>272</v>
      </c>
      <c r="C2124" s="63">
        <v>46382</v>
      </c>
      <c r="D2124" s="64" t="s">
        <v>360</v>
      </c>
    </row>
    <row r="2125" spans="2:4" x14ac:dyDescent="0.2">
      <c r="B2125" s="62" t="s">
        <v>272</v>
      </c>
      <c r="C2125" s="63">
        <v>46384</v>
      </c>
      <c r="D2125" s="64" t="s">
        <v>362</v>
      </c>
    </row>
    <row r="2126" spans="2:4" x14ac:dyDescent="0.2">
      <c r="B2126" s="62" t="s">
        <v>272</v>
      </c>
      <c r="C2126" s="63">
        <v>46388</v>
      </c>
      <c r="D2126" s="64" t="s">
        <v>350</v>
      </c>
    </row>
    <row r="2127" spans="2:4" x14ac:dyDescent="0.2">
      <c r="B2127" s="62" t="s">
        <v>272</v>
      </c>
      <c r="C2127" s="63">
        <v>46472</v>
      </c>
      <c r="D2127" s="64" t="s">
        <v>352</v>
      </c>
    </row>
    <row r="2128" spans="2:4" x14ac:dyDescent="0.2">
      <c r="B2128" s="62" t="s">
        <v>272</v>
      </c>
      <c r="C2128" s="63">
        <v>46475</v>
      </c>
      <c r="D2128" s="64" t="s">
        <v>355</v>
      </c>
    </row>
    <row r="2129" spans="2:4" x14ac:dyDescent="0.2">
      <c r="B2129" s="62" t="s">
        <v>272</v>
      </c>
      <c r="C2129" s="63">
        <v>46510</v>
      </c>
      <c r="D2129" s="64" t="s">
        <v>375</v>
      </c>
    </row>
    <row r="2130" spans="2:4" x14ac:dyDescent="0.2">
      <c r="B2130" s="62" t="s">
        <v>272</v>
      </c>
      <c r="C2130" s="63">
        <v>46538</v>
      </c>
      <c r="D2130" s="64" t="s">
        <v>517</v>
      </c>
    </row>
    <row r="2131" spans="2:4" x14ac:dyDescent="0.2">
      <c r="B2131" s="62" t="s">
        <v>272</v>
      </c>
      <c r="C2131" s="63">
        <v>46629</v>
      </c>
      <c r="D2131" s="64" t="s">
        <v>518</v>
      </c>
    </row>
    <row r="2132" spans="2:4" x14ac:dyDescent="0.2">
      <c r="B2132" s="62" t="s">
        <v>272</v>
      </c>
      <c r="C2132" s="63">
        <v>46746</v>
      </c>
      <c r="D2132" s="64" t="s">
        <v>359</v>
      </c>
    </row>
    <row r="2133" spans="2:4" x14ac:dyDescent="0.2">
      <c r="B2133" s="62" t="s">
        <v>272</v>
      </c>
      <c r="C2133" s="63">
        <v>46747</v>
      </c>
      <c r="D2133" s="64" t="s">
        <v>360</v>
      </c>
    </row>
    <row r="2134" spans="2:4" x14ac:dyDescent="0.2">
      <c r="B2134" s="62" t="s">
        <v>272</v>
      </c>
      <c r="C2134" s="63">
        <v>46748</v>
      </c>
      <c r="D2134" s="64" t="s">
        <v>363</v>
      </c>
    </row>
    <row r="2135" spans="2:4" x14ac:dyDescent="0.2">
      <c r="B2135" s="62" t="s">
        <v>272</v>
      </c>
      <c r="C2135" s="63">
        <v>46749</v>
      </c>
      <c r="D2135" s="64" t="s">
        <v>362</v>
      </c>
    </row>
    <row r="2136" spans="2:4" x14ac:dyDescent="0.2">
      <c r="B2136" s="62" t="s">
        <v>272</v>
      </c>
      <c r="C2136" s="63">
        <v>46753</v>
      </c>
      <c r="D2136" s="64" t="s">
        <v>350</v>
      </c>
    </row>
    <row r="2137" spans="2:4" x14ac:dyDescent="0.2">
      <c r="B2137" s="62" t="s">
        <v>272</v>
      </c>
      <c r="C2137" s="63">
        <v>46755</v>
      </c>
      <c r="D2137" s="64" t="s">
        <v>364</v>
      </c>
    </row>
    <row r="2138" spans="2:4" x14ac:dyDescent="0.2">
      <c r="B2138" s="62" t="s">
        <v>272</v>
      </c>
      <c r="C2138" s="63">
        <v>46857</v>
      </c>
      <c r="D2138" s="64" t="s">
        <v>352</v>
      </c>
    </row>
    <row r="2139" spans="2:4" x14ac:dyDescent="0.2">
      <c r="B2139" s="62" t="s">
        <v>272</v>
      </c>
      <c r="C2139" s="63">
        <v>46860</v>
      </c>
      <c r="D2139" s="64" t="s">
        <v>355</v>
      </c>
    </row>
    <row r="2140" spans="2:4" x14ac:dyDescent="0.2">
      <c r="B2140" s="62" t="s">
        <v>272</v>
      </c>
      <c r="C2140" s="63">
        <v>46874</v>
      </c>
      <c r="D2140" s="64" t="s">
        <v>375</v>
      </c>
    </row>
    <row r="2141" spans="2:4" x14ac:dyDescent="0.2">
      <c r="B2141" s="62" t="s">
        <v>272</v>
      </c>
      <c r="C2141" s="63">
        <v>46902</v>
      </c>
      <c r="D2141" s="64" t="s">
        <v>517</v>
      </c>
    </row>
    <row r="2142" spans="2:4" x14ac:dyDescent="0.2">
      <c r="B2142" s="62" t="s">
        <v>272</v>
      </c>
      <c r="C2142" s="63">
        <v>46993</v>
      </c>
      <c r="D2142" s="64" t="s">
        <v>518</v>
      </c>
    </row>
    <row r="2143" spans="2:4" x14ac:dyDescent="0.2">
      <c r="B2143" s="62" t="s">
        <v>272</v>
      </c>
      <c r="C2143" s="63">
        <v>47112</v>
      </c>
      <c r="D2143" s="64" t="s">
        <v>359</v>
      </c>
    </row>
    <row r="2144" spans="2:4" x14ac:dyDescent="0.2">
      <c r="B2144" s="62" t="s">
        <v>272</v>
      </c>
      <c r="C2144" s="63">
        <v>47113</v>
      </c>
      <c r="D2144" s="64" t="s">
        <v>360</v>
      </c>
    </row>
    <row r="2145" spans="2:4" x14ac:dyDescent="0.2">
      <c r="B2145" s="62" t="s">
        <v>272</v>
      </c>
      <c r="C2145" s="63">
        <v>47119</v>
      </c>
      <c r="D2145" s="64" t="s">
        <v>350</v>
      </c>
    </row>
    <row r="2146" spans="2:4" x14ac:dyDescent="0.2">
      <c r="B2146" s="62" t="s">
        <v>272</v>
      </c>
      <c r="C2146" s="63">
        <v>47207</v>
      </c>
      <c r="D2146" s="64" t="s">
        <v>352</v>
      </c>
    </row>
    <row r="2147" spans="2:4" x14ac:dyDescent="0.2">
      <c r="B2147" s="62" t="s">
        <v>272</v>
      </c>
      <c r="C2147" s="63">
        <v>47210</v>
      </c>
      <c r="D2147" s="64" t="s">
        <v>355</v>
      </c>
    </row>
    <row r="2148" spans="2:4" x14ac:dyDescent="0.2">
      <c r="B2148" s="62" t="s">
        <v>272</v>
      </c>
      <c r="C2148" s="63">
        <v>47245</v>
      </c>
      <c r="D2148" s="64" t="s">
        <v>375</v>
      </c>
    </row>
    <row r="2149" spans="2:4" x14ac:dyDescent="0.2">
      <c r="B2149" s="62" t="s">
        <v>272</v>
      </c>
      <c r="C2149" s="63">
        <v>47266</v>
      </c>
      <c r="D2149" s="64" t="s">
        <v>517</v>
      </c>
    </row>
    <row r="2150" spans="2:4" x14ac:dyDescent="0.2">
      <c r="B2150" s="62" t="s">
        <v>272</v>
      </c>
      <c r="C2150" s="63">
        <v>47357</v>
      </c>
      <c r="D2150" s="64" t="s">
        <v>518</v>
      </c>
    </row>
    <row r="2151" spans="2:4" x14ac:dyDescent="0.2">
      <c r="B2151" s="62" t="s">
        <v>272</v>
      </c>
      <c r="C2151" s="63">
        <v>47477</v>
      </c>
      <c r="D2151" s="64" t="s">
        <v>359</v>
      </c>
    </row>
    <row r="2152" spans="2:4" x14ac:dyDescent="0.2">
      <c r="B2152" s="62" t="s">
        <v>272</v>
      </c>
      <c r="C2152" s="63">
        <v>47478</v>
      </c>
      <c r="D2152" s="64" t="s">
        <v>360</v>
      </c>
    </row>
    <row r="2153" spans="2:4" x14ac:dyDescent="0.2">
      <c r="B2153" s="62" t="s">
        <v>272</v>
      </c>
      <c r="C2153" s="63">
        <v>47484</v>
      </c>
      <c r="D2153" s="64" t="s">
        <v>350</v>
      </c>
    </row>
    <row r="2154" spans="2:4" x14ac:dyDescent="0.2">
      <c r="B2154" s="62" t="s">
        <v>272</v>
      </c>
      <c r="C2154" s="63">
        <v>47592</v>
      </c>
      <c r="D2154" s="64" t="s">
        <v>352</v>
      </c>
    </row>
    <row r="2155" spans="2:4" x14ac:dyDescent="0.2">
      <c r="B2155" s="62" t="s">
        <v>272</v>
      </c>
      <c r="C2155" s="63">
        <v>47595</v>
      </c>
      <c r="D2155" s="64" t="s">
        <v>355</v>
      </c>
    </row>
    <row r="2156" spans="2:4" x14ac:dyDescent="0.2">
      <c r="B2156" s="62" t="s">
        <v>272</v>
      </c>
      <c r="C2156" s="63">
        <v>47609</v>
      </c>
      <c r="D2156" s="64" t="s">
        <v>375</v>
      </c>
    </row>
    <row r="2157" spans="2:4" x14ac:dyDescent="0.2">
      <c r="B2157" s="62" t="s">
        <v>272</v>
      </c>
      <c r="C2157" s="63">
        <v>47630</v>
      </c>
      <c r="D2157" s="64" t="s">
        <v>517</v>
      </c>
    </row>
    <row r="2158" spans="2:4" x14ac:dyDescent="0.2">
      <c r="B2158" s="62" t="s">
        <v>272</v>
      </c>
      <c r="C2158" s="63">
        <v>47721</v>
      </c>
      <c r="D2158" s="64" t="s">
        <v>518</v>
      </c>
    </row>
    <row r="2159" spans="2:4" x14ac:dyDescent="0.2">
      <c r="B2159" s="62" t="s">
        <v>272</v>
      </c>
      <c r="C2159" s="63">
        <v>47842</v>
      </c>
      <c r="D2159" s="64" t="s">
        <v>359</v>
      </c>
    </row>
    <row r="2160" spans="2:4" x14ac:dyDescent="0.2">
      <c r="B2160" s="62" t="s">
        <v>272</v>
      </c>
      <c r="C2160" s="63">
        <v>47843</v>
      </c>
      <c r="D2160" s="64" t="s">
        <v>360</v>
      </c>
    </row>
    <row r="2161" spans="2:4" x14ac:dyDescent="0.2">
      <c r="B2161" s="62" t="s">
        <v>273</v>
      </c>
      <c r="C2161" s="63">
        <v>45658</v>
      </c>
      <c r="D2161" s="64" t="s">
        <v>350</v>
      </c>
    </row>
    <row r="2162" spans="2:4" x14ac:dyDescent="0.2">
      <c r="B2162" s="62" t="s">
        <v>273</v>
      </c>
      <c r="C2162" s="63">
        <v>45705</v>
      </c>
      <c r="D2162" s="64" t="s">
        <v>495</v>
      </c>
    </row>
    <row r="2163" spans="2:4" x14ac:dyDescent="0.2">
      <c r="B2163" s="62" t="s">
        <v>273</v>
      </c>
      <c r="C2163" s="63">
        <v>45765</v>
      </c>
      <c r="D2163" s="64" t="s">
        <v>352</v>
      </c>
    </row>
    <row r="2164" spans="2:4" x14ac:dyDescent="0.2">
      <c r="B2164" s="62" t="s">
        <v>273</v>
      </c>
      <c r="C2164" s="63">
        <v>45796</v>
      </c>
      <c r="D2164" s="64" t="s">
        <v>519</v>
      </c>
    </row>
    <row r="2165" spans="2:4" x14ac:dyDescent="0.2">
      <c r="B2165" s="62" t="s">
        <v>273</v>
      </c>
      <c r="C2165" s="63">
        <v>45839</v>
      </c>
      <c r="D2165" s="64" t="s">
        <v>520</v>
      </c>
    </row>
    <row r="2166" spans="2:4" x14ac:dyDescent="0.2">
      <c r="B2166" s="62" t="s">
        <v>273</v>
      </c>
      <c r="C2166" s="63">
        <v>45901</v>
      </c>
      <c r="D2166" s="64" t="s">
        <v>358</v>
      </c>
    </row>
    <row r="2167" spans="2:4" x14ac:dyDescent="0.2">
      <c r="B2167" s="62" t="s">
        <v>273</v>
      </c>
      <c r="C2167" s="63">
        <v>45943</v>
      </c>
      <c r="D2167" s="64" t="s">
        <v>396</v>
      </c>
    </row>
    <row r="2168" spans="2:4" x14ac:dyDescent="0.2">
      <c r="B2168" s="62" t="s">
        <v>273</v>
      </c>
      <c r="C2168" s="63">
        <v>46016</v>
      </c>
      <c r="D2168" s="64" t="s">
        <v>359</v>
      </c>
    </row>
    <row r="2169" spans="2:4" x14ac:dyDescent="0.2">
      <c r="B2169" s="62" t="s">
        <v>273</v>
      </c>
      <c r="C2169" s="63">
        <v>46017</v>
      </c>
      <c r="D2169" s="64" t="s">
        <v>360</v>
      </c>
    </row>
    <row r="2170" spans="2:4" x14ac:dyDescent="0.2">
      <c r="B2170" s="62" t="s">
        <v>273</v>
      </c>
      <c r="C2170" s="63">
        <v>46023</v>
      </c>
      <c r="D2170" s="64" t="s">
        <v>350</v>
      </c>
    </row>
    <row r="2171" spans="2:4" x14ac:dyDescent="0.2">
      <c r="B2171" s="62" t="s">
        <v>273</v>
      </c>
      <c r="C2171" s="63">
        <v>46069</v>
      </c>
      <c r="D2171" s="64" t="s">
        <v>495</v>
      </c>
    </row>
    <row r="2172" spans="2:4" x14ac:dyDescent="0.2">
      <c r="B2172" s="62" t="s">
        <v>273</v>
      </c>
      <c r="C2172" s="63">
        <v>46115</v>
      </c>
      <c r="D2172" s="64" t="s">
        <v>352</v>
      </c>
    </row>
    <row r="2173" spans="2:4" x14ac:dyDescent="0.2">
      <c r="B2173" s="62" t="s">
        <v>273</v>
      </c>
      <c r="C2173" s="63">
        <v>46160</v>
      </c>
      <c r="D2173" s="64" t="s">
        <v>519</v>
      </c>
    </row>
    <row r="2174" spans="2:4" x14ac:dyDescent="0.2">
      <c r="B2174" s="62" t="s">
        <v>273</v>
      </c>
      <c r="C2174" s="63">
        <v>46204</v>
      </c>
      <c r="D2174" s="64" t="s">
        <v>520</v>
      </c>
    </row>
    <row r="2175" spans="2:4" x14ac:dyDescent="0.2">
      <c r="B2175" s="62" t="s">
        <v>273</v>
      </c>
      <c r="C2175" s="63">
        <v>46272</v>
      </c>
      <c r="D2175" s="64" t="s">
        <v>358</v>
      </c>
    </row>
    <row r="2176" spans="2:4" x14ac:dyDescent="0.2">
      <c r="B2176" s="62" t="s">
        <v>273</v>
      </c>
      <c r="C2176" s="63">
        <v>46307</v>
      </c>
      <c r="D2176" s="64" t="s">
        <v>396</v>
      </c>
    </row>
    <row r="2177" spans="2:4" x14ac:dyDescent="0.2">
      <c r="B2177" s="62" t="s">
        <v>273</v>
      </c>
      <c r="C2177" s="63">
        <v>46381</v>
      </c>
      <c r="D2177" s="64" t="s">
        <v>359</v>
      </c>
    </row>
    <row r="2178" spans="2:4" x14ac:dyDescent="0.2">
      <c r="B2178" s="62" t="s">
        <v>273</v>
      </c>
      <c r="C2178" s="63">
        <v>46382</v>
      </c>
      <c r="D2178" s="64" t="s">
        <v>360</v>
      </c>
    </row>
    <row r="2179" spans="2:4" x14ac:dyDescent="0.2">
      <c r="B2179" s="62" t="s">
        <v>273</v>
      </c>
      <c r="C2179" s="63">
        <v>46388</v>
      </c>
      <c r="D2179" s="64" t="s">
        <v>350</v>
      </c>
    </row>
    <row r="2180" spans="2:4" x14ac:dyDescent="0.2">
      <c r="B2180" s="62" t="s">
        <v>273</v>
      </c>
      <c r="C2180" s="63">
        <v>46433</v>
      </c>
      <c r="D2180" s="64" t="s">
        <v>495</v>
      </c>
    </row>
    <row r="2181" spans="2:4" x14ac:dyDescent="0.2">
      <c r="B2181" s="62" t="s">
        <v>273</v>
      </c>
      <c r="C2181" s="63">
        <v>46472</v>
      </c>
      <c r="D2181" s="64" t="s">
        <v>352</v>
      </c>
    </row>
    <row r="2182" spans="2:4" x14ac:dyDescent="0.2">
      <c r="B2182" s="62" t="s">
        <v>273</v>
      </c>
      <c r="C2182" s="63">
        <v>46531</v>
      </c>
      <c r="D2182" s="64" t="s">
        <v>519</v>
      </c>
    </row>
    <row r="2183" spans="2:4" x14ac:dyDescent="0.2">
      <c r="B2183" s="62" t="s">
        <v>273</v>
      </c>
      <c r="C2183" s="63">
        <v>46569</v>
      </c>
      <c r="D2183" s="64" t="s">
        <v>520</v>
      </c>
    </row>
    <row r="2184" spans="2:4" x14ac:dyDescent="0.2">
      <c r="B2184" s="62" t="s">
        <v>273</v>
      </c>
      <c r="C2184" s="63">
        <v>46636</v>
      </c>
      <c r="D2184" s="64" t="s">
        <v>358</v>
      </c>
    </row>
    <row r="2185" spans="2:4" x14ac:dyDescent="0.2">
      <c r="B2185" s="62" t="s">
        <v>273</v>
      </c>
      <c r="C2185" s="63">
        <v>46671</v>
      </c>
      <c r="D2185" s="64" t="s">
        <v>396</v>
      </c>
    </row>
    <row r="2186" spans="2:4" x14ac:dyDescent="0.2">
      <c r="B2186" s="62" t="s">
        <v>273</v>
      </c>
      <c r="C2186" s="63">
        <v>46746</v>
      </c>
      <c r="D2186" s="64" t="s">
        <v>359</v>
      </c>
    </row>
    <row r="2187" spans="2:4" x14ac:dyDescent="0.2">
      <c r="B2187" s="62" t="s">
        <v>273</v>
      </c>
      <c r="C2187" s="63">
        <v>46747</v>
      </c>
      <c r="D2187" s="64" t="s">
        <v>360</v>
      </c>
    </row>
    <row r="2188" spans="2:4" x14ac:dyDescent="0.2">
      <c r="B2188" s="62" t="s">
        <v>273</v>
      </c>
      <c r="C2188" s="63">
        <v>46748</v>
      </c>
      <c r="D2188" s="64" t="s">
        <v>363</v>
      </c>
    </row>
    <row r="2189" spans="2:4" x14ac:dyDescent="0.2">
      <c r="B2189" s="62" t="s">
        <v>273</v>
      </c>
      <c r="C2189" s="63">
        <v>46749</v>
      </c>
      <c r="D2189" s="64" t="s">
        <v>362</v>
      </c>
    </row>
    <row r="2190" spans="2:4" x14ac:dyDescent="0.2">
      <c r="B2190" s="62" t="s">
        <v>273</v>
      </c>
      <c r="C2190" s="63">
        <v>46753</v>
      </c>
      <c r="D2190" s="64" t="s">
        <v>350</v>
      </c>
    </row>
    <row r="2191" spans="2:4" x14ac:dyDescent="0.2">
      <c r="B2191" s="62" t="s">
        <v>273</v>
      </c>
      <c r="C2191" s="63">
        <v>46755</v>
      </c>
      <c r="D2191" s="64" t="s">
        <v>364</v>
      </c>
    </row>
    <row r="2192" spans="2:4" x14ac:dyDescent="0.2">
      <c r="B2192" s="62" t="s">
        <v>273</v>
      </c>
      <c r="C2192" s="63">
        <v>46804</v>
      </c>
      <c r="D2192" s="64" t="s">
        <v>495</v>
      </c>
    </row>
    <row r="2193" spans="2:4" x14ac:dyDescent="0.2">
      <c r="B2193" s="62" t="s">
        <v>273</v>
      </c>
      <c r="C2193" s="63">
        <v>46857</v>
      </c>
      <c r="D2193" s="64" t="s">
        <v>352</v>
      </c>
    </row>
    <row r="2194" spans="2:4" x14ac:dyDescent="0.2">
      <c r="B2194" s="62" t="s">
        <v>273</v>
      </c>
      <c r="C2194" s="63">
        <v>46895</v>
      </c>
      <c r="D2194" s="64" t="s">
        <v>519</v>
      </c>
    </row>
    <row r="2195" spans="2:4" x14ac:dyDescent="0.2">
      <c r="B2195" s="62" t="s">
        <v>273</v>
      </c>
      <c r="C2195" s="63">
        <v>46935</v>
      </c>
      <c r="D2195" s="64" t="s">
        <v>520</v>
      </c>
    </row>
    <row r="2196" spans="2:4" x14ac:dyDescent="0.2">
      <c r="B2196" s="62" t="s">
        <v>273</v>
      </c>
      <c r="C2196" s="63">
        <v>47000</v>
      </c>
      <c r="D2196" s="64" t="s">
        <v>358</v>
      </c>
    </row>
    <row r="2197" spans="2:4" x14ac:dyDescent="0.2">
      <c r="B2197" s="62" t="s">
        <v>273</v>
      </c>
      <c r="C2197" s="63">
        <v>47035</v>
      </c>
      <c r="D2197" s="64" t="s">
        <v>396</v>
      </c>
    </row>
    <row r="2198" spans="2:4" x14ac:dyDescent="0.2">
      <c r="B2198" s="62" t="s">
        <v>273</v>
      </c>
      <c r="C2198" s="63">
        <v>47112</v>
      </c>
      <c r="D2198" s="64" t="s">
        <v>359</v>
      </c>
    </row>
    <row r="2199" spans="2:4" x14ac:dyDescent="0.2">
      <c r="B2199" s="62" t="s">
        <v>273</v>
      </c>
      <c r="C2199" s="63">
        <v>47113</v>
      </c>
      <c r="D2199" s="64" t="s">
        <v>360</v>
      </c>
    </row>
    <row r="2200" spans="2:4" x14ac:dyDescent="0.2">
      <c r="B2200" s="62" t="s">
        <v>273</v>
      </c>
      <c r="C2200" s="63">
        <v>47119</v>
      </c>
      <c r="D2200" s="64" t="s">
        <v>350</v>
      </c>
    </row>
    <row r="2201" spans="2:4" x14ac:dyDescent="0.2">
      <c r="B2201" s="62" t="s">
        <v>273</v>
      </c>
      <c r="C2201" s="63">
        <v>47168</v>
      </c>
      <c r="D2201" s="64" t="s">
        <v>495</v>
      </c>
    </row>
    <row r="2202" spans="2:4" x14ac:dyDescent="0.2">
      <c r="B2202" s="62" t="s">
        <v>273</v>
      </c>
      <c r="C2202" s="63">
        <v>47207</v>
      </c>
      <c r="D2202" s="64" t="s">
        <v>352</v>
      </c>
    </row>
    <row r="2203" spans="2:4" x14ac:dyDescent="0.2">
      <c r="B2203" s="62" t="s">
        <v>273</v>
      </c>
      <c r="C2203" s="63">
        <v>47259</v>
      </c>
      <c r="D2203" s="64" t="s">
        <v>519</v>
      </c>
    </row>
    <row r="2204" spans="2:4" x14ac:dyDescent="0.2">
      <c r="B2204" s="62" t="s">
        <v>273</v>
      </c>
      <c r="C2204" s="63">
        <v>47300</v>
      </c>
      <c r="D2204" s="64" t="s">
        <v>520</v>
      </c>
    </row>
    <row r="2205" spans="2:4" x14ac:dyDescent="0.2">
      <c r="B2205" s="62" t="s">
        <v>273</v>
      </c>
      <c r="C2205" s="63">
        <v>47364</v>
      </c>
      <c r="D2205" s="64" t="s">
        <v>358</v>
      </c>
    </row>
    <row r="2206" spans="2:4" x14ac:dyDescent="0.2">
      <c r="B2206" s="62" t="s">
        <v>273</v>
      </c>
      <c r="C2206" s="63">
        <v>47399</v>
      </c>
      <c r="D2206" s="64" t="s">
        <v>396</v>
      </c>
    </row>
    <row r="2207" spans="2:4" x14ac:dyDescent="0.2">
      <c r="B2207" s="62" t="s">
        <v>273</v>
      </c>
      <c r="C2207" s="63">
        <v>47477</v>
      </c>
      <c r="D2207" s="64" t="s">
        <v>359</v>
      </c>
    </row>
    <row r="2208" spans="2:4" x14ac:dyDescent="0.2">
      <c r="B2208" s="62" t="s">
        <v>273</v>
      </c>
      <c r="C2208" s="63">
        <v>47478</v>
      </c>
      <c r="D2208" s="64" t="s">
        <v>360</v>
      </c>
    </row>
    <row r="2209" spans="2:4" x14ac:dyDescent="0.2">
      <c r="B2209" s="62" t="s">
        <v>273</v>
      </c>
      <c r="C2209" s="63">
        <v>47484</v>
      </c>
      <c r="D2209" s="64" t="s">
        <v>350</v>
      </c>
    </row>
    <row r="2210" spans="2:4" x14ac:dyDescent="0.2">
      <c r="B2210" s="62" t="s">
        <v>273</v>
      </c>
      <c r="C2210" s="63">
        <v>47532</v>
      </c>
      <c r="D2210" s="64" t="s">
        <v>495</v>
      </c>
    </row>
    <row r="2211" spans="2:4" x14ac:dyDescent="0.2">
      <c r="B2211" s="62" t="s">
        <v>273</v>
      </c>
      <c r="C2211" s="63">
        <v>47592</v>
      </c>
      <c r="D2211" s="64" t="s">
        <v>352</v>
      </c>
    </row>
    <row r="2212" spans="2:4" x14ac:dyDescent="0.2">
      <c r="B2212" s="62" t="s">
        <v>273</v>
      </c>
      <c r="C2212" s="63">
        <v>47623</v>
      </c>
      <c r="D2212" s="64" t="s">
        <v>519</v>
      </c>
    </row>
    <row r="2213" spans="2:4" x14ac:dyDescent="0.2">
      <c r="B2213" s="62" t="s">
        <v>273</v>
      </c>
      <c r="C2213" s="63">
        <v>47665</v>
      </c>
      <c r="D2213" s="64" t="s">
        <v>520</v>
      </c>
    </row>
    <row r="2214" spans="2:4" x14ac:dyDescent="0.2">
      <c r="B2214" s="62" t="s">
        <v>273</v>
      </c>
      <c r="C2214" s="63">
        <v>47728</v>
      </c>
      <c r="D2214" s="64" t="s">
        <v>358</v>
      </c>
    </row>
    <row r="2215" spans="2:4" x14ac:dyDescent="0.2">
      <c r="B2215" s="62" t="s">
        <v>273</v>
      </c>
      <c r="C2215" s="63">
        <v>47770</v>
      </c>
      <c r="D2215" s="64" t="s">
        <v>396</v>
      </c>
    </row>
    <row r="2216" spans="2:4" x14ac:dyDescent="0.2">
      <c r="B2216" s="62" t="s">
        <v>273</v>
      </c>
      <c r="C2216" s="63">
        <v>47842</v>
      </c>
      <c r="D2216" s="64" t="s">
        <v>359</v>
      </c>
    </row>
    <row r="2217" spans="2:4" x14ac:dyDescent="0.2">
      <c r="B2217" s="62" t="s">
        <v>273</v>
      </c>
      <c r="C2217" s="63">
        <v>47843</v>
      </c>
      <c r="D2217" s="64" t="s">
        <v>360</v>
      </c>
    </row>
  </sheetData>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2363</vt:i4>
      </vt:variant>
    </vt:vector>
  </HeadingPairs>
  <TitlesOfParts>
    <vt:vector size="2369" baseType="lpstr">
      <vt:lpstr>Read Me</vt:lpstr>
      <vt:lpstr>Plan</vt:lpstr>
      <vt:lpstr>Inputs</vt:lpstr>
      <vt:lpstr>Sample Plan</vt:lpstr>
      <vt:lpstr>Sample Inputs</vt:lpstr>
      <vt:lpstr>Calendar</vt:lpstr>
      <vt:lpstr>'Sample Inputs'!active_delivery_payroll_m1m12</vt:lpstr>
      <vt:lpstr>'Sample Plan'!active_delivery_payroll_m1m12</vt:lpstr>
      <vt:lpstr>active_delivery_payroll_m1m12</vt:lpstr>
      <vt:lpstr>'Sample Inputs'!active_fte_m1m12</vt:lpstr>
      <vt:lpstr>'Sample Plan'!active_fte_m1m12</vt:lpstr>
      <vt:lpstr>active_fte_m1m12</vt:lpstr>
      <vt:lpstr>'Sample Inputs'!active_overhead_payroll_m1m12</vt:lpstr>
      <vt:lpstr>'Sample Plan'!active_overhead_payroll_m1m12</vt:lpstr>
      <vt:lpstr>active_overhead_payroll_m1m12</vt:lpstr>
      <vt:lpstr>'Sample Inputs'!active_ox_comms_m1m12</vt:lpstr>
      <vt:lpstr>'Sample Plan'!active_ox_comms_m1m12</vt:lpstr>
      <vt:lpstr>active_ox_comms_m1m12</vt:lpstr>
      <vt:lpstr>'Sample Inputs'!active_ox_insurance_m1m12</vt:lpstr>
      <vt:lpstr>'Sample Plan'!active_ox_insurance_m1m12</vt:lpstr>
      <vt:lpstr>active_ox_insurance_m1m12</vt:lpstr>
      <vt:lpstr>'Sample Inputs'!active_ox_other_ox_m1m12</vt:lpstr>
      <vt:lpstr>'Sample Plan'!active_ox_other_ox_m1m12</vt:lpstr>
      <vt:lpstr>active_ox_other_ox_m1m12</vt:lpstr>
      <vt:lpstr>'Sample Inputs'!active_ox_prof_fees_m1m12</vt:lpstr>
      <vt:lpstr>'Sample Plan'!active_ox_prof_fees_m1m12</vt:lpstr>
      <vt:lpstr>active_ox_prof_fees_m1m12</vt:lpstr>
      <vt:lpstr>'Sample Inputs'!active_ox_rent_m1m12</vt:lpstr>
      <vt:lpstr>'Sample Plan'!active_ox_rent_m1m12</vt:lpstr>
      <vt:lpstr>active_ox_rent_m1m12</vt:lpstr>
      <vt:lpstr>'Sample Inputs'!active_ox_sales_mktg_m1m12</vt:lpstr>
      <vt:lpstr>'Sample Plan'!active_ox_sales_mktg_m1m12</vt:lpstr>
      <vt:lpstr>active_ox_sales_mktg_m1m12</vt:lpstr>
      <vt:lpstr>'Sample Inputs'!active_ox_software_m1m12</vt:lpstr>
      <vt:lpstr>'Sample Plan'!active_ox_software_m1m12</vt:lpstr>
      <vt:lpstr>active_ox_software_m1m12</vt:lpstr>
      <vt:lpstr>'Sample Inputs'!active_ox_travel_m1m12</vt:lpstr>
      <vt:lpstr>'Sample Plan'!active_ox_travel_m1m12</vt:lpstr>
      <vt:lpstr>active_ox_travel_m1m12</vt:lpstr>
      <vt:lpstr>'Sample Inputs'!active_sl1_m1m12</vt:lpstr>
      <vt:lpstr>'Sample Plan'!active_sl1_m1m12</vt:lpstr>
      <vt:lpstr>active_sl1_m1m12</vt:lpstr>
      <vt:lpstr>'Sample Inputs'!active_sl2_m1m12</vt:lpstr>
      <vt:lpstr>'Sample Plan'!active_sl2_m1m12</vt:lpstr>
      <vt:lpstr>active_sl2_m1m12</vt:lpstr>
      <vt:lpstr>'Sample Inputs'!active_sl3_m1m12</vt:lpstr>
      <vt:lpstr>'Sample Plan'!active_sl3_m1m12</vt:lpstr>
      <vt:lpstr>active_sl3_m1m12</vt:lpstr>
      <vt:lpstr>'Sample Inputs'!active_sl4_m1m12</vt:lpstr>
      <vt:lpstr>'Sample Plan'!active_sl4_m1m12</vt:lpstr>
      <vt:lpstr>active_sl4_m1m12</vt:lpstr>
      <vt:lpstr>'Sample Inputs'!active_sl5_m1m12</vt:lpstr>
      <vt:lpstr>'Sample Plan'!active_sl5_m1m12</vt:lpstr>
      <vt:lpstr>active_sl5_m1m12</vt:lpstr>
      <vt:lpstr>cal_jurisdictions</vt:lpstr>
      <vt:lpstr>cal_m1_date</vt:lpstr>
      <vt:lpstr>cal_month_keys</vt:lpstr>
      <vt:lpstr>cal_wd_active</vt:lpstr>
      <vt:lpstr>'Sample Plan'!calc_below_buffer_count_ann</vt:lpstr>
      <vt:lpstr>calc_below_buffer_count_ann</vt:lpstr>
      <vt:lpstr>'Sample Plan'!calc_below_buffer_count_m1</vt:lpstr>
      <vt:lpstr>calc_below_buffer_count_m1</vt:lpstr>
      <vt:lpstr>'Sample Plan'!calc_below_buffer_count_m10</vt:lpstr>
      <vt:lpstr>calc_below_buffer_count_m10</vt:lpstr>
      <vt:lpstr>'Sample Plan'!calc_below_buffer_count_m11</vt:lpstr>
      <vt:lpstr>calc_below_buffer_count_m11</vt:lpstr>
      <vt:lpstr>'Sample Plan'!calc_below_buffer_count_m12</vt:lpstr>
      <vt:lpstr>calc_below_buffer_count_m12</vt:lpstr>
      <vt:lpstr>'Sample Plan'!calc_below_buffer_count_m1m12</vt:lpstr>
      <vt:lpstr>calc_below_buffer_count_m1m12</vt:lpstr>
      <vt:lpstr>'Sample Plan'!calc_below_buffer_count_m2</vt:lpstr>
      <vt:lpstr>calc_below_buffer_count_m2</vt:lpstr>
      <vt:lpstr>'Sample Plan'!calc_below_buffer_count_m3</vt:lpstr>
      <vt:lpstr>calc_below_buffer_count_m3</vt:lpstr>
      <vt:lpstr>'Sample Plan'!calc_below_buffer_count_m4</vt:lpstr>
      <vt:lpstr>calc_below_buffer_count_m4</vt:lpstr>
      <vt:lpstr>'Sample Plan'!calc_below_buffer_count_m5</vt:lpstr>
      <vt:lpstr>calc_below_buffer_count_m5</vt:lpstr>
      <vt:lpstr>'Sample Plan'!calc_below_buffer_count_m6</vt:lpstr>
      <vt:lpstr>calc_below_buffer_count_m6</vt:lpstr>
      <vt:lpstr>'Sample Plan'!calc_below_buffer_count_m7</vt:lpstr>
      <vt:lpstr>calc_below_buffer_count_m7</vt:lpstr>
      <vt:lpstr>'Sample Plan'!calc_below_buffer_count_m8</vt:lpstr>
      <vt:lpstr>calc_below_buffer_count_m8</vt:lpstr>
      <vt:lpstr>'Sample Plan'!calc_below_buffer_count_m9</vt:lpstr>
      <vt:lpstr>calc_below_buffer_count_m9</vt:lpstr>
      <vt:lpstr>'Sample Plan'!calc_bs_acc_da_neg_ann</vt:lpstr>
      <vt:lpstr>calc_bs_acc_da_neg_ann</vt:lpstr>
      <vt:lpstr>'Sample Plan'!calc_bs_acc_da_neg_m1</vt:lpstr>
      <vt:lpstr>calc_bs_acc_da_neg_m1</vt:lpstr>
      <vt:lpstr>'Sample Plan'!calc_bs_acc_da_neg_m10</vt:lpstr>
      <vt:lpstr>calc_bs_acc_da_neg_m10</vt:lpstr>
      <vt:lpstr>'Sample Plan'!calc_bs_acc_da_neg_m11</vt:lpstr>
      <vt:lpstr>calc_bs_acc_da_neg_m11</vt:lpstr>
      <vt:lpstr>'Sample Plan'!calc_bs_acc_da_neg_m12</vt:lpstr>
      <vt:lpstr>calc_bs_acc_da_neg_m12</vt:lpstr>
      <vt:lpstr>'Sample Plan'!calc_bs_acc_da_neg_m1m12</vt:lpstr>
      <vt:lpstr>calc_bs_acc_da_neg_m1m12</vt:lpstr>
      <vt:lpstr>'Sample Plan'!calc_bs_acc_da_neg_m2</vt:lpstr>
      <vt:lpstr>calc_bs_acc_da_neg_m2</vt:lpstr>
      <vt:lpstr>'Sample Plan'!calc_bs_acc_da_neg_m3</vt:lpstr>
      <vt:lpstr>calc_bs_acc_da_neg_m3</vt:lpstr>
      <vt:lpstr>'Sample Plan'!calc_bs_acc_da_neg_m4</vt:lpstr>
      <vt:lpstr>calc_bs_acc_da_neg_m4</vt:lpstr>
      <vt:lpstr>'Sample Plan'!calc_bs_acc_da_neg_m5</vt:lpstr>
      <vt:lpstr>calc_bs_acc_da_neg_m5</vt:lpstr>
      <vt:lpstr>'Sample Plan'!calc_bs_acc_da_neg_m6</vt:lpstr>
      <vt:lpstr>calc_bs_acc_da_neg_m6</vt:lpstr>
      <vt:lpstr>'Sample Plan'!calc_bs_acc_da_neg_m7</vt:lpstr>
      <vt:lpstr>calc_bs_acc_da_neg_m7</vt:lpstr>
      <vt:lpstr>'Sample Plan'!calc_bs_acc_da_neg_m8</vt:lpstr>
      <vt:lpstr>calc_bs_acc_da_neg_m8</vt:lpstr>
      <vt:lpstr>'Sample Plan'!calc_bs_acc_da_neg_m9</vt:lpstr>
      <vt:lpstr>calc_bs_acc_da_neg_m9</vt:lpstr>
      <vt:lpstr>'Sample Plan'!calc_bs_ap_ann</vt:lpstr>
      <vt:lpstr>calc_bs_ap_ann</vt:lpstr>
      <vt:lpstr>'Sample Plan'!calc_bs_ap_m1</vt:lpstr>
      <vt:lpstr>calc_bs_ap_m1</vt:lpstr>
      <vt:lpstr>'Sample Plan'!calc_bs_ap_m10</vt:lpstr>
      <vt:lpstr>calc_bs_ap_m10</vt:lpstr>
      <vt:lpstr>'Sample Plan'!calc_bs_ap_m11</vt:lpstr>
      <vt:lpstr>calc_bs_ap_m11</vt:lpstr>
      <vt:lpstr>'Sample Plan'!calc_bs_ap_m12</vt:lpstr>
      <vt:lpstr>calc_bs_ap_m12</vt:lpstr>
      <vt:lpstr>'Sample Plan'!calc_bs_ap_m1m12</vt:lpstr>
      <vt:lpstr>calc_bs_ap_m1m12</vt:lpstr>
      <vt:lpstr>'Sample Plan'!calc_bs_ap_m2</vt:lpstr>
      <vt:lpstr>calc_bs_ap_m2</vt:lpstr>
      <vt:lpstr>'Sample Plan'!calc_bs_ap_m3</vt:lpstr>
      <vt:lpstr>calc_bs_ap_m3</vt:lpstr>
      <vt:lpstr>'Sample Plan'!calc_bs_ap_m4</vt:lpstr>
      <vt:lpstr>calc_bs_ap_m4</vt:lpstr>
      <vt:lpstr>'Sample Plan'!calc_bs_ap_m5</vt:lpstr>
      <vt:lpstr>calc_bs_ap_m5</vt:lpstr>
      <vt:lpstr>'Sample Plan'!calc_bs_ap_m6</vt:lpstr>
      <vt:lpstr>calc_bs_ap_m6</vt:lpstr>
      <vt:lpstr>'Sample Plan'!calc_bs_ap_m7</vt:lpstr>
      <vt:lpstr>calc_bs_ap_m7</vt:lpstr>
      <vt:lpstr>'Sample Plan'!calc_bs_ap_m8</vt:lpstr>
      <vt:lpstr>calc_bs_ap_m8</vt:lpstr>
      <vt:lpstr>'Sample Plan'!calc_bs_ap_m9</vt:lpstr>
      <vt:lpstr>calc_bs_ap_m9</vt:lpstr>
      <vt:lpstr>'Sample Plan'!calc_bs_ar_ann</vt:lpstr>
      <vt:lpstr>calc_bs_ar_ann</vt:lpstr>
      <vt:lpstr>'Sample Plan'!calc_bs_ar_m1</vt:lpstr>
      <vt:lpstr>calc_bs_ar_m1</vt:lpstr>
      <vt:lpstr>'Sample Plan'!calc_bs_ar_m10</vt:lpstr>
      <vt:lpstr>calc_bs_ar_m10</vt:lpstr>
      <vt:lpstr>'Sample Plan'!calc_bs_ar_m11</vt:lpstr>
      <vt:lpstr>calc_bs_ar_m11</vt:lpstr>
      <vt:lpstr>'Sample Plan'!calc_bs_ar_m12</vt:lpstr>
      <vt:lpstr>calc_bs_ar_m12</vt:lpstr>
      <vt:lpstr>'Sample Plan'!calc_bs_ar_m1m12</vt:lpstr>
      <vt:lpstr>calc_bs_ar_m1m12</vt:lpstr>
      <vt:lpstr>'Sample Plan'!calc_bs_ar_m2</vt:lpstr>
      <vt:lpstr>calc_bs_ar_m2</vt:lpstr>
      <vt:lpstr>'Sample Plan'!calc_bs_ar_m3</vt:lpstr>
      <vt:lpstr>calc_bs_ar_m3</vt:lpstr>
      <vt:lpstr>'Sample Plan'!calc_bs_ar_m4</vt:lpstr>
      <vt:lpstr>calc_bs_ar_m4</vt:lpstr>
      <vt:lpstr>'Sample Plan'!calc_bs_ar_m5</vt:lpstr>
      <vt:lpstr>calc_bs_ar_m5</vt:lpstr>
      <vt:lpstr>'Sample Plan'!calc_bs_ar_m6</vt:lpstr>
      <vt:lpstr>calc_bs_ar_m6</vt:lpstr>
      <vt:lpstr>'Sample Plan'!calc_bs_ar_m7</vt:lpstr>
      <vt:lpstr>calc_bs_ar_m7</vt:lpstr>
      <vt:lpstr>'Sample Plan'!calc_bs_ar_m8</vt:lpstr>
      <vt:lpstr>calc_bs_ar_m8</vt:lpstr>
      <vt:lpstr>'Sample Plan'!calc_bs_ar_m9</vt:lpstr>
      <vt:lpstr>calc_bs_ar_m9</vt:lpstr>
      <vt:lpstr>'Sample Plan'!calc_bs_cash_ann</vt:lpstr>
      <vt:lpstr>calc_bs_cash_ann</vt:lpstr>
      <vt:lpstr>'Sample Plan'!calc_bs_cash_m1</vt:lpstr>
      <vt:lpstr>calc_bs_cash_m1</vt:lpstr>
      <vt:lpstr>'Sample Plan'!calc_bs_cash_m10</vt:lpstr>
      <vt:lpstr>calc_bs_cash_m10</vt:lpstr>
      <vt:lpstr>'Sample Plan'!calc_bs_cash_m11</vt:lpstr>
      <vt:lpstr>calc_bs_cash_m11</vt:lpstr>
      <vt:lpstr>'Sample Plan'!calc_bs_cash_m12</vt:lpstr>
      <vt:lpstr>calc_bs_cash_m12</vt:lpstr>
      <vt:lpstr>'Sample Plan'!calc_bs_cash_m1m12</vt:lpstr>
      <vt:lpstr>calc_bs_cash_m1m12</vt:lpstr>
      <vt:lpstr>'Sample Plan'!calc_bs_cash_m2</vt:lpstr>
      <vt:lpstr>calc_bs_cash_m2</vt:lpstr>
      <vt:lpstr>'Sample Plan'!calc_bs_cash_m3</vt:lpstr>
      <vt:lpstr>calc_bs_cash_m3</vt:lpstr>
      <vt:lpstr>'Sample Plan'!calc_bs_cash_m4</vt:lpstr>
      <vt:lpstr>calc_bs_cash_m4</vt:lpstr>
      <vt:lpstr>'Sample Plan'!calc_bs_cash_m5</vt:lpstr>
      <vt:lpstr>calc_bs_cash_m5</vt:lpstr>
      <vt:lpstr>'Sample Plan'!calc_bs_cash_m6</vt:lpstr>
      <vt:lpstr>calc_bs_cash_m6</vt:lpstr>
      <vt:lpstr>'Sample Plan'!calc_bs_cash_m7</vt:lpstr>
      <vt:lpstr>calc_bs_cash_m7</vt:lpstr>
      <vt:lpstr>'Sample Plan'!calc_bs_cash_m8</vt:lpstr>
      <vt:lpstr>calc_bs_cash_m8</vt:lpstr>
      <vt:lpstr>'Sample Plan'!calc_bs_cash_m9</vt:lpstr>
      <vt:lpstr>calc_bs_cash_m9</vt:lpstr>
      <vt:lpstr>'Sample Plan'!calc_bs_check_ann</vt:lpstr>
      <vt:lpstr>calc_bs_check_ann</vt:lpstr>
      <vt:lpstr>'Sample Plan'!calc_bs_check_m1</vt:lpstr>
      <vt:lpstr>calc_bs_check_m1</vt:lpstr>
      <vt:lpstr>'Sample Plan'!calc_bs_check_m10</vt:lpstr>
      <vt:lpstr>calc_bs_check_m10</vt:lpstr>
      <vt:lpstr>'Sample Plan'!calc_bs_check_m11</vt:lpstr>
      <vt:lpstr>calc_bs_check_m11</vt:lpstr>
      <vt:lpstr>'Sample Plan'!calc_bs_check_m12</vt:lpstr>
      <vt:lpstr>calc_bs_check_m12</vt:lpstr>
      <vt:lpstr>'Sample Plan'!calc_bs_check_m1m12</vt:lpstr>
      <vt:lpstr>calc_bs_check_m1m12</vt:lpstr>
      <vt:lpstr>'Sample Plan'!calc_bs_check_m2</vt:lpstr>
      <vt:lpstr>calc_bs_check_m2</vt:lpstr>
      <vt:lpstr>'Sample Plan'!calc_bs_check_m3</vt:lpstr>
      <vt:lpstr>calc_bs_check_m3</vt:lpstr>
      <vt:lpstr>'Sample Plan'!calc_bs_check_m4</vt:lpstr>
      <vt:lpstr>calc_bs_check_m4</vt:lpstr>
      <vt:lpstr>'Sample Plan'!calc_bs_check_m5</vt:lpstr>
      <vt:lpstr>calc_bs_check_m5</vt:lpstr>
      <vt:lpstr>'Sample Plan'!calc_bs_check_m6</vt:lpstr>
      <vt:lpstr>calc_bs_check_m6</vt:lpstr>
      <vt:lpstr>'Sample Plan'!calc_bs_check_m7</vt:lpstr>
      <vt:lpstr>calc_bs_check_m7</vt:lpstr>
      <vt:lpstr>'Sample Plan'!calc_bs_check_m8</vt:lpstr>
      <vt:lpstr>calc_bs_check_m8</vt:lpstr>
      <vt:lpstr>'Sample Plan'!calc_bs_check_m9</vt:lpstr>
      <vt:lpstr>calc_bs_check_m9</vt:lpstr>
      <vt:lpstr>'Sample Plan'!calc_bs_debt_ann</vt:lpstr>
      <vt:lpstr>calc_bs_debt_ann</vt:lpstr>
      <vt:lpstr>'Sample Plan'!calc_bs_debt_m1</vt:lpstr>
      <vt:lpstr>calc_bs_debt_m1</vt:lpstr>
      <vt:lpstr>'Sample Plan'!calc_bs_debt_m10</vt:lpstr>
      <vt:lpstr>calc_bs_debt_m10</vt:lpstr>
      <vt:lpstr>'Sample Plan'!calc_bs_debt_m11</vt:lpstr>
      <vt:lpstr>calc_bs_debt_m11</vt:lpstr>
      <vt:lpstr>'Sample Plan'!calc_bs_debt_m12</vt:lpstr>
      <vt:lpstr>calc_bs_debt_m12</vt:lpstr>
      <vt:lpstr>'Sample Plan'!calc_bs_debt_m1m12</vt:lpstr>
      <vt:lpstr>calc_bs_debt_m1m12</vt:lpstr>
      <vt:lpstr>'Sample Plan'!calc_bs_debt_m2</vt:lpstr>
      <vt:lpstr>calc_bs_debt_m2</vt:lpstr>
      <vt:lpstr>'Sample Plan'!calc_bs_debt_m3</vt:lpstr>
      <vt:lpstr>calc_bs_debt_m3</vt:lpstr>
      <vt:lpstr>'Sample Plan'!calc_bs_debt_m4</vt:lpstr>
      <vt:lpstr>calc_bs_debt_m4</vt:lpstr>
      <vt:lpstr>'Sample Plan'!calc_bs_debt_m5</vt:lpstr>
      <vt:lpstr>calc_bs_debt_m5</vt:lpstr>
      <vt:lpstr>'Sample Plan'!calc_bs_debt_m6</vt:lpstr>
      <vt:lpstr>calc_bs_debt_m6</vt:lpstr>
      <vt:lpstr>'Sample Plan'!calc_bs_debt_m7</vt:lpstr>
      <vt:lpstr>calc_bs_debt_m7</vt:lpstr>
      <vt:lpstr>'Sample Plan'!calc_bs_debt_m8</vt:lpstr>
      <vt:lpstr>calc_bs_debt_m8</vt:lpstr>
      <vt:lpstr>'Sample Plan'!calc_bs_debt_m9</vt:lpstr>
      <vt:lpstr>calc_bs_debt_m9</vt:lpstr>
      <vt:lpstr>'Sample Plan'!calc_bs_net_fa_ann</vt:lpstr>
      <vt:lpstr>calc_bs_net_fa_ann</vt:lpstr>
      <vt:lpstr>'Sample Plan'!calc_bs_net_fa_m1</vt:lpstr>
      <vt:lpstr>calc_bs_net_fa_m1</vt:lpstr>
      <vt:lpstr>'Sample Plan'!calc_bs_net_fa_m10</vt:lpstr>
      <vt:lpstr>calc_bs_net_fa_m10</vt:lpstr>
      <vt:lpstr>'Sample Plan'!calc_bs_net_fa_m11</vt:lpstr>
      <vt:lpstr>calc_bs_net_fa_m11</vt:lpstr>
      <vt:lpstr>'Sample Plan'!calc_bs_net_fa_m12</vt:lpstr>
      <vt:lpstr>calc_bs_net_fa_m12</vt:lpstr>
      <vt:lpstr>'Sample Plan'!calc_bs_net_fa_m1m12</vt:lpstr>
      <vt:lpstr>calc_bs_net_fa_m1m12</vt:lpstr>
      <vt:lpstr>'Sample Plan'!calc_bs_net_fa_m2</vt:lpstr>
      <vt:lpstr>calc_bs_net_fa_m2</vt:lpstr>
      <vt:lpstr>'Sample Plan'!calc_bs_net_fa_m3</vt:lpstr>
      <vt:lpstr>calc_bs_net_fa_m3</vt:lpstr>
      <vt:lpstr>'Sample Plan'!calc_bs_net_fa_m4</vt:lpstr>
      <vt:lpstr>calc_bs_net_fa_m4</vt:lpstr>
      <vt:lpstr>'Sample Plan'!calc_bs_net_fa_m5</vt:lpstr>
      <vt:lpstr>calc_bs_net_fa_m5</vt:lpstr>
      <vt:lpstr>'Sample Plan'!calc_bs_net_fa_m6</vt:lpstr>
      <vt:lpstr>calc_bs_net_fa_m6</vt:lpstr>
      <vt:lpstr>'Sample Plan'!calc_bs_net_fa_m7</vt:lpstr>
      <vt:lpstr>calc_bs_net_fa_m7</vt:lpstr>
      <vt:lpstr>'Sample Plan'!calc_bs_net_fa_m8</vt:lpstr>
      <vt:lpstr>calc_bs_net_fa_m8</vt:lpstr>
      <vt:lpstr>'Sample Plan'!calc_bs_net_fa_m9</vt:lpstr>
      <vt:lpstr>calc_bs_net_fa_m9</vt:lpstr>
      <vt:lpstr>'Sample Plan'!calc_bs_other_ca_ann</vt:lpstr>
      <vt:lpstr>calc_bs_other_ca_ann</vt:lpstr>
      <vt:lpstr>'Sample Plan'!calc_bs_other_ca_m1</vt:lpstr>
      <vt:lpstr>calc_bs_other_ca_m1</vt:lpstr>
      <vt:lpstr>'Sample Plan'!calc_bs_other_ca_m10</vt:lpstr>
      <vt:lpstr>calc_bs_other_ca_m10</vt:lpstr>
      <vt:lpstr>'Sample Plan'!calc_bs_other_ca_m11</vt:lpstr>
      <vt:lpstr>calc_bs_other_ca_m11</vt:lpstr>
      <vt:lpstr>'Sample Plan'!calc_bs_other_ca_m12</vt:lpstr>
      <vt:lpstr>calc_bs_other_ca_m12</vt:lpstr>
      <vt:lpstr>'Sample Plan'!calc_bs_other_ca_m1m12</vt:lpstr>
      <vt:lpstr>calc_bs_other_ca_m1m12</vt:lpstr>
      <vt:lpstr>'Sample Plan'!calc_bs_other_ca_m2</vt:lpstr>
      <vt:lpstr>calc_bs_other_ca_m2</vt:lpstr>
      <vt:lpstr>'Sample Plan'!calc_bs_other_ca_m3</vt:lpstr>
      <vt:lpstr>calc_bs_other_ca_m3</vt:lpstr>
      <vt:lpstr>'Sample Plan'!calc_bs_other_ca_m4</vt:lpstr>
      <vt:lpstr>calc_bs_other_ca_m4</vt:lpstr>
      <vt:lpstr>'Sample Plan'!calc_bs_other_ca_m5</vt:lpstr>
      <vt:lpstr>calc_bs_other_ca_m5</vt:lpstr>
      <vt:lpstr>'Sample Plan'!calc_bs_other_ca_m6</vt:lpstr>
      <vt:lpstr>calc_bs_other_ca_m6</vt:lpstr>
      <vt:lpstr>'Sample Plan'!calc_bs_other_ca_m7</vt:lpstr>
      <vt:lpstr>calc_bs_other_ca_m7</vt:lpstr>
      <vt:lpstr>'Sample Plan'!calc_bs_other_ca_m8</vt:lpstr>
      <vt:lpstr>calc_bs_other_ca_m8</vt:lpstr>
      <vt:lpstr>'Sample Plan'!calc_bs_other_ca_m9</vt:lpstr>
      <vt:lpstr>calc_bs_other_ca_m9</vt:lpstr>
      <vt:lpstr>'Sample Plan'!calc_bs_paid_in_ann</vt:lpstr>
      <vt:lpstr>calc_bs_paid_in_ann</vt:lpstr>
      <vt:lpstr>'Sample Plan'!calc_bs_paid_in_m1</vt:lpstr>
      <vt:lpstr>calc_bs_paid_in_m1</vt:lpstr>
      <vt:lpstr>'Sample Plan'!calc_bs_paid_in_m10</vt:lpstr>
      <vt:lpstr>calc_bs_paid_in_m10</vt:lpstr>
      <vt:lpstr>'Sample Plan'!calc_bs_paid_in_m11</vt:lpstr>
      <vt:lpstr>calc_bs_paid_in_m11</vt:lpstr>
      <vt:lpstr>'Sample Plan'!calc_bs_paid_in_m12</vt:lpstr>
      <vt:lpstr>calc_bs_paid_in_m12</vt:lpstr>
      <vt:lpstr>'Sample Plan'!calc_bs_paid_in_m1m12</vt:lpstr>
      <vt:lpstr>calc_bs_paid_in_m1m12</vt:lpstr>
      <vt:lpstr>'Sample Plan'!calc_bs_paid_in_m2</vt:lpstr>
      <vt:lpstr>calc_bs_paid_in_m2</vt:lpstr>
      <vt:lpstr>'Sample Plan'!calc_bs_paid_in_m3</vt:lpstr>
      <vt:lpstr>calc_bs_paid_in_m3</vt:lpstr>
      <vt:lpstr>'Sample Plan'!calc_bs_paid_in_m4</vt:lpstr>
      <vt:lpstr>calc_bs_paid_in_m4</vt:lpstr>
      <vt:lpstr>'Sample Plan'!calc_bs_paid_in_m5</vt:lpstr>
      <vt:lpstr>calc_bs_paid_in_m5</vt:lpstr>
      <vt:lpstr>'Sample Plan'!calc_bs_paid_in_m6</vt:lpstr>
      <vt:lpstr>calc_bs_paid_in_m6</vt:lpstr>
      <vt:lpstr>'Sample Plan'!calc_bs_paid_in_m7</vt:lpstr>
      <vt:lpstr>calc_bs_paid_in_m7</vt:lpstr>
      <vt:lpstr>'Sample Plan'!calc_bs_paid_in_m8</vt:lpstr>
      <vt:lpstr>calc_bs_paid_in_m8</vt:lpstr>
      <vt:lpstr>'Sample Plan'!calc_bs_paid_in_m9</vt:lpstr>
      <vt:lpstr>calc_bs_paid_in_m9</vt:lpstr>
      <vt:lpstr>'Sample Plan'!calc_bs_ppe_cost_ann</vt:lpstr>
      <vt:lpstr>calc_bs_ppe_cost_ann</vt:lpstr>
      <vt:lpstr>'Sample Plan'!calc_bs_ppe_cost_m1</vt:lpstr>
      <vt:lpstr>calc_bs_ppe_cost_m1</vt:lpstr>
      <vt:lpstr>'Sample Plan'!calc_bs_ppe_cost_m10</vt:lpstr>
      <vt:lpstr>calc_bs_ppe_cost_m10</vt:lpstr>
      <vt:lpstr>'Sample Plan'!calc_bs_ppe_cost_m11</vt:lpstr>
      <vt:lpstr>calc_bs_ppe_cost_m11</vt:lpstr>
      <vt:lpstr>'Sample Plan'!calc_bs_ppe_cost_m12</vt:lpstr>
      <vt:lpstr>calc_bs_ppe_cost_m12</vt:lpstr>
      <vt:lpstr>'Sample Plan'!calc_bs_ppe_cost_m1m12</vt:lpstr>
      <vt:lpstr>calc_bs_ppe_cost_m1m12</vt:lpstr>
      <vt:lpstr>'Sample Plan'!calc_bs_ppe_cost_m2</vt:lpstr>
      <vt:lpstr>calc_bs_ppe_cost_m2</vt:lpstr>
      <vt:lpstr>'Sample Plan'!calc_bs_ppe_cost_m3</vt:lpstr>
      <vt:lpstr>calc_bs_ppe_cost_m3</vt:lpstr>
      <vt:lpstr>'Sample Plan'!calc_bs_ppe_cost_m4</vt:lpstr>
      <vt:lpstr>calc_bs_ppe_cost_m4</vt:lpstr>
      <vt:lpstr>'Sample Plan'!calc_bs_ppe_cost_m5</vt:lpstr>
      <vt:lpstr>calc_bs_ppe_cost_m5</vt:lpstr>
      <vt:lpstr>'Sample Plan'!calc_bs_ppe_cost_m6</vt:lpstr>
      <vt:lpstr>calc_bs_ppe_cost_m6</vt:lpstr>
      <vt:lpstr>'Sample Plan'!calc_bs_ppe_cost_m7</vt:lpstr>
      <vt:lpstr>calc_bs_ppe_cost_m7</vt:lpstr>
      <vt:lpstr>'Sample Plan'!calc_bs_ppe_cost_m8</vt:lpstr>
      <vt:lpstr>calc_bs_ppe_cost_m8</vt:lpstr>
      <vt:lpstr>'Sample Plan'!calc_bs_ppe_cost_m9</vt:lpstr>
      <vt:lpstr>calc_bs_ppe_cost_m9</vt:lpstr>
      <vt:lpstr>'Sample Plan'!calc_bs_ret_earn_ann</vt:lpstr>
      <vt:lpstr>calc_bs_ret_earn_ann</vt:lpstr>
      <vt:lpstr>'Sample Plan'!calc_bs_ret_earn_m1</vt:lpstr>
      <vt:lpstr>calc_bs_ret_earn_m1</vt:lpstr>
      <vt:lpstr>'Sample Plan'!calc_bs_ret_earn_m10</vt:lpstr>
      <vt:lpstr>calc_bs_ret_earn_m10</vt:lpstr>
      <vt:lpstr>'Sample Plan'!calc_bs_ret_earn_m11</vt:lpstr>
      <vt:lpstr>calc_bs_ret_earn_m11</vt:lpstr>
      <vt:lpstr>'Sample Plan'!calc_bs_ret_earn_m12</vt:lpstr>
      <vt:lpstr>calc_bs_ret_earn_m12</vt:lpstr>
      <vt:lpstr>'Sample Plan'!calc_bs_ret_earn_m1m12</vt:lpstr>
      <vt:lpstr>calc_bs_ret_earn_m1m12</vt:lpstr>
      <vt:lpstr>'Sample Plan'!calc_bs_ret_earn_m2</vt:lpstr>
      <vt:lpstr>calc_bs_ret_earn_m2</vt:lpstr>
      <vt:lpstr>'Sample Plan'!calc_bs_ret_earn_m3</vt:lpstr>
      <vt:lpstr>calc_bs_ret_earn_m3</vt:lpstr>
      <vt:lpstr>'Sample Plan'!calc_bs_ret_earn_m4</vt:lpstr>
      <vt:lpstr>calc_bs_ret_earn_m4</vt:lpstr>
      <vt:lpstr>'Sample Plan'!calc_bs_ret_earn_m5</vt:lpstr>
      <vt:lpstr>calc_bs_ret_earn_m5</vt:lpstr>
      <vt:lpstr>'Sample Plan'!calc_bs_ret_earn_m6</vt:lpstr>
      <vt:lpstr>calc_bs_ret_earn_m6</vt:lpstr>
      <vt:lpstr>'Sample Plan'!calc_bs_ret_earn_m7</vt:lpstr>
      <vt:lpstr>calc_bs_ret_earn_m7</vt:lpstr>
      <vt:lpstr>'Sample Plan'!calc_bs_ret_earn_m8</vt:lpstr>
      <vt:lpstr>calc_bs_ret_earn_m8</vt:lpstr>
      <vt:lpstr>'Sample Plan'!calc_bs_ret_earn_m9</vt:lpstr>
      <vt:lpstr>calc_bs_ret_earn_m9</vt:lpstr>
      <vt:lpstr>'Sample Plan'!calc_bs_tax_pay_ann</vt:lpstr>
      <vt:lpstr>calc_bs_tax_pay_ann</vt:lpstr>
      <vt:lpstr>'Sample Plan'!calc_bs_tax_pay_m1</vt:lpstr>
      <vt:lpstr>calc_bs_tax_pay_m1</vt:lpstr>
      <vt:lpstr>'Sample Plan'!calc_bs_tax_pay_m10</vt:lpstr>
      <vt:lpstr>calc_bs_tax_pay_m10</vt:lpstr>
      <vt:lpstr>'Sample Plan'!calc_bs_tax_pay_m11</vt:lpstr>
      <vt:lpstr>calc_bs_tax_pay_m11</vt:lpstr>
      <vt:lpstr>'Sample Plan'!calc_bs_tax_pay_m12</vt:lpstr>
      <vt:lpstr>calc_bs_tax_pay_m12</vt:lpstr>
      <vt:lpstr>'Sample Plan'!calc_bs_tax_pay_m1m12</vt:lpstr>
      <vt:lpstr>calc_bs_tax_pay_m1m12</vt:lpstr>
      <vt:lpstr>'Sample Plan'!calc_bs_tax_pay_m2</vt:lpstr>
      <vt:lpstr>calc_bs_tax_pay_m2</vt:lpstr>
      <vt:lpstr>'Sample Plan'!calc_bs_tax_pay_m3</vt:lpstr>
      <vt:lpstr>calc_bs_tax_pay_m3</vt:lpstr>
      <vt:lpstr>'Sample Plan'!calc_bs_tax_pay_m4</vt:lpstr>
      <vt:lpstr>calc_bs_tax_pay_m4</vt:lpstr>
      <vt:lpstr>'Sample Plan'!calc_bs_tax_pay_m5</vt:lpstr>
      <vt:lpstr>calc_bs_tax_pay_m5</vt:lpstr>
      <vt:lpstr>'Sample Plan'!calc_bs_tax_pay_m6</vt:lpstr>
      <vt:lpstr>calc_bs_tax_pay_m6</vt:lpstr>
      <vt:lpstr>'Sample Plan'!calc_bs_tax_pay_m7</vt:lpstr>
      <vt:lpstr>calc_bs_tax_pay_m7</vt:lpstr>
      <vt:lpstr>'Sample Plan'!calc_bs_tax_pay_m8</vt:lpstr>
      <vt:lpstr>calc_bs_tax_pay_m8</vt:lpstr>
      <vt:lpstr>'Sample Plan'!calc_bs_tax_pay_m9</vt:lpstr>
      <vt:lpstr>calc_bs_tax_pay_m9</vt:lpstr>
      <vt:lpstr>'Sample Plan'!calc_bs_total_assets_ann</vt:lpstr>
      <vt:lpstr>calc_bs_total_assets_ann</vt:lpstr>
      <vt:lpstr>'Sample Plan'!calc_bs_total_assets_m1</vt:lpstr>
      <vt:lpstr>calc_bs_total_assets_m1</vt:lpstr>
      <vt:lpstr>'Sample Plan'!calc_bs_total_assets_m10</vt:lpstr>
      <vt:lpstr>calc_bs_total_assets_m10</vt:lpstr>
      <vt:lpstr>'Sample Plan'!calc_bs_total_assets_m11</vt:lpstr>
      <vt:lpstr>calc_bs_total_assets_m11</vt:lpstr>
      <vt:lpstr>'Sample Plan'!calc_bs_total_assets_m12</vt:lpstr>
      <vt:lpstr>calc_bs_total_assets_m12</vt:lpstr>
      <vt:lpstr>'Sample Plan'!calc_bs_total_assets_m1m12</vt:lpstr>
      <vt:lpstr>calc_bs_total_assets_m1m12</vt:lpstr>
      <vt:lpstr>'Sample Plan'!calc_bs_total_assets_m2</vt:lpstr>
      <vt:lpstr>calc_bs_total_assets_m2</vt:lpstr>
      <vt:lpstr>'Sample Plan'!calc_bs_total_assets_m3</vt:lpstr>
      <vt:lpstr>calc_bs_total_assets_m3</vt:lpstr>
      <vt:lpstr>'Sample Plan'!calc_bs_total_assets_m4</vt:lpstr>
      <vt:lpstr>calc_bs_total_assets_m4</vt:lpstr>
      <vt:lpstr>'Sample Plan'!calc_bs_total_assets_m5</vt:lpstr>
      <vt:lpstr>calc_bs_total_assets_m5</vt:lpstr>
      <vt:lpstr>'Sample Plan'!calc_bs_total_assets_m6</vt:lpstr>
      <vt:lpstr>calc_bs_total_assets_m6</vt:lpstr>
      <vt:lpstr>'Sample Plan'!calc_bs_total_assets_m7</vt:lpstr>
      <vt:lpstr>calc_bs_total_assets_m7</vt:lpstr>
      <vt:lpstr>'Sample Plan'!calc_bs_total_assets_m8</vt:lpstr>
      <vt:lpstr>calc_bs_total_assets_m8</vt:lpstr>
      <vt:lpstr>'Sample Plan'!calc_bs_total_assets_m9</vt:lpstr>
      <vt:lpstr>calc_bs_total_assets_m9</vt:lpstr>
      <vt:lpstr>'Sample Plan'!calc_bs_total_ca_ann</vt:lpstr>
      <vt:lpstr>calc_bs_total_ca_ann</vt:lpstr>
      <vt:lpstr>'Sample Plan'!calc_bs_total_ca_m1</vt:lpstr>
      <vt:lpstr>calc_bs_total_ca_m1</vt:lpstr>
      <vt:lpstr>'Sample Plan'!calc_bs_total_ca_m10</vt:lpstr>
      <vt:lpstr>calc_bs_total_ca_m10</vt:lpstr>
      <vt:lpstr>'Sample Plan'!calc_bs_total_ca_m11</vt:lpstr>
      <vt:lpstr>calc_bs_total_ca_m11</vt:lpstr>
      <vt:lpstr>'Sample Plan'!calc_bs_total_ca_m12</vt:lpstr>
      <vt:lpstr>calc_bs_total_ca_m12</vt:lpstr>
      <vt:lpstr>'Sample Plan'!calc_bs_total_ca_m1m12</vt:lpstr>
      <vt:lpstr>calc_bs_total_ca_m1m12</vt:lpstr>
      <vt:lpstr>'Sample Plan'!calc_bs_total_ca_m2</vt:lpstr>
      <vt:lpstr>calc_bs_total_ca_m2</vt:lpstr>
      <vt:lpstr>'Sample Plan'!calc_bs_total_ca_m3</vt:lpstr>
      <vt:lpstr>calc_bs_total_ca_m3</vt:lpstr>
      <vt:lpstr>'Sample Plan'!calc_bs_total_ca_m4</vt:lpstr>
      <vt:lpstr>calc_bs_total_ca_m4</vt:lpstr>
      <vt:lpstr>'Sample Plan'!calc_bs_total_ca_m5</vt:lpstr>
      <vt:lpstr>calc_bs_total_ca_m5</vt:lpstr>
      <vt:lpstr>'Sample Plan'!calc_bs_total_ca_m6</vt:lpstr>
      <vt:lpstr>calc_bs_total_ca_m6</vt:lpstr>
      <vt:lpstr>'Sample Plan'!calc_bs_total_ca_m7</vt:lpstr>
      <vt:lpstr>calc_bs_total_ca_m7</vt:lpstr>
      <vt:lpstr>'Sample Plan'!calc_bs_total_ca_m8</vt:lpstr>
      <vt:lpstr>calc_bs_total_ca_m8</vt:lpstr>
      <vt:lpstr>'Sample Plan'!calc_bs_total_ca_m9</vt:lpstr>
      <vt:lpstr>calc_bs_total_ca_m9</vt:lpstr>
      <vt:lpstr>'Sample Plan'!calc_bs_total_le_ann</vt:lpstr>
      <vt:lpstr>calc_bs_total_le_ann</vt:lpstr>
      <vt:lpstr>'Sample Plan'!calc_bs_total_le_m1</vt:lpstr>
      <vt:lpstr>calc_bs_total_le_m1</vt:lpstr>
      <vt:lpstr>'Sample Plan'!calc_bs_total_le_m10</vt:lpstr>
      <vt:lpstr>calc_bs_total_le_m10</vt:lpstr>
      <vt:lpstr>'Sample Plan'!calc_bs_total_le_m11</vt:lpstr>
      <vt:lpstr>calc_bs_total_le_m11</vt:lpstr>
      <vt:lpstr>'Sample Plan'!calc_bs_total_le_m12</vt:lpstr>
      <vt:lpstr>calc_bs_total_le_m12</vt:lpstr>
      <vt:lpstr>'Sample Plan'!calc_bs_total_le_m1m12</vt:lpstr>
      <vt:lpstr>calc_bs_total_le_m1m12</vt:lpstr>
      <vt:lpstr>'Sample Plan'!calc_bs_total_le_m2</vt:lpstr>
      <vt:lpstr>calc_bs_total_le_m2</vt:lpstr>
      <vt:lpstr>'Sample Plan'!calc_bs_total_le_m3</vt:lpstr>
      <vt:lpstr>calc_bs_total_le_m3</vt:lpstr>
      <vt:lpstr>'Sample Plan'!calc_bs_total_le_m4</vt:lpstr>
      <vt:lpstr>calc_bs_total_le_m4</vt:lpstr>
      <vt:lpstr>'Sample Plan'!calc_bs_total_le_m5</vt:lpstr>
      <vt:lpstr>calc_bs_total_le_m5</vt:lpstr>
      <vt:lpstr>'Sample Plan'!calc_bs_total_le_m6</vt:lpstr>
      <vt:lpstr>calc_bs_total_le_m6</vt:lpstr>
      <vt:lpstr>'Sample Plan'!calc_bs_total_le_m7</vt:lpstr>
      <vt:lpstr>calc_bs_total_le_m7</vt:lpstr>
      <vt:lpstr>'Sample Plan'!calc_bs_total_le_m8</vt:lpstr>
      <vt:lpstr>calc_bs_total_le_m8</vt:lpstr>
      <vt:lpstr>'Sample Plan'!calc_bs_total_le_m9</vt:lpstr>
      <vt:lpstr>calc_bs_total_le_m9</vt:lpstr>
      <vt:lpstr>'Sample Plan'!calc_bs_total_liab_ann</vt:lpstr>
      <vt:lpstr>calc_bs_total_liab_ann</vt:lpstr>
      <vt:lpstr>'Sample Plan'!calc_bs_total_liab_m1</vt:lpstr>
      <vt:lpstr>calc_bs_total_liab_m1</vt:lpstr>
      <vt:lpstr>'Sample Plan'!calc_bs_total_liab_m10</vt:lpstr>
      <vt:lpstr>calc_bs_total_liab_m10</vt:lpstr>
      <vt:lpstr>'Sample Plan'!calc_bs_total_liab_m11</vt:lpstr>
      <vt:lpstr>calc_bs_total_liab_m11</vt:lpstr>
      <vt:lpstr>'Sample Plan'!calc_bs_total_liab_m12</vt:lpstr>
      <vt:lpstr>calc_bs_total_liab_m12</vt:lpstr>
      <vt:lpstr>'Sample Plan'!calc_bs_total_liab_m1m12</vt:lpstr>
      <vt:lpstr>calc_bs_total_liab_m1m12</vt:lpstr>
      <vt:lpstr>'Sample Plan'!calc_bs_total_liab_m2</vt:lpstr>
      <vt:lpstr>calc_bs_total_liab_m2</vt:lpstr>
      <vt:lpstr>'Sample Plan'!calc_bs_total_liab_m3</vt:lpstr>
      <vt:lpstr>calc_bs_total_liab_m3</vt:lpstr>
      <vt:lpstr>'Sample Plan'!calc_bs_total_liab_m4</vt:lpstr>
      <vt:lpstr>calc_bs_total_liab_m4</vt:lpstr>
      <vt:lpstr>'Sample Plan'!calc_bs_total_liab_m5</vt:lpstr>
      <vt:lpstr>calc_bs_total_liab_m5</vt:lpstr>
      <vt:lpstr>'Sample Plan'!calc_bs_total_liab_m6</vt:lpstr>
      <vt:lpstr>calc_bs_total_liab_m6</vt:lpstr>
      <vt:lpstr>'Sample Plan'!calc_bs_total_liab_m7</vt:lpstr>
      <vt:lpstr>calc_bs_total_liab_m7</vt:lpstr>
      <vt:lpstr>'Sample Plan'!calc_bs_total_liab_m8</vt:lpstr>
      <vt:lpstr>calc_bs_total_liab_m8</vt:lpstr>
      <vt:lpstr>'Sample Plan'!calc_bs_total_liab_m9</vt:lpstr>
      <vt:lpstr>calc_bs_total_liab_m9</vt:lpstr>
      <vt:lpstr>'Sample Plan'!calc_capex_neg_ann</vt:lpstr>
      <vt:lpstr>calc_capex_neg_ann</vt:lpstr>
      <vt:lpstr>'Sample Plan'!calc_capex_neg_m1</vt:lpstr>
      <vt:lpstr>calc_capex_neg_m1</vt:lpstr>
      <vt:lpstr>'Sample Plan'!calc_capex_neg_m10</vt:lpstr>
      <vt:lpstr>calc_capex_neg_m10</vt:lpstr>
      <vt:lpstr>'Sample Plan'!calc_capex_neg_m11</vt:lpstr>
      <vt:lpstr>calc_capex_neg_m11</vt:lpstr>
      <vt:lpstr>'Sample Plan'!calc_capex_neg_m12</vt:lpstr>
      <vt:lpstr>calc_capex_neg_m12</vt:lpstr>
      <vt:lpstr>'Sample Plan'!calc_capex_neg_m1m12</vt:lpstr>
      <vt:lpstr>calc_capex_neg_m1m12</vt:lpstr>
      <vt:lpstr>'Sample Plan'!calc_capex_neg_m2</vt:lpstr>
      <vt:lpstr>calc_capex_neg_m2</vt:lpstr>
      <vt:lpstr>'Sample Plan'!calc_capex_neg_m3</vt:lpstr>
      <vt:lpstr>calc_capex_neg_m3</vt:lpstr>
      <vt:lpstr>'Sample Plan'!calc_capex_neg_m4</vt:lpstr>
      <vt:lpstr>calc_capex_neg_m4</vt:lpstr>
      <vt:lpstr>'Sample Plan'!calc_capex_neg_m5</vt:lpstr>
      <vt:lpstr>calc_capex_neg_m5</vt:lpstr>
      <vt:lpstr>'Sample Plan'!calc_capex_neg_m6</vt:lpstr>
      <vt:lpstr>calc_capex_neg_m6</vt:lpstr>
      <vt:lpstr>'Sample Plan'!calc_capex_neg_m7</vt:lpstr>
      <vt:lpstr>calc_capex_neg_m7</vt:lpstr>
      <vt:lpstr>'Sample Plan'!calc_capex_neg_m8</vt:lpstr>
      <vt:lpstr>calc_capex_neg_m8</vt:lpstr>
      <vt:lpstr>'Sample Plan'!calc_capex_neg_m9</vt:lpstr>
      <vt:lpstr>calc_capex_neg_m9</vt:lpstr>
      <vt:lpstr>'Sample Plan'!calc_close_cash_ann</vt:lpstr>
      <vt:lpstr>calc_close_cash_ann</vt:lpstr>
      <vt:lpstr>'Sample Plan'!calc_close_cash_m1</vt:lpstr>
      <vt:lpstr>calc_close_cash_m1</vt:lpstr>
      <vt:lpstr>'Sample Plan'!calc_close_cash_m10</vt:lpstr>
      <vt:lpstr>calc_close_cash_m10</vt:lpstr>
      <vt:lpstr>'Sample Plan'!calc_close_cash_m11</vt:lpstr>
      <vt:lpstr>calc_close_cash_m11</vt:lpstr>
      <vt:lpstr>'Sample Plan'!calc_close_cash_m12</vt:lpstr>
      <vt:lpstr>calc_close_cash_m12</vt:lpstr>
      <vt:lpstr>'Sample Plan'!calc_close_cash_m1m12</vt:lpstr>
      <vt:lpstr>calc_close_cash_m1m12</vt:lpstr>
      <vt:lpstr>'Sample Plan'!calc_close_cash_m2</vt:lpstr>
      <vt:lpstr>calc_close_cash_m2</vt:lpstr>
      <vt:lpstr>'Sample Plan'!calc_close_cash_m3</vt:lpstr>
      <vt:lpstr>calc_close_cash_m3</vt:lpstr>
      <vt:lpstr>'Sample Plan'!calc_close_cash_m4</vt:lpstr>
      <vt:lpstr>calc_close_cash_m4</vt:lpstr>
      <vt:lpstr>'Sample Plan'!calc_close_cash_m5</vt:lpstr>
      <vt:lpstr>calc_close_cash_m5</vt:lpstr>
      <vt:lpstr>'Sample Plan'!calc_close_cash_m6</vt:lpstr>
      <vt:lpstr>calc_close_cash_m6</vt:lpstr>
      <vt:lpstr>'Sample Plan'!calc_close_cash_m7</vt:lpstr>
      <vt:lpstr>calc_close_cash_m7</vt:lpstr>
      <vt:lpstr>'Sample Plan'!calc_close_cash_m8</vt:lpstr>
      <vt:lpstr>calc_close_cash_m8</vt:lpstr>
      <vt:lpstr>'Sample Plan'!calc_close_cash_m9</vt:lpstr>
      <vt:lpstr>calc_close_cash_m9</vt:lpstr>
      <vt:lpstr>'Sample Plan'!calc_da_ann</vt:lpstr>
      <vt:lpstr>calc_da_ann</vt:lpstr>
      <vt:lpstr>'Sample Plan'!calc_da_m1</vt:lpstr>
      <vt:lpstr>calc_da_m1</vt:lpstr>
      <vt:lpstr>'Sample Plan'!calc_da_m10</vt:lpstr>
      <vt:lpstr>calc_da_m10</vt:lpstr>
      <vt:lpstr>'Sample Plan'!calc_da_m11</vt:lpstr>
      <vt:lpstr>calc_da_m11</vt:lpstr>
      <vt:lpstr>'Sample Plan'!calc_da_m12</vt:lpstr>
      <vt:lpstr>calc_da_m12</vt:lpstr>
      <vt:lpstr>'Sample Plan'!calc_da_m1m12</vt:lpstr>
      <vt:lpstr>calc_da_m1m12</vt:lpstr>
      <vt:lpstr>'Sample Plan'!calc_da_m2</vt:lpstr>
      <vt:lpstr>calc_da_m2</vt:lpstr>
      <vt:lpstr>'Sample Plan'!calc_da_m3</vt:lpstr>
      <vt:lpstr>calc_da_m3</vt:lpstr>
      <vt:lpstr>'Sample Plan'!calc_da_m4</vt:lpstr>
      <vt:lpstr>calc_da_m4</vt:lpstr>
      <vt:lpstr>'Sample Plan'!calc_da_m5</vt:lpstr>
      <vt:lpstr>calc_da_m5</vt:lpstr>
      <vt:lpstr>'Sample Plan'!calc_da_m6</vt:lpstr>
      <vt:lpstr>calc_da_m6</vt:lpstr>
      <vt:lpstr>'Sample Plan'!calc_da_m7</vt:lpstr>
      <vt:lpstr>calc_da_m7</vt:lpstr>
      <vt:lpstr>'Sample Plan'!calc_da_m8</vt:lpstr>
      <vt:lpstr>calc_da_m8</vt:lpstr>
      <vt:lpstr>'Sample Plan'!calc_da_m9</vt:lpstr>
      <vt:lpstr>calc_da_m9</vt:lpstr>
      <vt:lpstr>'Sample Plan'!calc_dc_contractors_ann</vt:lpstr>
      <vt:lpstr>calc_dc_contractors_ann</vt:lpstr>
      <vt:lpstr>'Sample Plan'!calc_dc_contractors_m1</vt:lpstr>
      <vt:lpstr>calc_dc_contractors_m1</vt:lpstr>
      <vt:lpstr>'Sample Plan'!calc_dc_contractors_m10</vt:lpstr>
      <vt:lpstr>calc_dc_contractors_m10</vt:lpstr>
      <vt:lpstr>'Sample Plan'!calc_dc_contractors_m11</vt:lpstr>
      <vt:lpstr>calc_dc_contractors_m11</vt:lpstr>
      <vt:lpstr>'Sample Plan'!calc_dc_contractors_m12</vt:lpstr>
      <vt:lpstr>calc_dc_contractors_m12</vt:lpstr>
      <vt:lpstr>'Sample Plan'!calc_dc_contractors_m1m12</vt:lpstr>
      <vt:lpstr>calc_dc_contractors_m1m12</vt:lpstr>
      <vt:lpstr>'Sample Plan'!calc_dc_contractors_m2</vt:lpstr>
      <vt:lpstr>calc_dc_contractors_m2</vt:lpstr>
      <vt:lpstr>'Sample Plan'!calc_dc_contractors_m3</vt:lpstr>
      <vt:lpstr>calc_dc_contractors_m3</vt:lpstr>
      <vt:lpstr>'Sample Plan'!calc_dc_contractors_m4</vt:lpstr>
      <vt:lpstr>calc_dc_contractors_m4</vt:lpstr>
      <vt:lpstr>'Sample Plan'!calc_dc_contractors_m5</vt:lpstr>
      <vt:lpstr>calc_dc_contractors_m5</vt:lpstr>
      <vt:lpstr>'Sample Plan'!calc_dc_contractors_m6</vt:lpstr>
      <vt:lpstr>calc_dc_contractors_m6</vt:lpstr>
      <vt:lpstr>'Sample Plan'!calc_dc_contractors_m7</vt:lpstr>
      <vt:lpstr>calc_dc_contractors_m7</vt:lpstr>
      <vt:lpstr>'Sample Plan'!calc_dc_contractors_m8</vt:lpstr>
      <vt:lpstr>calc_dc_contractors_m8</vt:lpstr>
      <vt:lpstr>'Sample Plan'!calc_dc_contractors_m9</vt:lpstr>
      <vt:lpstr>calc_dc_contractors_m9</vt:lpstr>
      <vt:lpstr>'Sample Plan'!calc_dc_other_dc_ann</vt:lpstr>
      <vt:lpstr>calc_dc_other_dc_ann</vt:lpstr>
      <vt:lpstr>'Sample Plan'!calc_dc_other_dc_m1</vt:lpstr>
      <vt:lpstr>calc_dc_other_dc_m1</vt:lpstr>
      <vt:lpstr>'Sample Plan'!calc_dc_other_dc_m10</vt:lpstr>
      <vt:lpstr>calc_dc_other_dc_m10</vt:lpstr>
      <vt:lpstr>'Sample Plan'!calc_dc_other_dc_m11</vt:lpstr>
      <vt:lpstr>calc_dc_other_dc_m11</vt:lpstr>
      <vt:lpstr>'Sample Plan'!calc_dc_other_dc_m12</vt:lpstr>
      <vt:lpstr>calc_dc_other_dc_m12</vt:lpstr>
      <vt:lpstr>'Sample Plan'!calc_dc_other_dc_m1m12</vt:lpstr>
      <vt:lpstr>calc_dc_other_dc_m1m12</vt:lpstr>
      <vt:lpstr>'Sample Plan'!calc_dc_other_dc_m2</vt:lpstr>
      <vt:lpstr>calc_dc_other_dc_m2</vt:lpstr>
      <vt:lpstr>'Sample Plan'!calc_dc_other_dc_m3</vt:lpstr>
      <vt:lpstr>calc_dc_other_dc_m3</vt:lpstr>
      <vt:lpstr>'Sample Plan'!calc_dc_other_dc_m4</vt:lpstr>
      <vt:lpstr>calc_dc_other_dc_m4</vt:lpstr>
      <vt:lpstr>'Sample Plan'!calc_dc_other_dc_m5</vt:lpstr>
      <vt:lpstr>calc_dc_other_dc_m5</vt:lpstr>
      <vt:lpstr>'Sample Plan'!calc_dc_other_dc_m6</vt:lpstr>
      <vt:lpstr>calc_dc_other_dc_m6</vt:lpstr>
      <vt:lpstr>'Sample Plan'!calc_dc_other_dc_m7</vt:lpstr>
      <vt:lpstr>calc_dc_other_dc_m7</vt:lpstr>
      <vt:lpstr>'Sample Plan'!calc_dc_other_dc_m8</vt:lpstr>
      <vt:lpstr>calc_dc_other_dc_m8</vt:lpstr>
      <vt:lpstr>'Sample Plan'!calc_dc_other_dc_m9</vt:lpstr>
      <vt:lpstr>calc_dc_other_dc_m9</vt:lpstr>
      <vt:lpstr>'Sample Plan'!calc_dc_passthrough_ann</vt:lpstr>
      <vt:lpstr>calc_dc_passthrough_ann</vt:lpstr>
      <vt:lpstr>'Sample Plan'!calc_dc_passthrough_m1</vt:lpstr>
      <vt:lpstr>calc_dc_passthrough_m1</vt:lpstr>
      <vt:lpstr>'Sample Plan'!calc_dc_passthrough_m10</vt:lpstr>
      <vt:lpstr>calc_dc_passthrough_m10</vt:lpstr>
      <vt:lpstr>'Sample Plan'!calc_dc_passthrough_m11</vt:lpstr>
      <vt:lpstr>calc_dc_passthrough_m11</vt:lpstr>
      <vt:lpstr>'Sample Plan'!calc_dc_passthrough_m12</vt:lpstr>
      <vt:lpstr>calc_dc_passthrough_m12</vt:lpstr>
      <vt:lpstr>'Sample Plan'!calc_dc_passthrough_m1m12</vt:lpstr>
      <vt:lpstr>calc_dc_passthrough_m1m12</vt:lpstr>
      <vt:lpstr>'Sample Plan'!calc_dc_passthrough_m2</vt:lpstr>
      <vt:lpstr>calc_dc_passthrough_m2</vt:lpstr>
      <vt:lpstr>'Sample Plan'!calc_dc_passthrough_m3</vt:lpstr>
      <vt:lpstr>calc_dc_passthrough_m3</vt:lpstr>
      <vt:lpstr>'Sample Plan'!calc_dc_passthrough_m4</vt:lpstr>
      <vt:lpstr>calc_dc_passthrough_m4</vt:lpstr>
      <vt:lpstr>'Sample Plan'!calc_dc_passthrough_m5</vt:lpstr>
      <vt:lpstr>calc_dc_passthrough_m5</vt:lpstr>
      <vt:lpstr>'Sample Plan'!calc_dc_passthrough_m6</vt:lpstr>
      <vt:lpstr>calc_dc_passthrough_m6</vt:lpstr>
      <vt:lpstr>'Sample Plan'!calc_dc_passthrough_m7</vt:lpstr>
      <vt:lpstr>calc_dc_passthrough_m7</vt:lpstr>
      <vt:lpstr>'Sample Plan'!calc_dc_passthrough_m8</vt:lpstr>
      <vt:lpstr>calc_dc_passthrough_m8</vt:lpstr>
      <vt:lpstr>'Sample Plan'!calc_dc_passthrough_m9</vt:lpstr>
      <vt:lpstr>calc_dc_passthrough_m9</vt:lpstr>
      <vt:lpstr>'Sample Plan'!calc_dc_payroll_ann</vt:lpstr>
      <vt:lpstr>calc_dc_payroll_ann</vt:lpstr>
      <vt:lpstr>'Sample Plan'!calc_dc_payroll_m1</vt:lpstr>
      <vt:lpstr>calc_dc_payroll_m1</vt:lpstr>
      <vt:lpstr>'Sample Plan'!calc_dc_payroll_m10</vt:lpstr>
      <vt:lpstr>calc_dc_payroll_m10</vt:lpstr>
      <vt:lpstr>'Sample Plan'!calc_dc_payroll_m11</vt:lpstr>
      <vt:lpstr>calc_dc_payroll_m11</vt:lpstr>
      <vt:lpstr>'Sample Plan'!calc_dc_payroll_m12</vt:lpstr>
      <vt:lpstr>calc_dc_payroll_m12</vt:lpstr>
      <vt:lpstr>'Sample Plan'!calc_dc_payroll_m1m12</vt:lpstr>
      <vt:lpstr>calc_dc_payroll_m1m12</vt:lpstr>
      <vt:lpstr>'Sample Plan'!calc_dc_payroll_m2</vt:lpstr>
      <vt:lpstr>calc_dc_payroll_m2</vt:lpstr>
      <vt:lpstr>'Sample Plan'!calc_dc_payroll_m3</vt:lpstr>
      <vt:lpstr>calc_dc_payroll_m3</vt:lpstr>
      <vt:lpstr>'Sample Plan'!calc_dc_payroll_m4</vt:lpstr>
      <vt:lpstr>calc_dc_payroll_m4</vt:lpstr>
      <vt:lpstr>'Sample Plan'!calc_dc_payroll_m5</vt:lpstr>
      <vt:lpstr>calc_dc_payroll_m5</vt:lpstr>
      <vt:lpstr>'Sample Plan'!calc_dc_payroll_m6</vt:lpstr>
      <vt:lpstr>calc_dc_payroll_m6</vt:lpstr>
      <vt:lpstr>'Sample Plan'!calc_dc_payroll_m7</vt:lpstr>
      <vt:lpstr>calc_dc_payroll_m7</vt:lpstr>
      <vt:lpstr>'Sample Plan'!calc_dc_payroll_m8</vt:lpstr>
      <vt:lpstr>calc_dc_payroll_m8</vt:lpstr>
      <vt:lpstr>'Sample Plan'!calc_dc_payroll_m9</vt:lpstr>
      <vt:lpstr>calc_dc_payroll_m9</vt:lpstr>
      <vt:lpstr>'Sample Plan'!calc_dc_tools_ann</vt:lpstr>
      <vt:lpstr>calc_dc_tools_ann</vt:lpstr>
      <vt:lpstr>'Sample Plan'!calc_dc_tools_m1</vt:lpstr>
      <vt:lpstr>calc_dc_tools_m1</vt:lpstr>
      <vt:lpstr>'Sample Plan'!calc_dc_tools_m10</vt:lpstr>
      <vt:lpstr>calc_dc_tools_m10</vt:lpstr>
      <vt:lpstr>'Sample Plan'!calc_dc_tools_m11</vt:lpstr>
      <vt:lpstr>calc_dc_tools_m11</vt:lpstr>
      <vt:lpstr>'Sample Plan'!calc_dc_tools_m12</vt:lpstr>
      <vt:lpstr>calc_dc_tools_m12</vt:lpstr>
      <vt:lpstr>'Sample Plan'!calc_dc_tools_m1m12</vt:lpstr>
      <vt:lpstr>calc_dc_tools_m1m12</vt:lpstr>
      <vt:lpstr>'Sample Plan'!calc_dc_tools_m2</vt:lpstr>
      <vt:lpstr>calc_dc_tools_m2</vt:lpstr>
      <vt:lpstr>'Sample Plan'!calc_dc_tools_m3</vt:lpstr>
      <vt:lpstr>calc_dc_tools_m3</vt:lpstr>
      <vt:lpstr>'Sample Plan'!calc_dc_tools_m4</vt:lpstr>
      <vt:lpstr>calc_dc_tools_m4</vt:lpstr>
      <vt:lpstr>'Sample Plan'!calc_dc_tools_m5</vt:lpstr>
      <vt:lpstr>calc_dc_tools_m5</vt:lpstr>
      <vt:lpstr>'Sample Plan'!calc_dc_tools_m6</vt:lpstr>
      <vt:lpstr>calc_dc_tools_m6</vt:lpstr>
      <vt:lpstr>'Sample Plan'!calc_dc_tools_m7</vt:lpstr>
      <vt:lpstr>calc_dc_tools_m7</vt:lpstr>
      <vt:lpstr>'Sample Plan'!calc_dc_tools_m8</vt:lpstr>
      <vt:lpstr>calc_dc_tools_m8</vt:lpstr>
      <vt:lpstr>'Sample Plan'!calc_dc_tools_m9</vt:lpstr>
      <vt:lpstr>calc_dc_tools_m9</vt:lpstr>
      <vt:lpstr>'Sample Plan'!calc_dc_total_ann</vt:lpstr>
      <vt:lpstr>calc_dc_total_ann</vt:lpstr>
      <vt:lpstr>'Sample Plan'!calc_dc_total_m1</vt:lpstr>
      <vt:lpstr>calc_dc_total_m1</vt:lpstr>
      <vt:lpstr>'Sample Plan'!calc_dc_total_m10</vt:lpstr>
      <vt:lpstr>calc_dc_total_m10</vt:lpstr>
      <vt:lpstr>'Sample Plan'!calc_dc_total_m11</vt:lpstr>
      <vt:lpstr>calc_dc_total_m11</vt:lpstr>
      <vt:lpstr>'Sample Plan'!calc_dc_total_m12</vt:lpstr>
      <vt:lpstr>calc_dc_total_m12</vt:lpstr>
      <vt:lpstr>'Sample Plan'!calc_dc_total_m1m12</vt:lpstr>
      <vt:lpstr>calc_dc_total_m1m12</vt:lpstr>
      <vt:lpstr>'Sample Plan'!calc_dc_total_m2</vt:lpstr>
      <vt:lpstr>calc_dc_total_m2</vt:lpstr>
      <vt:lpstr>'Sample Plan'!calc_dc_total_m3</vt:lpstr>
      <vt:lpstr>calc_dc_total_m3</vt:lpstr>
      <vt:lpstr>'Sample Plan'!calc_dc_total_m4</vt:lpstr>
      <vt:lpstr>calc_dc_total_m4</vt:lpstr>
      <vt:lpstr>'Sample Plan'!calc_dc_total_m5</vt:lpstr>
      <vt:lpstr>calc_dc_total_m5</vt:lpstr>
      <vt:lpstr>'Sample Plan'!calc_dc_total_m6</vt:lpstr>
      <vt:lpstr>calc_dc_total_m6</vt:lpstr>
      <vt:lpstr>'Sample Plan'!calc_dc_total_m7</vt:lpstr>
      <vt:lpstr>calc_dc_total_m7</vt:lpstr>
      <vt:lpstr>'Sample Plan'!calc_dc_total_m8</vt:lpstr>
      <vt:lpstr>calc_dc_total_m8</vt:lpstr>
      <vt:lpstr>'Sample Plan'!calc_dc_total_m9</vt:lpstr>
      <vt:lpstr>calc_dc_total_m9</vt:lpstr>
      <vt:lpstr>'Sample Plan'!calc_debt_draw_ann</vt:lpstr>
      <vt:lpstr>calc_debt_draw_ann</vt:lpstr>
      <vt:lpstr>'Sample Plan'!calc_debt_draw_m1</vt:lpstr>
      <vt:lpstr>calc_debt_draw_m1</vt:lpstr>
      <vt:lpstr>'Sample Plan'!calc_debt_draw_m10</vt:lpstr>
      <vt:lpstr>calc_debt_draw_m10</vt:lpstr>
      <vt:lpstr>'Sample Plan'!calc_debt_draw_m11</vt:lpstr>
      <vt:lpstr>calc_debt_draw_m11</vt:lpstr>
      <vt:lpstr>'Sample Plan'!calc_debt_draw_m12</vt:lpstr>
      <vt:lpstr>calc_debt_draw_m12</vt:lpstr>
      <vt:lpstr>'Sample Plan'!calc_debt_draw_m1m12</vt:lpstr>
      <vt:lpstr>calc_debt_draw_m1m12</vt:lpstr>
      <vt:lpstr>'Sample Plan'!calc_debt_draw_m2</vt:lpstr>
      <vt:lpstr>calc_debt_draw_m2</vt:lpstr>
      <vt:lpstr>'Sample Plan'!calc_debt_draw_m3</vt:lpstr>
      <vt:lpstr>calc_debt_draw_m3</vt:lpstr>
      <vt:lpstr>'Sample Plan'!calc_debt_draw_m4</vt:lpstr>
      <vt:lpstr>calc_debt_draw_m4</vt:lpstr>
      <vt:lpstr>'Sample Plan'!calc_debt_draw_m5</vt:lpstr>
      <vt:lpstr>calc_debt_draw_m5</vt:lpstr>
      <vt:lpstr>'Sample Plan'!calc_debt_draw_m6</vt:lpstr>
      <vt:lpstr>calc_debt_draw_m6</vt:lpstr>
      <vt:lpstr>'Sample Plan'!calc_debt_draw_m7</vt:lpstr>
      <vt:lpstr>calc_debt_draw_m7</vt:lpstr>
      <vt:lpstr>'Sample Plan'!calc_debt_draw_m8</vt:lpstr>
      <vt:lpstr>calc_debt_draw_m8</vt:lpstr>
      <vt:lpstr>'Sample Plan'!calc_debt_draw_m9</vt:lpstr>
      <vt:lpstr>calc_debt_draw_m9</vt:lpstr>
      <vt:lpstr>'Sample Plan'!calc_debt_repay_neg_ann</vt:lpstr>
      <vt:lpstr>calc_debt_repay_neg_ann</vt:lpstr>
      <vt:lpstr>'Sample Plan'!calc_debt_repay_neg_m1</vt:lpstr>
      <vt:lpstr>calc_debt_repay_neg_m1</vt:lpstr>
      <vt:lpstr>'Sample Plan'!calc_debt_repay_neg_m10</vt:lpstr>
      <vt:lpstr>calc_debt_repay_neg_m10</vt:lpstr>
      <vt:lpstr>'Sample Plan'!calc_debt_repay_neg_m11</vt:lpstr>
      <vt:lpstr>calc_debt_repay_neg_m11</vt:lpstr>
      <vt:lpstr>'Sample Plan'!calc_debt_repay_neg_m12</vt:lpstr>
      <vt:lpstr>calc_debt_repay_neg_m12</vt:lpstr>
      <vt:lpstr>'Sample Plan'!calc_debt_repay_neg_m1m12</vt:lpstr>
      <vt:lpstr>calc_debt_repay_neg_m1m12</vt:lpstr>
      <vt:lpstr>'Sample Plan'!calc_debt_repay_neg_m2</vt:lpstr>
      <vt:lpstr>calc_debt_repay_neg_m2</vt:lpstr>
      <vt:lpstr>'Sample Plan'!calc_debt_repay_neg_m3</vt:lpstr>
      <vt:lpstr>calc_debt_repay_neg_m3</vt:lpstr>
      <vt:lpstr>'Sample Plan'!calc_debt_repay_neg_m4</vt:lpstr>
      <vt:lpstr>calc_debt_repay_neg_m4</vt:lpstr>
      <vt:lpstr>'Sample Plan'!calc_debt_repay_neg_m5</vt:lpstr>
      <vt:lpstr>calc_debt_repay_neg_m5</vt:lpstr>
      <vt:lpstr>'Sample Plan'!calc_debt_repay_neg_m6</vt:lpstr>
      <vt:lpstr>calc_debt_repay_neg_m6</vt:lpstr>
      <vt:lpstr>'Sample Plan'!calc_debt_repay_neg_m7</vt:lpstr>
      <vt:lpstr>calc_debt_repay_neg_m7</vt:lpstr>
      <vt:lpstr>'Sample Plan'!calc_debt_repay_neg_m8</vt:lpstr>
      <vt:lpstr>calc_debt_repay_neg_m8</vt:lpstr>
      <vt:lpstr>'Sample Plan'!calc_debt_repay_neg_m9</vt:lpstr>
      <vt:lpstr>calc_debt_repay_neg_m9</vt:lpstr>
      <vt:lpstr>'Sample Plan'!calc_delta_ap_pos_ann</vt:lpstr>
      <vt:lpstr>calc_delta_ap_pos_ann</vt:lpstr>
      <vt:lpstr>'Sample Plan'!calc_delta_ap_pos_m1</vt:lpstr>
      <vt:lpstr>calc_delta_ap_pos_m1</vt:lpstr>
      <vt:lpstr>'Sample Plan'!calc_delta_ap_pos_m10</vt:lpstr>
      <vt:lpstr>calc_delta_ap_pos_m10</vt:lpstr>
      <vt:lpstr>'Sample Plan'!calc_delta_ap_pos_m11</vt:lpstr>
      <vt:lpstr>calc_delta_ap_pos_m11</vt:lpstr>
      <vt:lpstr>'Sample Plan'!calc_delta_ap_pos_m12</vt:lpstr>
      <vt:lpstr>calc_delta_ap_pos_m12</vt:lpstr>
      <vt:lpstr>'Sample Plan'!calc_delta_ap_pos_m1m12</vt:lpstr>
      <vt:lpstr>calc_delta_ap_pos_m1m12</vt:lpstr>
      <vt:lpstr>'Sample Plan'!calc_delta_ap_pos_m2</vt:lpstr>
      <vt:lpstr>calc_delta_ap_pos_m2</vt:lpstr>
      <vt:lpstr>'Sample Plan'!calc_delta_ap_pos_m3</vt:lpstr>
      <vt:lpstr>calc_delta_ap_pos_m3</vt:lpstr>
      <vt:lpstr>'Sample Plan'!calc_delta_ap_pos_m4</vt:lpstr>
      <vt:lpstr>calc_delta_ap_pos_m4</vt:lpstr>
      <vt:lpstr>'Sample Plan'!calc_delta_ap_pos_m5</vt:lpstr>
      <vt:lpstr>calc_delta_ap_pos_m5</vt:lpstr>
      <vt:lpstr>'Sample Plan'!calc_delta_ap_pos_m6</vt:lpstr>
      <vt:lpstr>calc_delta_ap_pos_m6</vt:lpstr>
      <vt:lpstr>'Sample Plan'!calc_delta_ap_pos_m7</vt:lpstr>
      <vt:lpstr>calc_delta_ap_pos_m7</vt:lpstr>
      <vt:lpstr>'Sample Plan'!calc_delta_ap_pos_m8</vt:lpstr>
      <vt:lpstr>calc_delta_ap_pos_m8</vt:lpstr>
      <vt:lpstr>'Sample Plan'!calc_delta_ap_pos_m9</vt:lpstr>
      <vt:lpstr>calc_delta_ap_pos_m9</vt:lpstr>
      <vt:lpstr>'Sample Plan'!calc_delta_ar_neg_ann</vt:lpstr>
      <vt:lpstr>calc_delta_ar_neg_ann</vt:lpstr>
      <vt:lpstr>'Sample Plan'!calc_delta_ar_neg_m1</vt:lpstr>
      <vt:lpstr>calc_delta_ar_neg_m1</vt:lpstr>
      <vt:lpstr>'Sample Plan'!calc_delta_ar_neg_m10</vt:lpstr>
      <vt:lpstr>calc_delta_ar_neg_m10</vt:lpstr>
      <vt:lpstr>'Sample Plan'!calc_delta_ar_neg_m11</vt:lpstr>
      <vt:lpstr>calc_delta_ar_neg_m11</vt:lpstr>
      <vt:lpstr>'Sample Plan'!calc_delta_ar_neg_m12</vt:lpstr>
      <vt:lpstr>calc_delta_ar_neg_m12</vt:lpstr>
      <vt:lpstr>'Sample Plan'!calc_delta_ar_neg_m1m12</vt:lpstr>
      <vt:lpstr>calc_delta_ar_neg_m1m12</vt:lpstr>
      <vt:lpstr>'Sample Plan'!calc_delta_ar_neg_m2</vt:lpstr>
      <vt:lpstr>calc_delta_ar_neg_m2</vt:lpstr>
      <vt:lpstr>'Sample Plan'!calc_delta_ar_neg_m3</vt:lpstr>
      <vt:lpstr>calc_delta_ar_neg_m3</vt:lpstr>
      <vt:lpstr>'Sample Plan'!calc_delta_ar_neg_m4</vt:lpstr>
      <vt:lpstr>calc_delta_ar_neg_m4</vt:lpstr>
      <vt:lpstr>'Sample Plan'!calc_delta_ar_neg_m5</vt:lpstr>
      <vt:lpstr>calc_delta_ar_neg_m5</vt:lpstr>
      <vt:lpstr>'Sample Plan'!calc_delta_ar_neg_m6</vt:lpstr>
      <vt:lpstr>calc_delta_ar_neg_m6</vt:lpstr>
      <vt:lpstr>'Sample Plan'!calc_delta_ar_neg_m7</vt:lpstr>
      <vt:lpstr>calc_delta_ar_neg_m7</vt:lpstr>
      <vt:lpstr>'Sample Plan'!calc_delta_ar_neg_m8</vt:lpstr>
      <vt:lpstr>calc_delta_ar_neg_m8</vt:lpstr>
      <vt:lpstr>'Sample Plan'!calc_delta_ar_neg_m9</vt:lpstr>
      <vt:lpstr>calc_delta_ar_neg_m9</vt:lpstr>
      <vt:lpstr>'Sample Plan'!calc_dist_neg_ann</vt:lpstr>
      <vt:lpstr>calc_dist_neg_ann</vt:lpstr>
      <vt:lpstr>'Sample Plan'!calc_dist_neg_m1</vt:lpstr>
      <vt:lpstr>calc_dist_neg_m1</vt:lpstr>
      <vt:lpstr>'Sample Plan'!calc_dist_neg_m10</vt:lpstr>
      <vt:lpstr>calc_dist_neg_m10</vt:lpstr>
      <vt:lpstr>'Sample Plan'!calc_dist_neg_m11</vt:lpstr>
      <vt:lpstr>calc_dist_neg_m11</vt:lpstr>
      <vt:lpstr>'Sample Plan'!calc_dist_neg_m12</vt:lpstr>
      <vt:lpstr>calc_dist_neg_m12</vt:lpstr>
      <vt:lpstr>'Sample Plan'!calc_dist_neg_m1m12</vt:lpstr>
      <vt:lpstr>calc_dist_neg_m1m12</vt:lpstr>
      <vt:lpstr>'Sample Plan'!calc_dist_neg_m2</vt:lpstr>
      <vt:lpstr>calc_dist_neg_m2</vt:lpstr>
      <vt:lpstr>'Sample Plan'!calc_dist_neg_m3</vt:lpstr>
      <vt:lpstr>calc_dist_neg_m3</vt:lpstr>
      <vt:lpstr>'Sample Plan'!calc_dist_neg_m4</vt:lpstr>
      <vt:lpstr>calc_dist_neg_m4</vt:lpstr>
      <vt:lpstr>'Sample Plan'!calc_dist_neg_m5</vt:lpstr>
      <vt:lpstr>calc_dist_neg_m5</vt:lpstr>
      <vt:lpstr>'Sample Plan'!calc_dist_neg_m6</vt:lpstr>
      <vt:lpstr>calc_dist_neg_m6</vt:lpstr>
      <vt:lpstr>'Sample Plan'!calc_dist_neg_m7</vt:lpstr>
      <vt:lpstr>calc_dist_neg_m7</vt:lpstr>
      <vt:lpstr>'Sample Plan'!calc_dist_neg_m8</vt:lpstr>
      <vt:lpstr>calc_dist_neg_m8</vt:lpstr>
      <vt:lpstr>'Sample Plan'!calc_dist_neg_m9</vt:lpstr>
      <vt:lpstr>calc_dist_neg_m9</vt:lpstr>
      <vt:lpstr>'Sample Plan'!calc_ebitda_ann</vt:lpstr>
      <vt:lpstr>calc_ebitda_ann</vt:lpstr>
      <vt:lpstr>'Sample Plan'!calc_ebitda_m1</vt:lpstr>
      <vt:lpstr>calc_ebitda_m1</vt:lpstr>
      <vt:lpstr>'Sample Plan'!calc_ebitda_m10</vt:lpstr>
      <vt:lpstr>calc_ebitda_m10</vt:lpstr>
      <vt:lpstr>'Sample Plan'!calc_ebitda_m11</vt:lpstr>
      <vt:lpstr>calc_ebitda_m11</vt:lpstr>
      <vt:lpstr>'Sample Plan'!calc_ebitda_m12</vt:lpstr>
      <vt:lpstr>calc_ebitda_m12</vt:lpstr>
      <vt:lpstr>'Sample Plan'!calc_ebitda_m1m12</vt:lpstr>
      <vt:lpstr>calc_ebitda_m1m12</vt:lpstr>
      <vt:lpstr>'Sample Plan'!calc_ebitda_m2</vt:lpstr>
      <vt:lpstr>calc_ebitda_m2</vt:lpstr>
      <vt:lpstr>'Sample Plan'!calc_ebitda_m3</vt:lpstr>
      <vt:lpstr>calc_ebitda_m3</vt:lpstr>
      <vt:lpstr>'Sample Plan'!calc_ebitda_m4</vt:lpstr>
      <vt:lpstr>calc_ebitda_m4</vt:lpstr>
      <vt:lpstr>'Sample Plan'!calc_ebitda_m5</vt:lpstr>
      <vt:lpstr>calc_ebitda_m5</vt:lpstr>
      <vt:lpstr>'Sample Plan'!calc_ebitda_m6</vt:lpstr>
      <vt:lpstr>calc_ebitda_m6</vt:lpstr>
      <vt:lpstr>'Sample Plan'!calc_ebitda_m7</vt:lpstr>
      <vt:lpstr>calc_ebitda_m7</vt:lpstr>
      <vt:lpstr>'Sample Plan'!calc_ebitda_m8</vt:lpstr>
      <vt:lpstr>calc_ebitda_m8</vt:lpstr>
      <vt:lpstr>'Sample Plan'!calc_ebitda_m9</vt:lpstr>
      <vt:lpstr>calc_ebitda_m9</vt:lpstr>
      <vt:lpstr>'Sample Plan'!calc_ebitda_pct_ann</vt:lpstr>
      <vt:lpstr>calc_ebitda_pct_ann</vt:lpstr>
      <vt:lpstr>'Sample Plan'!calc_ebitda_pct_m1</vt:lpstr>
      <vt:lpstr>calc_ebitda_pct_m1</vt:lpstr>
      <vt:lpstr>'Sample Plan'!calc_ebitda_pct_m10</vt:lpstr>
      <vt:lpstr>calc_ebitda_pct_m10</vt:lpstr>
      <vt:lpstr>'Sample Plan'!calc_ebitda_pct_m11</vt:lpstr>
      <vt:lpstr>calc_ebitda_pct_m11</vt:lpstr>
      <vt:lpstr>'Sample Plan'!calc_ebitda_pct_m12</vt:lpstr>
      <vt:lpstr>calc_ebitda_pct_m12</vt:lpstr>
      <vt:lpstr>'Sample Plan'!calc_ebitda_pct_m1m12</vt:lpstr>
      <vt:lpstr>calc_ebitda_pct_m1m12</vt:lpstr>
      <vt:lpstr>'Sample Plan'!calc_ebitda_pct_m2</vt:lpstr>
      <vt:lpstr>calc_ebitda_pct_m2</vt:lpstr>
      <vt:lpstr>'Sample Plan'!calc_ebitda_pct_m3</vt:lpstr>
      <vt:lpstr>calc_ebitda_pct_m3</vt:lpstr>
      <vt:lpstr>'Sample Plan'!calc_ebitda_pct_m4</vt:lpstr>
      <vt:lpstr>calc_ebitda_pct_m4</vt:lpstr>
      <vt:lpstr>'Sample Plan'!calc_ebitda_pct_m5</vt:lpstr>
      <vt:lpstr>calc_ebitda_pct_m5</vt:lpstr>
      <vt:lpstr>'Sample Plan'!calc_ebitda_pct_m6</vt:lpstr>
      <vt:lpstr>calc_ebitda_pct_m6</vt:lpstr>
      <vt:lpstr>'Sample Plan'!calc_ebitda_pct_m7</vt:lpstr>
      <vt:lpstr>calc_ebitda_pct_m7</vt:lpstr>
      <vt:lpstr>'Sample Plan'!calc_ebitda_pct_m8</vt:lpstr>
      <vt:lpstr>calc_ebitda_pct_m8</vt:lpstr>
      <vt:lpstr>'Sample Plan'!calc_ebitda_pct_m9</vt:lpstr>
      <vt:lpstr>calc_ebitda_pct_m9</vt:lpstr>
      <vt:lpstr>'Sample Plan'!calc_fin_cf_ann</vt:lpstr>
      <vt:lpstr>calc_fin_cf_ann</vt:lpstr>
      <vt:lpstr>'Sample Plan'!calc_fin_cf_m1</vt:lpstr>
      <vt:lpstr>calc_fin_cf_m1</vt:lpstr>
      <vt:lpstr>'Sample Plan'!calc_fin_cf_m10</vt:lpstr>
      <vt:lpstr>calc_fin_cf_m10</vt:lpstr>
      <vt:lpstr>'Sample Plan'!calc_fin_cf_m11</vt:lpstr>
      <vt:lpstr>calc_fin_cf_m11</vt:lpstr>
      <vt:lpstr>'Sample Plan'!calc_fin_cf_m12</vt:lpstr>
      <vt:lpstr>calc_fin_cf_m12</vt:lpstr>
      <vt:lpstr>'Sample Plan'!calc_fin_cf_m1m12</vt:lpstr>
      <vt:lpstr>calc_fin_cf_m1m12</vt:lpstr>
      <vt:lpstr>'Sample Plan'!calc_fin_cf_m2</vt:lpstr>
      <vt:lpstr>calc_fin_cf_m2</vt:lpstr>
      <vt:lpstr>'Sample Plan'!calc_fin_cf_m3</vt:lpstr>
      <vt:lpstr>calc_fin_cf_m3</vt:lpstr>
      <vt:lpstr>'Sample Plan'!calc_fin_cf_m4</vt:lpstr>
      <vt:lpstr>calc_fin_cf_m4</vt:lpstr>
      <vt:lpstr>'Sample Plan'!calc_fin_cf_m5</vt:lpstr>
      <vt:lpstr>calc_fin_cf_m5</vt:lpstr>
      <vt:lpstr>'Sample Plan'!calc_fin_cf_m6</vt:lpstr>
      <vt:lpstr>calc_fin_cf_m6</vt:lpstr>
      <vt:lpstr>'Sample Plan'!calc_fin_cf_m7</vt:lpstr>
      <vt:lpstr>calc_fin_cf_m7</vt:lpstr>
      <vt:lpstr>'Sample Plan'!calc_fin_cf_m8</vt:lpstr>
      <vt:lpstr>calc_fin_cf_m8</vt:lpstr>
      <vt:lpstr>'Sample Plan'!calc_fin_cf_m9</vt:lpstr>
      <vt:lpstr>calc_fin_cf_m9</vt:lpstr>
      <vt:lpstr>'Sample Plan'!calc_fte_close_ann</vt:lpstr>
      <vt:lpstr>calc_fte_close_ann</vt:lpstr>
      <vt:lpstr>'Sample Plan'!calc_fte_close_m1</vt:lpstr>
      <vt:lpstr>calc_fte_close_m1</vt:lpstr>
      <vt:lpstr>'Sample Plan'!calc_fte_close_m10</vt:lpstr>
      <vt:lpstr>calc_fte_close_m10</vt:lpstr>
      <vt:lpstr>'Sample Plan'!calc_fte_close_m11</vt:lpstr>
      <vt:lpstr>calc_fte_close_m11</vt:lpstr>
      <vt:lpstr>'Sample Plan'!calc_fte_close_m12</vt:lpstr>
      <vt:lpstr>calc_fte_close_m12</vt:lpstr>
      <vt:lpstr>'Sample Plan'!calc_fte_close_m1m12</vt:lpstr>
      <vt:lpstr>calc_fte_close_m1m12</vt:lpstr>
      <vt:lpstr>'Sample Plan'!calc_fte_close_m2</vt:lpstr>
      <vt:lpstr>calc_fte_close_m2</vt:lpstr>
      <vt:lpstr>'Sample Plan'!calc_fte_close_m3</vt:lpstr>
      <vt:lpstr>calc_fte_close_m3</vt:lpstr>
      <vt:lpstr>'Sample Plan'!calc_fte_close_m4</vt:lpstr>
      <vt:lpstr>calc_fte_close_m4</vt:lpstr>
      <vt:lpstr>'Sample Plan'!calc_fte_close_m5</vt:lpstr>
      <vt:lpstr>calc_fte_close_m5</vt:lpstr>
      <vt:lpstr>'Sample Plan'!calc_fte_close_m6</vt:lpstr>
      <vt:lpstr>calc_fte_close_m6</vt:lpstr>
      <vt:lpstr>'Sample Plan'!calc_fte_close_m7</vt:lpstr>
      <vt:lpstr>calc_fte_close_m7</vt:lpstr>
      <vt:lpstr>'Sample Plan'!calc_fte_close_m8</vt:lpstr>
      <vt:lpstr>calc_fte_close_m8</vt:lpstr>
      <vt:lpstr>'Sample Plan'!calc_fte_close_m9</vt:lpstr>
      <vt:lpstr>calc_fte_close_m9</vt:lpstr>
      <vt:lpstr>'Sample Plan'!calc_gm_pct_ann</vt:lpstr>
      <vt:lpstr>calc_gm_pct_ann</vt:lpstr>
      <vt:lpstr>'Sample Plan'!calc_gm_pct_m1</vt:lpstr>
      <vt:lpstr>calc_gm_pct_m1</vt:lpstr>
      <vt:lpstr>'Sample Plan'!calc_gm_pct_m10</vt:lpstr>
      <vt:lpstr>calc_gm_pct_m10</vt:lpstr>
      <vt:lpstr>'Sample Plan'!calc_gm_pct_m11</vt:lpstr>
      <vt:lpstr>calc_gm_pct_m11</vt:lpstr>
      <vt:lpstr>'Sample Plan'!calc_gm_pct_m12</vt:lpstr>
      <vt:lpstr>calc_gm_pct_m12</vt:lpstr>
      <vt:lpstr>'Sample Plan'!calc_gm_pct_m1m12</vt:lpstr>
      <vt:lpstr>calc_gm_pct_m1m12</vt:lpstr>
      <vt:lpstr>'Sample Plan'!calc_gm_pct_m2</vt:lpstr>
      <vt:lpstr>calc_gm_pct_m2</vt:lpstr>
      <vt:lpstr>'Sample Plan'!calc_gm_pct_m3</vt:lpstr>
      <vt:lpstr>calc_gm_pct_m3</vt:lpstr>
      <vt:lpstr>'Sample Plan'!calc_gm_pct_m4</vt:lpstr>
      <vt:lpstr>calc_gm_pct_m4</vt:lpstr>
      <vt:lpstr>'Sample Plan'!calc_gm_pct_m5</vt:lpstr>
      <vt:lpstr>calc_gm_pct_m5</vt:lpstr>
      <vt:lpstr>'Sample Plan'!calc_gm_pct_m6</vt:lpstr>
      <vt:lpstr>calc_gm_pct_m6</vt:lpstr>
      <vt:lpstr>'Sample Plan'!calc_gm_pct_m7</vt:lpstr>
      <vt:lpstr>calc_gm_pct_m7</vt:lpstr>
      <vt:lpstr>'Sample Plan'!calc_gm_pct_m8</vt:lpstr>
      <vt:lpstr>calc_gm_pct_m8</vt:lpstr>
      <vt:lpstr>'Sample Plan'!calc_gm_pct_m9</vt:lpstr>
      <vt:lpstr>calc_gm_pct_m9</vt:lpstr>
      <vt:lpstr>'Sample Plan'!calc_gp_ann</vt:lpstr>
      <vt:lpstr>calc_gp_ann</vt:lpstr>
      <vt:lpstr>'Sample Plan'!calc_gp_m1</vt:lpstr>
      <vt:lpstr>calc_gp_m1</vt:lpstr>
      <vt:lpstr>'Sample Plan'!calc_gp_m10</vt:lpstr>
      <vt:lpstr>calc_gp_m10</vt:lpstr>
      <vt:lpstr>'Sample Plan'!calc_gp_m11</vt:lpstr>
      <vt:lpstr>calc_gp_m11</vt:lpstr>
      <vt:lpstr>'Sample Plan'!calc_gp_m12</vt:lpstr>
      <vt:lpstr>calc_gp_m12</vt:lpstr>
      <vt:lpstr>'Sample Plan'!calc_gp_m1m12</vt:lpstr>
      <vt:lpstr>calc_gp_m1m12</vt:lpstr>
      <vt:lpstr>'Sample Plan'!calc_gp_m2</vt:lpstr>
      <vt:lpstr>calc_gp_m2</vt:lpstr>
      <vt:lpstr>'Sample Plan'!calc_gp_m3</vt:lpstr>
      <vt:lpstr>calc_gp_m3</vt:lpstr>
      <vt:lpstr>'Sample Plan'!calc_gp_m4</vt:lpstr>
      <vt:lpstr>calc_gp_m4</vt:lpstr>
      <vt:lpstr>'Sample Plan'!calc_gp_m5</vt:lpstr>
      <vt:lpstr>calc_gp_m5</vt:lpstr>
      <vt:lpstr>'Sample Plan'!calc_gp_m6</vt:lpstr>
      <vt:lpstr>calc_gp_m6</vt:lpstr>
      <vt:lpstr>'Sample Plan'!calc_gp_m7</vt:lpstr>
      <vt:lpstr>calc_gp_m7</vt:lpstr>
      <vt:lpstr>'Sample Plan'!calc_gp_m8</vt:lpstr>
      <vt:lpstr>calc_gp_m8</vt:lpstr>
      <vt:lpstr>'Sample Plan'!calc_gp_m9</vt:lpstr>
      <vt:lpstr>calc_gp_m9</vt:lpstr>
      <vt:lpstr>'Sample Plan'!calc_interest_ann</vt:lpstr>
      <vt:lpstr>calc_interest_ann</vt:lpstr>
      <vt:lpstr>'Sample Plan'!calc_interest_m1</vt:lpstr>
      <vt:lpstr>calc_interest_m1</vt:lpstr>
      <vt:lpstr>'Sample Plan'!calc_interest_m10</vt:lpstr>
      <vt:lpstr>calc_interest_m10</vt:lpstr>
      <vt:lpstr>'Sample Plan'!calc_interest_m11</vt:lpstr>
      <vt:lpstr>calc_interest_m11</vt:lpstr>
      <vt:lpstr>'Sample Plan'!calc_interest_m12</vt:lpstr>
      <vt:lpstr>calc_interest_m12</vt:lpstr>
      <vt:lpstr>'Sample Plan'!calc_interest_m1m12</vt:lpstr>
      <vt:lpstr>calc_interest_m1m12</vt:lpstr>
      <vt:lpstr>'Sample Plan'!calc_interest_m2</vt:lpstr>
      <vt:lpstr>calc_interest_m2</vt:lpstr>
      <vt:lpstr>'Sample Plan'!calc_interest_m3</vt:lpstr>
      <vt:lpstr>calc_interest_m3</vt:lpstr>
      <vt:lpstr>'Sample Plan'!calc_interest_m4</vt:lpstr>
      <vt:lpstr>calc_interest_m4</vt:lpstr>
      <vt:lpstr>'Sample Plan'!calc_interest_m5</vt:lpstr>
      <vt:lpstr>calc_interest_m5</vt:lpstr>
      <vt:lpstr>'Sample Plan'!calc_interest_m6</vt:lpstr>
      <vt:lpstr>calc_interest_m6</vt:lpstr>
      <vt:lpstr>'Sample Plan'!calc_interest_m7</vt:lpstr>
      <vt:lpstr>calc_interest_m7</vt:lpstr>
      <vt:lpstr>'Sample Plan'!calc_interest_m8</vt:lpstr>
      <vt:lpstr>calc_interest_m8</vt:lpstr>
      <vt:lpstr>'Sample Plan'!calc_interest_m9</vt:lpstr>
      <vt:lpstr>calc_interest_m9</vt:lpstr>
      <vt:lpstr>'Sample Plan'!calc_interest_neg_ann</vt:lpstr>
      <vt:lpstr>calc_interest_neg_ann</vt:lpstr>
      <vt:lpstr>'Sample Plan'!calc_interest_neg_m1</vt:lpstr>
      <vt:lpstr>calc_interest_neg_m1</vt:lpstr>
      <vt:lpstr>'Sample Plan'!calc_interest_neg_m10</vt:lpstr>
      <vt:lpstr>calc_interest_neg_m10</vt:lpstr>
      <vt:lpstr>'Sample Plan'!calc_interest_neg_m11</vt:lpstr>
      <vt:lpstr>calc_interest_neg_m11</vt:lpstr>
      <vt:lpstr>'Sample Plan'!calc_interest_neg_m12</vt:lpstr>
      <vt:lpstr>calc_interest_neg_m12</vt:lpstr>
      <vt:lpstr>'Sample Plan'!calc_interest_neg_m1m12</vt:lpstr>
      <vt:lpstr>calc_interest_neg_m1m12</vt:lpstr>
      <vt:lpstr>'Sample Plan'!calc_interest_neg_m2</vt:lpstr>
      <vt:lpstr>calc_interest_neg_m2</vt:lpstr>
      <vt:lpstr>'Sample Plan'!calc_interest_neg_m3</vt:lpstr>
      <vt:lpstr>calc_interest_neg_m3</vt:lpstr>
      <vt:lpstr>'Sample Plan'!calc_interest_neg_m4</vt:lpstr>
      <vt:lpstr>calc_interest_neg_m4</vt:lpstr>
      <vt:lpstr>'Sample Plan'!calc_interest_neg_m5</vt:lpstr>
      <vt:lpstr>calc_interest_neg_m5</vt:lpstr>
      <vt:lpstr>'Sample Plan'!calc_interest_neg_m6</vt:lpstr>
      <vt:lpstr>calc_interest_neg_m6</vt:lpstr>
      <vt:lpstr>'Sample Plan'!calc_interest_neg_m7</vt:lpstr>
      <vt:lpstr>calc_interest_neg_m7</vt:lpstr>
      <vt:lpstr>'Sample Plan'!calc_interest_neg_m8</vt:lpstr>
      <vt:lpstr>calc_interest_neg_m8</vt:lpstr>
      <vt:lpstr>'Sample Plan'!calc_interest_neg_m9</vt:lpstr>
      <vt:lpstr>calc_interest_neg_m9</vt:lpstr>
      <vt:lpstr>'Sample Plan'!calc_inv_cf_ann</vt:lpstr>
      <vt:lpstr>calc_inv_cf_ann</vt:lpstr>
      <vt:lpstr>'Sample Plan'!calc_inv_cf_m1</vt:lpstr>
      <vt:lpstr>calc_inv_cf_m1</vt:lpstr>
      <vt:lpstr>'Sample Plan'!calc_inv_cf_m10</vt:lpstr>
      <vt:lpstr>calc_inv_cf_m10</vt:lpstr>
      <vt:lpstr>'Sample Plan'!calc_inv_cf_m11</vt:lpstr>
      <vt:lpstr>calc_inv_cf_m11</vt:lpstr>
      <vt:lpstr>'Sample Plan'!calc_inv_cf_m12</vt:lpstr>
      <vt:lpstr>calc_inv_cf_m12</vt:lpstr>
      <vt:lpstr>'Sample Plan'!calc_inv_cf_m1m12</vt:lpstr>
      <vt:lpstr>calc_inv_cf_m1m12</vt:lpstr>
      <vt:lpstr>'Sample Plan'!calc_inv_cf_m2</vt:lpstr>
      <vt:lpstr>calc_inv_cf_m2</vt:lpstr>
      <vt:lpstr>'Sample Plan'!calc_inv_cf_m3</vt:lpstr>
      <vt:lpstr>calc_inv_cf_m3</vt:lpstr>
      <vt:lpstr>'Sample Plan'!calc_inv_cf_m4</vt:lpstr>
      <vt:lpstr>calc_inv_cf_m4</vt:lpstr>
      <vt:lpstr>'Sample Plan'!calc_inv_cf_m5</vt:lpstr>
      <vt:lpstr>calc_inv_cf_m5</vt:lpstr>
      <vt:lpstr>'Sample Plan'!calc_inv_cf_m6</vt:lpstr>
      <vt:lpstr>calc_inv_cf_m6</vt:lpstr>
      <vt:lpstr>'Sample Plan'!calc_inv_cf_m7</vt:lpstr>
      <vt:lpstr>calc_inv_cf_m7</vt:lpstr>
      <vt:lpstr>'Sample Plan'!calc_inv_cf_m8</vt:lpstr>
      <vt:lpstr>calc_inv_cf_m8</vt:lpstr>
      <vt:lpstr>'Sample Plan'!calc_inv_cf_m9</vt:lpstr>
      <vt:lpstr>calc_inv_cf_m9</vt:lpstr>
      <vt:lpstr>'Sample Plan'!calc_min_cash_month</vt:lpstr>
      <vt:lpstr>calc_min_cash_month</vt:lpstr>
      <vt:lpstr>'Sample Plan'!calc_min_cash_value</vt:lpstr>
      <vt:lpstr>calc_min_cash_value</vt:lpstr>
      <vt:lpstr>'Sample Plan'!calc_net_change_ann</vt:lpstr>
      <vt:lpstr>calc_net_change_ann</vt:lpstr>
      <vt:lpstr>'Sample Plan'!calc_net_change_m1</vt:lpstr>
      <vt:lpstr>calc_net_change_m1</vt:lpstr>
      <vt:lpstr>'Sample Plan'!calc_net_change_m10</vt:lpstr>
      <vt:lpstr>calc_net_change_m10</vt:lpstr>
      <vt:lpstr>'Sample Plan'!calc_net_change_m11</vt:lpstr>
      <vt:lpstr>calc_net_change_m11</vt:lpstr>
      <vt:lpstr>'Sample Plan'!calc_net_change_m12</vt:lpstr>
      <vt:lpstr>calc_net_change_m12</vt:lpstr>
      <vt:lpstr>'Sample Plan'!calc_net_change_m1m12</vt:lpstr>
      <vt:lpstr>calc_net_change_m1m12</vt:lpstr>
      <vt:lpstr>'Sample Plan'!calc_net_change_m2</vt:lpstr>
      <vt:lpstr>calc_net_change_m2</vt:lpstr>
      <vt:lpstr>'Sample Plan'!calc_net_change_m3</vt:lpstr>
      <vt:lpstr>calc_net_change_m3</vt:lpstr>
      <vt:lpstr>'Sample Plan'!calc_net_change_m4</vt:lpstr>
      <vt:lpstr>calc_net_change_m4</vt:lpstr>
      <vt:lpstr>'Sample Plan'!calc_net_change_m5</vt:lpstr>
      <vt:lpstr>calc_net_change_m5</vt:lpstr>
      <vt:lpstr>'Sample Plan'!calc_net_change_m6</vt:lpstr>
      <vt:lpstr>calc_net_change_m6</vt:lpstr>
      <vt:lpstr>'Sample Plan'!calc_net_change_m7</vt:lpstr>
      <vt:lpstr>calc_net_change_m7</vt:lpstr>
      <vt:lpstr>'Sample Plan'!calc_net_change_m8</vt:lpstr>
      <vt:lpstr>calc_net_change_m8</vt:lpstr>
      <vt:lpstr>'Sample Plan'!calc_net_change_m9</vt:lpstr>
      <vt:lpstr>calc_net_change_m9</vt:lpstr>
      <vt:lpstr>'Sample Plan'!calc_net_profit_ann</vt:lpstr>
      <vt:lpstr>calc_net_profit_ann</vt:lpstr>
      <vt:lpstr>'Sample Plan'!calc_net_profit_m1</vt:lpstr>
      <vt:lpstr>calc_net_profit_m1</vt:lpstr>
      <vt:lpstr>'Sample Plan'!calc_net_profit_m10</vt:lpstr>
      <vt:lpstr>calc_net_profit_m10</vt:lpstr>
      <vt:lpstr>'Sample Plan'!calc_net_profit_m11</vt:lpstr>
      <vt:lpstr>calc_net_profit_m11</vt:lpstr>
      <vt:lpstr>'Sample Plan'!calc_net_profit_m12</vt:lpstr>
      <vt:lpstr>calc_net_profit_m12</vt:lpstr>
      <vt:lpstr>'Sample Plan'!calc_net_profit_m1m12</vt:lpstr>
      <vt:lpstr>calc_net_profit_m1m12</vt:lpstr>
      <vt:lpstr>'Sample Plan'!calc_net_profit_m2</vt:lpstr>
      <vt:lpstr>calc_net_profit_m2</vt:lpstr>
      <vt:lpstr>'Sample Plan'!calc_net_profit_m3</vt:lpstr>
      <vt:lpstr>calc_net_profit_m3</vt:lpstr>
      <vt:lpstr>'Sample Plan'!calc_net_profit_m4</vt:lpstr>
      <vt:lpstr>calc_net_profit_m4</vt:lpstr>
      <vt:lpstr>'Sample Plan'!calc_net_profit_m5</vt:lpstr>
      <vt:lpstr>calc_net_profit_m5</vt:lpstr>
      <vt:lpstr>'Sample Plan'!calc_net_profit_m6</vt:lpstr>
      <vt:lpstr>calc_net_profit_m6</vt:lpstr>
      <vt:lpstr>'Sample Plan'!calc_net_profit_m7</vt:lpstr>
      <vt:lpstr>calc_net_profit_m7</vt:lpstr>
      <vt:lpstr>'Sample Plan'!calc_net_profit_m8</vt:lpstr>
      <vt:lpstr>calc_net_profit_m8</vt:lpstr>
      <vt:lpstr>'Sample Plan'!calc_net_profit_m9</vt:lpstr>
      <vt:lpstr>calc_net_profit_m9</vt:lpstr>
      <vt:lpstr>'Sample Plan'!calc_np_pct_ann</vt:lpstr>
      <vt:lpstr>calc_np_pct_ann</vt:lpstr>
      <vt:lpstr>'Sample Plan'!calc_np_pct_m1</vt:lpstr>
      <vt:lpstr>calc_np_pct_m1</vt:lpstr>
      <vt:lpstr>'Sample Plan'!calc_np_pct_m10</vt:lpstr>
      <vt:lpstr>calc_np_pct_m10</vt:lpstr>
      <vt:lpstr>'Sample Plan'!calc_np_pct_m11</vt:lpstr>
      <vt:lpstr>calc_np_pct_m11</vt:lpstr>
      <vt:lpstr>'Sample Plan'!calc_np_pct_m12</vt:lpstr>
      <vt:lpstr>calc_np_pct_m12</vt:lpstr>
      <vt:lpstr>'Sample Plan'!calc_np_pct_m1m12</vt:lpstr>
      <vt:lpstr>calc_np_pct_m1m12</vt:lpstr>
      <vt:lpstr>'Sample Plan'!calc_np_pct_m2</vt:lpstr>
      <vt:lpstr>calc_np_pct_m2</vt:lpstr>
      <vt:lpstr>'Sample Plan'!calc_np_pct_m3</vt:lpstr>
      <vt:lpstr>calc_np_pct_m3</vt:lpstr>
      <vt:lpstr>'Sample Plan'!calc_np_pct_m4</vt:lpstr>
      <vt:lpstr>calc_np_pct_m4</vt:lpstr>
      <vt:lpstr>'Sample Plan'!calc_np_pct_m5</vt:lpstr>
      <vt:lpstr>calc_np_pct_m5</vt:lpstr>
      <vt:lpstr>'Sample Plan'!calc_np_pct_m6</vt:lpstr>
      <vt:lpstr>calc_np_pct_m6</vt:lpstr>
      <vt:lpstr>'Sample Plan'!calc_np_pct_m7</vt:lpstr>
      <vt:lpstr>calc_np_pct_m7</vt:lpstr>
      <vt:lpstr>'Sample Plan'!calc_np_pct_m8</vt:lpstr>
      <vt:lpstr>calc_np_pct_m8</vt:lpstr>
      <vt:lpstr>'Sample Plan'!calc_np_pct_m9</vt:lpstr>
      <vt:lpstr>calc_np_pct_m9</vt:lpstr>
      <vt:lpstr>'Sample Plan'!calc_op_cf_ann</vt:lpstr>
      <vt:lpstr>calc_op_cf_ann</vt:lpstr>
      <vt:lpstr>'Sample Plan'!calc_op_cf_m1</vt:lpstr>
      <vt:lpstr>calc_op_cf_m1</vt:lpstr>
      <vt:lpstr>'Sample Plan'!calc_op_cf_m10</vt:lpstr>
      <vt:lpstr>calc_op_cf_m10</vt:lpstr>
      <vt:lpstr>'Sample Plan'!calc_op_cf_m11</vt:lpstr>
      <vt:lpstr>calc_op_cf_m11</vt:lpstr>
      <vt:lpstr>'Sample Plan'!calc_op_cf_m12</vt:lpstr>
      <vt:lpstr>calc_op_cf_m12</vt:lpstr>
      <vt:lpstr>'Sample Plan'!calc_op_cf_m1m12</vt:lpstr>
      <vt:lpstr>calc_op_cf_m1m12</vt:lpstr>
      <vt:lpstr>'Sample Plan'!calc_op_cf_m2</vt:lpstr>
      <vt:lpstr>calc_op_cf_m2</vt:lpstr>
      <vt:lpstr>'Sample Plan'!calc_op_cf_m3</vt:lpstr>
      <vt:lpstr>calc_op_cf_m3</vt:lpstr>
      <vt:lpstr>'Sample Plan'!calc_op_cf_m4</vt:lpstr>
      <vt:lpstr>calc_op_cf_m4</vt:lpstr>
      <vt:lpstr>'Sample Plan'!calc_op_cf_m5</vt:lpstr>
      <vt:lpstr>calc_op_cf_m5</vt:lpstr>
      <vt:lpstr>'Sample Plan'!calc_op_cf_m6</vt:lpstr>
      <vt:lpstr>calc_op_cf_m6</vt:lpstr>
      <vt:lpstr>'Sample Plan'!calc_op_cf_m7</vt:lpstr>
      <vt:lpstr>calc_op_cf_m7</vt:lpstr>
      <vt:lpstr>'Sample Plan'!calc_op_cf_m8</vt:lpstr>
      <vt:lpstr>calc_op_cf_m8</vt:lpstr>
      <vt:lpstr>'Sample Plan'!calc_op_cf_m9</vt:lpstr>
      <vt:lpstr>calc_op_cf_m9</vt:lpstr>
      <vt:lpstr>'Sample Plan'!calc_open_cash_ann</vt:lpstr>
      <vt:lpstr>calc_open_cash_ann</vt:lpstr>
      <vt:lpstr>'Sample Plan'!calc_open_cash_m1</vt:lpstr>
      <vt:lpstr>calc_open_cash_m1</vt:lpstr>
      <vt:lpstr>'Sample Plan'!calc_open_cash_m10</vt:lpstr>
      <vt:lpstr>calc_open_cash_m10</vt:lpstr>
      <vt:lpstr>'Sample Plan'!calc_open_cash_m11</vt:lpstr>
      <vt:lpstr>calc_open_cash_m11</vt:lpstr>
      <vt:lpstr>'Sample Plan'!calc_open_cash_m12</vt:lpstr>
      <vt:lpstr>calc_open_cash_m12</vt:lpstr>
      <vt:lpstr>'Sample Plan'!calc_open_cash_m1m12</vt:lpstr>
      <vt:lpstr>calc_open_cash_m1m12</vt:lpstr>
      <vt:lpstr>'Sample Plan'!calc_open_cash_m2</vt:lpstr>
      <vt:lpstr>calc_open_cash_m2</vt:lpstr>
      <vt:lpstr>'Sample Plan'!calc_open_cash_m3</vt:lpstr>
      <vt:lpstr>calc_open_cash_m3</vt:lpstr>
      <vt:lpstr>'Sample Plan'!calc_open_cash_m4</vt:lpstr>
      <vt:lpstr>calc_open_cash_m4</vt:lpstr>
      <vt:lpstr>'Sample Plan'!calc_open_cash_m5</vt:lpstr>
      <vt:lpstr>calc_open_cash_m5</vt:lpstr>
      <vt:lpstr>'Sample Plan'!calc_open_cash_m6</vt:lpstr>
      <vt:lpstr>calc_open_cash_m6</vt:lpstr>
      <vt:lpstr>'Sample Plan'!calc_open_cash_m7</vt:lpstr>
      <vt:lpstr>calc_open_cash_m7</vt:lpstr>
      <vt:lpstr>'Sample Plan'!calc_open_cash_m8</vt:lpstr>
      <vt:lpstr>calc_open_cash_m8</vt:lpstr>
      <vt:lpstr>'Sample Plan'!calc_open_cash_m9</vt:lpstr>
      <vt:lpstr>calc_open_cash_m9</vt:lpstr>
      <vt:lpstr>'Sample Plan'!calc_ox_commission_ann</vt:lpstr>
      <vt:lpstr>calc_ox_commission_ann</vt:lpstr>
      <vt:lpstr>'Sample Plan'!calc_ox_commission_m1</vt:lpstr>
      <vt:lpstr>calc_ox_commission_m1</vt:lpstr>
      <vt:lpstr>'Sample Plan'!calc_ox_commission_m10</vt:lpstr>
      <vt:lpstr>calc_ox_commission_m10</vt:lpstr>
      <vt:lpstr>'Sample Plan'!calc_ox_commission_m11</vt:lpstr>
      <vt:lpstr>calc_ox_commission_m11</vt:lpstr>
      <vt:lpstr>'Sample Plan'!calc_ox_commission_m12</vt:lpstr>
      <vt:lpstr>calc_ox_commission_m12</vt:lpstr>
      <vt:lpstr>'Sample Plan'!calc_ox_commission_m1m12</vt:lpstr>
      <vt:lpstr>calc_ox_commission_m1m12</vt:lpstr>
      <vt:lpstr>'Sample Plan'!calc_ox_commission_m2</vt:lpstr>
      <vt:lpstr>calc_ox_commission_m2</vt:lpstr>
      <vt:lpstr>'Sample Plan'!calc_ox_commission_m3</vt:lpstr>
      <vt:lpstr>calc_ox_commission_m3</vt:lpstr>
      <vt:lpstr>'Sample Plan'!calc_ox_commission_m4</vt:lpstr>
      <vt:lpstr>calc_ox_commission_m4</vt:lpstr>
      <vt:lpstr>'Sample Plan'!calc_ox_commission_m5</vt:lpstr>
      <vt:lpstr>calc_ox_commission_m5</vt:lpstr>
      <vt:lpstr>'Sample Plan'!calc_ox_commission_m6</vt:lpstr>
      <vt:lpstr>calc_ox_commission_m6</vt:lpstr>
      <vt:lpstr>'Sample Plan'!calc_ox_commission_m7</vt:lpstr>
      <vt:lpstr>calc_ox_commission_m7</vt:lpstr>
      <vt:lpstr>'Sample Plan'!calc_ox_commission_m8</vt:lpstr>
      <vt:lpstr>calc_ox_commission_m8</vt:lpstr>
      <vt:lpstr>'Sample Plan'!calc_ox_commission_m9</vt:lpstr>
      <vt:lpstr>calc_ox_commission_m9</vt:lpstr>
      <vt:lpstr>'Sample Plan'!calc_ox_comms_ann</vt:lpstr>
      <vt:lpstr>calc_ox_comms_ann</vt:lpstr>
      <vt:lpstr>'Sample Plan'!calc_ox_comms_m1</vt:lpstr>
      <vt:lpstr>calc_ox_comms_m1</vt:lpstr>
      <vt:lpstr>'Sample Plan'!calc_ox_comms_m10</vt:lpstr>
      <vt:lpstr>calc_ox_comms_m10</vt:lpstr>
      <vt:lpstr>'Sample Plan'!calc_ox_comms_m11</vt:lpstr>
      <vt:lpstr>calc_ox_comms_m11</vt:lpstr>
      <vt:lpstr>'Sample Plan'!calc_ox_comms_m12</vt:lpstr>
      <vt:lpstr>calc_ox_comms_m12</vt:lpstr>
      <vt:lpstr>'Sample Plan'!calc_ox_comms_m1m12</vt:lpstr>
      <vt:lpstr>calc_ox_comms_m1m12</vt:lpstr>
      <vt:lpstr>'Sample Plan'!calc_ox_comms_m2</vt:lpstr>
      <vt:lpstr>calc_ox_comms_m2</vt:lpstr>
      <vt:lpstr>'Sample Plan'!calc_ox_comms_m3</vt:lpstr>
      <vt:lpstr>calc_ox_comms_m3</vt:lpstr>
      <vt:lpstr>'Sample Plan'!calc_ox_comms_m4</vt:lpstr>
      <vt:lpstr>calc_ox_comms_m4</vt:lpstr>
      <vt:lpstr>'Sample Plan'!calc_ox_comms_m5</vt:lpstr>
      <vt:lpstr>calc_ox_comms_m5</vt:lpstr>
      <vt:lpstr>'Sample Plan'!calc_ox_comms_m6</vt:lpstr>
      <vt:lpstr>calc_ox_comms_m6</vt:lpstr>
      <vt:lpstr>'Sample Plan'!calc_ox_comms_m7</vt:lpstr>
      <vt:lpstr>calc_ox_comms_m7</vt:lpstr>
      <vt:lpstr>'Sample Plan'!calc_ox_comms_m8</vt:lpstr>
      <vt:lpstr>calc_ox_comms_m8</vt:lpstr>
      <vt:lpstr>'Sample Plan'!calc_ox_comms_m9</vt:lpstr>
      <vt:lpstr>calc_ox_comms_m9</vt:lpstr>
      <vt:lpstr>'Sample Plan'!calc_ox_insurance_ann</vt:lpstr>
      <vt:lpstr>calc_ox_insurance_ann</vt:lpstr>
      <vt:lpstr>'Sample Plan'!calc_ox_insurance_m1</vt:lpstr>
      <vt:lpstr>calc_ox_insurance_m1</vt:lpstr>
      <vt:lpstr>'Sample Plan'!calc_ox_insurance_m10</vt:lpstr>
      <vt:lpstr>calc_ox_insurance_m10</vt:lpstr>
      <vt:lpstr>'Sample Plan'!calc_ox_insurance_m11</vt:lpstr>
      <vt:lpstr>calc_ox_insurance_m11</vt:lpstr>
      <vt:lpstr>'Sample Plan'!calc_ox_insurance_m12</vt:lpstr>
      <vt:lpstr>calc_ox_insurance_m12</vt:lpstr>
      <vt:lpstr>'Sample Plan'!calc_ox_insurance_m1m12</vt:lpstr>
      <vt:lpstr>calc_ox_insurance_m1m12</vt:lpstr>
      <vt:lpstr>'Sample Plan'!calc_ox_insurance_m2</vt:lpstr>
      <vt:lpstr>calc_ox_insurance_m2</vt:lpstr>
      <vt:lpstr>'Sample Plan'!calc_ox_insurance_m3</vt:lpstr>
      <vt:lpstr>calc_ox_insurance_m3</vt:lpstr>
      <vt:lpstr>'Sample Plan'!calc_ox_insurance_m4</vt:lpstr>
      <vt:lpstr>calc_ox_insurance_m4</vt:lpstr>
      <vt:lpstr>'Sample Plan'!calc_ox_insurance_m5</vt:lpstr>
      <vt:lpstr>calc_ox_insurance_m5</vt:lpstr>
      <vt:lpstr>'Sample Plan'!calc_ox_insurance_m6</vt:lpstr>
      <vt:lpstr>calc_ox_insurance_m6</vt:lpstr>
      <vt:lpstr>'Sample Plan'!calc_ox_insurance_m7</vt:lpstr>
      <vt:lpstr>calc_ox_insurance_m7</vt:lpstr>
      <vt:lpstr>'Sample Plan'!calc_ox_insurance_m8</vt:lpstr>
      <vt:lpstr>calc_ox_insurance_m8</vt:lpstr>
      <vt:lpstr>'Sample Plan'!calc_ox_insurance_m9</vt:lpstr>
      <vt:lpstr>calc_ox_insurance_m9</vt:lpstr>
      <vt:lpstr>'Sample Plan'!calc_ox_other_bundle_ann</vt:lpstr>
      <vt:lpstr>calc_ox_other_bundle_ann</vt:lpstr>
      <vt:lpstr>'Sample Plan'!calc_ox_other_bundle_m1</vt:lpstr>
      <vt:lpstr>calc_ox_other_bundle_m1</vt:lpstr>
      <vt:lpstr>'Sample Plan'!calc_ox_other_bundle_m10</vt:lpstr>
      <vt:lpstr>calc_ox_other_bundle_m10</vt:lpstr>
      <vt:lpstr>'Sample Plan'!calc_ox_other_bundle_m11</vt:lpstr>
      <vt:lpstr>calc_ox_other_bundle_m11</vt:lpstr>
      <vt:lpstr>'Sample Plan'!calc_ox_other_bundle_m12</vt:lpstr>
      <vt:lpstr>calc_ox_other_bundle_m12</vt:lpstr>
      <vt:lpstr>'Sample Plan'!calc_ox_other_bundle_m1m12</vt:lpstr>
      <vt:lpstr>calc_ox_other_bundle_m1m12</vt:lpstr>
      <vt:lpstr>'Sample Plan'!calc_ox_other_bundle_m2</vt:lpstr>
      <vt:lpstr>calc_ox_other_bundle_m2</vt:lpstr>
      <vt:lpstr>'Sample Plan'!calc_ox_other_bundle_m3</vt:lpstr>
      <vt:lpstr>calc_ox_other_bundle_m3</vt:lpstr>
      <vt:lpstr>'Sample Plan'!calc_ox_other_bundle_m4</vt:lpstr>
      <vt:lpstr>calc_ox_other_bundle_m4</vt:lpstr>
      <vt:lpstr>'Sample Plan'!calc_ox_other_bundle_m5</vt:lpstr>
      <vt:lpstr>calc_ox_other_bundle_m5</vt:lpstr>
      <vt:lpstr>'Sample Plan'!calc_ox_other_bundle_m6</vt:lpstr>
      <vt:lpstr>calc_ox_other_bundle_m6</vt:lpstr>
      <vt:lpstr>'Sample Plan'!calc_ox_other_bundle_m7</vt:lpstr>
      <vt:lpstr>calc_ox_other_bundle_m7</vt:lpstr>
      <vt:lpstr>'Sample Plan'!calc_ox_other_bundle_m8</vt:lpstr>
      <vt:lpstr>calc_ox_other_bundle_m8</vt:lpstr>
      <vt:lpstr>'Sample Plan'!calc_ox_other_bundle_m9</vt:lpstr>
      <vt:lpstr>calc_ox_other_bundle_m9</vt:lpstr>
      <vt:lpstr>'Sample Plan'!calc_ox_other_ox_ann</vt:lpstr>
      <vt:lpstr>calc_ox_other_ox_ann</vt:lpstr>
      <vt:lpstr>'Sample Plan'!calc_ox_other_ox_m1</vt:lpstr>
      <vt:lpstr>calc_ox_other_ox_m1</vt:lpstr>
      <vt:lpstr>'Sample Plan'!calc_ox_other_ox_m10</vt:lpstr>
      <vt:lpstr>calc_ox_other_ox_m10</vt:lpstr>
      <vt:lpstr>'Sample Plan'!calc_ox_other_ox_m11</vt:lpstr>
      <vt:lpstr>calc_ox_other_ox_m11</vt:lpstr>
      <vt:lpstr>'Sample Plan'!calc_ox_other_ox_m12</vt:lpstr>
      <vt:lpstr>calc_ox_other_ox_m12</vt:lpstr>
      <vt:lpstr>'Sample Plan'!calc_ox_other_ox_m1m12</vt:lpstr>
      <vt:lpstr>calc_ox_other_ox_m1m12</vt:lpstr>
      <vt:lpstr>'Sample Plan'!calc_ox_other_ox_m2</vt:lpstr>
      <vt:lpstr>calc_ox_other_ox_m2</vt:lpstr>
      <vt:lpstr>'Sample Plan'!calc_ox_other_ox_m3</vt:lpstr>
      <vt:lpstr>calc_ox_other_ox_m3</vt:lpstr>
      <vt:lpstr>'Sample Plan'!calc_ox_other_ox_m4</vt:lpstr>
      <vt:lpstr>calc_ox_other_ox_m4</vt:lpstr>
      <vt:lpstr>'Sample Plan'!calc_ox_other_ox_m5</vt:lpstr>
      <vt:lpstr>calc_ox_other_ox_m5</vt:lpstr>
      <vt:lpstr>'Sample Plan'!calc_ox_other_ox_m6</vt:lpstr>
      <vt:lpstr>calc_ox_other_ox_m6</vt:lpstr>
      <vt:lpstr>'Sample Plan'!calc_ox_other_ox_m7</vt:lpstr>
      <vt:lpstr>calc_ox_other_ox_m7</vt:lpstr>
      <vt:lpstr>'Sample Plan'!calc_ox_other_ox_m8</vt:lpstr>
      <vt:lpstr>calc_ox_other_ox_m8</vt:lpstr>
      <vt:lpstr>'Sample Plan'!calc_ox_other_ox_m9</vt:lpstr>
      <vt:lpstr>calc_ox_other_ox_m9</vt:lpstr>
      <vt:lpstr>'Sample Plan'!calc_ox_payroll_ann</vt:lpstr>
      <vt:lpstr>calc_ox_payroll_ann</vt:lpstr>
      <vt:lpstr>'Sample Plan'!calc_ox_payroll_m1</vt:lpstr>
      <vt:lpstr>calc_ox_payroll_m1</vt:lpstr>
      <vt:lpstr>'Sample Plan'!calc_ox_payroll_m10</vt:lpstr>
      <vt:lpstr>calc_ox_payroll_m10</vt:lpstr>
      <vt:lpstr>'Sample Plan'!calc_ox_payroll_m11</vt:lpstr>
      <vt:lpstr>calc_ox_payroll_m11</vt:lpstr>
      <vt:lpstr>'Sample Plan'!calc_ox_payroll_m12</vt:lpstr>
      <vt:lpstr>calc_ox_payroll_m12</vt:lpstr>
      <vt:lpstr>'Sample Plan'!calc_ox_payroll_m1m12</vt:lpstr>
      <vt:lpstr>calc_ox_payroll_m1m12</vt:lpstr>
      <vt:lpstr>'Sample Plan'!calc_ox_payroll_m2</vt:lpstr>
      <vt:lpstr>calc_ox_payroll_m2</vt:lpstr>
      <vt:lpstr>'Sample Plan'!calc_ox_payroll_m3</vt:lpstr>
      <vt:lpstr>calc_ox_payroll_m3</vt:lpstr>
      <vt:lpstr>'Sample Plan'!calc_ox_payroll_m4</vt:lpstr>
      <vt:lpstr>calc_ox_payroll_m4</vt:lpstr>
      <vt:lpstr>'Sample Plan'!calc_ox_payroll_m5</vt:lpstr>
      <vt:lpstr>calc_ox_payroll_m5</vt:lpstr>
      <vt:lpstr>'Sample Plan'!calc_ox_payroll_m6</vt:lpstr>
      <vt:lpstr>calc_ox_payroll_m6</vt:lpstr>
      <vt:lpstr>'Sample Plan'!calc_ox_payroll_m7</vt:lpstr>
      <vt:lpstr>calc_ox_payroll_m7</vt:lpstr>
      <vt:lpstr>'Sample Plan'!calc_ox_payroll_m8</vt:lpstr>
      <vt:lpstr>calc_ox_payroll_m8</vt:lpstr>
      <vt:lpstr>'Sample Plan'!calc_ox_payroll_m9</vt:lpstr>
      <vt:lpstr>calc_ox_payroll_m9</vt:lpstr>
      <vt:lpstr>'Sample Plan'!calc_ox_prof_fees_ann</vt:lpstr>
      <vt:lpstr>calc_ox_prof_fees_ann</vt:lpstr>
      <vt:lpstr>'Sample Plan'!calc_ox_prof_fees_m1</vt:lpstr>
      <vt:lpstr>calc_ox_prof_fees_m1</vt:lpstr>
      <vt:lpstr>'Sample Plan'!calc_ox_prof_fees_m10</vt:lpstr>
      <vt:lpstr>calc_ox_prof_fees_m10</vt:lpstr>
      <vt:lpstr>'Sample Plan'!calc_ox_prof_fees_m11</vt:lpstr>
      <vt:lpstr>calc_ox_prof_fees_m11</vt:lpstr>
      <vt:lpstr>'Sample Plan'!calc_ox_prof_fees_m12</vt:lpstr>
      <vt:lpstr>calc_ox_prof_fees_m12</vt:lpstr>
      <vt:lpstr>'Sample Plan'!calc_ox_prof_fees_m1m12</vt:lpstr>
      <vt:lpstr>calc_ox_prof_fees_m1m12</vt:lpstr>
      <vt:lpstr>'Sample Plan'!calc_ox_prof_fees_m2</vt:lpstr>
      <vt:lpstr>calc_ox_prof_fees_m2</vt:lpstr>
      <vt:lpstr>'Sample Plan'!calc_ox_prof_fees_m3</vt:lpstr>
      <vt:lpstr>calc_ox_prof_fees_m3</vt:lpstr>
      <vt:lpstr>'Sample Plan'!calc_ox_prof_fees_m4</vt:lpstr>
      <vt:lpstr>calc_ox_prof_fees_m4</vt:lpstr>
      <vt:lpstr>'Sample Plan'!calc_ox_prof_fees_m5</vt:lpstr>
      <vt:lpstr>calc_ox_prof_fees_m5</vt:lpstr>
      <vt:lpstr>'Sample Plan'!calc_ox_prof_fees_m6</vt:lpstr>
      <vt:lpstr>calc_ox_prof_fees_m6</vt:lpstr>
      <vt:lpstr>'Sample Plan'!calc_ox_prof_fees_m7</vt:lpstr>
      <vt:lpstr>calc_ox_prof_fees_m7</vt:lpstr>
      <vt:lpstr>'Sample Plan'!calc_ox_prof_fees_m8</vt:lpstr>
      <vt:lpstr>calc_ox_prof_fees_m8</vt:lpstr>
      <vt:lpstr>'Sample Plan'!calc_ox_prof_fees_m9</vt:lpstr>
      <vt:lpstr>calc_ox_prof_fees_m9</vt:lpstr>
      <vt:lpstr>'Sample Plan'!calc_ox_rent_ann</vt:lpstr>
      <vt:lpstr>calc_ox_rent_ann</vt:lpstr>
      <vt:lpstr>'Sample Plan'!calc_ox_rent_m1</vt:lpstr>
      <vt:lpstr>calc_ox_rent_m1</vt:lpstr>
      <vt:lpstr>'Sample Plan'!calc_ox_rent_m10</vt:lpstr>
      <vt:lpstr>calc_ox_rent_m10</vt:lpstr>
      <vt:lpstr>'Sample Plan'!calc_ox_rent_m11</vt:lpstr>
      <vt:lpstr>calc_ox_rent_m11</vt:lpstr>
      <vt:lpstr>'Sample Plan'!calc_ox_rent_m12</vt:lpstr>
      <vt:lpstr>calc_ox_rent_m12</vt:lpstr>
      <vt:lpstr>'Sample Plan'!calc_ox_rent_m1m12</vt:lpstr>
      <vt:lpstr>calc_ox_rent_m1m12</vt:lpstr>
      <vt:lpstr>'Sample Plan'!calc_ox_rent_m2</vt:lpstr>
      <vt:lpstr>calc_ox_rent_m2</vt:lpstr>
      <vt:lpstr>'Sample Plan'!calc_ox_rent_m3</vt:lpstr>
      <vt:lpstr>calc_ox_rent_m3</vt:lpstr>
      <vt:lpstr>'Sample Plan'!calc_ox_rent_m4</vt:lpstr>
      <vt:lpstr>calc_ox_rent_m4</vt:lpstr>
      <vt:lpstr>'Sample Plan'!calc_ox_rent_m5</vt:lpstr>
      <vt:lpstr>calc_ox_rent_m5</vt:lpstr>
      <vt:lpstr>'Sample Plan'!calc_ox_rent_m6</vt:lpstr>
      <vt:lpstr>calc_ox_rent_m6</vt:lpstr>
      <vt:lpstr>'Sample Plan'!calc_ox_rent_m7</vt:lpstr>
      <vt:lpstr>calc_ox_rent_m7</vt:lpstr>
      <vt:lpstr>'Sample Plan'!calc_ox_rent_m8</vt:lpstr>
      <vt:lpstr>calc_ox_rent_m8</vt:lpstr>
      <vt:lpstr>'Sample Plan'!calc_ox_rent_m9</vt:lpstr>
      <vt:lpstr>calc_ox_rent_m9</vt:lpstr>
      <vt:lpstr>'Sample Plan'!calc_ox_sales_mktg_ann</vt:lpstr>
      <vt:lpstr>calc_ox_sales_mktg_ann</vt:lpstr>
      <vt:lpstr>'Sample Plan'!calc_ox_sales_mktg_m1</vt:lpstr>
      <vt:lpstr>calc_ox_sales_mktg_m1</vt:lpstr>
      <vt:lpstr>'Sample Plan'!calc_ox_sales_mktg_m10</vt:lpstr>
      <vt:lpstr>calc_ox_sales_mktg_m10</vt:lpstr>
      <vt:lpstr>'Sample Plan'!calc_ox_sales_mktg_m11</vt:lpstr>
      <vt:lpstr>calc_ox_sales_mktg_m11</vt:lpstr>
      <vt:lpstr>'Sample Plan'!calc_ox_sales_mktg_m12</vt:lpstr>
      <vt:lpstr>calc_ox_sales_mktg_m12</vt:lpstr>
      <vt:lpstr>'Sample Plan'!calc_ox_sales_mktg_m1m12</vt:lpstr>
      <vt:lpstr>calc_ox_sales_mktg_m1m12</vt:lpstr>
      <vt:lpstr>'Sample Plan'!calc_ox_sales_mktg_m2</vt:lpstr>
      <vt:lpstr>calc_ox_sales_mktg_m2</vt:lpstr>
      <vt:lpstr>'Sample Plan'!calc_ox_sales_mktg_m3</vt:lpstr>
      <vt:lpstr>calc_ox_sales_mktg_m3</vt:lpstr>
      <vt:lpstr>'Sample Plan'!calc_ox_sales_mktg_m4</vt:lpstr>
      <vt:lpstr>calc_ox_sales_mktg_m4</vt:lpstr>
      <vt:lpstr>'Sample Plan'!calc_ox_sales_mktg_m5</vt:lpstr>
      <vt:lpstr>calc_ox_sales_mktg_m5</vt:lpstr>
      <vt:lpstr>'Sample Plan'!calc_ox_sales_mktg_m6</vt:lpstr>
      <vt:lpstr>calc_ox_sales_mktg_m6</vt:lpstr>
      <vt:lpstr>'Sample Plan'!calc_ox_sales_mktg_m7</vt:lpstr>
      <vt:lpstr>calc_ox_sales_mktg_m7</vt:lpstr>
      <vt:lpstr>'Sample Plan'!calc_ox_sales_mktg_m8</vt:lpstr>
      <vt:lpstr>calc_ox_sales_mktg_m8</vt:lpstr>
      <vt:lpstr>'Sample Plan'!calc_ox_sales_mktg_m9</vt:lpstr>
      <vt:lpstr>calc_ox_sales_mktg_m9</vt:lpstr>
      <vt:lpstr>'Sample Plan'!calc_ox_software_ann</vt:lpstr>
      <vt:lpstr>calc_ox_software_ann</vt:lpstr>
      <vt:lpstr>'Sample Plan'!calc_ox_software_m1</vt:lpstr>
      <vt:lpstr>calc_ox_software_m1</vt:lpstr>
      <vt:lpstr>'Sample Plan'!calc_ox_software_m10</vt:lpstr>
      <vt:lpstr>calc_ox_software_m10</vt:lpstr>
      <vt:lpstr>'Sample Plan'!calc_ox_software_m11</vt:lpstr>
      <vt:lpstr>calc_ox_software_m11</vt:lpstr>
      <vt:lpstr>'Sample Plan'!calc_ox_software_m12</vt:lpstr>
      <vt:lpstr>calc_ox_software_m12</vt:lpstr>
      <vt:lpstr>'Sample Plan'!calc_ox_software_m1m12</vt:lpstr>
      <vt:lpstr>calc_ox_software_m1m12</vt:lpstr>
      <vt:lpstr>'Sample Plan'!calc_ox_software_m2</vt:lpstr>
      <vt:lpstr>calc_ox_software_m2</vt:lpstr>
      <vt:lpstr>'Sample Plan'!calc_ox_software_m3</vt:lpstr>
      <vt:lpstr>calc_ox_software_m3</vt:lpstr>
      <vt:lpstr>'Sample Plan'!calc_ox_software_m4</vt:lpstr>
      <vt:lpstr>calc_ox_software_m4</vt:lpstr>
      <vt:lpstr>'Sample Plan'!calc_ox_software_m5</vt:lpstr>
      <vt:lpstr>calc_ox_software_m5</vt:lpstr>
      <vt:lpstr>'Sample Plan'!calc_ox_software_m6</vt:lpstr>
      <vt:lpstr>calc_ox_software_m6</vt:lpstr>
      <vt:lpstr>'Sample Plan'!calc_ox_software_m7</vt:lpstr>
      <vt:lpstr>calc_ox_software_m7</vt:lpstr>
      <vt:lpstr>'Sample Plan'!calc_ox_software_m8</vt:lpstr>
      <vt:lpstr>calc_ox_software_m8</vt:lpstr>
      <vt:lpstr>'Sample Plan'!calc_ox_software_m9</vt:lpstr>
      <vt:lpstr>calc_ox_software_m9</vt:lpstr>
      <vt:lpstr>'Sample Plan'!calc_ox_total_ann</vt:lpstr>
      <vt:lpstr>calc_ox_total_ann</vt:lpstr>
      <vt:lpstr>'Sample Plan'!calc_ox_total_m1</vt:lpstr>
      <vt:lpstr>calc_ox_total_m1</vt:lpstr>
      <vt:lpstr>'Sample Plan'!calc_ox_total_m10</vt:lpstr>
      <vt:lpstr>calc_ox_total_m10</vt:lpstr>
      <vt:lpstr>'Sample Plan'!calc_ox_total_m11</vt:lpstr>
      <vt:lpstr>calc_ox_total_m11</vt:lpstr>
      <vt:lpstr>'Sample Plan'!calc_ox_total_m12</vt:lpstr>
      <vt:lpstr>calc_ox_total_m12</vt:lpstr>
      <vt:lpstr>'Sample Plan'!calc_ox_total_m1m12</vt:lpstr>
      <vt:lpstr>calc_ox_total_m1m12</vt:lpstr>
      <vt:lpstr>'Sample Plan'!calc_ox_total_m2</vt:lpstr>
      <vt:lpstr>calc_ox_total_m2</vt:lpstr>
      <vt:lpstr>'Sample Plan'!calc_ox_total_m3</vt:lpstr>
      <vt:lpstr>calc_ox_total_m3</vt:lpstr>
      <vt:lpstr>'Sample Plan'!calc_ox_total_m4</vt:lpstr>
      <vt:lpstr>calc_ox_total_m4</vt:lpstr>
      <vt:lpstr>'Sample Plan'!calc_ox_total_m5</vt:lpstr>
      <vt:lpstr>calc_ox_total_m5</vt:lpstr>
      <vt:lpstr>'Sample Plan'!calc_ox_total_m6</vt:lpstr>
      <vt:lpstr>calc_ox_total_m6</vt:lpstr>
      <vt:lpstr>'Sample Plan'!calc_ox_total_m7</vt:lpstr>
      <vt:lpstr>calc_ox_total_m7</vt:lpstr>
      <vt:lpstr>'Sample Plan'!calc_ox_total_m8</vt:lpstr>
      <vt:lpstr>calc_ox_total_m8</vt:lpstr>
      <vt:lpstr>'Sample Plan'!calc_ox_total_m9</vt:lpstr>
      <vt:lpstr>calc_ox_total_m9</vt:lpstr>
      <vt:lpstr>'Sample Plan'!calc_ox_travel_ann</vt:lpstr>
      <vt:lpstr>calc_ox_travel_ann</vt:lpstr>
      <vt:lpstr>'Sample Plan'!calc_ox_travel_m1</vt:lpstr>
      <vt:lpstr>calc_ox_travel_m1</vt:lpstr>
      <vt:lpstr>'Sample Plan'!calc_ox_travel_m10</vt:lpstr>
      <vt:lpstr>calc_ox_travel_m10</vt:lpstr>
      <vt:lpstr>'Sample Plan'!calc_ox_travel_m11</vt:lpstr>
      <vt:lpstr>calc_ox_travel_m11</vt:lpstr>
      <vt:lpstr>'Sample Plan'!calc_ox_travel_m12</vt:lpstr>
      <vt:lpstr>calc_ox_travel_m12</vt:lpstr>
      <vt:lpstr>'Sample Plan'!calc_ox_travel_m1m12</vt:lpstr>
      <vt:lpstr>calc_ox_travel_m1m12</vt:lpstr>
      <vt:lpstr>'Sample Plan'!calc_ox_travel_m2</vt:lpstr>
      <vt:lpstr>calc_ox_travel_m2</vt:lpstr>
      <vt:lpstr>'Sample Plan'!calc_ox_travel_m3</vt:lpstr>
      <vt:lpstr>calc_ox_travel_m3</vt:lpstr>
      <vt:lpstr>'Sample Plan'!calc_ox_travel_m4</vt:lpstr>
      <vt:lpstr>calc_ox_travel_m4</vt:lpstr>
      <vt:lpstr>'Sample Plan'!calc_ox_travel_m5</vt:lpstr>
      <vt:lpstr>calc_ox_travel_m5</vt:lpstr>
      <vt:lpstr>'Sample Plan'!calc_ox_travel_m6</vt:lpstr>
      <vt:lpstr>calc_ox_travel_m6</vt:lpstr>
      <vt:lpstr>'Sample Plan'!calc_ox_travel_m7</vt:lpstr>
      <vt:lpstr>calc_ox_travel_m7</vt:lpstr>
      <vt:lpstr>'Sample Plan'!calc_ox_travel_m8</vt:lpstr>
      <vt:lpstr>calc_ox_travel_m8</vt:lpstr>
      <vt:lpstr>'Sample Plan'!calc_ox_travel_m9</vt:lpstr>
      <vt:lpstr>calc_ox_travel_m9</vt:lpstr>
      <vt:lpstr>'Sample Plan'!calc_peak_fte</vt:lpstr>
      <vt:lpstr>calc_peak_fte</vt:lpstr>
      <vt:lpstr>'Sample Plan'!calc_plan_ebitda_pct</vt:lpstr>
      <vt:lpstr>calc_plan_ebitda_pct</vt:lpstr>
      <vt:lpstr>'Sample Plan'!calc_plan_gm_pct</vt:lpstr>
      <vt:lpstr>calc_plan_gm_pct</vt:lpstr>
      <vt:lpstr>'Sample Plan'!calc_plan_rpe</vt:lpstr>
      <vt:lpstr>calc_plan_rpe</vt:lpstr>
      <vt:lpstr>'Sample Plan'!calc_plan_util</vt:lpstr>
      <vt:lpstr>calc_plan_util</vt:lpstr>
      <vt:lpstr>'Sample Plan'!calc_rev_sl1_ann</vt:lpstr>
      <vt:lpstr>calc_rev_sl1_ann</vt:lpstr>
      <vt:lpstr>'Sample Plan'!calc_rev_sl1_m1</vt:lpstr>
      <vt:lpstr>calc_rev_sl1_m1</vt:lpstr>
      <vt:lpstr>'Sample Plan'!calc_rev_sl1_m10</vt:lpstr>
      <vt:lpstr>calc_rev_sl1_m10</vt:lpstr>
      <vt:lpstr>'Sample Plan'!calc_rev_sl1_m11</vt:lpstr>
      <vt:lpstr>calc_rev_sl1_m11</vt:lpstr>
      <vt:lpstr>'Sample Plan'!calc_rev_sl1_m12</vt:lpstr>
      <vt:lpstr>calc_rev_sl1_m12</vt:lpstr>
      <vt:lpstr>'Sample Plan'!calc_rev_sl1_m1m12</vt:lpstr>
      <vt:lpstr>calc_rev_sl1_m1m12</vt:lpstr>
      <vt:lpstr>'Sample Plan'!calc_rev_sl1_m2</vt:lpstr>
      <vt:lpstr>calc_rev_sl1_m2</vt:lpstr>
      <vt:lpstr>'Sample Plan'!calc_rev_sl1_m3</vt:lpstr>
      <vt:lpstr>calc_rev_sl1_m3</vt:lpstr>
      <vt:lpstr>'Sample Plan'!calc_rev_sl1_m4</vt:lpstr>
      <vt:lpstr>calc_rev_sl1_m4</vt:lpstr>
      <vt:lpstr>'Sample Plan'!calc_rev_sl1_m5</vt:lpstr>
      <vt:lpstr>calc_rev_sl1_m5</vt:lpstr>
      <vt:lpstr>'Sample Plan'!calc_rev_sl1_m6</vt:lpstr>
      <vt:lpstr>calc_rev_sl1_m6</vt:lpstr>
      <vt:lpstr>'Sample Plan'!calc_rev_sl1_m7</vt:lpstr>
      <vt:lpstr>calc_rev_sl1_m7</vt:lpstr>
      <vt:lpstr>'Sample Plan'!calc_rev_sl1_m8</vt:lpstr>
      <vt:lpstr>calc_rev_sl1_m8</vt:lpstr>
      <vt:lpstr>'Sample Plan'!calc_rev_sl1_m9</vt:lpstr>
      <vt:lpstr>calc_rev_sl1_m9</vt:lpstr>
      <vt:lpstr>'Sample Plan'!calc_rev_sl2_ann</vt:lpstr>
      <vt:lpstr>calc_rev_sl2_ann</vt:lpstr>
      <vt:lpstr>'Sample Plan'!calc_rev_sl2_m1</vt:lpstr>
      <vt:lpstr>calc_rev_sl2_m1</vt:lpstr>
      <vt:lpstr>'Sample Plan'!calc_rev_sl2_m10</vt:lpstr>
      <vt:lpstr>calc_rev_sl2_m10</vt:lpstr>
      <vt:lpstr>'Sample Plan'!calc_rev_sl2_m11</vt:lpstr>
      <vt:lpstr>calc_rev_sl2_m11</vt:lpstr>
      <vt:lpstr>'Sample Plan'!calc_rev_sl2_m12</vt:lpstr>
      <vt:lpstr>calc_rev_sl2_m12</vt:lpstr>
      <vt:lpstr>'Sample Plan'!calc_rev_sl2_m1m12</vt:lpstr>
      <vt:lpstr>calc_rev_sl2_m1m12</vt:lpstr>
      <vt:lpstr>'Sample Plan'!calc_rev_sl2_m2</vt:lpstr>
      <vt:lpstr>calc_rev_sl2_m2</vt:lpstr>
      <vt:lpstr>'Sample Plan'!calc_rev_sl2_m3</vt:lpstr>
      <vt:lpstr>calc_rev_sl2_m3</vt:lpstr>
      <vt:lpstr>'Sample Plan'!calc_rev_sl2_m4</vt:lpstr>
      <vt:lpstr>calc_rev_sl2_m4</vt:lpstr>
      <vt:lpstr>'Sample Plan'!calc_rev_sl2_m5</vt:lpstr>
      <vt:lpstr>calc_rev_sl2_m5</vt:lpstr>
      <vt:lpstr>'Sample Plan'!calc_rev_sl2_m6</vt:lpstr>
      <vt:lpstr>calc_rev_sl2_m6</vt:lpstr>
      <vt:lpstr>'Sample Plan'!calc_rev_sl2_m7</vt:lpstr>
      <vt:lpstr>calc_rev_sl2_m7</vt:lpstr>
      <vt:lpstr>'Sample Plan'!calc_rev_sl2_m8</vt:lpstr>
      <vt:lpstr>calc_rev_sl2_m8</vt:lpstr>
      <vt:lpstr>'Sample Plan'!calc_rev_sl2_m9</vt:lpstr>
      <vt:lpstr>calc_rev_sl2_m9</vt:lpstr>
      <vt:lpstr>'Sample Plan'!calc_rev_sl3_ann</vt:lpstr>
      <vt:lpstr>calc_rev_sl3_ann</vt:lpstr>
      <vt:lpstr>'Sample Plan'!calc_rev_sl3_m1</vt:lpstr>
      <vt:lpstr>calc_rev_sl3_m1</vt:lpstr>
      <vt:lpstr>'Sample Plan'!calc_rev_sl3_m10</vt:lpstr>
      <vt:lpstr>calc_rev_sl3_m10</vt:lpstr>
      <vt:lpstr>'Sample Plan'!calc_rev_sl3_m11</vt:lpstr>
      <vt:lpstr>calc_rev_sl3_m11</vt:lpstr>
      <vt:lpstr>'Sample Plan'!calc_rev_sl3_m12</vt:lpstr>
      <vt:lpstr>calc_rev_sl3_m12</vt:lpstr>
      <vt:lpstr>'Sample Plan'!calc_rev_sl3_m1m12</vt:lpstr>
      <vt:lpstr>calc_rev_sl3_m1m12</vt:lpstr>
      <vt:lpstr>'Sample Plan'!calc_rev_sl3_m2</vt:lpstr>
      <vt:lpstr>calc_rev_sl3_m2</vt:lpstr>
      <vt:lpstr>'Sample Plan'!calc_rev_sl3_m3</vt:lpstr>
      <vt:lpstr>calc_rev_sl3_m3</vt:lpstr>
      <vt:lpstr>'Sample Plan'!calc_rev_sl3_m4</vt:lpstr>
      <vt:lpstr>calc_rev_sl3_m4</vt:lpstr>
      <vt:lpstr>'Sample Plan'!calc_rev_sl3_m5</vt:lpstr>
      <vt:lpstr>calc_rev_sl3_m5</vt:lpstr>
      <vt:lpstr>'Sample Plan'!calc_rev_sl3_m6</vt:lpstr>
      <vt:lpstr>calc_rev_sl3_m6</vt:lpstr>
      <vt:lpstr>'Sample Plan'!calc_rev_sl3_m7</vt:lpstr>
      <vt:lpstr>calc_rev_sl3_m7</vt:lpstr>
      <vt:lpstr>'Sample Plan'!calc_rev_sl3_m8</vt:lpstr>
      <vt:lpstr>calc_rev_sl3_m8</vt:lpstr>
      <vt:lpstr>'Sample Plan'!calc_rev_sl3_m9</vt:lpstr>
      <vt:lpstr>calc_rev_sl3_m9</vt:lpstr>
      <vt:lpstr>'Sample Plan'!calc_rev_sl4_ann</vt:lpstr>
      <vt:lpstr>calc_rev_sl4_ann</vt:lpstr>
      <vt:lpstr>'Sample Plan'!calc_rev_sl4_m1</vt:lpstr>
      <vt:lpstr>calc_rev_sl4_m1</vt:lpstr>
      <vt:lpstr>'Sample Plan'!calc_rev_sl4_m10</vt:lpstr>
      <vt:lpstr>calc_rev_sl4_m10</vt:lpstr>
      <vt:lpstr>'Sample Plan'!calc_rev_sl4_m11</vt:lpstr>
      <vt:lpstr>calc_rev_sl4_m11</vt:lpstr>
      <vt:lpstr>'Sample Plan'!calc_rev_sl4_m12</vt:lpstr>
      <vt:lpstr>calc_rev_sl4_m12</vt:lpstr>
      <vt:lpstr>'Sample Plan'!calc_rev_sl4_m1m12</vt:lpstr>
      <vt:lpstr>calc_rev_sl4_m1m12</vt:lpstr>
      <vt:lpstr>'Sample Plan'!calc_rev_sl4_m2</vt:lpstr>
      <vt:lpstr>calc_rev_sl4_m2</vt:lpstr>
      <vt:lpstr>'Sample Plan'!calc_rev_sl4_m3</vt:lpstr>
      <vt:lpstr>calc_rev_sl4_m3</vt:lpstr>
      <vt:lpstr>'Sample Plan'!calc_rev_sl4_m4</vt:lpstr>
      <vt:lpstr>calc_rev_sl4_m4</vt:lpstr>
      <vt:lpstr>'Sample Plan'!calc_rev_sl4_m5</vt:lpstr>
      <vt:lpstr>calc_rev_sl4_m5</vt:lpstr>
      <vt:lpstr>'Sample Plan'!calc_rev_sl4_m6</vt:lpstr>
      <vt:lpstr>calc_rev_sl4_m6</vt:lpstr>
      <vt:lpstr>'Sample Plan'!calc_rev_sl4_m7</vt:lpstr>
      <vt:lpstr>calc_rev_sl4_m7</vt:lpstr>
      <vt:lpstr>'Sample Plan'!calc_rev_sl4_m8</vt:lpstr>
      <vt:lpstr>calc_rev_sl4_m8</vt:lpstr>
      <vt:lpstr>'Sample Plan'!calc_rev_sl4_m9</vt:lpstr>
      <vt:lpstr>calc_rev_sl4_m9</vt:lpstr>
      <vt:lpstr>'Sample Plan'!calc_rev_sl5_ann</vt:lpstr>
      <vt:lpstr>calc_rev_sl5_ann</vt:lpstr>
      <vt:lpstr>'Sample Plan'!calc_rev_sl5_m1</vt:lpstr>
      <vt:lpstr>calc_rev_sl5_m1</vt:lpstr>
      <vt:lpstr>'Sample Plan'!calc_rev_sl5_m10</vt:lpstr>
      <vt:lpstr>calc_rev_sl5_m10</vt:lpstr>
      <vt:lpstr>'Sample Plan'!calc_rev_sl5_m11</vt:lpstr>
      <vt:lpstr>calc_rev_sl5_m11</vt:lpstr>
      <vt:lpstr>'Sample Plan'!calc_rev_sl5_m12</vt:lpstr>
      <vt:lpstr>calc_rev_sl5_m12</vt:lpstr>
      <vt:lpstr>'Sample Plan'!calc_rev_sl5_m1m12</vt:lpstr>
      <vt:lpstr>calc_rev_sl5_m1m12</vt:lpstr>
      <vt:lpstr>'Sample Plan'!calc_rev_sl5_m2</vt:lpstr>
      <vt:lpstr>calc_rev_sl5_m2</vt:lpstr>
      <vt:lpstr>'Sample Plan'!calc_rev_sl5_m3</vt:lpstr>
      <vt:lpstr>calc_rev_sl5_m3</vt:lpstr>
      <vt:lpstr>'Sample Plan'!calc_rev_sl5_m4</vt:lpstr>
      <vt:lpstr>calc_rev_sl5_m4</vt:lpstr>
      <vt:lpstr>'Sample Plan'!calc_rev_sl5_m5</vt:lpstr>
      <vt:lpstr>calc_rev_sl5_m5</vt:lpstr>
      <vt:lpstr>'Sample Plan'!calc_rev_sl5_m6</vt:lpstr>
      <vt:lpstr>calc_rev_sl5_m6</vt:lpstr>
      <vt:lpstr>'Sample Plan'!calc_rev_sl5_m7</vt:lpstr>
      <vt:lpstr>calc_rev_sl5_m7</vt:lpstr>
      <vt:lpstr>'Sample Plan'!calc_rev_sl5_m8</vt:lpstr>
      <vt:lpstr>calc_rev_sl5_m8</vt:lpstr>
      <vt:lpstr>'Sample Plan'!calc_rev_sl5_m9</vt:lpstr>
      <vt:lpstr>calc_rev_sl5_m9</vt:lpstr>
      <vt:lpstr>'Sample Plan'!calc_rev_total_ann</vt:lpstr>
      <vt:lpstr>calc_rev_total_ann</vt:lpstr>
      <vt:lpstr>'Sample Plan'!calc_rev_total_m1</vt:lpstr>
      <vt:lpstr>calc_rev_total_m1</vt:lpstr>
      <vt:lpstr>'Sample Plan'!calc_rev_total_m10</vt:lpstr>
      <vt:lpstr>calc_rev_total_m10</vt:lpstr>
      <vt:lpstr>'Sample Plan'!calc_rev_total_m11</vt:lpstr>
      <vt:lpstr>calc_rev_total_m11</vt:lpstr>
      <vt:lpstr>'Sample Plan'!calc_rev_total_m12</vt:lpstr>
      <vt:lpstr>calc_rev_total_m12</vt:lpstr>
      <vt:lpstr>'Sample Plan'!calc_rev_total_m1m12</vt:lpstr>
      <vt:lpstr>calc_rev_total_m1m12</vt:lpstr>
      <vt:lpstr>'Sample Plan'!calc_rev_total_m2</vt:lpstr>
      <vt:lpstr>calc_rev_total_m2</vt:lpstr>
      <vt:lpstr>'Sample Plan'!calc_rev_total_m3</vt:lpstr>
      <vt:lpstr>calc_rev_total_m3</vt:lpstr>
      <vt:lpstr>'Sample Plan'!calc_rev_total_m4</vt:lpstr>
      <vt:lpstr>calc_rev_total_m4</vt:lpstr>
      <vt:lpstr>'Sample Plan'!calc_rev_total_m5</vt:lpstr>
      <vt:lpstr>calc_rev_total_m5</vt:lpstr>
      <vt:lpstr>'Sample Plan'!calc_rev_total_m6</vt:lpstr>
      <vt:lpstr>calc_rev_total_m6</vt:lpstr>
      <vt:lpstr>'Sample Plan'!calc_rev_total_m7</vt:lpstr>
      <vt:lpstr>calc_rev_total_m7</vt:lpstr>
      <vt:lpstr>'Sample Plan'!calc_rev_total_m8</vt:lpstr>
      <vt:lpstr>calc_rev_total_m8</vt:lpstr>
      <vt:lpstr>'Sample Plan'!calc_rev_total_m9</vt:lpstr>
      <vt:lpstr>calc_rev_total_m9</vt:lpstr>
      <vt:lpstr>'Sample Inputs'!calc_roster_capacity_m1m12</vt:lpstr>
      <vt:lpstr>'Sample Plan'!calc_roster_capacity_m1m12</vt:lpstr>
      <vt:lpstr>calc_roster_capacity_m1m12</vt:lpstr>
      <vt:lpstr>'Sample Inputs'!calc_roster_delivery_payroll_m1m12</vt:lpstr>
      <vt:lpstr>'Sample Plan'!calc_roster_delivery_payroll_m1m12</vt:lpstr>
      <vt:lpstr>calc_roster_delivery_payroll_m1m12</vt:lpstr>
      <vt:lpstr>'Sample Inputs'!calc_roster_fte_m1m12</vt:lpstr>
      <vt:lpstr>'Sample Plan'!calc_roster_fte_m1m12</vt:lpstr>
      <vt:lpstr>calc_roster_fte_m1m12</vt:lpstr>
      <vt:lpstr>'Sample Inputs'!calc_roster_overhead_payroll_m1m12</vt:lpstr>
      <vt:lpstr>'Sample Plan'!calc_roster_overhead_payroll_m1m12</vt:lpstr>
      <vt:lpstr>calc_roster_overhead_payroll_m1m12</vt:lpstr>
      <vt:lpstr>'Sample Inputs'!calc_roster_revcap_annual</vt:lpstr>
      <vt:lpstr>'Sample Plan'!calc_roster_revcap_annual</vt:lpstr>
      <vt:lpstr>calc_roster_revcap_annual</vt:lpstr>
      <vt:lpstr>'Sample Inputs'!calc_roster_revcap_grid</vt:lpstr>
      <vt:lpstr>'Sample Plan'!calc_roster_revcap_grid</vt:lpstr>
      <vt:lpstr>calc_roster_revcap_grid</vt:lpstr>
      <vt:lpstr>'Sample Inputs'!calc_roster_revcap_m1m12</vt:lpstr>
      <vt:lpstr>'Sample Plan'!calc_roster_revcap_m1m12</vt:lpstr>
      <vt:lpstr>calc_roster_revcap_m1m12</vt:lpstr>
      <vt:lpstr>'Sample Inputs'!calc_roster_weighted_util</vt:lpstr>
      <vt:lpstr>'Sample Plan'!calc_roster_weighted_util</vt:lpstr>
      <vt:lpstr>calc_roster_weighted_util</vt:lpstr>
      <vt:lpstr>'Sample Plan'!calc_scn_cash_base</vt:lpstr>
      <vt:lpstr>calc_scn_cash_base</vt:lpstr>
      <vt:lpstr>'Sample Plan'!calc_scn_cash_downside</vt:lpstr>
      <vt:lpstr>calc_scn_cash_downside</vt:lpstr>
      <vt:lpstr>'Sample Plan'!calc_scn_cash_upside</vt:lpstr>
      <vt:lpstr>calc_scn_cash_upside</vt:lpstr>
      <vt:lpstr>'Sample Plan'!calc_scn_cost_ann</vt:lpstr>
      <vt:lpstr>calc_scn_cost_ann</vt:lpstr>
      <vt:lpstr>'Sample Plan'!calc_scn_cost_m1</vt:lpstr>
      <vt:lpstr>calc_scn_cost_m1</vt:lpstr>
      <vt:lpstr>'Sample Plan'!calc_scn_cost_m10</vt:lpstr>
      <vt:lpstr>calc_scn_cost_m10</vt:lpstr>
      <vt:lpstr>'Sample Plan'!calc_scn_cost_m11</vt:lpstr>
      <vt:lpstr>calc_scn_cost_m11</vt:lpstr>
      <vt:lpstr>'Sample Plan'!calc_scn_cost_m12</vt:lpstr>
      <vt:lpstr>calc_scn_cost_m12</vt:lpstr>
      <vt:lpstr>'Sample Plan'!calc_scn_cost_m1m12</vt:lpstr>
      <vt:lpstr>calc_scn_cost_m1m12</vt:lpstr>
      <vt:lpstr>'Sample Plan'!calc_scn_cost_m2</vt:lpstr>
      <vt:lpstr>calc_scn_cost_m2</vt:lpstr>
      <vt:lpstr>'Sample Plan'!calc_scn_cost_m3</vt:lpstr>
      <vt:lpstr>calc_scn_cost_m3</vt:lpstr>
      <vt:lpstr>'Sample Plan'!calc_scn_cost_m4</vt:lpstr>
      <vt:lpstr>calc_scn_cost_m4</vt:lpstr>
      <vt:lpstr>'Sample Plan'!calc_scn_cost_m5</vt:lpstr>
      <vt:lpstr>calc_scn_cost_m5</vt:lpstr>
      <vt:lpstr>'Sample Plan'!calc_scn_cost_m6</vt:lpstr>
      <vt:lpstr>calc_scn_cost_m6</vt:lpstr>
      <vt:lpstr>'Sample Plan'!calc_scn_cost_m7</vt:lpstr>
      <vt:lpstr>calc_scn_cost_m7</vt:lpstr>
      <vt:lpstr>'Sample Plan'!calc_scn_cost_m8</vt:lpstr>
      <vt:lpstr>calc_scn_cost_m8</vt:lpstr>
      <vt:lpstr>'Sample Plan'!calc_scn_cost_m9</vt:lpstr>
      <vt:lpstr>calc_scn_cost_m9</vt:lpstr>
      <vt:lpstr>'Sample Plan'!calc_scn_ebitda_base</vt:lpstr>
      <vt:lpstr>calc_scn_ebitda_base</vt:lpstr>
      <vt:lpstr>'Sample Plan'!calc_scn_ebitda_downside</vt:lpstr>
      <vt:lpstr>calc_scn_ebitda_downside</vt:lpstr>
      <vt:lpstr>'Sample Plan'!calc_scn_ebitda_upside</vt:lpstr>
      <vt:lpstr>calc_scn_ebitda_upside</vt:lpstr>
      <vt:lpstr>'Sample Plan'!calc_scn_lag</vt:lpstr>
      <vt:lpstr>calc_scn_lag</vt:lpstr>
      <vt:lpstr>'Sample Plan'!calc_scn_rev_ann</vt:lpstr>
      <vt:lpstr>calc_scn_rev_ann</vt:lpstr>
      <vt:lpstr>'Sample Plan'!calc_scn_rev_base</vt:lpstr>
      <vt:lpstr>calc_scn_rev_base</vt:lpstr>
      <vt:lpstr>'Sample Plan'!calc_scn_rev_downside</vt:lpstr>
      <vt:lpstr>calc_scn_rev_downside</vt:lpstr>
      <vt:lpstr>'Sample Plan'!calc_scn_rev_m1</vt:lpstr>
      <vt:lpstr>calc_scn_rev_m1</vt:lpstr>
      <vt:lpstr>'Sample Plan'!calc_scn_rev_m10</vt:lpstr>
      <vt:lpstr>calc_scn_rev_m10</vt:lpstr>
      <vt:lpstr>'Sample Plan'!calc_scn_rev_m11</vt:lpstr>
      <vt:lpstr>calc_scn_rev_m11</vt:lpstr>
      <vt:lpstr>'Sample Plan'!calc_scn_rev_m12</vt:lpstr>
      <vt:lpstr>calc_scn_rev_m12</vt:lpstr>
      <vt:lpstr>'Sample Plan'!calc_scn_rev_m1m12</vt:lpstr>
      <vt:lpstr>calc_scn_rev_m1m12</vt:lpstr>
      <vt:lpstr>'Sample Plan'!calc_scn_rev_m2</vt:lpstr>
      <vt:lpstr>calc_scn_rev_m2</vt:lpstr>
      <vt:lpstr>'Sample Plan'!calc_scn_rev_m3</vt:lpstr>
      <vt:lpstr>calc_scn_rev_m3</vt:lpstr>
      <vt:lpstr>'Sample Plan'!calc_scn_rev_m4</vt:lpstr>
      <vt:lpstr>calc_scn_rev_m4</vt:lpstr>
      <vt:lpstr>'Sample Plan'!calc_scn_rev_m5</vt:lpstr>
      <vt:lpstr>calc_scn_rev_m5</vt:lpstr>
      <vt:lpstr>'Sample Plan'!calc_scn_rev_m6</vt:lpstr>
      <vt:lpstr>calc_scn_rev_m6</vt:lpstr>
      <vt:lpstr>'Sample Plan'!calc_scn_rev_m7</vt:lpstr>
      <vt:lpstr>calc_scn_rev_m7</vt:lpstr>
      <vt:lpstr>'Sample Plan'!calc_scn_rev_m8</vt:lpstr>
      <vt:lpstr>calc_scn_rev_m8</vt:lpstr>
      <vt:lpstr>'Sample Plan'!calc_scn_rev_m9</vt:lpstr>
      <vt:lpstr>calc_scn_rev_m9</vt:lpstr>
      <vt:lpstr>'Sample Plan'!calc_scn_rev_upside</vt:lpstr>
      <vt:lpstr>calc_scn_rev_upside</vt:lpstr>
      <vt:lpstr>'Sample Plan'!calc_scn_util_ann</vt:lpstr>
      <vt:lpstr>calc_scn_util_ann</vt:lpstr>
      <vt:lpstr>'Sample Plan'!calc_scn_util_m1</vt:lpstr>
      <vt:lpstr>calc_scn_util_m1</vt:lpstr>
      <vt:lpstr>'Sample Plan'!calc_scn_util_m10</vt:lpstr>
      <vt:lpstr>calc_scn_util_m10</vt:lpstr>
      <vt:lpstr>'Sample Plan'!calc_scn_util_m11</vt:lpstr>
      <vt:lpstr>calc_scn_util_m11</vt:lpstr>
      <vt:lpstr>'Sample Plan'!calc_scn_util_m12</vt:lpstr>
      <vt:lpstr>calc_scn_util_m12</vt:lpstr>
      <vt:lpstr>'Sample Plan'!calc_scn_util_m1m12</vt:lpstr>
      <vt:lpstr>calc_scn_util_m1m12</vt:lpstr>
      <vt:lpstr>'Sample Plan'!calc_scn_util_m2</vt:lpstr>
      <vt:lpstr>calc_scn_util_m2</vt:lpstr>
      <vt:lpstr>'Sample Plan'!calc_scn_util_m3</vt:lpstr>
      <vt:lpstr>calc_scn_util_m3</vt:lpstr>
      <vt:lpstr>'Sample Plan'!calc_scn_util_m4</vt:lpstr>
      <vt:lpstr>calc_scn_util_m4</vt:lpstr>
      <vt:lpstr>'Sample Plan'!calc_scn_util_m5</vt:lpstr>
      <vt:lpstr>calc_scn_util_m5</vt:lpstr>
      <vt:lpstr>'Sample Plan'!calc_scn_util_m6</vt:lpstr>
      <vt:lpstr>calc_scn_util_m6</vt:lpstr>
      <vt:lpstr>'Sample Plan'!calc_scn_util_m7</vt:lpstr>
      <vt:lpstr>calc_scn_util_m7</vt:lpstr>
      <vt:lpstr>'Sample Plan'!calc_scn_util_m8</vt:lpstr>
      <vt:lpstr>calc_scn_util_m8</vt:lpstr>
      <vt:lpstr>'Sample Plan'!calc_scn_util_m9</vt:lpstr>
      <vt:lpstr>calc_scn_util_m9</vt:lpstr>
      <vt:lpstr>'Sample Plan'!calc_tax_ann</vt:lpstr>
      <vt:lpstr>calc_tax_ann</vt:lpstr>
      <vt:lpstr>'Sample Plan'!calc_tax_m1</vt:lpstr>
      <vt:lpstr>calc_tax_m1</vt:lpstr>
      <vt:lpstr>'Sample Plan'!calc_tax_m10</vt:lpstr>
      <vt:lpstr>calc_tax_m10</vt:lpstr>
      <vt:lpstr>'Sample Plan'!calc_tax_m11</vt:lpstr>
      <vt:lpstr>calc_tax_m11</vt:lpstr>
      <vt:lpstr>'Sample Plan'!calc_tax_m12</vt:lpstr>
      <vt:lpstr>calc_tax_m12</vt:lpstr>
      <vt:lpstr>'Sample Plan'!calc_tax_m1m12</vt:lpstr>
      <vt:lpstr>calc_tax_m1m12</vt:lpstr>
      <vt:lpstr>'Sample Plan'!calc_tax_m2</vt:lpstr>
      <vt:lpstr>calc_tax_m2</vt:lpstr>
      <vt:lpstr>'Sample Plan'!calc_tax_m3</vt:lpstr>
      <vt:lpstr>calc_tax_m3</vt:lpstr>
      <vt:lpstr>'Sample Plan'!calc_tax_m4</vt:lpstr>
      <vt:lpstr>calc_tax_m4</vt:lpstr>
      <vt:lpstr>'Sample Plan'!calc_tax_m5</vt:lpstr>
      <vt:lpstr>calc_tax_m5</vt:lpstr>
      <vt:lpstr>'Sample Plan'!calc_tax_m6</vt:lpstr>
      <vt:lpstr>calc_tax_m6</vt:lpstr>
      <vt:lpstr>'Sample Plan'!calc_tax_m7</vt:lpstr>
      <vt:lpstr>calc_tax_m7</vt:lpstr>
      <vt:lpstr>'Sample Plan'!calc_tax_m8</vt:lpstr>
      <vt:lpstr>calc_tax_m8</vt:lpstr>
      <vt:lpstr>'Sample Plan'!calc_tax_m9</vt:lpstr>
      <vt:lpstr>calc_tax_m9</vt:lpstr>
      <vt:lpstr>'Sample Plan'!calc_tax_paid_neg_ann</vt:lpstr>
      <vt:lpstr>calc_tax_paid_neg_ann</vt:lpstr>
      <vt:lpstr>'Sample Plan'!calc_tax_paid_neg_m1</vt:lpstr>
      <vt:lpstr>calc_tax_paid_neg_m1</vt:lpstr>
      <vt:lpstr>'Sample Plan'!calc_tax_paid_neg_m10</vt:lpstr>
      <vt:lpstr>calc_tax_paid_neg_m10</vt:lpstr>
      <vt:lpstr>'Sample Plan'!calc_tax_paid_neg_m11</vt:lpstr>
      <vt:lpstr>calc_tax_paid_neg_m11</vt:lpstr>
      <vt:lpstr>'Sample Plan'!calc_tax_paid_neg_m12</vt:lpstr>
      <vt:lpstr>calc_tax_paid_neg_m12</vt:lpstr>
      <vt:lpstr>'Sample Plan'!calc_tax_paid_neg_m1m12</vt:lpstr>
      <vt:lpstr>calc_tax_paid_neg_m1m12</vt:lpstr>
      <vt:lpstr>'Sample Plan'!calc_tax_paid_neg_m2</vt:lpstr>
      <vt:lpstr>calc_tax_paid_neg_m2</vt:lpstr>
      <vt:lpstr>'Sample Plan'!calc_tax_paid_neg_m3</vt:lpstr>
      <vt:lpstr>calc_tax_paid_neg_m3</vt:lpstr>
      <vt:lpstr>'Sample Plan'!calc_tax_paid_neg_m4</vt:lpstr>
      <vt:lpstr>calc_tax_paid_neg_m4</vt:lpstr>
      <vt:lpstr>'Sample Plan'!calc_tax_paid_neg_m5</vt:lpstr>
      <vt:lpstr>calc_tax_paid_neg_m5</vt:lpstr>
      <vt:lpstr>'Sample Plan'!calc_tax_paid_neg_m6</vt:lpstr>
      <vt:lpstr>calc_tax_paid_neg_m6</vt:lpstr>
      <vt:lpstr>'Sample Plan'!calc_tax_paid_neg_m7</vt:lpstr>
      <vt:lpstr>calc_tax_paid_neg_m7</vt:lpstr>
      <vt:lpstr>'Sample Plan'!calc_tax_paid_neg_m8</vt:lpstr>
      <vt:lpstr>calc_tax_paid_neg_m8</vt:lpstr>
      <vt:lpstr>'Sample Plan'!calc_tax_paid_neg_m9</vt:lpstr>
      <vt:lpstr>calc_tax_paid_neg_m9</vt:lpstr>
      <vt:lpstr>'Sample Inputs'!capacity_weighted_util</vt:lpstr>
      <vt:lpstr>'Sample Plan'!capacity_weighted_util</vt:lpstr>
      <vt:lpstr>capacity_weighted_util</vt:lpstr>
      <vt:lpstr>'Sample Plan'!chk_ap_nonneg</vt:lpstr>
      <vt:lpstr>chk_ap_nonneg</vt:lpstr>
      <vt:lpstr>'Sample Plan'!chk_ar_nonneg</vt:lpstr>
      <vt:lpstr>chk_ar_nonneg</vt:lpstr>
      <vt:lpstr>'Sample Plan'!chk_bs_ties_m1</vt:lpstr>
      <vt:lpstr>chk_bs_ties_m1</vt:lpstr>
      <vt:lpstr>'Sample Plan'!chk_bs_ties_m10</vt:lpstr>
      <vt:lpstr>chk_bs_ties_m10</vt:lpstr>
      <vt:lpstr>'Sample Plan'!chk_bs_ties_m11</vt:lpstr>
      <vt:lpstr>chk_bs_ties_m11</vt:lpstr>
      <vt:lpstr>'Sample Plan'!chk_bs_ties_m12</vt:lpstr>
      <vt:lpstr>chk_bs_ties_m12</vt:lpstr>
      <vt:lpstr>'Sample Plan'!chk_bs_ties_m2</vt:lpstr>
      <vt:lpstr>chk_bs_ties_m2</vt:lpstr>
      <vt:lpstr>'Sample Plan'!chk_bs_ties_m3</vt:lpstr>
      <vt:lpstr>chk_bs_ties_m3</vt:lpstr>
      <vt:lpstr>'Sample Plan'!chk_bs_ties_m4</vt:lpstr>
      <vt:lpstr>chk_bs_ties_m4</vt:lpstr>
      <vt:lpstr>'Sample Plan'!chk_bs_ties_m5</vt:lpstr>
      <vt:lpstr>chk_bs_ties_m5</vt:lpstr>
      <vt:lpstr>'Sample Plan'!chk_bs_ties_m6</vt:lpstr>
      <vt:lpstr>chk_bs_ties_m6</vt:lpstr>
      <vt:lpstr>'Sample Plan'!chk_bs_ties_m7</vt:lpstr>
      <vt:lpstr>chk_bs_ties_m7</vt:lpstr>
      <vt:lpstr>'Sample Plan'!chk_bs_ties_m8</vt:lpstr>
      <vt:lpstr>chk_bs_ties_m8</vt:lpstr>
      <vt:lpstr>'Sample Plan'!chk_bs_ties_m9</vt:lpstr>
      <vt:lpstr>chk_bs_ties_m9</vt:lpstr>
      <vt:lpstr>'Sample Plan'!chk_cash_cont_m1</vt:lpstr>
      <vt:lpstr>chk_cash_cont_m1</vt:lpstr>
      <vt:lpstr>'Sample Plan'!chk_cash_cont_m10</vt:lpstr>
      <vt:lpstr>chk_cash_cont_m10</vt:lpstr>
      <vt:lpstr>'Sample Plan'!chk_cash_cont_m11</vt:lpstr>
      <vt:lpstr>chk_cash_cont_m11</vt:lpstr>
      <vt:lpstr>'Sample Plan'!chk_cash_cont_m2</vt:lpstr>
      <vt:lpstr>chk_cash_cont_m2</vt:lpstr>
      <vt:lpstr>'Sample Plan'!chk_cash_cont_m3</vt:lpstr>
      <vt:lpstr>chk_cash_cont_m3</vt:lpstr>
      <vt:lpstr>'Sample Plan'!chk_cash_cont_m4</vt:lpstr>
      <vt:lpstr>chk_cash_cont_m4</vt:lpstr>
      <vt:lpstr>'Sample Plan'!chk_cash_cont_m5</vt:lpstr>
      <vt:lpstr>chk_cash_cont_m5</vt:lpstr>
      <vt:lpstr>'Sample Plan'!chk_cash_cont_m6</vt:lpstr>
      <vt:lpstr>chk_cash_cont_m6</vt:lpstr>
      <vt:lpstr>'Sample Plan'!chk_cash_cont_m7</vt:lpstr>
      <vt:lpstr>chk_cash_cont_m7</vt:lpstr>
      <vt:lpstr>'Sample Plan'!chk_cash_cont_m8</vt:lpstr>
      <vt:lpstr>chk_cash_cont_m8</vt:lpstr>
      <vt:lpstr>'Sample Plan'!chk_cash_cont_m9</vt:lpstr>
      <vt:lpstr>chk_cash_cont_m9</vt:lpstr>
      <vt:lpstr>'Sample Plan'!chk_cf_components</vt:lpstr>
      <vt:lpstr>chk_cf_components</vt:lpstr>
      <vt:lpstr>'Sample Plan'!chk_dc_payroll_sum</vt:lpstr>
      <vt:lpstr>chk_dc_payroll_sum</vt:lpstr>
      <vt:lpstr>'Sample Plan'!chk_debt_nonneg_m1</vt:lpstr>
      <vt:lpstr>chk_debt_nonneg_m1</vt:lpstr>
      <vt:lpstr>'Sample Plan'!chk_debt_nonneg_m12</vt:lpstr>
      <vt:lpstr>chk_debt_nonneg_m12</vt:lpstr>
      <vt:lpstr>'Sample Plan'!chk_debt_nonneg_m6</vt:lpstr>
      <vt:lpstr>chk_debt_nonneg_m6</vt:lpstr>
      <vt:lpstr>'Sample Plan'!chk_ebitda_annual_sum</vt:lpstr>
      <vt:lpstr>chk_ebitda_annual_sum</vt:lpstr>
      <vt:lpstr>'Sample Plan'!chk_re_flow</vt:lpstr>
      <vt:lpstr>chk_re_flow</vt:lpstr>
      <vt:lpstr>'Sample Plan'!chk_region_valid</vt:lpstr>
      <vt:lpstr>chk_region_valid</vt:lpstr>
      <vt:lpstr>'Sample Plan'!chk_rev_annual_sum</vt:lpstr>
      <vt:lpstr>chk_rev_annual_sum</vt:lpstr>
      <vt:lpstr>'Sample Plan'!chk_scenario_valid</vt:lpstr>
      <vt:lpstr>chk_scenario_valid</vt:lpstr>
      <vt:lpstr>'Sample Plan'!chk_view_valid</vt:lpstr>
      <vt:lpstr>chk_view_valid</vt:lpstr>
      <vt:lpstr>'Sample Inputs'!inp_act_cash_m1m12</vt:lpstr>
      <vt:lpstr>'Sample Plan'!inp_act_cash_m1m12</vt:lpstr>
      <vt:lpstr>inp_act_cash_m1m12</vt:lpstr>
      <vt:lpstr>'Sample Inputs'!inp_act_dc_m1m12</vt:lpstr>
      <vt:lpstr>'Sample Plan'!inp_act_dc_m1m12</vt:lpstr>
      <vt:lpstr>inp_act_dc_m1m12</vt:lpstr>
      <vt:lpstr>'Sample Inputs'!inp_act_ebitda_m1m12</vt:lpstr>
      <vt:lpstr>'Sample Plan'!inp_act_ebitda_m1m12</vt:lpstr>
      <vt:lpstr>inp_act_ebitda_m1m12</vt:lpstr>
      <vt:lpstr>'Sample Inputs'!inp_act_np_m1m12</vt:lpstr>
      <vt:lpstr>'Sample Plan'!inp_act_np_m1m12</vt:lpstr>
      <vt:lpstr>inp_act_np_m1m12</vt:lpstr>
      <vt:lpstr>'Sample Inputs'!inp_act_ox_m1m12</vt:lpstr>
      <vt:lpstr>'Sample Plan'!inp_act_ox_m1m12</vt:lpstr>
      <vt:lpstr>inp_act_ox_m1m12</vt:lpstr>
      <vt:lpstr>'Sample Inputs'!inp_act_rev_m1m12</vt:lpstr>
      <vt:lpstr>'Sample Plan'!inp_act_rev_m1m12</vt:lpstr>
      <vt:lpstr>inp_act_rev_m1m12</vt:lpstr>
      <vt:lpstr>'Sample Inputs'!inp_alloc_sl1</vt:lpstr>
      <vt:lpstr>'Sample Plan'!inp_alloc_sl1</vt:lpstr>
      <vt:lpstr>inp_alloc_sl1</vt:lpstr>
      <vt:lpstr>'Sample Inputs'!inp_alloc_sl2</vt:lpstr>
      <vt:lpstr>'Sample Plan'!inp_alloc_sl2</vt:lpstr>
      <vt:lpstr>inp_alloc_sl2</vt:lpstr>
      <vt:lpstr>'Sample Inputs'!inp_alloc_sl3</vt:lpstr>
      <vt:lpstr>'Sample Plan'!inp_alloc_sl3</vt:lpstr>
      <vt:lpstr>inp_alloc_sl3</vt:lpstr>
      <vt:lpstr>'Sample Inputs'!inp_alloc_sl4</vt:lpstr>
      <vt:lpstr>'Sample Plan'!inp_alloc_sl4</vt:lpstr>
      <vt:lpstr>inp_alloc_sl4</vt:lpstr>
      <vt:lpstr>'Sample Inputs'!inp_alloc_sl5</vt:lpstr>
      <vt:lpstr>'Sample Plan'!inp_alloc_sl5</vt:lpstr>
      <vt:lpstr>inp_alloc_sl5</vt:lpstr>
      <vt:lpstr>'Sample Inputs'!inp_biz_name</vt:lpstr>
      <vt:lpstr>'Sample Plan'!inp_biz_name</vt:lpstr>
      <vt:lpstr>inp_biz_name</vt:lpstr>
      <vt:lpstr>'Sample Inputs'!inp_build_method</vt:lpstr>
      <vt:lpstr>'Sample Plan'!inp_build_method</vt:lpstr>
      <vt:lpstr>inp_build_method</vt:lpstr>
      <vt:lpstr>'Sample Inputs'!inp_capex_m1m12</vt:lpstr>
      <vt:lpstr>'Sample Plan'!inp_capex_m1m12</vt:lpstr>
      <vt:lpstr>inp_capex_m1m12</vt:lpstr>
      <vt:lpstr>'Sample Inputs'!inp_da_existing</vt:lpstr>
      <vt:lpstr>'Sample Plan'!inp_da_existing</vt:lpstr>
      <vt:lpstr>inp_da_existing</vt:lpstr>
      <vt:lpstr>'Sample Inputs'!inp_dc_contractors_m1m12</vt:lpstr>
      <vt:lpstr>'Sample Plan'!inp_dc_contractors_m1m12</vt:lpstr>
      <vt:lpstr>inp_dc_contractors_m1m12</vt:lpstr>
      <vt:lpstr>'Sample Inputs'!inp_dc_contractors_typed_m1m12</vt:lpstr>
      <vt:lpstr>'Sample Plan'!inp_dc_contractors_typed_m1m12</vt:lpstr>
      <vt:lpstr>inp_dc_contractors_typed_m1m12</vt:lpstr>
      <vt:lpstr>'Sample Inputs'!inp_dc_other_dc_m1m12</vt:lpstr>
      <vt:lpstr>'Sample Plan'!inp_dc_other_dc_m1m12</vt:lpstr>
      <vt:lpstr>inp_dc_other_dc_m1m12</vt:lpstr>
      <vt:lpstr>'Sample Inputs'!inp_dc_passthrough_m1m12</vt:lpstr>
      <vt:lpstr>'Sample Plan'!inp_dc_passthrough_m1m12</vt:lpstr>
      <vt:lpstr>inp_dc_passthrough_m1m12</vt:lpstr>
      <vt:lpstr>'Sample Inputs'!inp_dc_tools_m1m12</vt:lpstr>
      <vt:lpstr>'Sample Plan'!inp_dc_tools_m1m12</vt:lpstr>
      <vt:lpstr>inp_dc_tools_m1m12</vt:lpstr>
      <vt:lpstr>'Sample Inputs'!inp_debt_draw_m1m12</vt:lpstr>
      <vt:lpstr>'Sample Plan'!inp_debt_draw_m1m12</vt:lpstr>
      <vt:lpstr>inp_debt_draw_m1m12</vt:lpstr>
      <vt:lpstr>'Sample Inputs'!inp_debt_repay_m1m12</vt:lpstr>
      <vt:lpstr>'Sample Plan'!inp_debt_repay_m1m12</vt:lpstr>
      <vt:lpstr>inp_debt_repay_m1m12</vt:lpstr>
      <vt:lpstr>'Sample Inputs'!inp_dist_m1m12</vt:lpstr>
      <vt:lpstr>'Sample Plan'!inp_dist_m1m12</vt:lpstr>
      <vt:lpstr>inp_dist_m1m12</vt:lpstr>
      <vt:lpstr>'Sample Inputs'!inp_dpo</vt:lpstr>
      <vt:lpstr>'Sample Plan'!inp_dpo</vt:lpstr>
      <vt:lpstr>inp_dpo</vt:lpstr>
      <vt:lpstr>'Sample Inputs'!inp_dso</vt:lpstr>
      <vt:lpstr>'Sample Plan'!inp_dso</vt:lpstr>
      <vt:lpstr>inp_dso</vt:lpstr>
      <vt:lpstr>'Sample Inputs'!inp_int_rate</vt:lpstr>
      <vt:lpstr>'Sample Plan'!inp_int_rate</vt:lpstr>
      <vt:lpstr>inp_int_rate</vt:lpstr>
      <vt:lpstr>'Sample Inputs'!inp_min_buffer</vt:lpstr>
      <vt:lpstr>'Sample Plan'!inp_min_buffer</vt:lpstr>
      <vt:lpstr>inp_min_buffer</vt:lpstr>
      <vt:lpstr>'Sample Inputs'!inp_open_ap</vt:lpstr>
      <vt:lpstr>'Sample Plan'!inp_open_ap</vt:lpstr>
      <vt:lpstr>inp_open_ap</vt:lpstr>
      <vt:lpstr>'Sample Inputs'!inp_open_ar</vt:lpstr>
      <vt:lpstr>'Sample Plan'!inp_open_ar</vt:lpstr>
      <vt:lpstr>inp_open_ar</vt:lpstr>
      <vt:lpstr>'Sample Inputs'!inp_open_cash</vt:lpstr>
      <vt:lpstr>'Sample Plan'!inp_open_cash</vt:lpstr>
      <vt:lpstr>inp_open_cash</vt:lpstr>
      <vt:lpstr>'Sample Inputs'!inp_open_debt</vt:lpstr>
      <vt:lpstr>'Sample Plan'!inp_open_debt</vt:lpstr>
      <vt:lpstr>inp_open_debt</vt:lpstr>
      <vt:lpstr>'Sample Inputs'!inp_open_equity</vt:lpstr>
      <vt:lpstr>'Sample Plan'!inp_open_equity</vt:lpstr>
      <vt:lpstr>inp_open_equity</vt:lpstr>
      <vt:lpstr>'Sample Inputs'!inp_open_fa</vt:lpstr>
      <vt:lpstr>'Sample Plan'!inp_open_fa</vt:lpstr>
      <vt:lpstr>inp_open_fa</vt:lpstr>
      <vt:lpstr>'Sample Inputs'!inp_other_ca</vt:lpstr>
      <vt:lpstr>'Sample Plan'!inp_other_ca</vt:lpstr>
      <vt:lpstr>inp_other_ca</vt:lpstr>
      <vt:lpstr>'Sample Inputs'!inp_ox_commission_pct</vt:lpstr>
      <vt:lpstr>'Sample Plan'!inp_ox_commission_pct</vt:lpstr>
      <vt:lpstr>inp_ox_commission_pct</vt:lpstr>
      <vt:lpstr>'Sample Inputs'!inp_ox_comms_m1m12</vt:lpstr>
      <vt:lpstr>'Sample Plan'!inp_ox_comms_m1m12</vt:lpstr>
      <vt:lpstr>inp_ox_comms_m1m12</vt:lpstr>
      <vt:lpstr>'Sample Inputs'!inp_ox_insurance_m1m12</vt:lpstr>
      <vt:lpstr>'Sample Plan'!inp_ox_insurance_m1m12</vt:lpstr>
      <vt:lpstr>inp_ox_insurance_m1m12</vt:lpstr>
      <vt:lpstr>'Sample Inputs'!inp_ox_other_ox_m1m12</vt:lpstr>
      <vt:lpstr>'Sample Plan'!inp_ox_other_ox_m1m12</vt:lpstr>
      <vt:lpstr>inp_ox_other_ox_m1m12</vt:lpstr>
      <vt:lpstr>'Sample Inputs'!inp_ox_prof_fees_m1m12</vt:lpstr>
      <vt:lpstr>'Sample Plan'!inp_ox_prof_fees_m1m12</vt:lpstr>
      <vt:lpstr>inp_ox_prof_fees_m1m12</vt:lpstr>
      <vt:lpstr>'Sample Inputs'!inp_ox_rent_m1m12</vt:lpstr>
      <vt:lpstr>'Sample Plan'!inp_ox_rent_m1m12</vt:lpstr>
      <vt:lpstr>inp_ox_rent_m1m12</vt:lpstr>
      <vt:lpstr>'Sample Inputs'!inp_ox_sales_mktg_m1m12</vt:lpstr>
      <vt:lpstr>'Sample Plan'!inp_ox_sales_mktg_m1m12</vt:lpstr>
      <vt:lpstr>inp_ox_sales_mktg_m1m12</vt:lpstr>
      <vt:lpstr>'Sample Inputs'!inp_ox_software_m1m12</vt:lpstr>
      <vt:lpstr>'Sample Plan'!inp_ox_software_m1m12</vt:lpstr>
      <vt:lpstr>inp_ox_software_m1m12</vt:lpstr>
      <vt:lpstr>'Sample Inputs'!inp_ox_travel_m1m12</vt:lpstr>
      <vt:lpstr>'Sample Plan'!inp_ox_travel_m1m12</vt:lpstr>
      <vt:lpstr>inp_ox_travel_m1m12</vt:lpstr>
      <vt:lpstr>'Sample Inputs'!inp_plan_year</vt:lpstr>
      <vt:lpstr>'Sample Plan'!inp_plan_year</vt:lpstr>
      <vt:lpstr>inp_plan_year</vt:lpstr>
      <vt:lpstr>'Sample Inputs'!inp_prior_ebitda</vt:lpstr>
      <vt:lpstr>'Sample Plan'!inp_prior_ebitda</vt:lpstr>
      <vt:lpstr>inp_prior_ebitda</vt:lpstr>
      <vt:lpstr>'Sample Inputs'!inp_prior_rev</vt:lpstr>
      <vt:lpstr>'Sample Plan'!inp_prior_rev</vt:lpstr>
      <vt:lpstr>inp_prior_rev</vt:lpstr>
      <vt:lpstr>'Sample Inputs'!inp_region</vt:lpstr>
      <vt:lpstr>'Sample Plan'!inp_region</vt:lpstr>
      <vt:lpstr>inp_region</vt:lpstr>
      <vt:lpstr>'Sample Plan'!inp_scenario</vt:lpstr>
      <vt:lpstr>inp_scenario</vt:lpstr>
      <vt:lpstr>'Sample Inputs'!inp_sl1_committed_m1m12</vt:lpstr>
      <vt:lpstr>'Sample Plan'!inp_sl1_committed_m1m12</vt:lpstr>
      <vt:lpstr>inp_sl1_committed_m1m12</vt:lpstr>
      <vt:lpstr>'Sample Inputs'!inp_sl1_name</vt:lpstr>
      <vt:lpstr>'Sample Plan'!inp_sl1_name</vt:lpstr>
      <vt:lpstr>inp_sl1_name</vt:lpstr>
      <vt:lpstr>'Sample Inputs'!inp_sl2_committed_m1m12</vt:lpstr>
      <vt:lpstr>'Sample Plan'!inp_sl2_committed_m1m12</vt:lpstr>
      <vt:lpstr>inp_sl2_committed_m1m12</vt:lpstr>
      <vt:lpstr>'Sample Inputs'!inp_sl2_name</vt:lpstr>
      <vt:lpstr>'Sample Plan'!inp_sl2_name</vt:lpstr>
      <vt:lpstr>inp_sl2_name</vt:lpstr>
      <vt:lpstr>'Sample Inputs'!inp_sl3_committed_m1m12</vt:lpstr>
      <vt:lpstr>'Sample Plan'!inp_sl3_committed_m1m12</vt:lpstr>
      <vt:lpstr>inp_sl3_committed_m1m12</vt:lpstr>
      <vt:lpstr>'Sample Inputs'!inp_sl3_name</vt:lpstr>
      <vt:lpstr>'Sample Plan'!inp_sl3_name</vt:lpstr>
      <vt:lpstr>inp_sl3_name</vt:lpstr>
      <vt:lpstr>'Sample Inputs'!inp_sl4_committed_m1m12</vt:lpstr>
      <vt:lpstr>'Sample Plan'!inp_sl4_committed_m1m12</vt:lpstr>
      <vt:lpstr>inp_sl4_committed_m1m12</vt:lpstr>
      <vt:lpstr>'Sample Inputs'!inp_sl4_name</vt:lpstr>
      <vt:lpstr>'Sample Plan'!inp_sl4_name</vt:lpstr>
      <vt:lpstr>inp_sl4_name</vt:lpstr>
      <vt:lpstr>'Sample Inputs'!inp_sl5_committed_m1m12</vt:lpstr>
      <vt:lpstr>'Sample Plan'!inp_sl5_committed_m1m12</vt:lpstr>
      <vt:lpstr>inp_sl5_committed_m1m12</vt:lpstr>
      <vt:lpstr>'Sample Inputs'!inp_sl5_name</vt:lpstr>
      <vt:lpstr>'Sample Plan'!inp_sl5_name</vt:lpstr>
      <vt:lpstr>inp_sl5_name</vt:lpstr>
      <vt:lpstr>'Sample Inputs'!inp_tax_rate</vt:lpstr>
      <vt:lpstr>'Sample Plan'!inp_tax_rate</vt:lpstr>
      <vt:lpstr>inp_tax_rate</vt:lpstr>
      <vt:lpstr>'Sample Plan'!inp_view</vt:lpstr>
      <vt:lpstr>inp_view</vt:lpstr>
      <vt:lpstr>'Sample Plan'!mst_pass</vt:lpstr>
      <vt:lpstr>mst_pass</vt:lpstr>
      <vt:lpstr>Inputs!Print_Area</vt:lpstr>
      <vt:lpstr>Plan!Print_Area</vt:lpstr>
      <vt:lpstr>'Sample Inputs'!Print_Area</vt:lpstr>
      <vt:lpstr>'Sample Plan'!Print_Area</vt:lpstr>
      <vt:lpstr>'Sample Inputs'!ref_au_fy_start</vt:lpstr>
      <vt:lpstr>'Sample Plan'!ref_au_fy_start</vt:lpstr>
      <vt:lpstr>ref_au_fy_start</vt:lpstr>
      <vt:lpstr>'Sample Inputs'!ref_au_gst</vt:lpstr>
      <vt:lpstr>'Sample Plan'!ref_au_gst</vt:lpstr>
      <vt:lpstr>ref_au_gst</vt:lpstr>
      <vt:lpstr>'Sample Inputs'!ref_au_oncost_total</vt:lpstr>
      <vt:lpstr>'Sample Plan'!ref_au_oncost_total</vt:lpstr>
      <vt:lpstr>ref_au_oncost_total</vt:lpstr>
      <vt:lpstr>'Sample Inputs'!ref_au_payroll_tax</vt:lpstr>
      <vt:lpstr>'Sample Plan'!ref_au_payroll_tax</vt:lpstr>
      <vt:lpstr>ref_au_payroll_tax</vt:lpstr>
      <vt:lpstr>'Sample Inputs'!ref_au_super</vt:lpstr>
      <vt:lpstr>'Sample Plan'!ref_au_super</vt:lpstr>
      <vt:lpstr>ref_au_super</vt:lpstr>
      <vt:lpstr>'Sample Inputs'!ref_au_workers_comp</vt:lpstr>
      <vt:lpstr>'Sample Plan'!ref_au_workers_comp</vt:lpstr>
      <vt:lpstr>ref_au_workers_comp</vt:lpstr>
      <vt:lpstr>'Sample Inputs'!ref_nz_fy_start</vt:lpstr>
      <vt:lpstr>'Sample Plan'!ref_nz_fy_start</vt:lpstr>
      <vt:lpstr>ref_nz_fy_start</vt:lpstr>
      <vt:lpstr>'Sample Inputs'!ref_nz_gst</vt:lpstr>
      <vt:lpstr>'Sample Plan'!ref_nz_gst</vt:lpstr>
      <vt:lpstr>ref_nz_gst</vt:lpstr>
      <vt:lpstr>'Sample Inputs'!ref_nz_oncost_total</vt:lpstr>
      <vt:lpstr>'Sample Plan'!ref_nz_oncost_total</vt:lpstr>
      <vt:lpstr>ref_nz_oncost_total</vt:lpstr>
      <vt:lpstr>'Sample Inputs'!ref_nz_payroll_tax</vt:lpstr>
      <vt:lpstr>'Sample Plan'!ref_nz_payroll_tax</vt:lpstr>
      <vt:lpstr>ref_nz_payroll_tax</vt:lpstr>
      <vt:lpstr>'Sample Inputs'!ref_nz_super</vt:lpstr>
      <vt:lpstr>'Sample Plan'!ref_nz_super</vt:lpstr>
      <vt:lpstr>ref_nz_super</vt:lpstr>
      <vt:lpstr>'Sample Inputs'!ref_nz_workers_comp</vt:lpstr>
      <vt:lpstr>'Sample Plan'!ref_nz_workers_comp</vt:lpstr>
      <vt:lpstr>ref_nz_workers_comp</vt:lpstr>
      <vt:lpstr>'Sample Inputs'!ref_us_fy_start</vt:lpstr>
      <vt:lpstr>'Sample Plan'!ref_us_fy_start</vt:lpstr>
      <vt:lpstr>ref_us_fy_start</vt:lpstr>
      <vt:lpstr>'Sample Inputs'!ref_us_gst</vt:lpstr>
      <vt:lpstr>'Sample Plan'!ref_us_gst</vt:lpstr>
      <vt:lpstr>ref_us_gst</vt:lpstr>
      <vt:lpstr>'Sample Inputs'!ref_us_oncost_total</vt:lpstr>
      <vt:lpstr>'Sample Plan'!ref_us_oncost_total</vt:lpstr>
      <vt:lpstr>ref_us_oncost_total</vt:lpstr>
      <vt:lpstr>'Sample Inputs'!ref_us_payroll_tax</vt:lpstr>
      <vt:lpstr>'Sample Plan'!ref_us_payroll_tax</vt:lpstr>
      <vt:lpstr>ref_us_payroll_tax</vt:lpstr>
      <vt:lpstr>'Sample Inputs'!ref_us_super</vt:lpstr>
      <vt:lpstr>'Sample Plan'!ref_us_super</vt:lpstr>
      <vt:lpstr>ref_us_super</vt:lpstr>
      <vt:lpstr>'Sample Inputs'!ref_us_workers_comp</vt:lpstr>
      <vt:lpstr>'Sample Plan'!ref_us_workers_comp</vt:lpstr>
      <vt:lpstr>ref_us_workers_comp</vt:lpstr>
      <vt:lpstr>'Sample Inputs'!scn_cost_base</vt:lpstr>
      <vt:lpstr>'Sample Plan'!scn_cost_base</vt:lpstr>
      <vt:lpstr>scn_cost_base</vt:lpstr>
      <vt:lpstr>'Sample Inputs'!scn_cost_downside</vt:lpstr>
      <vt:lpstr>'Sample Plan'!scn_cost_downside</vt:lpstr>
      <vt:lpstr>scn_cost_downside</vt:lpstr>
      <vt:lpstr>'Sample Inputs'!scn_cost_upside</vt:lpstr>
      <vt:lpstr>'Sample Plan'!scn_cost_upside</vt:lpstr>
      <vt:lpstr>scn_cost_upside</vt:lpstr>
      <vt:lpstr>'Sample Inputs'!scn_lag_base</vt:lpstr>
      <vt:lpstr>'Sample Plan'!scn_lag_base</vt:lpstr>
      <vt:lpstr>scn_lag_base</vt:lpstr>
      <vt:lpstr>'Sample Inputs'!scn_lag_downside</vt:lpstr>
      <vt:lpstr>'Sample Plan'!scn_lag_downside</vt:lpstr>
      <vt:lpstr>scn_lag_downside</vt:lpstr>
      <vt:lpstr>'Sample Inputs'!scn_lag_upside</vt:lpstr>
      <vt:lpstr>'Sample Plan'!scn_lag_upside</vt:lpstr>
      <vt:lpstr>scn_lag_upside</vt:lpstr>
      <vt:lpstr>'Sample Inputs'!scn_rev_base</vt:lpstr>
      <vt:lpstr>'Sample Plan'!scn_rev_base</vt:lpstr>
      <vt:lpstr>scn_rev_base</vt:lpstr>
      <vt:lpstr>'Sample Inputs'!scn_rev_downside</vt:lpstr>
      <vt:lpstr>'Sample Plan'!scn_rev_downside</vt:lpstr>
      <vt:lpstr>scn_rev_downside</vt:lpstr>
      <vt:lpstr>'Sample Inputs'!scn_rev_upside</vt:lpstr>
      <vt:lpstr>'Sample Plan'!scn_rev_upside</vt:lpstr>
      <vt:lpstr>scn_rev_upside</vt:lpstr>
      <vt:lpstr>'Sample Inputs'!scn_util_base</vt:lpstr>
      <vt:lpstr>'Sample Plan'!scn_util_base</vt:lpstr>
      <vt:lpstr>scn_util_base</vt:lpstr>
      <vt:lpstr>'Sample Inputs'!scn_util_downside</vt:lpstr>
      <vt:lpstr>'Sample Plan'!scn_util_downside</vt:lpstr>
      <vt:lpstr>scn_util_downside</vt:lpstr>
      <vt:lpstr>'Sample Inputs'!scn_util_upside</vt:lpstr>
      <vt:lpstr>'Sample Plan'!scn_util_upside</vt:lpstr>
      <vt:lpstr>scn_util_upside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Liam Collier</cp:lastModifiedBy>
  <dcterms:created xsi:type="dcterms:W3CDTF">2026-05-26T20:38:17Z</dcterms:created>
  <dcterms:modified xsi:type="dcterms:W3CDTF">2026-06-04T03:29:00Z</dcterms:modified>
</cp:coreProperties>
</file>