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8FB1C940-85F3-5447-A214-605488653A09}" xr6:coauthVersionLast="47" xr6:coauthVersionMax="47" xr10:uidLastSave="{00000000-0000-0000-0000-000000000000}"/>
  <bookViews>
    <workbookView xWindow="51200" yWindow="620" windowWidth="51200" windowHeight="26700" xr2:uid="{00000000-000D-0000-FFFF-FFFF00000000}"/>
  </bookViews>
  <sheets>
    <sheet name="Read Me" sheetId="1" r:id="rId1"/>
    <sheet name="Team Roster" sheetId="2" r:id="rId2"/>
    <sheet name="Diagnostic" sheetId="3" r:id="rId3"/>
    <sheet name="Sample Roster" sheetId="13" r:id="rId4"/>
    <sheet name="Sample Diagnostic" sheetId="14" r:id="rId5"/>
  </sheets>
  <definedNames>
    <definedName name="brm_count" localSheetId="4">COUNTIF('Sample Diagnostic'!$BG$70:$BG$83,"?*")</definedName>
    <definedName name="brm_count">COUNTIF(Diagnostic!$BG$70:$BG$83,"?*")</definedName>
    <definedName name="brm_current" localSheetId="4">OFFSET('Sample Diagnostic'!$BH$70,0,0,MAX('Sample Diagnostic'!brm_count,1),1)</definedName>
    <definedName name="brm_current">OFFSET(Diagnostic!$BH$70,0,0,MAX(brm_count,1),1)</definedName>
    <definedName name="brm_lbl" localSheetId="4">OFFSET('Sample Diagnostic'!$EB$70,0,0,MAX('Sample Diagnostic'!brm_count,1),1)</definedName>
    <definedName name="brm_lbl">OFFSET(Diagnostic!$EB$70,0,0,MAX(brm_count,1),1)</definedName>
    <definedName name="brm_roles" localSheetId="4">OFFSET('Sample Diagnostic'!$BG$70,0,0,MAX('Sample Diagnostic'!brm_count,1),1)</definedName>
    <definedName name="brm_roles">OFFSET(Diagnostic!$BG$70,0,0,MAX(brm_count,1),1)</definedName>
    <definedName name="brm_target" localSheetId="4">OFFSET('Sample Diagnostic'!$BI$70,0,0,MAX('Sample Diagnostic'!brm_count,1),1)</definedName>
    <definedName name="brm_target">OFFSET(Diagnostic!$BI$70,0,0,MAX(brm_count,1),1)</definedName>
    <definedName name="calc_active_benefits" localSheetId="3">'Sample Roster'!$T$3</definedName>
    <definedName name="calc_active_benefits">'Team Roster'!$T$3</definedName>
    <definedName name="calc_active_capacity" localSheetId="3">'Sample Roster'!$T$4</definedName>
    <definedName name="calc_active_capacity">'Team Roster'!$T$4</definedName>
    <definedName name="calc_active_oncost" localSheetId="3">'Sample Roster'!$V$2</definedName>
    <definedName name="calc_active_oncost">'Team Roster'!$V$2</definedName>
    <definedName name="chart_x_diag" localSheetId="4">OFFSET('Sample Diagnostic'!$DA$40,0,0,MAX(1,COUNT('Sample Diagnostic'!$DA$40:$DA$53)),1)</definedName>
    <definedName name="chart_x_diag">OFFSET(Diagnostic!$DA$40,0,0,MAX(1,COUNT(Diagnostic!$DA$40:$DA$53)),1)</definedName>
    <definedName name="chart_y_diag" localSheetId="4">OFFSET('Sample Diagnostic'!$DB$40,0,0,MAX(1,COUNT('Sample Diagnostic'!$DB$40:$DB$53)),1)</definedName>
    <definedName name="chart_y_diag">OFFSET(Diagnostic!$DB$40,0,0,MAX(1,COUNT(Diagnostic!$DB$40:$DB$53)),1)</definedName>
    <definedName name="chart_z_diag" localSheetId="4">OFFSET('Sample Diagnostic'!$DC$40,0,0,MAX(1,COUNT('Sample Diagnostic'!$DC$40:$DC$53)),1)</definedName>
    <definedName name="chart_z_diag">OFFSET(Diagnostic!$DC$40,0,0,MAX(1,COUNT(Diagnostic!$DC$40:$DC$53)),1)</definedName>
    <definedName name="feed_cur" localSheetId="4">_xlfn.ANCHORARRAY('Sample Diagnostic'!$FD$69)</definedName>
    <definedName name="feed_cur">_xlfn.ANCHORARRAY(Diagnostic!$FD$69)</definedName>
    <definedName name="feed_role" localSheetId="4">_xlfn.ANCHORARRAY('Sample Diagnostic'!$FC$69)</definedName>
    <definedName name="feed_role">_xlfn.ANCHORARRAY(Diagnostic!$FC$69)</definedName>
    <definedName name="feed_tgt" localSheetId="4">_xlfn.ANCHORARRAY('Sample Diagnostic'!$FE$69)</definedName>
    <definedName name="feed_tgt">_xlfn.ANCHORARRAY(Diagnostic!$FE$69)</definedName>
    <definedName name="inp_biz_fy" localSheetId="4">'Sample Roster'!$D$10</definedName>
    <definedName name="inp_biz_fy" localSheetId="3">'Sample Roster'!$D$10</definedName>
    <definedName name="inp_biz_fy">'Team Roster'!$D$10</definedName>
    <definedName name="inp_biz_name" localSheetId="4">'Sample Roster'!$D$9</definedName>
    <definedName name="inp_biz_name" localSheetId="3">'Sample Roster'!$D$9</definedName>
    <definedName name="inp_biz_name">'Team Roster'!$D$9</definedName>
    <definedName name="inp_biz_period" localSheetId="4">'Sample Roster'!$D$11</definedName>
    <definedName name="inp_biz_period" localSheetId="3">'Sample Roster'!$D$11</definedName>
    <definedName name="inp_biz_period">'Team Roster'!$D$11</definedName>
    <definedName name="inp_biz_period_m" localSheetId="4">'Sample Roster'!$D$12</definedName>
    <definedName name="inp_biz_period_m" localSheetId="3">'Sample Roster'!$D$12</definedName>
    <definedName name="inp_biz_period_m">'Team Roster'!$D$12</definedName>
    <definedName name="inp_biz_revenue" localSheetId="4">'Sample Roster'!$D$13</definedName>
    <definedName name="inp_biz_revenue" localSheetId="3">'Sample Roster'!$D$13</definedName>
    <definedName name="inp_biz_revenue">'Team Roster'!$D$13</definedName>
    <definedName name="inp_biz_target_margin" localSheetId="4">'Sample Roster'!$D$14</definedName>
    <definedName name="inp_biz_target_margin" localSheetId="3">'Sample Roster'!$D$14</definedName>
    <definedName name="inp_biz_target_margin">'Team Roster'!$D$14</definedName>
    <definedName name="inp_region" localSheetId="3">'Sample Roster'!$M$2</definedName>
    <definedName name="inp_region">'Team Roster'!$M$2</definedName>
    <definedName name="inp_role_active_1" localSheetId="4">'Sample Roster'!$B$20</definedName>
    <definedName name="inp_role_active_1" localSheetId="3">'Sample Roster'!$B$20</definedName>
    <definedName name="inp_role_active_1">'Team Roster'!$B$20</definedName>
    <definedName name="inp_role_active_10" localSheetId="4">'Sample Roster'!$B$29</definedName>
    <definedName name="inp_role_active_10" localSheetId="3">'Sample Roster'!$B$29</definedName>
    <definedName name="inp_role_active_10">'Team Roster'!$B$29</definedName>
    <definedName name="inp_role_active_11" localSheetId="4">'Sample Roster'!$B$30</definedName>
    <definedName name="inp_role_active_11" localSheetId="3">'Sample Roster'!$B$30</definedName>
    <definedName name="inp_role_active_11">'Team Roster'!$B$30</definedName>
    <definedName name="inp_role_active_12" localSheetId="4">'Sample Roster'!$B$31</definedName>
    <definedName name="inp_role_active_12" localSheetId="3">'Sample Roster'!$B$31</definedName>
    <definedName name="inp_role_active_12">'Team Roster'!$B$31</definedName>
    <definedName name="inp_role_active_13" localSheetId="4">'Sample Roster'!$B$32</definedName>
    <definedName name="inp_role_active_13" localSheetId="3">'Sample Roster'!$B$32</definedName>
    <definedName name="inp_role_active_13">'Team Roster'!$B$32</definedName>
    <definedName name="inp_role_active_14" localSheetId="4">'Sample Roster'!$B$33</definedName>
    <definedName name="inp_role_active_14" localSheetId="3">'Sample Roster'!$B$33</definedName>
    <definedName name="inp_role_active_14">'Team Roster'!$B$33</definedName>
    <definedName name="inp_role_active_2" localSheetId="4">'Sample Roster'!$B$21</definedName>
    <definedName name="inp_role_active_2" localSheetId="3">'Sample Roster'!$B$21</definedName>
    <definedName name="inp_role_active_2">'Team Roster'!$B$21</definedName>
    <definedName name="inp_role_active_3" localSheetId="4">'Sample Roster'!$B$22</definedName>
    <definedName name="inp_role_active_3" localSheetId="3">'Sample Roster'!$B$22</definedName>
    <definedName name="inp_role_active_3">'Team Roster'!$B$22</definedName>
    <definedName name="inp_role_active_4" localSheetId="4">'Sample Roster'!$B$23</definedName>
    <definedName name="inp_role_active_4" localSheetId="3">'Sample Roster'!$B$23</definedName>
    <definedName name="inp_role_active_4">'Team Roster'!$B$23</definedName>
    <definedName name="inp_role_active_5" localSheetId="4">'Sample Roster'!$B$24</definedName>
    <definedName name="inp_role_active_5" localSheetId="3">'Sample Roster'!$B$24</definedName>
    <definedName name="inp_role_active_5">'Team Roster'!$B$24</definedName>
    <definedName name="inp_role_active_6" localSheetId="4">'Sample Roster'!$B$25</definedName>
    <definedName name="inp_role_active_6" localSheetId="3">'Sample Roster'!$B$25</definedName>
    <definedName name="inp_role_active_6">'Team Roster'!$B$25</definedName>
    <definedName name="inp_role_active_7" localSheetId="4">'Sample Roster'!$B$26</definedName>
    <definedName name="inp_role_active_7" localSheetId="3">'Sample Roster'!$B$26</definedName>
    <definedName name="inp_role_active_7">'Team Roster'!$B$26</definedName>
    <definedName name="inp_role_active_8" localSheetId="4">'Sample Roster'!$B$27</definedName>
    <definedName name="inp_role_active_8" localSheetId="3">'Sample Roster'!$B$27</definedName>
    <definedName name="inp_role_active_8">'Team Roster'!$B$27</definedName>
    <definedName name="inp_role_active_9" localSheetId="4">'Sample Roster'!$B$28</definedName>
    <definedName name="inp_role_active_9" localSheetId="3">'Sample Roster'!$B$28</definedName>
    <definedName name="inp_role_active_9">'Team Roster'!$B$28</definedName>
    <definedName name="inp_role_benefits_1" localSheetId="4">'Sample Roster'!$H$20</definedName>
    <definedName name="inp_role_benefits_1" localSheetId="3">'Sample Roster'!$H$20</definedName>
    <definedName name="inp_role_benefits_1">'Team Roster'!$H$20</definedName>
    <definedName name="inp_role_benefits_10" localSheetId="4">'Sample Roster'!$H$29</definedName>
    <definedName name="inp_role_benefits_10" localSheetId="3">'Sample Roster'!$H$29</definedName>
    <definedName name="inp_role_benefits_10">'Team Roster'!$H$29</definedName>
    <definedName name="inp_role_benefits_11" localSheetId="4">'Sample Roster'!$H$30</definedName>
    <definedName name="inp_role_benefits_11" localSheetId="3">'Sample Roster'!$H$30</definedName>
    <definedName name="inp_role_benefits_11">'Team Roster'!$H$30</definedName>
    <definedName name="inp_role_benefits_12" localSheetId="4">'Sample Roster'!$H$31</definedName>
    <definedName name="inp_role_benefits_12" localSheetId="3">'Sample Roster'!$H$31</definedName>
    <definedName name="inp_role_benefits_12">'Team Roster'!$H$31</definedName>
    <definedName name="inp_role_benefits_13" localSheetId="4">'Sample Roster'!$H$32</definedName>
    <definedName name="inp_role_benefits_13" localSheetId="3">'Sample Roster'!$H$32</definedName>
    <definedName name="inp_role_benefits_13">'Team Roster'!$H$32</definedName>
    <definedName name="inp_role_benefits_14" localSheetId="4">'Sample Roster'!$H$33</definedName>
    <definedName name="inp_role_benefits_14" localSheetId="3">'Sample Roster'!$H$33</definedName>
    <definedName name="inp_role_benefits_14">'Team Roster'!$H$33</definedName>
    <definedName name="inp_role_benefits_2" localSheetId="4">'Sample Roster'!$H$21</definedName>
    <definedName name="inp_role_benefits_2" localSheetId="3">'Sample Roster'!$H$21</definedName>
    <definedName name="inp_role_benefits_2">'Team Roster'!$H$21</definedName>
    <definedName name="inp_role_benefits_3" localSheetId="4">'Sample Roster'!$H$22</definedName>
    <definedName name="inp_role_benefits_3" localSheetId="3">'Sample Roster'!$H$22</definedName>
    <definedName name="inp_role_benefits_3">'Team Roster'!$H$22</definedName>
    <definedName name="inp_role_benefits_4" localSheetId="4">'Sample Roster'!$H$23</definedName>
    <definedName name="inp_role_benefits_4" localSheetId="3">'Sample Roster'!$H$23</definedName>
    <definedName name="inp_role_benefits_4">'Team Roster'!$H$23</definedName>
    <definedName name="inp_role_benefits_5" localSheetId="4">'Sample Roster'!$H$24</definedName>
    <definedName name="inp_role_benefits_5" localSheetId="3">'Sample Roster'!$H$24</definedName>
    <definedName name="inp_role_benefits_5">'Team Roster'!$H$24</definedName>
    <definedName name="inp_role_benefits_6" localSheetId="4">'Sample Roster'!$H$25</definedName>
    <definedName name="inp_role_benefits_6" localSheetId="3">'Sample Roster'!$H$25</definedName>
    <definedName name="inp_role_benefits_6">'Team Roster'!$H$25</definedName>
    <definedName name="inp_role_benefits_7" localSheetId="4">'Sample Roster'!$H$26</definedName>
    <definedName name="inp_role_benefits_7" localSheetId="3">'Sample Roster'!$H$26</definedName>
    <definedName name="inp_role_benefits_7">'Team Roster'!$H$26</definedName>
    <definedName name="inp_role_benefits_8" localSheetId="4">'Sample Roster'!$H$27</definedName>
    <definedName name="inp_role_benefits_8" localSheetId="3">'Sample Roster'!$H$27</definedName>
    <definedName name="inp_role_benefits_8">'Team Roster'!$H$27</definedName>
    <definedName name="inp_role_benefits_9" localSheetId="4">'Sample Roster'!$H$28</definedName>
    <definedName name="inp_role_benefits_9" localSheetId="3">'Sample Roster'!$H$28</definedName>
    <definedName name="inp_role_benefits_9">'Team Roster'!$H$28</definedName>
    <definedName name="inp_role_billhours_1" localSheetId="4">'Sample Roster'!$L$20</definedName>
    <definedName name="inp_role_billhours_1" localSheetId="3">'Sample Roster'!$L$20</definedName>
    <definedName name="inp_role_billhours_1">'Team Roster'!$L$20</definedName>
    <definedName name="inp_role_billhours_10" localSheetId="4">'Sample Roster'!$L$29</definedName>
    <definedName name="inp_role_billhours_10" localSheetId="3">'Sample Roster'!$L$29</definedName>
    <definedName name="inp_role_billhours_10">'Team Roster'!$L$29</definedName>
    <definedName name="inp_role_billhours_11" localSheetId="4">'Sample Roster'!$L$30</definedName>
    <definedName name="inp_role_billhours_11" localSheetId="3">'Sample Roster'!$L$30</definedName>
    <definedName name="inp_role_billhours_11">'Team Roster'!$L$30</definedName>
    <definedName name="inp_role_billhours_12" localSheetId="4">'Sample Roster'!$L$31</definedName>
    <definedName name="inp_role_billhours_12" localSheetId="3">'Sample Roster'!$L$31</definedName>
    <definedName name="inp_role_billhours_12">'Team Roster'!$L$31</definedName>
    <definedName name="inp_role_billhours_13" localSheetId="4">'Sample Roster'!$L$32</definedName>
    <definedName name="inp_role_billhours_13" localSheetId="3">'Sample Roster'!$L$32</definedName>
    <definedName name="inp_role_billhours_13">'Team Roster'!$L$32</definedName>
    <definedName name="inp_role_billhours_14" localSheetId="4">'Sample Roster'!$L$33</definedName>
    <definedName name="inp_role_billhours_14" localSheetId="3">'Sample Roster'!$L$33</definedName>
    <definedName name="inp_role_billhours_14">'Team Roster'!$L$33</definedName>
    <definedName name="inp_role_billhours_2" localSheetId="4">'Sample Roster'!$L$21</definedName>
    <definedName name="inp_role_billhours_2" localSheetId="3">'Sample Roster'!$L$21</definedName>
    <definedName name="inp_role_billhours_2">'Team Roster'!$L$21</definedName>
    <definedName name="inp_role_billhours_3" localSheetId="4">'Sample Roster'!$L$22</definedName>
    <definedName name="inp_role_billhours_3" localSheetId="3">'Sample Roster'!$L$22</definedName>
    <definedName name="inp_role_billhours_3">'Team Roster'!$L$22</definedName>
    <definedName name="inp_role_billhours_4" localSheetId="4">'Sample Roster'!$L$23</definedName>
    <definedName name="inp_role_billhours_4" localSheetId="3">'Sample Roster'!$L$23</definedName>
    <definedName name="inp_role_billhours_4">'Team Roster'!$L$23</definedName>
    <definedName name="inp_role_billhours_5" localSheetId="4">'Sample Roster'!$L$24</definedName>
    <definedName name="inp_role_billhours_5" localSheetId="3">'Sample Roster'!$L$24</definedName>
    <definedName name="inp_role_billhours_5">'Team Roster'!$L$24</definedName>
    <definedName name="inp_role_billhours_6" localSheetId="4">'Sample Roster'!$L$25</definedName>
    <definedName name="inp_role_billhours_6" localSheetId="3">'Sample Roster'!$L$25</definedName>
    <definedName name="inp_role_billhours_6">'Team Roster'!$L$25</definedName>
    <definedName name="inp_role_billhours_7" localSheetId="4">'Sample Roster'!$L$26</definedName>
    <definedName name="inp_role_billhours_7" localSheetId="3">'Sample Roster'!$L$26</definedName>
    <definedName name="inp_role_billhours_7">'Team Roster'!$L$26</definedName>
    <definedName name="inp_role_billhours_8" localSheetId="4">'Sample Roster'!$L$27</definedName>
    <definedName name="inp_role_billhours_8" localSheetId="3">'Sample Roster'!$L$27</definedName>
    <definedName name="inp_role_billhours_8">'Team Roster'!$L$27</definedName>
    <definedName name="inp_role_billhours_9" localSheetId="4">'Sample Roster'!$L$28</definedName>
    <definedName name="inp_role_billhours_9" localSheetId="3">'Sample Roster'!$L$28</definedName>
    <definedName name="inp_role_billhours_9">'Team Roster'!$L$28</definedName>
    <definedName name="inp_role_cap_1" localSheetId="4">'Sample Roster'!$I$20</definedName>
    <definedName name="inp_role_cap_1" localSheetId="3">'Sample Roster'!$I$20</definedName>
    <definedName name="inp_role_cap_1">'Team Roster'!$I$20</definedName>
    <definedName name="inp_role_cap_10" localSheetId="4">'Sample Roster'!$I$29</definedName>
    <definedName name="inp_role_cap_10" localSheetId="3">'Sample Roster'!$I$29</definedName>
    <definedName name="inp_role_cap_10">'Team Roster'!$I$29</definedName>
    <definedName name="inp_role_cap_11" localSheetId="4">'Sample Roster'!$I$30</definedName>
    <definedName name="inp_role_cap_11" localSheetId="3">'Sample Roster'!$I$30</definedName>
    <definedName name="inp_role_cap_11">'Team Roster'!$I$30</definedName>
    <definedName name="inp_role_cap_12" localSheetId="4">'Sample Roster'!$I$31</definedName>
    <definedName name="inp_role_cap_12" localSheetId="3">'Sample Roster'!$I$31</definedName>
    <definedName name="inp_role_cap_12">'Team Roster'!$I$31</definedName>
    <definedName name="inp_role_cap_13" localSheetId="4">'Sample Roster'!$I$32</definedName>
    <definedName name="inp_role_cap_13" localSheetId="3">'Sample Roster'!$I$32</definedName>
    <definedName name="inp_role_cap_13">'Team Roster'!$I$32</definedName>
    <definedName name="inp_role_cap_14" localSheetId="4">'Sample Roster'!$I$33</definedName>
    <definedName name="inp_role_cap_14" localSheetId="3">'Sample Roster'!$I$33</definedName>
    <definedName name="inp_role_cap_14">'Team Roster'!$I$33</definedName>
    <definedName name="inp_role_cap_2" localSheetId="4">'Sample Roster'!$I$21</definedName>
    <definedName name="inp_role_cap_2" localSheetId="3">'Sample Roster'!$I$21</definedName>
    <definedName name="inp_role_cap_2">'Team Roster'!$I$21</definedName>
    <definedName name="inp_role_cap_3" localSheetId="4">'Sample Roster'!$I$22</definedName>
    <definedName name="inp_role_cap_3" localSheetId="3">'Sample Roster'!$I$22</definedName>
    <definedName name="inp_role_cap_3">'Team Roster'!$I$22</definedName>
    <definedName name="inp_role_cap_4" localSheetId="4">'Sample Roster'!$I$23</definedName>
    <definedName name="inp_role_cap_4" localSheetId="3">'Sample Roster'!$I$23</definedName>
    <definedName name="inp_role_cap_4">'Team Roster'!$I$23</definedName>
    <definedName name="inp_role_cap_5" localSheetId="4">'Sample Roster'!$I$24</definedName>
    <definedName name="inp_role_cap_5" localSheetId="3">'Sample Roster'!$I$24</definedName>
    <definedName name="inp_role_cap_5">'Team Roster'!$I$24</definedName>
    <definedName name="inp_role_cap_6" localSheetId="4">'Sample Roster'!$I$25</definedName>
    <definedName name="inp_role_cap_6" localSheetId="3">'Sample Roster'!$I$25</definedName>
    <definedName name="inp_role_cap_6">'Team Roster'!$I$25</definedName>
    <definedName name="inp_role_cap_7" localSheetId="4">'Sample Roster'!$I$26</definedName>
    <definedName name="inp_role_cap_7" localSheetId="3">'Sample Roster'!$I$26</definedName>
    <definedName name="inp_role_cap_7">'Team Roster'!$I$26</definedName>
    <definedName name="inp_role_cap_8" localSheetId="4">'Sample Roster'!$I$27</definedName>
    <definedName name="inp_role_cap_8" localSheetId="3">'Sample Roster'!$I$27</definedName>
    <definedName name="inp_role_cap_8">'Team Roster'!$I$27</definedName>
    <definedName name="inp_role_cap_9" localSheetId="4">'Sample Roster'!$I$28</definedName>
    <definedName name="inp_role_cap_9" localSheetId="3">'Sample Roster'!$I$28</definedName>
    <definedName name="inp_role_cap_9">'Team Roster'!$I$28</definedName>
    <definedName name="inp_role_cat_1" localSheetId="4">'Sample Roster'!$D$20</definedName>
    <definedName name="inp_role_cat_1" localSheetId="3">'Sample Roster'!$D$20</definedName>
    <definedName name="inp_role_cat_1">'Team Roster'!$D$20</definedName>
    <definedName name="inp_role_cat_10" localSheetId="4">'Sample Roster'!$D$29</definedName>
    <definedName name="inp_role_cat_10" localSheetId="3">'Sample Roster'!$D$29</definedName>
    <definedName name="inp_role_cat_10">'Team Roster'!$D$29</definedName>
    <definedName name="inp_role_cat_11" localSheetId="4">'Sample Roster'!$D$30</definedName>
    <definedName name="inp_role_cat_11" localSheetId="3">'Sample Roster'!$D$30</definedName>
    <definedName name="inp_role_cat_11">'Team Roster'!$D$30</definedName>
    <definedName name="inp_role_cat_12" localSheetId="4">'Sample Roster'!$D$31</definedName>
    <definedName name="inp_role_cat_12" localSheetId="3">'Sample Roster'!$D$31</definedName>
    <definedName name="inp_role_cat_12">'Team Roster'!$D$31</definedName>
    <definedName name="inp_role_cat_13" localSheetId="4">'Sample Roster'!$D$32</definedName>
    <definedName name="inp_role_cat_13" localSheetId="3">'Sample Roster'!$D$32</definedName>
    <definedName name="inp_role_cat_13">'Team Roster'!$D$32</definedName>
    <definedName name="inp_role_cat_14" localSheetId="4">'Sample Roster'!$D$33</definedName>
    <definedName name="inp_role_cat_14" localSheetId="3">'Sample Roster'!$D$33</definedName>
    <definedName name="inp_role_cat_14">'Team Roster'!$D$33</definedName>
    <definedName name="inp_role_cat_2" localSheetId="4">'Sample Roster'!$D$21</definedName>
    <definedName name="inp_role_cat_2" localSheetId="3">'Sample Roster'!$D$21</definedName>
    <definedName name="inp_role_cat_2">'Team Roster'!$D$21</definedName>
    <definedName name="inp_role_cat_3" localSheetId="4">'Sample Roster'!$D$22</definedName>
    <definedName name="inp_role_cat_3" localSheetId="3">'Sample Roster'!$D$22</definedName>
    <definedName name="inp_role_cat_3">'Team Roster'!$D$22</definedName>
    <definedName name="inp_role_cat_4" localSheetId="4">'Sample Roster'!$D$23</definedName>
    <definedName name="inp_role_cat_4" localSheetId="3">'Sample Roster'!$D$23</definedName>
    <definedName name="inp_role_cat_4">'Team Roster'!$D$23</definedName>
    <definedName name="inp_role_cat_5" localSheetId="4">'Sample Roster'!$D$24</definedName>
    <definedName name="inp_role_cat_5" localSheetId="3">'Sample Roster'!$D$24</definedName>
    <definedName name="inp_role_cat_5">'Team Roster'!$D$24</definedName>
    <definedName name="inp_role_cat_6" localSheetId="4">'Sample Roster'!$D$25</definedName>
    <definedName name="inp_role_cat_6" localSheetId="3">'Sample Roster'!$D$25</definedName>
    <definedName name="inp_role_cat_6">'Team Roster'!$D$25</definedName>
    <definedName name="inp_role_cat_7" localSheetId="4">'Sample Roster'!$D$26</definedName>
    <definedName name="inp_role_cat_7" localSheetId="3">'Sample Roster'!$D$26</definedName>
    <definedName name="inp_role_cat_7">'Team Roster'!$D$26</definedName>
    <definedName name="inp_role_cat_8" localSheetId="4">'Sample Roster'!$D$27</definedName>
    <definedName name="inp_role_cat_8" localSheetId="3">'Sample Roster'!$D$27</definedName>
    <definedName name="inp_role_cat_8">'Team Roster'!$D$27</definedName>
    <definedName name="inp_role_cat_9" localSheetId="4">'Sample Roster'!$D$28</definedName>
    <definedName name="inp_role_cat_9" localSheetId="3">'Sample Roster'!$D$28</definedName>
    <definedName name="inp_role_cat_9">'Team Roster'!$D$28</definedName>
    <definedName name="inp_role_hc_1" localSheetId="4">'Sample Roster'!$E$20</definedName>
    <definedName name="inp_role_hc_1" localSheetId="3">'Sample Roster'!$E$20</definedName>
    <definedName name="inp_role_hc_1">'Team Roster'!$E$20</definedName>
    <definedName name="inp_role_hc_10" localSheetId="4">'Sample Roster'!$E$29</definedName>
    <definedName name="inp_role_hc_10" localSheetId="3">'Sample Roster'!$E$29</definedName>
    <definedName name="inp_role_hc_10">'Team Roster'!$E$29</definedName>
    <definedName name="inp_role_hc_11" localSheetId="4">'Sample Roster'!$E$30</definedName>
    <definedName name="inp_role_hc_11" localSheetId="3">'Sample Roster'!$E$30</definedName>
    <definedName name="inp_role_hc_11">'Team Roster'!$E$30</definedName>
    <definedName name="inp_role_hc_12" localSheetId="4">'Sample Roster'!$E$31</definedName>
    <definedName name="inp_role_hc_12" localSheetId="3">'Sample Roster'!$E$31</definedName>
    <definedName name="inp_role_hc_12">'Team Roster'!$E$31</definedName>
    <definedName name="inp_role_hc_13" localSheetId="4">'Sample Roster'!$E$32</definedName>
    <definedName name="inp_role_hc_13" localSheetId="3">'Sample Roster'!$E$32</definedName>
    <definedName name="inp_role_hc_13">'Team Roster'!$E$32</definedName>
    <definedName name="inp_role_hc_14" localSheetId="4">'Sample Roster'!$E$33</definedName>
    <definedName name="inp_role_hc_14" localSheetId="3">'Sample Roster'!$E$33</definedName>
    <definedName name="inp_role_hc_14">'Team Roster'!$E$33</definedName>
    <definedName name="inp_role_hc_2" localSheetId="4">'Sample Roster'!$E$21</definedName>
    <definedName name="inp_role_hc_2" localSheetId="3">'Sample Roster'!$E$21</definedName>
    <definedName name="inp_role_hc_2">'Team Roster'!$E$21</definedName>
    <definedName name="inp_role_hc_3" localSheetId="4">'Sample Roster'!$E$22</definedName>
    <definedName name="inp_role_hc_3" localSheetId="3">'Sample Roster'!$E$22</definedName>
    <definedName name="inp_role_hc_3">'Team Roster'!$E$22</definedName>
    <definedName name="inp_role_hc_4" localSheetId="4">'Sample Roster'!$E$23</definedName>
    <definedName name="inp_role_hc_4" localSheetId="3">'Sample Roster'!$E$23</definedName>
    <definedName name="inp_role_hc_4">'Team Roster'!$E$23</definedName>
    <definedName name="inp_role_hc_5" localSheetId="4">'Sample Roster'!$E$24</definedName>
    <definedName name="inp_role_hc_5" localSheetId="3">'Sample Roster'!$E$24</definedName>
    <definedName name="inp_role_hc_5">'Team Roster'!$E$24</definedName>
    <definedName name="inp_role_hc_6" localSheetId="4">'Sample Roster'!$E$25</definedName>
    <definedName name="inp_role_hc_6" localSheetId="3">'Sample Roster'!$E$25</definedName>
    <definedName name="inp_role_hc_6">'Team Roster'!$E$25</definedName>
    <definedName name="inp_role_hc_7" localSheetId="4">'Sample Roster'!$E$26</definedName>
    <definedName name="inp_role_hc_7" localSheetId="3">'Sample Roster'!$E$26</definedName>
    <definedName name="inp_role_hc_7">'Team Roster'!$E$26</definedName>
    <definedName name="inp_role_hc_8" localSheetId="4">'Sample Roster'!$E$27</definedName>
    <definedName name="inp_role_hc_8" localSheetId="3">'Sample Roster'!$E$27</definedName>
    <definedName name="inp_role_hc_8">'Team Roster'!$E$27</definedName>
    <definedName name="inp_role_hc_9" localSheetId="4">'Sample Roster'!$E$28</definedName>
    <definedName name="inp_role_hc_9" localSheetId="3">'Sample Roster'!$E$28</definedName>
    <definedName name="inp_role_hc_9">'Team Roster'!$E$28</definedName>
    <definedName name="inp_role_oncost_1" localSheetId="4">'Sample Roster'!$G$20</definedName>
    <definedName name="inp_role_oncost_1" localSheetId="3">'Sample Roster'!$G$20</definedName>
    <definedName name="inp_role_oncost_1">'Team Roster'!$G$20</definedName>
    <definedName name="inp_role_oncost_10" localSheetId="4">'Sample Roster'!$G$29</definedName>
    <definedName name="inp_role_oncost_10" localSheetId="3">'Sample Roster'!$G$29</definedName>
    <definedName name="inp_role_oncost_10">'Team Roster'!$G$29</definedName>
    <definedName name="inp_role_oncost_11" localSheetId="4">'Sample Roster'!$G$30</definedName>
    <definedName name="inp_role_oncost_11" localSheetId="3">'Sample Roster'!$G$30</definedName>
    <definedName name="inp_role_oncost_11">'Team Roster'!$G$30</definedName>
    <definedName name="inp_role_oncost_12" localSheetId="4">'Sample Roster'!$G$31</definedName>
    <definedName name="inp_role_oncost_12" localSheetId="3">'Sample Roster'!$G$31</definedName>
    <definedName name="inp_role_oncost_12">'Team Roster'!$G$31</definedName>
    <definedName name="inp_role_oncost_13" localSheetId="4">'Sample Roster'!$G$32</definedName>
    <definedName name="inp_role_oncost_13" localSheetId="3">'Sample Roster'!$G$32</definedName>
    <definedName name="inp_role_oncost_13">'Team Roster'!$G$32</definedName>
    <definedName name="inp_role_oncost_14" localSheetId="4">'Sample Roster'!$G$33</definedName>
    <definedName name="inp_role_oncost_14" localSheetId="3">'Sample Roster'!$G$33</definedName>
    <definedName name="inp_role_oncost_14">'Team Roster'!$G$33</definedName>
    <definedName name="inp_role_oncost_2" localSheetId="4">'Sample Roster'!$G$21</definedName>
    <definedName name="inp_role_oncost_2" localSheetId="3">'Sample Roster'!$G$21</definedName>
    <definedName name="inp_role_oncost_2">'Team Roster'!$G$21</definedName>
    <definedName name="inp_role_oncost_3" localSheetId="4">'Sample Roster'!$G$22</definedName>
    <definedName name="inp_role_oncost_3" localSheetId="3">'Sample Roster'!$G$22</definedName>
    <definedName name="inp_role_oncost_3">'Team Roster'!$G$22</definedName>
    <definedName name="inp_role_oncost_4" localSheetId="4">'Sample Roster'!$G$23</definedName>
    <definedName name="inp_role_oncost_4" localSheetId="3">'Sample Roster'!$G$23</definedName>
    <definedName name="inp_role_oncost_4">'Team Roster'!$G$23</definedName>
    <definedName name="inp_role_oncost_5" localSheetId="4">'Sample Roster'!$G$24</definedName>
    <definedName name="inp_role_oncost_5" localSheetId="3">'Sample Roster'!$G$24</definedName>
    <definedName name="inp_role_oncost_5">'Team Roster'!$G$24</definedName>
    <definedName name="inp_role_oncost_6" localSheetId="4">'Sample Roster'!$G$25</definedName>
    <definedName name="inp_role_oncost_6" localSheetId="3">'Sample Roster'!$G$25</definedName>
    <definedName name="inp_role_oncost_6">'Team Roster'!$G$25</definedName>
    <definedName name="inp_role_oncost_7" localSheetId="4">'Sample Roster'!$G$26</definedName>
    <definedName name="inp_role_oncost_7" localSheetId="3">'Sample Roster'!$G$26</definedName>
    <definedName name="inp_role_oncost_7">'Team Roster'!$G$26</definedName>
    <definedName name="inp_role_oncost_8" localSheetId="4">'Sample Roster'!$G$27</definedName>
    <definedName name="inp_role_oncost_8" localSheetId="3">'Sample Roster'!$G$27</definedName>
    <definedName name="inp_role_oncost_8">'Team Roster'!$G$27</definedName>
    <definedName name="inp_role_oncost_9" localSheetId="4">'Sample Roster'!$G$28</definedName>
    <definedName name="inp_role_oncost_9" localSheetId="3">'Sample Roster'!$G$28</definedName>
    <definedName name="inp_role_oncost_9">'Team Roster'!$G$28</definedName>
    <definedName name="inp_role_rate_1" localSheetId="4">'Sample Roster'!$K$20</definedName>
    <definedName name="inp_role_rate_1" localSheetId="3">'Sample Roster'!$K$20</definedName>
    <definedName name="inp_role_rate_1">'Team Roster'!$K$20</definedName>
    <definedName name="inp_role_rate_10" localSheetId="4">'Sample Roster'!$K$29</definedName>
    <definedName name="inp_role_rate_10" localSheetId="3">'Sample Roster'!$K$29</definedName>
    <definedName name="inp_role_rate_10">'Team Roster'!$K$29</definedName>
    <definedName name="inp_role_rate_11" localSheetId="4">'Sample Roster'!$K$30</definedName>
    <definedName name="inp_role_rate_11" localSheetId="3">'Sample Roster'!$K$30</definedName>
    <definedName name="inp_role_rate_11">'Team Roster'!$K$30</definedName>
    <definedName name="inp_role_rate_12" localSheetId="4">'Sample Roster'!$K$31</definedName>
    <definedName name="inp_role_rate_12" localSheetId="3">'Sample Roster'!$K$31</definedName>
    <definedName name="inp_role_rate_12">'Team Roster'!$K$31</definedName>
    <definedName name="inp_role_rate_13" localSheetId="4">'Sample Roster'!$K$32</definedName>
    <definedName name="inp_role_rate_13" localSheetId="3">'Sample Roster'!$K$32</definedName>
    <definedName name="inp_role_rate_13">'Team Roster'!$K$32</definedName>
    <definedName name="inp_role_rate_14" localSheetId="4">'Sample Roster'!$K$33</definedName>
    <definedName name="inp_role_rate_14" localSheetId="3">'Sample Roster'!$K$33</definedName>
    <definedName name="inp_role_rate_14">'Team Roster'!$K$33</definedName>
    <definedName name="inp_role_rate_2" localSheetId="4">'Sample Roster'!$K$21</definedName>
    <definedName name="inp_role_rate_2" localSheetId="3">'Sample Roster'!$K$21</definedName>
    <definedName name="inp_role_rate_2">'Team Roster'!$K$21</definedName>
    <definedName name="inp_role_rate_3" localSheetId="4">'Sample Roster'!$K$22</definedName>
    <definedName name="inp_role_rate_3" localSheetId="3">'Sample Roster'!$K$22</definedName>
    <definedName name="inp_role_rate_3">'Team Roster'!$K$22</definedName>
    <definedName name="inp_role_rate_4" localSheetId="4">'Sample Roster'!$K$23</definedName>
    <definedName name="inp_role_rate_4" localSheetId="3">'Sample Roster'!$K$23</definedName>
    <definedName name="inp_role_rate_4">'Team Roster'!$K$23</definedName>
    <definedName name="inp_role_rate_5" localSheetId="4">'Sample Roster'!$K$24</definedName>
    <definedName name="inp_role_rate_5" localSheetId="3">'Sample Roster'!$K$24</definedName>
    <definedName name="inp_role_rate_5">'Team Roster'!$K$24</definedName>
    <definedName name="inp_role_rate_6" localSheetId="4">'Sample Roster'!$K$25</definedName>
    <definedName name="inp_role_rate_6" localSheetId="3">'Sample Roster'!$K$25</definedName>
    <definedName name="inp_role_rate_6">'Team Roster'!$K$25</definedName>
    <definedName name="inp_role_rate_7" localSheetId="4">'Sample Roster'!$K$26</definedName>
    <definedName name="inp_role_rate_7" localSheetId="3">'Sample Roster'!$K$26</definedName>
    <definedName name="inp_role_rate_7">'Team Roster'!$K$26</definedName>
    <definedName name="inp_role_rate_8" localSheetId="4">'Sample Roster'!$K$27</definedName>
    <definedName name="inp_role_rate_8" localSheetId="3">'Sample Roster'!$K$27</definedName>
    <definedName name="inp_role_rate_8">'Team Roster'!$K$27</definedName>
    <definedName name="inp_role_rate_9" localSheetId="4">'Sample Roster'!$K$28</definedName>
    <definedName name="inp_role_rate_9" localSheetId="3">'Sample Roster'!$K$28</definedName>
    <definedName name="inp_role_rate_9">'Team Roster'!$K$28</definedName>
    <definedName name="inp_role_revenue_1" localSheetId="4">'Sample Roster'!$M$20</definedName>
    <definedName name="inp_role_revenue_1" localSheetId="3">'Sample Roster'!$M$20</definedName>
    <definedName name="inp_role_revenue_1">'Team Roster'!$M$20</definedName>
    <definedName name="inp_role_revenue_10" localSheetId="4">'Sample Roster'!$M$29</definedName>
    <definedName name="inp_role_revenue_10" localSheetId="3">'Sample Roster'!$M$29</definedName>
    <definedName name="inp_role_revenue_10">'Team Roster'!$M$29</definedName>
    <definedName name="inp_role_revenue_11" localSheetId="4">'Sample Roster'!$M$30</definedName>
    <definedName name="inp_role_revenue_11" localSheetId="3">'Sample Roster'!$M$30</definedName>
    <definedName name="inp_role_revenue_11">'Team Roster'!$M$30</definedName>
    <definedName name="inp_role_revenue_12" localSheetId="4">'Sample Roster'!$M$31</definedName>
    <definedName name="inp_role_revenue_12" localSheetId="3">'Sample Roster'!$M$31</definedName>
    <definedName name="inp_role_revenue_12">'Team Roster'!$M$31</definedName>
    <definedName name="inp_role_revenue_13" localSheetId="4">'Sample Roster'!$M$32</definedName>
    <definedName name="inp_role_revenue_13" localSheetId="3">'Sample Roster'!$M$32</definedName>
    <definedName name="inp_role_revenue_13">'Team Roster'!$M$32</definedName>
    <definedName name="inp_role_revenue_14" localSheetId="4">'Sample Roster'!$M$33</definedName>
    <definedName name="inp_role_revenue_14" localSheetId="3">'Sample Roster'!$M$33</definedName>
    <definedName name="inp_role_revenue_14">'Team Roster'!$M$33</definedName>
    <definedName name="inp_role_revenue_2" localSheetId="4">'Sample Roster'!$M$21</definedName>
    <definedName name="inp_role_revenue_2" localSheetId="3">'Sample Roster'!$M$21</definedName>
    <definedName name="inp_role_revenue_2">'Team Roster'!$M$21</definedName>
    <definedName name="inp_role_revenue_3" localSheetId="4">'Sample Roster'!$M$22</definedName>
    <definedName name="inp_role_revenue_3" localSheetId="3">'Sample Roster'!$M$22</definedName>
    <definedName name="inp_role_revenue_3">'Team Roster'!$M$22</definedName>
    <definedName name="inp_role_revenue_4" localSheetId="4">'Sample Roster'!$M$23</definedName>
    <definedName name="inp_role_revenue_4" localSheetId="3">'Sample Roster'!$M$23</definedName>
    <definedName name="inp_role_revenue_4">'Team Roster'!$M$23</definedName>
    <definedName name="inp_role_revenue_5" localSheetId="4">'Sample Roster'!$M$24</definedName>
    <definedName name="inp_role_revenue_5" localSheetId="3">'Sample Roster'!$M$24</definedName>
    <definedName name="inp_role_revenue_5">'Team Roster'!$M$24</definedName>
    <definedName name="inp_role_revenue_6" localSheetId="4">'Sample Roster'!$M$25</definedName>
    <definedName name="inp_role_revenue_6" localSheetId="3">'Sample Roster'!$M$25</definedName>
    <definedName name="inp_role_revenue_6">'Team Roster'!$M$25</definedName>
    <definedName name="inp_role_revenue_7" localSheetId="4">'Sample Roster'!$M$26</definedName>
    <definedName name="inp_role_revenue_7" localSheetId="3">'Sample Roster'!$M$26</definedName>
    <definedName name="inp_role_revenue_7">'Team Roster'!$M$26</definedName>
    <definedName name="inp_role_revenue_8" localSheetId="4">'Sample Roster'!$M$27</definedName>
    <definedName name="inp_role_revenue_8" localSheetId="3">'Sample Roster'!$M$27</definedName>
    <definedName name="inp_role_revenue_8">'Team Roster'!$M$27</definedName>
    <definedName name="inp_role_revenue_9" localSheetId="4">'Sample Roster'!$M$28</definedName>
    <definedName name="inp_role_revenue_9" localSheetId="3">'Sample Roster'!$M$28</definedName>
    <definedName name="inp_role_revenue_9">'Team Roster'!$M$28</definedName>
    <definedName name="inp_role_salary_1" localSheetId="4">'Sample Roster'!$F$20</definedName>
    <definedName name="inp_role_salary_1" localSheetId="3">'Sample Roster'!$F$20</definedName>
    <definedName name="inp_role_salary_1">'Team Roster'!$F$20</definedName>
    <definedName name="inp_role_salary_10" localSheetId="4">'Sample Roster'!$F$29</definedName>
    <definedName name="inp_role_salary_10" localSheetId="3">'Sample Roster'!$F$29</definedName>
    <definedName name="inp_role_salary_10">'Team Roster'!$F$29</definedName>
    <definedName name="inp_role_salary_11" localSheetId="4">'Sample Roster'!$F$30</definedName>
    <definedName name="inp_role_salary_11" localSheetId="3">'Sample Roster'!$F$30</definedName>
    <definedName name="inp_role_salary_11">'Team Roster'!$F$30</definedName>
    <definedName name="inp_role_salary_12" localSheetId="4">'Sample Roster'!$F$31</definedName>
    <definedName name="inp_role_salary_12" localSheetId="3">'Sample Roster'!$F$31</definedName>
    <definedName name="inp_role_salary_12">'Team Roster'!$F$31</definedName>
    <definedName name="inp_role_salary_13" localSheetId="4">'Sample Roster'!$F$32</definedName>
    <definedName name="inp_role_salary_13" localSheetId="3">'Sample Roster'!$F$32</definedName>
    <definedName name="inp_role_salary_13">'Team Roster'!$F$32</definedName>
    <definedName name="inp_role_salary_14" localSheetId="4">'Sample Roster'!$F$33</definedName>
    <definedName name="inp_role_salary_14" localSheetId="3">'Sample Roster'!$F$33</definedName>
    <definedName name="inp_role_salary_14">'Team Roster'!$F$33</definedName>
    <definedName name="inp_role_salary_2" localSheetId="4">'Sample Roster'!$F$21</definedName>
    <definedName name="inp_role_salary_2" localSheetId="3">'Sample Roster'!$F$21</definedName>
    <definedName name="inp_role_salary_2">'Team Roster'!$F$21</definedName>
    <definedName name="inp_role_salary_3" localSheetId="4">'Sample Roster'!$F$22</definedName>
    <definedName name="inp_role_salary_3" localSheetId="3">'Sample Roster'!$F$22</definedName>
    <definedName name="inp_role_salary_3">'Team Roster'!$F$22</definedName>
    <definedName name="inp_role_salary_4" localSheetId="4">'Sample Roster'!$F$23</definedName>
    <definedName name="inp_role_salary_4" localSheetId="3">'Sample Roster'!$F$23</definedName>
    <definedName name="inp_role_salary_4">'Team Roster'!$F$23</definedName>
    <definedName name="inp_role_salary_5" localSheetId="4">'Sample Roster'!$F$24</definedName>
    <definedName name="inp_role_salary_5" localSheetId="3">'Sample Roster'!$F$24</definedName>
    <definedName name="inp_role_salary_5">'Team Roster'!$F$24</definedName>
    <definedName name="inp_role_salary_6" localSheetId="4">'Sample Roster'!$F$25</definedName>
    <definedName name="inp_role_salary_6" localSheetId="3">'Sample Roster'!$F$25</definedName>
    <definedName name="inp_role_salary_6">'Team Roster'!$F$25</definedName>
    <definedName name="inp_role_salary_7" localSheetId="4">'Sample Roster'!$F$26</definedName>
    <definedName name="inp_role_salary_7" localSheetId="3">'Sample Roster'!$F$26</definedName>
    <definedName name="inp_role_salary_7">'Team Roster'!$F$26</definedName>
    <definedName name="inp_role_salary_8" localSheetId="4">'Sample Roster'!$F$27</definedName>
    <definedName name="inp_role_salary_8" localSheetId="3">'Sample Roster'!$F$27</definedName>
    <definedName name="inp_role_salary_8">'Team Roster'!$F$27</definedName>
    <definedName name="inp_role_salary_9" localSheetId="4">'Sample Roster'!$F$28</definedName>
    <definedName name="inp_role_salary_9" localSheetId="3">'Sample Roster'!$F$28</definedName>
    <definedName name="inp_role_salary_9">'Team Roster'!$F$28</definedName>
    <definedName name="inp_role_title_1" localSheetId="4">'Sample Roster'!$C$20</definedName>
    <definedName name="inp_role_title_1" localSheetId="3">'Sample Roster'!$C$20</definedName>
    <definedName name="inp_role_title_1">'Team Roster'!$C$20</definedName>
    <definedName name="inp_role_title_10" localSheetId="4">'Sample Roster'!$C$29</definedName>
    <definedName name="inp_role_title_10" localSheetId="3">'Sample Roster'!$C$29</definedName>
    <definedName name="inp_role_title_10">'Team Roster'!$C$29</definedName>
    <definedName name="inp_role_title_11" localSheetId="4">'Sample Roster'!$C$30</definedName>
    <definedName name="inp_role_title_11" localSheetId="3">'Sample Roster'!$C$30</definedName>
    <definedName name="inp_role_title_11">'Team Roster'!$C$30</definedName>
    <definedName name="inp_role_title_12" localSheetId="4">'Sample Roster'!$C$31</definedName>
    <definedName name="inp_role_title_12" localSheetId="3">'Sample Roster'!$C$31</definedName>
    <definedName name="inp_role_title_12">'Team Roster'!$C$31</definedName>
    <definedName name="inp_role_title_13" localSheetId="4">'Sample Roster'!$C$32</definedName>
    <definedName name="inp_role_title_13" localSheetId="3">'Sample Roster'!$C$32</definedName>
    <definedName name="inp_role_title_13">'Team Roster'!$C$32</definedName>
    <definedName name="inp_role_title_14" localSheetId="4">'Sample Roster'!$C$33</definedName>
    <definedName name="inp_role_title_14" localSheetId="3">'Sample Roster'!$C$33</definedName>
    <definedName name="inp_role_title_14">'Team Roster'!$C$33</definedName>
    <definedName name="inp_role_title_2" localSheetId="4">'Sample Roster'!$C$21</definedName>
    <definedName name="inp_role_title_2" localSheetId="3">'Sample Roster'!$C$21</definedName>
    <definedName name="inp_role_title_2">'Team Roster'!$C$21</definedName>
    <definedName name="inp_role_title_3" localSheetId="4">'Sample Roster'!$C$22</definedName>
    <definedName name="inp_role_title_3" localSheetId="3">'Sample Roster'!$C$22</definedName>
    <definedName name="inp_role_title_3">'Team Roster'!$C$22</definedName>
    <definedName name="inp_role_title_4" localSheetId="4">'Sample Roster'!$C$23</definedName>
    <definedName name="inp_role_title_4" localSheetId="3">'Sample Roster'!$C$23</definedName>
    <definedName name="inp_role_title_4">'Team Roster'!$C$23</definedName>
    <definedName name="inp_role_title_5" localSheetId="4">'Sample Roster'!$C$24</definedName>
    <definedName name="inp_role_title_5" localSheetId="3">'Sample Roster'!$C$24</definedName>
    <definedName name="inp_role_title_5">'Team Roster'!$C$24</definedName>
    <definedName name="inp_role_title_6" localSheetId="4">'Sample Roster'!$C$25</definedName>
    <definedName name="inp_role_title_6" localSheetId="3">'Sample Roster'!$C$25</definedName>
    <definedName name="inp_role_title_6">'Team Roster'!$C$25</definedName>
    <definedName name="inp_role_title_7" localSheetId="4">'Sample Roster'!$C$26</definedName>
    <definedName name="inp_role_title_7" localSheetId="3">'Sample Roster'!$C$26</definedName>
    <definedName name="inp_role_title_7">'Team Roster'!$C$26</definedName>
    <definedName name="inp_role_title_8" localSheetId="4">'Sample Roster'!$C$27</definedName>
    <definedName name="inp_role_title_8" localSheetId="3">'Sample Roster'!$C$27</definedName>
    <definedName name="inp_role_title_8">'Team Roster'!$C$27</definedName>
    <definedName name="inp_role_title_9" localSheetId="4">'Sample Roster'!$C$28</definedName>
    <definedName name="inp_role_title_9" localSheetId="3">'Sample Roster'!$C$28</definedName>
    <definedName name="inp_role_title_9">'Team Roster'!$C$28</definedName>
    <definedName name="inp_role_tutil_1" localSheetId="4">'Sample Roster'!$J$20</definedName>
    <definedName name="inp_role_tutil_1" localSheetId="3">'Sample Roster'!$J$20</definedName>
    <definedName name="inp_role_tutil_1">'Team Roster'!$J$20</definedName>
    <definedName name="inp_role_tutil_10" localSheetId="4">'Sample Roster'!$J$29</definedName>
    <definedName name="inp_role_tutil_10" localSheetId="3">'Sample Roster'!$J$29</definedName>
    <definedName name="inp_role_tutil_10">'Team Roster'!$J$29</definedName>
    <definedName name="inp_role_tutil_11" localSheetId="4">'Sample Roster'!$J$30</definedName>
    <definedName name="inp_role_tutil_11" localSheetId="3">'Sample Roster'!$J$30</definedName>
    <definedName name="inp_role_tutil_11">'Team Roster'!$J$30</definedName>
    <definedName name="inp_role_tutil_12" localSheetId="4">'Sample Roster'!$J$31</definedName>
    <definedName name="inp_role_tutil_12" localSheetId="3">'Sample Roster'!$J$31</definedName>
    <definedName name="inp_role_tutil_12">'Team Roster'!$J$31</definedName>
    <definedName name="inp_role_tutil_13" localSheetId="4">'Sample Roster'!$J$32</definedName>
    <definedName name="inp_role_tutil_13" localSheetId="3">'Sample Roster'!$J$32</definedName>
    <definedName name="inp_role_tutil_13">'Team Roster'!$J$32</definedName>
    <definedName name="inp_role_tutil_14" localSheetId="4">'Sample Roster'!$J$33</definedName>
    <definedName name="inp_role_tutil_14" localSheetId="3">'Sample Roster'!$J$33</definedName>
    <definedName name="inp_role_tutil_14">'Team Roster'!$J$33</definedName>
    <definedName name="inp_role_tutil_2" localSheetId="4">'Sample Roster'!$J$21</definedName>
    <definedName name="inp_role_tutil_2" localSheetId="3">'Sample Roster'!$J$21</definedName>
    <definedName name="inp_role_tutil_2">'Team Roster'!$J$21</definedName>
    <definedName name="inp_role_tutil_3" localSheetId="4">'Sample Roster'!$J$22</definedName>
    <definedName name="inp_role_tutil_3" localSheetId="3">'Sample Roster'!$J$22</definedName>
    <definedName name="inp_role_tutil_3">'Team Roster'!$J$22</definedName>
    <definedName name="inp_role_tutil_4" localSheetId="4">'Sample Roster'!$J$23</definedName>
    <definedName name="inp_role_tutil_4" localSheetId="3">'Sample Roster'!$J$23</definedName>
    <definedName name="inp_role_tutil_4">'Team Roster'!$J$23</definedName>
    <definedName name="inp_role_tutil_5" localSheetId="4">'Sample Roster'!$J$24</definedName>
    <definedName name="inp_role_tutil_5" localSheetId="3">'Sample Roster'!$J$24</definedName>
    <definedName name="inp_role_tutil_5">'Team Roster'!$J$24</definedName>
    <definedName name="inp_role_tutil_6" localSheetId="4">'Sample Roster'!$J$25</definedName>
    <definedName name="inp_role_tutil_6" localSheetId="3">'Sample Roster'!$J$25</definedName>
    <definedName name="inp_role_tutil_6">'Team Roster'!$J$25</definedName>
    <definedName name="inp_role_tutil_7" localSheetId="4">'Sample Roster'!$J$26</definedName>
    <definedName name="inp_role_tutil_7" localSheetId="3">'Sample Roster'!$J$26</definedName>
    <definedName name="inp_role_tutil_7">'Team Roster'!$J$26</definedName>
    <definedName name="inp_role_tutil_8" localSheetId="4">'Sample Roster'!$J$27</definedName>
    <definedName name="inp_role_tutil_8" localSheetId="3">'Sample Roster'!$J$27</definedName>
    <definedName name="inp_role_tutil_8">'Team Roster'!$J$27</definedName>
    <definedName name="inp_role_tutil_9" localSheetId="4">'Sample Roster'!$J$28</definedName>
    <definedName name="inp_role_tutil_9" localSheetId="3">'Sample Roster'!$J$28</definedName>
    <definedName name="inp_role_tutil_9">'Team Roster'!$J$28</definedName>
    <definedName name="_xlnm.Print_Area" localSheetId="2">Diagnostic!$A$1:$N$159</definedName>
    <definedName name="_xlnm.Print_Area" localSheetId="4">'Sample Diagnostic'!$A$1:$N$159</definedName>
    <definedName name="_xlnm.Print_Titles" localSheetId="2">Diagnostic!$1:$4</definedName>
    <definedName name="_xlnm.Print_Titles" localSheetId="4">'Sample Diagnostic'!$1:$4</definedName>
    <definedName name="ref_au_oncost" localSheetId="3">'Sample Roster'!$Q$4</definedName>
    <definedName name="ref_au_oncost">'Team Roster'!$Q$4</definedName>
    <definedName name="ref_bench_margin_target" localSheetId="4">'Sample Roster'!$E$62</definedName>
    <definedName name="ref_bench_margin_target" localSheetId="3">'Sample Roster'!$E$62</definedName>
    <definedName name="ref_bench_margin_target">'Team Roster'!$E$62</definedName>
    <definedName name="ref_bench_margin_warn" localSheetId="4">'Sample Roster'!$E$63</definedName>
    <definedName name="ref_bench_margin_warn" localSheetId="3">'Sample Roster'!$E$63</definedName>
    <definedName name="ref_bench_margin_warn">'Team Roster'!$E$63</definedName>
    <definedName name="ref_bench_realisation" localSheetId="4">'Sample Roster'!$E$65</definedName>
    <definedName name="ref_bench_realisation" localSheetId="3">'Sample Roster'!$E$65</definedName>
    <definedName name="ref_bench_realisation">'Team Roster'!$E$65</definedName>
    <definedName name="ref_bench_util_avg" localSheetId="4">'Sample Roster'!$E$64</definedName>
    <definedName name="ref_bench_util_avg" localSheetId="3">'Sample Roster'!$E$64</definedName>
    <definedName name="ref_bench_util_avg">'Team Roster'!$E$64</definedName>
    <definedName name="ref_nz_oncost" localSheetId="3">'Sample Roster'!$Q$5</definedName>
    <definedName name="ref_nz_oncost">'Team Roster'!$Q$5</definedName>
    <definedName name="ref_region_benefits_all" localSheetId="4">'Sample Roster'!$R$4:$R$6</definedName>
    <definedName name="ref_region_benefits_all" localSheetId="3">'Sample Roster'!$R$4:$R$6</definedName>
    <definedName name="ref_region_benefits_all">'Team Roster'!$R$4:$R$6</definedName>
    <definedName name="ref_region_capacity_all" localSheetId="4">'Sample Roster'!$S$4:$S$6</definedName>
    <definedName name="ref_region_capacity_all" localSheetId="3">'Sample Roster'!$S$4:$S$6</definedName>
    <definedName name="ref_region_capacity_all">'Team Roster'!$S$4:$S$6</definedName>
    <definedName name="ref_region_codes" localSheetId="4">'Sample Roster'!$P$4:$P$6</definedName>
    <definedName name="ref_region_codes" localSheetId="3">'Sample Roster'!$P$4:$P$6</definedName>
    <definedName name="ref_region_codes">'Team Roster'!$P$4:$P$6</definedName>
    <definedName name="ref_region_oncost_all" localSheetId="4">'Sample Roster'!$Q$4:$Q$6</definedName>
    <definedName name="ref_region_oncost_all" localSheetId="3">'Sample Roster'!$Q$4:$Q$6</definedName>
    <definedName name="ref_region_oncost_all">'Team Roster'!$Q$4:$Q$6</definedName>
    <definedName name="ref_us_oncost" localSheetId="3">'Sample Roster'!$Q$6</definedName>
    <definedName name="ref_us_oncost">'Team Roster'!$Q$6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4" l="1" a="1"/>
  <c r="J150" i="14"/>
  <c r="D127" i="14"/>
  <c r="D126" i="14"/>
  <c r="D125" i="14"/>
  <c r="D124" i="14"/>
  <c r="AB83" i="14"/>
  <c r="AA83" i="14"/>
  <c r="Z83" i="14"/>
  <c r="Y83" i="14"/>
  <c r="X83" i="14"/>
  <c r="W83" i="14"/>
  <c r="V83" i="14"/>
  <c r="U83" i="14"/>
  <c r="T83" i="14"/>
  <c r="S83" i="14"/>
  <c r="R83" i="14"/>
  <c r="Q83" i="14"/>
  <c r="AB82" i="14"/>
  <c r="AA82" i="14"/>
  <c r="Z82" i="14"/>
  <c r="Y82" i="14"/>
  <c r="X82" i="14"/>
  <c r="W82" i="14"/>
  <c r="V82" i="14"/>
  <c r="U82" i="14"/>
  <c r="T82" i="14"/>
  <c r="S82" i="14"/>
  <c r="R82" i="14"/>
  <c r="Q82" i="14"/>
  <c r="AB81" i="14"/>
  <c r="AA81" i="14"/>
  <c r="Z81" i="14"/>
  <c r="Y81" i="14"/>
  <c r="X81" i="14"/>
  <c r="W81" i="14"/>
  <c r="V81" i="14"/>
  <c r="U81" i="14"/>
  <c r="T81" i="14"/>
  <c r="S81" i="14"/>
  <c r="R81" i="14"/>
  <c r="Q81" i="14"/>
  <c r="AB80" i="14"/>
  <c r="AA80" i="14"/>
  <c r="Z80" i="14"/>
  <c r="Y80" i="14"/>
  <c r="X80" i="14"/>
  <c r="W80" i="14"/>
  <c r="V80" i="14"/>
  <c r="U80" i="14"/>
  <c r="T80" i="14"/>
  <c r="S80" i="14"/>
  <c r="R80" i="14"/>
  <c r="Q80" i="14"/>
  <c r="AB79" i="14"/>
  <c r="AA79" i="14"/>
  <c r="Z79" i="14"/>
  <c r="Y79" i="14"/>
  <c r="X79" i="14"/>
  <c r="W79" i="14"/>
  <c r="V79" i="14"/>
  <c r="U79" i="14"/>
  <c r="T79" i="14"/>
  <c r="S79" i="14"/>
  <c r="R79" i="14"/>
  <c r="Q79" i="14"/>
  <c r="AB78" i="14"/>
  <c r="AA78" i="14"/>
  <c r="Z78" i="14"/>
  <c r="Y78" i="14"/>
  <c r="X78" i="14"/>
  <c r="W78" i="14"/>
  <c r="V78" i="14"/>
  <c r="U78" i="14"/>
  <c r="T78" i="14"/>
  <c r="S78" i="14"/>
  <c r="R78" i="14"/>
  <c r="Q78" i="14"/>
  <c r="AB77" i="14"/>
  <c r="AA77" i="14"/>
  <c r="Z77" i="14"/>
  <c r="Y77" i="14"/>
  <c r="X77" i="14"/>
  <c r="W77" i="14"/>
  <c r="V77" i="14"/>
  <c r="U77" i="14"/>
  <c r="T77" i="14"/>
  <c r="S77" i="14"/>
  <c r="R77" i="14"/>
  <c r="Q77" i="14"/>
  <c r="AB76" i="14"/>
  <c r="AA76" i="14"/>
  <c r="Z76" i="14"/>
  <c r="Y76" i="14"/>
  <c r="X76" i="14"/>
  <c r="W76" i="14"/>
  <c r="V76" i="14"/>
  <c r="U76" i="14"/>
  <c r="T76" i="14"/>
  <c r="S76" i="14"/>
  <c r="R76" i="14"/>
  <c r="Q76" i="14"/>
  <c r="AB75" i="14"/>
  <c r="AA75" i="14"/>
  <c r="Z75" i="14"/>
  <c r="Y75" i="14"/>
  <c r="X75" i="14"/>
  <c r="W75" i="14"/>
  <c r="V75" i="14"/>
  <c r="U75" i="14"/>
  <c r="T75" i="14"/>
  <c r="S75" i="14"/>
  <c r="R75" i="14"/>
  <c r="Q75" i="14"/>
  <c r="AB74" i="14"/>
  <c r="AA74" i="14"/>
  <c r="Z74" i="14"/>
  <c r="Y74" i="14"/>
  <c r="X74" i="14"/>
  <c r="W74" i="14"/>
  <c r="V74" i="14"/>
  <c r="U74" i="14"/>
  <c r="T74" i="14"/>
  <c r="S74" i="14"/>
  <c r="R74" i="14"/>
  <c r="Q74" i="14"/>
  <c r="AB73" i="14"/>
  <c r="AA73" i="14"/>
  <c r="Z73" i="14"/>
  <c r="Y73" i="14"/>
  <c r="X73" i="14"/>
  <c r="W73" i="14"/>
  <c r="V73" i="14"/>
  <c r="U73" i="14"/>
  <c r="T73" i="14"/>
  <c r="S73" i="14"/>
  <c r="R73" i="14"/>
  <c r="Q73" i="14"/>
  <c r="AB72" i="14"/>
  <c r="AA72" i="14"/>
  <c r="Z72" i="14"/>
  <c r="Y72" i="14"/>
  <c r="X72" i="14"/>
  <c r="W72" i="14"/>
  <c r="V72" i="14"/>
  <c r="U72" i="14"/>
  <c r="T72" i="14"/>
  <c r="S72" i="14"/>
  <c r="R72" i="14"/>
  <c r="Q72" i="14"/>
  <c r="AB71" i="14"/>
  <c r="AA71" i="14"/>
  <c r="Z71" i="14"/>
  <c r="Y71" i="14"/>
  <c r="X71" i="14"/>
  <c r="W71" i="14"/>
  <c r="V71" i="14"/>
  <c r="U71" i="14"/>
  <c r="T71" i="14"/>
  <c r="S71" i="14"/>
  <c r="R71" i="14"/>
  <c r="Q71" i="14"/>
  <c r="AB70" i="14"/>
  <c r="AA70" i="14"/>
  <c r="Z70" i="14"/>
  <c r="Y70" i="14"/>
  <c r="X70" i="14"/>
  <c r="W70" i="14"/>
  <c r="V70" i="14"/>
  <c r="U70" i="14"/>
  <c r="T70" i="14"/>
  <c r="S70" i="14"/>
  <c r="R70" i="14"/>
  <c r="Q70" i="14"/>
  <c r="L8" i="14"/>
  <c r="G39" i="13"/>
  <c r="G38" i="13"/>
  <c r="G37" i="13"/>
  <c r="V2" i="13"/>
  <c r="J156" i="14"/>
  <c r="J155" i="14"/>
  <c r="K154" i="14"/>
  <c r="K153" i="14"/>
  <c r="K150" i="14"/>
  <c r="K149" i="14"/>
  <c r="J149" i="14"/>
  <c r="K148" i="14"/>
  <c r="J148" i="14"/>
  <c r="K147" i="14"/>
  <c r="J147" i="14"/>
  <c r="J146" i="14"/>
  <c r="K145" i="14"/>
  <c r="J145" i="14"/>
  <c r="K144" i="14"/>
  <c r="J144" i="14"/>
  <c r="K143" i="14"/>
  <c r="J143" i="14"/>
  <c r="EA84" i="14"/>
  <c r="DZ84" i="14"/>
  <c r="AR83" i="14"/>
  <c r="AR82" i="14"/>
  <c r="M83" i="14"/>
  <c r="AR81" i="14"/>
  <c r="AR80" i="14"/>
  <c r="AR79" i="14"/>
  <c r="AR78" i="14"/>
  <c r="AR77" i="14"/>
  <c r="AR76" i="14"/>
  <c r="AR75" i="14"/>
  <c r="AR74" i="14"/>
  <c r="AR73" i="14"/>
  <c r="AR72" i="14"/>
  <c r="DH71" i="14"/>
  <c r="DE71" i="14"/>
  <c r="AR71" i="14"/>
  <c r="DH70" i="14"/>
  <c r="DE70" i="14"/>
  <c r="AR70" i="14"/>
  <c r="I39" i="13"/>
  <c r="I38" i="13"/>
  <c r="I37" i="13"/>
  <c r="J156" i="3"/>
  <c r="J155" i="3"/>
  <c r="J146" i="3"/>
  <c r="J150" i="3"/>
  <c r="I39" i="2"/>
  <c r="G39" i="2"/>
  <c r="I38" i="2"/>
  <c r="G38" i="2"/>
  <c r="I37" i="2"/>
  <c r="G37" i="2"/>
  <c r="V2" i="2"/>
  <c r="K154" i="3"/>
  <c r="K153" i="3"/>
  <c r="K150" i="3"/>
  <c r="K149" i="3"/>
  <c r="J149" i="3"/>
  <c r="K148" i="3"/>
  <c r="J148" i="3"/>
  <c r="K147" i="3"/>
  <c r="J147" i="3"/>
  <c r="K145" i="3"/>
  <c r="J145" i="3"/>
  <c r="K144" i="3"/>
  <c r="J144" i="3"/>
  <c r="K143" i="3"/>
  <c r="J143" i="3"/>
  <c r="D124" i="3"/>
  <c r="EA84" i="3"/>
  <c r="DZ84" i="3"/>
  <c r="AR83" i="3"/>
  <c r="AA83" i="3"/>
  <c r="Y83" i="3"/>
  <c r="U83" i="3"/>
  <c r="T83" i="3"/>
  <c r="S83" i="3"/>
  <c r="R83" i="3"/>
  <c r="Q83" i="3"/>
  <c r="AR82" i="3"/>
  <c r="AA82" i="3"/>
  <c r="Y82" i="3"/>
  <c r="U82" i="3"/>
  <c r="T82" i="3"/>
  <c r="S82" i="3"/>
  <c r="R82" i="3"/>
  <c r="Q82" i="3"/>
  <c r="AR81" i="3"/>
  <c r="AA81" i="3"/>
  <c r="Y81" i="3"/>
  <c r="U81" i="3"/>
  <c r="T81" i="3"/>
  <c r="S81" i="3"/>
  <c r="R81" i="3"/>
  <c r="Q81" i="3"/>
  <c r="AR80" i="3"/>
  <c r="AA80" i="3"/>
  <c r="Y80" i="3"/>
  <c r="U80" i="3"/>
  <c r="T80" i="3"/>
  <c r="S80" i="3"/>
  <c r="R80" i="3"/>
  <c r="Q80" i="3"/>
  <c r="AR79" i="3"/>
  <c r="AA79" i="3"/>
  <c r="Y79" i="3"/>
  <c r="U79" i="3"/>
  <c r="T79" i="3"/>
  <c r="S79" i="3"/>
  <c r="R79" i="3"/>
  <c r="Q79" i="3"/>
  <c r="AR78" i="3"/>
  <c r="AA78" i="3"/>
  <c r="Y78" i="3"/>
  <c r="U78" i="3"/>
  <c r="T78" i="3"/>
  <c r="S78" i="3"/>
  <c r="R78" i="3"/>
  <c r="Q78" i="3"/>
  <c r="AR77" i="3"/>
  <c r="AA77" i="3"/>
  <c r="Y77" i="3"/>
  <c r="U77" i="3"/>
  <c r="T77" i="3"/>
  <c r="S77" i="3"/>
  <c r="R77" i="3"/>
  <c r="Q77" i="3"/>
  <c r="AR76" i="3"/>
  <c r="AA76" i="3"/>
  <c r="Y76" i="3"/>
  <c r="U76" i="3"/>
  <c r="T76" i="3"/>
  <c r="S76" i="3"/>
  <c r="R76" i="3"/>
  <c r="Q76" i="3"/>
  <c r="AR75" i="3"/>
  <c r="AA75" i="3"/>
  <c r="Y75" i="3"/>
  <c r="U75" i="3"/>
  <c r="T75" i="3"/>
  <c r="S75" i="3"/>
  <c r="R75" i="3"/>
  <c r="Q75" i="3"/>
  <c r="AR74" i="3"/>
  <c r="AA74" i="3"/>
  <c r="Y74" i="3"/>
  <c r="U74" i="3"/>
  <c r="T74" i="3"/>
  <c r="S74" i="3"/>
  <c r="R74" i="3"/>
  <c r="Q74" i="3"/>
  <c r="AR73" i="3"/>
  <c r="AA73" i="3"/>
  <c r="Y73" i="3"/>
  <c r="U73" i="3"/>
  <c r="T73" i="3"/>
  <c r="S73" i="3"/>
  <c r="R73" i="3"/>
  <c r="Q73" i="3"/>
  <c r="AR72" i="3"/>
  <c r="AA72" i="3"/>
  <c r="Y72" i="3"/>
  <c r="U72" i="3"/>
  <c r="T72" i="3"/>
  <c r="S72" i="3"/>
  <c r="R72" i="3"/>
  <c r="Q72" i="3"/>
  <c r="DH71" i="3"/>
  <c r="DE71" i="3"/>
  <c r="AR71" i="3"/>
  <c r="AA71" i="3"/>
  <c r="Y71" i="3"/>
  <c r="U71" i="3"/>
  <c r="T71" i="3"/>
  <c r="S71" i="3"/>
  <c r="R71" i="3"/>
  <c r="Q71" i="3"/>
  <c r="DH70" i="3"/>
  <c r="DE70" i="3"/>
  <c r="AR70" i="3"/>
  <c r="AA70" i="3"/>
  <c r="Y70" i="3"/>
  <c r="U70" i="3"/>
  <c r="T70" i="3"/>
  <c r="S70" i="3"/>
  <c r="R70" i="3"/>
  <c r="Q70" i="3"/>
  <c r="M83" i="3"/>
  <c r="L8" i="3"/>
  <c r="B4" i="14" l="1"/>
  <c r="C93" i="14"/>
  <c r="C98" i="14"/>
  <c r="C97" i="14"/>
  <c r="C94" i="14"/>
  <c r="D93" i="14"/>
  <c r="D98" i="14"/>
  <c r="D97" i="14"/>
  <c r="D94" i="14"/>
  <c r="K151" i="14"/>
  <c r="J151" i="14"/>
  <c r="M150" i="14"/>
  <c r="L150" i="14"/>
  <c r="M149" i="14"/>
  <c r="L149" i="14"/>
  <c r="M148" i="14"/>
  <c r="L148" i="14"/>
  <c r="M147" i="14"/>
  <c r="L147" i="14"/>
  <c r="K146" i="14" a="1"/>
  <c r="K146" i="14" s="1"/>
  <c r="M145" i="14"/>
  <c r="L145" i="14"/>
  <c r="M144" i="14"/>
  <c r="L144" i="14"/>
  <c r="M143" i="14"/>
  <c r="L143" i="14"/>
  <c r="D96" i="14"/>
  <c r="C96" i="14"/>
  <c r="D95" i="14"/>
  <c r="C95" i="14"/>
  <c r="D92" i="14"/>
  <c r="C92" i="14"/>
  <c r="D91" i="14"/>
  <c r="C91" i="14"/>
  <c r="D90" i="14"/>
  <c r="C90" i="14"/>
  <c r="D89" i="14"/>
  <c r="C89" i="14"/>
  <c r="D88" i="14"/>
  <c r="C88" i="14"/>
  <c r="D87" i="14"/>
  <c r="C87" i="14"/>
  <c r="D86" i="14"/>
  <c r="C86" i="14"/>
  <c r="D85" i="14"/>
  <c r="C85" i="14"/>
  <c r="AI75" i="14"/>
  <c r="AG75" i="14"/>
  <c r="AE75" i="14"/>
  <c r="AC75" i="14"/>
  <c r="AI74" i="14"/>
  <c r="AG74" i="14"/>
  <c r="AG72" i="14"/>
  <c r="AI83" i="14"/>
  <c r="AG83" i="14"/>
  <c r="AE83" i="14"/>
  <c r="AC83" i="14"/>
  <c r="AI82" i="14"/>
  <c r="AG82" i="14"/>
  <c r="AE82" i="14"/>
  <c r="AC82" i="14"/>
  <c r="AI81" i="14"/>
  <c r="AG81" i="14"/>
  <c r="AE81" i="14"/>
  <c r="AC81" i="14"/>
  <c r="AI80" i="14"/>
  <c r="AG80" i="14"/>
  <c r="AE80" i="14"/>
  <c r="AC80" i="14"/>
  <c r="AI73" i="14"/>
  <c r="AC73" i="14"/>
  <c r="AI72" i="14"/>
  <c r="AE72" i="14"/>
  <c r="AC72" i="14"/>
  <c r="AI70" i="14"/>
  <c r="AG70" i="14"/>
  <c r="AI79" i="14"/>
  <c r="AG79" i="14"/>
  <c r="AE79" i="14"/>
  <c r="AC79" i="14"/>
  <c r="AI78" i="14"/>
  <c r="AG78" i="14"/>
  <c r="AE78" i="14"/>
  <c r="AC78" i="14"/>
  <c r="AI77" i="14"/>
  <c r="AG77" i="14"/>
  <c r="AE77" i="14"/>
  <c r="AC77" i="14"/>
  <c r="AI76" i="14"/>
  <c r="AG76" i="14"/>
  <c r="AE76" i="14"/>
  <c r="AC76" i="14"/>
  <c r="AE74" i="14"/>
  <c r="AC74" i="14"/>
  <c r="AG73" i="14"/>
  <c r="AE73" i="14"/>
  <c r="AI71" i="14"/>
  <c r="AC70" i="14"/>
  <c r="AG71" i="14"/>
  <c r="AC71" i="14"/>
  <c r="AE71" i="14"/>
  <c r="AE70" i="14"/>
  <c r="D96" i="3"/>
  <c r="C95" i="3"/>
  <c r="D95" i="3"/>
  <c r="C97" i="3"/>
  <c r="C96" i="3"/>
  <c r="D86" i="3"/>
  <c r="D85" i="3"/>
  <c r="D91" i="3"/>
  <c r="D97" i="3"/>
  <c r="C85" i="3"/>
  <c r="C87" i="3"/>
  <c r="C86" i="3"/>
  <c r="D88" i="3"/>
  <c r="C88" i="3"/>
  <c r="D87" i="3"/>
  <c r="C92" i="3"/>
  <c r="C93" i="3"/>
  <c r="C89" i="3"/>
  <c r="D93" i="3"/>
  <c r="D94" i="3"/>
  <c r="D90" i="3"/>
  <c r="C90" i="3"/>
  <c r="D89" i="3"/>
  <c r="D92" i="3"/>
  <c r="V83" i="3"/>
  <c r="W83" i="3"/>
  <c r="X83" i="3"/>
  <c r="C94" i="3"/>
  <c r="C91" i="3"/>
  <c r="K151" i="3"/>
  <c r="M150" i="3"/>
  <c r="L150" i="3"/>
  <c r="M147" i="3"/>
  <c r="M145" i="3"/>
  <c r="L145" i="3"/>
  <c r="M143" i="3"/>
  <c r="L143" i="3"/>
  <c r="J151" i="3"/>
  <c r="M149" i="3"/>
  <c r="L149" i="3"/>
  <c r="M148" i="3"/>
  <c r="L148" i="3"/>
  <c r="L147" i="3"/>
  <c r="M144" i="3"/>
  <c r="L144" i="3"/>
  <c r="AB83" i="3"/>
  <c r="D98" i="3"/>
  <c r="C98" i="3"/>
  <c r="AI82" i="3"/>
  <c r="AB82" i="3"/>
  <c r="X82" i="3"/>
  <c r="Z82" i="3" s="1"/>
  <c r="W82" i="3"/>
  <c r="V82" i="3"/>
  <c r="AI81" i="3"/>
  <c r="AB81" i="3"/>
  <c r="X81" i="3"/>
  <c r="Z81" i="3" s="1"/>
  <c r="W81" i="3"/>
  <c r="V81" i="3"/>
  <c r="AI80" i="3"/>
  <c r="AB80" i="3"/>
  <c r="X80" i="3"/>
  <c r="Z80" i="3" s="1"/>
  <c r="W80" i="3"/>
  <c r="V80" i="3"/>
  <c r="AI79" i="3"/>
  <c r="AB79" i="3"/>
  <c r="X79" i="3"/>
  <c r="Z79" i="3" s="1"/>
  <c r="W79" i="3"/>
  <c r="V79" i="3"/>
  <c r="AI78" i="3"/>
  <c r="AB78" i="3"/>
  <c r="X78" i="3"/>
  <c r="Z78" i="3" s="1"/>
  <c r="W78" i="3"/>
  <c r="V78" i="3"/>
  <c r="AI77" i="3"/>
  <c r="AB77" i="3"/>
  <c r="X77" i="3"/>
  <c r="Z77" i="3" s="1"/>
  <c r="W77" i="3"/>
  <c r="V77" i="3"/>
  <c r="AI76" i="3"/>
  <c r="AB76" i="3"/>
  <c r="X76" i="3"/>
  <c r="Z76" i="3" s="1"/>
  <c r="W76" i="3"/>
  <c r="V76" i="3"/>
  <c r="AI75" i="3"/>
  <c r="AB75" i="3"/>
  <c r="X75" i="3"/>
  <c r="Z75" i="3" s="1"/>
  <c r="W75" i="3"/>
  <c r="V75" i="3"/>
  <c r="AI73" i="3"/>
  <c r="AB73" i="3"/>
  <c r="X73" i="3"/>
  <c r="Z73" i="3" s="1"/>
  <c r="W73" i="3"/>
  <c r="V73" i="3"/>
  <c r="AB72" i="3"/>
  <c r="W72" i="3"/>
  <c r="V72" i="3"/>
  <c r="X71" i="3"/>
  <c r="Z71" i="3" s="1"/>
  <c r="W71" i="3"/>
  <c r="AI74" i="3"/>
  <c r="AB74" i="3"/>
  <c r="X74" i="3"/>
  <c r="Z74" i="3" s="1"/>
  <c r="W74" i="3"/>
  <c r="V74" i="3"/>
  <c r="AI72" i="3"/>
  <c r="X72" i="3"/>
  <c r="Z72" i="3" s="1"/>
  <c r="AI71" i="3"/>
  <c r="AB71" i="3"/>
  <c r="V71" i="3"/>
  <c r="AI83" i="3"/>
  <c r="AI70" i="3"/>
  <c r="AB70" i="3"/>
  <c r="J134" i="3" s="1"/>
  <c r="X70" i="3"/>
  <c r="W70" i="3"/>
  <c r="V70" i="3"/>
  <c r="AG83" i="3"/>
  <c r="AM71" i="14" l="1"/>
  <c r="AJ71" i="14"/>
  <c r="AD70" i="14"/>
  <c r="AO76" i="14"/>
  <c r="AM76" i="14"/>
  <c r="AJ76" i="14"/>
  <c r="E91" i="14" s="1"/>
  <c r="AM74" i="14"/>
  <c r="AJ74" i="14"/>
  <c r="AJ73" i="14"/>
  <c r="AM73" i="14"/>
  <c r="I88" i="14" s="1"/>
  <c r="AM72" i="14"/>
  <c r="AJ72" i="14"/>
  <c r="AF72" i="14"/>
  <c r="E86" i="14"/>
  <c r="AP71" i="14"/>
  <c r="J134" i="14"/>
  <c r="J133" i="14"/>
  <c r="AD74" i="14"/>
  <c r="J132" i="14"/>
  <c r="AD71" i="14"/>
  <c r="K132" i="14" s="1"/>
  <c r="J131" i="14"/>
  <c r="L151" i="14"/>
  <c r="M151" i="14"/>
  <c r="L146" i="14"/>
  <c r="M146" i="14"/>
  <c r="AO81" i="14"/>
  <c r="AM81" i="14"/>
  <c r="I96" i="14" s="1"/>
  <c r="AJ81" i="14"/>
  <c r="AF81" i="14"/>
  <c r="AD81" i="14"/>
  <c r="AO80" i="14"/>
  <c r="AM80" i="14"/>
  <c r="I95" i="14" s="1"/>
  <c r="AJ80" i="14"/>
  <c r="AF80" i="14"/>
  <c r="AD80" i="14"/>
  <c r="AF74" i="14"/>
  <c r="DJ73" i="14"/>
  <c r="AP73" i="14"/>
  <c r="K88" i="14" s="1"/>
  <c r="AO72" i="14"/>
  <c r="I86" i="14"/>
  <c r="AO74" i="14"/>
  <c r="AF82" i="14"/>
  <c r="AD82" i="14"/>
  <c r="AO79" i="14"/>
  <c r="AM79" i="14"/>
  <c r="I94" i="14" s="1"/>
  <c r="AJ79" i="14"/>
  <c r="AF79" i="14"/>
  <c r="AD79" i="14"/>
  <c r="AO78" i="14"/>
  <c r="AM78" i="14"/>
  <c r="I93" i="14" s="1"/>
  <c r="AJ78" i="14"/>
  <c r="AF78" i="14"/>
  <c r="AD78" i="14"/>
  <c r="AO77" i="14"/>
  <c r="AM77" i="14"/>
  <c r="I92" i="14" s="1"/>
  <c r="AJ77" i="14"/>
  <c r="AF77" i="14"/>
  <c r="AD77" i="14"/>
  <c r="DM76" i="14"/>
  <c r="DK76" i="14"/>
  <c r="DJ76" i="14"/>
  <c r="AP76" i="14"/>
  <c r="K91" i="14" s="1"/>
  <c r="K155" i="14" a="1"/>
  <c r="K155" i="14" s="1"/>
  <c r="AE87" i="14"/>
  <c r="AM75" i="14"/>
  <c r="I90" i="14" s="1"/>
  <c r="AF75" i="14"/>
  <c r="AO83" i="14"/>
  <c r="AM83" i="14"/>
  <c r="I98" i="14" s="1"/>
  <c r="AO82" i="14"/>
  <c r="AM82" i="14"/>
  <c r="I97" i="14" s="1"/>
  <c r="AF76" i="14"/>
  <c r="AD76" i="14"/>
  <c r="DJ74" i="14"/>
  <c r="BD74" i="14"/>
  <c r="DK73" i="14"/>
  <c r="AO73" i="14"/>
  <c r="AF73" i="14"/>
  <c r="AD73" i="14"/>
  <c r="AD72" i="14"/>
  <c r="AO71" i="14"/>
  <c r="AF71" i="14"/>
  <c r="AO70" i="14"/>
  <c r="AJ70" i="14"/>
  <c r="AF70" i="14"/>
  <c r="DM74" i="14"/>
  <c r="AM70" i="14"/>
  <c r="I85" i="14" s="1"/>
  <c r="DM71" i="14"/>
  <c r="DK71" i="14"/>
  <c r="DJ71" i="14"/>
  <c r="I89" i="14"/>
  <c r="E89" i="14"/>
  <c r="AG87" i="14"/>
  <c r="E88" i="14"/>
  <c r="AD75" i="14"/>
  <c r="AJ83" i="14"/>
  <c r="AF83" i="14"/>
  <c r="AJ82" i="14"/>
  <c r="K156" i="14" a="1"/>
  <c r="K156" i="14" s="1"/>
  <c r="AO75" i="14"/>
  <c r="AJ75" i="14"/>
  <c r="AP74" i="14"/>
  <c r="K89" i="14" s="1"/>
  <c r="AD83" i="14"/>
  <c r="AE83" i="3"/>
  <c r="AM83" i="3"/>
  <c r="Z83" i="3"/>
  <c r="AM81" i="3"/>
  <c r="I96" i="3" s="1"/>
  <c r="AM80" i="3"/>
  <c r="I95" i="3" s="1"/>
  <c r="AM82" i="3"/>
  <c r="I97" i="3" s="1"/>
  <c r="AE81" i="3"/>
  <c r="AG82" i="3"/>
  <c r="AE82" i="3"/>
  <c r="AG81" i="3"/>
  <c r="AG80" i="3"/>
  <c r="AE80" i="3"/>
  <c r="AO82" i="3"/>
  <c r="AF82" i="3"/>
  <c r="AF81" i="3"/>
  <c r="AO81" i="3"/>
  <c r="AO80" i="3"/>
  <c r="AF80" i="3"/>
  <c r="AO71" i="3"/>
  <c r="AF71" i="3"/>
  <c r="K156" i="3" a="1"/>
  <c r="K156" i="3" s="1"/>
  <c r="AM72" i="3"/>
  <c r="I87" i="3" s="1"/>
  <c r="AC72" i="3"/>
  <c r="AC83" i="3"/>
  <c r="AD83" i="3" s="1"/>
  <c r="K146" i="3" a="1"/>
  <c r="K146" i="3" s="1"/>
  <c r="M146" i="3" s="1"/>
  <c r="L151" i="3"/>
  <c r="M151" i="3"/>
  <c r="Z70" i="3"/>
  <c r="AO70" i="3" s="1"/>
  <c r="AJ83" i="3"/>
  <c r="AJ82" i="3"/>
  <c r="AC82" i="3"/>
  <c r="AD82" i="3" s="1"/>
  <c r="AJ81" i="3"/>
  <c r="AC81" i="3"/>
  <c r="AD81" i="3" s="1"/>
  <c r="AJ80" i="3"/>
  <c r="AC80" i="3"/>
  <c r="AD80" i="3" s="1"/>
  <c r="AO79" i="3"/>
  <c r="AM79" i="3"/>
  <c r="I94" i="3" s="1"/>
  <c r="AJ79" i="3"/>
  <c r="AG79" i="3"/>
  <c r="AF79" i="3"/>
  <c r="AE79" i="3"/>
  <c r="AC79" i="3"/>
  <c r="AD79" i="3" s="1"/>
  <c r="AO78" i="3"/>
  <c r="AM78" i="3"/>
  <c r="I93" i="3" s="1"/>
  <c r="AJ78" i="3"/>
  <c r="AG78" i="3"/>
  <c r="AF78" i="3"/>
  <c r="AE78" i="3"/>
  <c r="AC78" i="3"/>
  <c r="AD78" i="3" s="1"/>
  <c r="AO77" i="3"/>
  <c r="AM77" i="3"/>
  <c r="I92" i="3" s="1"/>
  <c r="AJ77" i="3"/>
  <c r="AG77" i="3"/>
  <c r="AF77" i="3"/>
  <c r="AE77" i="3"/>
  <c r="AC77" i="3"/>
  <c r="AD77" i="3" s="1"/>
  <c r="AO76" i="3"/>
  <c r="AM76" i="3"/>
  <c r="I91" i="3" s="1"/>
  <c r="AJ76" i="3"/>
  <c r="AG76" i="3"/>
  <c r="AF76" i="3"/>
  <c r="AE76" i="3"/>
  <c r="AC76" i="3"/>
  <c r="AD76" i="3" s="1"/>
  <c r="AO75" i="3"/>
  <c r="AM75" i="3"/>
  <c r="I90" i="3" s="1"/>
  <c r="AJ75" i="3"/>
  <c r="AG75" i="3"/>
  <c r="AF75" i="3"/>
  <c r="AE75" i="3"/>
  <c r="AC75" i="3"/>
  <c r="AD75" i="3" s="1"/>
  <c r="AO73" i="3"/>
  <c r="AM73" i="3"/>
  <c r="I88" i="3" s="1"/>
  <c r="AJ73" i="3"/>
  <c r="AG73" i="3"/>
  <c r="AF73" i="3"/>
  <c r="AE73" i="3"/>
  <c r="AC73" i="3"/>
  <c r="AD73" i="3" s="1"/>
  <c r="AJ72" i="3"/>
  <c r="AF72" i="3"/>
  <c r="AJ71" i="3"/>
  <c r="AG71" i="3"/>
  <c r="AE71" i="3"/>
  <c r="AO74" i="3"/>
  <c r="AM74" i="3"/>
  <c r="I89" i="3" s="1"/>
  <c r="AJ74" i="3"/>
  <c r="BF74" i="3" s="1"/>
  <c r="AG74" i="3"/>
  <c r="AF74" i="3"/>
  <c r="AE74" i="3"/>
  <c r="AC74" i="3"/>
  <c r="AD74" i="3" s="1"/>
  <c r="AO72" i="3"/>
  <c r="AG72" i="3"/>
  <c r="AE72" i="3"/>
  <c r="AM71" i="3"/>
  <c r="I86" i="3" s="1"/>
  <c r="AC71" i="3"/>
  <c r="AM70" i="3"/>
  <c r="I85" i="3" s="1"/>
  <c r="AJ70" i="3"/>
  <c r="AG70" i="3"/>
  <c r="AE70" i="3"/>
  <c r="AC70" i="3"/>
  <c r="DK74" i="14" l="1"/>
  <c r="AN71" i="14"/>
  <c r="I91" i="14"/>
  <c r="K86" i="14"/>
  <c r="AH72" i="14"/>
  <c r="K131" i="14"/>
  <c r="AK89" i="14"/>
  <c r="BD71" i="14"/>
  <c r="L132" i="14"/>
  <c r="M132" i="14"/>
  <c r="AN72" i="14"/>
  <c r="E87" i="14"/>
  <c r="DK72" i="14"/>
  <c r="AK72" i="14"/>
  <c r="DJ72" i="14"/>
  <c r="AP72" i="14"/>
  <c r="K87" i="14" s="1"/>
  <c r="I87" i="14"/>
  <c r="DM73" i="14"/>
  <c r="DM72" i="14"/>
  <c r="DL72" i="14"/>
  <c r="BE71" i="14"/>
  <c r="AH78" i="14"/>
  <c r="AH77" i="14"/>
  <c r="AN76" i="14"/>
  <c r="BD72" i="14"/>
  <c r="AH83" i="14"/>
  <c r="AH82" i="14"/>
  <c r="AN81" i="14"/>
  <c r="AP81" i="14"/>
  <c r="K96" i="14" s="1"/>
  <c r="DK81" i="14"/>
  <c r="DJ81" i="14"/>
  <c r="DM81" i="14"/>
  <c r="BD81" i="14"/>
  <c r="E96" i="14"/>
  <c r="AK81" i="14"/>
  <c r="AN80" i="14"/>
  <c r="AP80" i="14"/>
  <c r="K95" i="14" s="1"/>
  <c r="BD80" i="14"/>
  <c r="DJ80" i="14"/>
  <c r="DK80" i="14"/>
  <c r="DM80" i="14"/>
  <c r="E95" i="14"/>
  <c r="AK80" i="14"/>
  <c r="AH74" i="14"/>
  <c r="AL74" i="14" s="1"/>
  <c r="AK74" i="14"/>
  <c r="DL74" i="14" s="1"/>
  <c r="AN79" i="14"/>
  <c r="AP79" i="14"/>
  <c r="K94" i="14" s="1"/>
  <c r="BD79" i="14"/>
  <c r="DJ79" i="14"/>
  <c r="DK79" i="14"/>
  <c r="DM79" i="14"/>
  <c r="E94" i="14"/>
  <c r="AK79" i="14"/>
  <c r="AN78" i="14"/>
  <c r="AP78" i="14"/>
  <c r="K93" i="14" s="1"/>
  <c r="BD78" i="14"/>
  <c r="BE78" i="14"/>
  <c r="DJ78" i="14"/>
  <c r="DK78" i="14"/>
  <c r="DM78" i="14"/>
  <c r="E93" i="14"/>
  <c r="AK78" i="14"/>
  <c r="AN77" i="14"/>
  <c r="AP77" i="14"/>
  <c r="K92" i="14" s="1"/>
  <c r="BD77" i="14"/>
  <c r="DJ77" i="14"/>
  <c r="DK77" i="14"/>
  <c r="DM77" i="14"/>
  <c r="E92" i="14"/>
  <c r="AK77" i="14"/>
  <c r="M155" i="14"/>
  <c r="L155" i="14"/>
  <c r="AH76" i="14"/>
  <c r="AL76" i="14" s="1"/>
  <c r="AK76" i="14"/>
  <c r="DL76" i="14" s="1"/>
  <c r="AK73" i="14"/>
  <c r="DL73" i="14" s="1"/>
  <c r="AH73" i="14"/>
  <c r="AL73" i="14" s="1"/>
  <c r="J138" i="14"/>
  <c r="AD87" i="14"/>
  <c r="AD89" i="14"/>
  <c r="J152" i="14" s="1"/>
  <c r="AH71" i="14"/>
  <c r="AL71" i="14" s="1"/>
  <c r="AK71" i="14"/>
  <c r="DL71" i="14" s="1"/>
  <c r="AN70" i="14"/>
  <c r="K137" i="14" s="1"/>
  <c r="DK70" i="14"/>
  <c r="AP70" i="14"/>
  <c r="E85" i="14"/>
  <c r="BD70" i="14"/>
  <c r="J137" i="14"/>
  <c r="BE70" i="14"/>
  <c r="J135" i="14"/>
  <c r="K134" i="14"/>
  <c r="AK70" i="14"/>
  <c r="DJ70" i="14"/>
  <c r="DM70" i="14"/>
  <c r="K133" i="14"/>
  <c r="AF87" i="14"/>
  <c r="AH70" i="14"/>
  <c r="AP83" i="14"/>
  <c r="K98" i="14" s="1"/>
  <c r="DK83" i="14"/>
  <c r="DJ83" i="14"/>
  <c r="AN83" i="14"/>
  <c r="E98" i="14"/>
  <c r="AK83" i="14"/>
  <c r="BD83" i="14"/>
  <c r="DM83" i="14"/>
  <c r="AP82" i="14"/>
  <c r="K97" i="14" s="1"/>
  <c r="BD82" i="14"/>
  <c r="DJ82" i="14"/>
  <c r="DM82" i="14"/>
  <c r="AN82" i="14"/>
  <c r="DK82" i="14"/>
  <c r="E97" i="14"/>
  <c r="AK82" i="14"/>
  <c r="M156" i="14"/>
  <c r="L156" i="14"/>
  <c r="BD75" i="14"/>
  <c r="E90" i="14"/>
  <c r="DK75" i="14"/>
  <c r="DM75" i="14"/>
  <c r="AN75" i="14"/>
  <c r="AP75" i="14"/>
  <c r="K90" i="14" s="1"/>
  <c r="DJ75" i="14"/>
  <c r="AK75" i="14"/>
  <c r="BD76" i="14"/>
  <c r="AH75" i="14"/>
  <c r="AN74" i="14"/>
  <c r="BD73" i="14"/>
  <c r="AN73" i="14"/>
  <c r="BE73" i="14" s="1"/>
  <c r="AH81" i="14"/>
  <c r="AH80" i="14"/>
  <c r="AH79" i="14"/>
  <c r="I98" i="3"/>
  <c r="AO83" i="3"/>
  <c r="AF83" i="3"/>
  <c r="AH82" i="3"/>
  <c r="AH80" i="3"/>
  <c r="AH81" i="3"/>
  <c r="AP82" i="3"/>
  <c r="K97" i="3" s="1"/>
  <c r="AP83" i="3"/>
  <c r="K98" i="3" s="1"/>
  <c r="AP81" i="3"/>
  <c r="K96" i="3" s="1"/>
  <c r="AP80" i="3"/>
  <c r="K95" i="3" s="1"/>
  <c r="AN82" i="3"/>
  <c r="AN81" i="3"/>
  <c r="AN80" i="3"/>
  <c r="E98" i="3"/>
  <c r="E97" i="3"/>
  <c r="E96" i="3"/>
  <c r="E95" i="3"/>
  <c r="K155" i="3" a="1"/>
  <c r="K155" i="3" s="1"/>
  <c r="AD72" i="3"/>
  <c r="M156" i="3"/>
  <c r="L156" i="3"/>
  <c r="AE87" i="3"/>
  <c r="L146" i="3"/>
  <c r="AF70" i="3"/>
  <c r="J133" i="3"/>
  <c r="DJ83" i="3"/>
  <c r="DK83" i="3"/>
  <c r="DM83" i="3"/>
  <c r="BD83" i="3"/>
  <c r="BD82" i="3"/>
  <c r="DJ82" i="3"/>
  <c r="DK82" i="3"/>
  <c r="DM82" i="3"/>
  <c r="AK82" i="3"/>
  <c r="BD81" i="3"/>
  <c r="DJ81" i="3"/>
  <c r="DK81" i="3"/>
  <c r="DM81" i="3"/>
  <c r="AK81" i="3"/>
  <c r="BD80" i="3"/>
  <c r="DJ80" i="3"/>
  <c r="DK80" i="3"/>
  <c r="DM80" i="3"/>
  <c r="AK80" i="3"/>
  <c r="AN79" i="3"/>
  <c r="AP79" i="3"/>
  <c r="K94" i="3" s="1"/>
  <c r="BD79" i="3"/>
  <c r="DJ79" i="3"/>
  <c r="DK79" i="3"/>
  <c r="DM79" i="3"/>
  <c r="E94" i="3"/>
  <c r="AK79" i="3"/>
  <c r="AN78" i="3"/>
  <c r="AP78" i="3"/>
  <c r="K93" i="3" s="1"/>
  <c r="BD78" i="3"/>
  <c r="DJ78" i="3"/>
  <c r="DK78" i="3"/>
  <c r="E93" i="3"/>
  <c r="DM78" i="3"/>
  <c r="AK78" i="3"/>
  <c r="AN77" i="3"/>
  <c r="AP77" i="3"/>
  <c r="K92" i="3" s="1"/>
  <c r="BD77" i="3"/>
  <c r="DJ77" i="3"/>
  <c r="DK77" i="3"/>
  <c r="DM77" i="3"/>
  <c r="E92" i="3"/>
  <c r="AK77" i="3"/>
  <c r="AN76" i="3"/>
  <c r="AP76" i="3"/>
  <c r="K91" i="3" s="1"/>
  <c r="BD76" i="3"/>
  <c r="DJ76" i="3"/>
  <c r="DK76" i="3"/>
  <c r="DM76" i="3"/>
  <c r="E91" i="3"/>
  <c r="AK76" i="3"/>
  <c r="AN75" i="3"/>
  <c r="AP75" i="3"/>
  <c r="K90" i="3" s="1"/>
  <c r="BD75" i="3"/>
  <c r="DJ75" i="3"/>
  <c r="DK75" i="3"/>
  <c r="DM75" i="3"/>
  <c r="E90" i="3"/>
  <c r="AK75" i="3"/>
  <c r="AN73" i="3"/>
  <c r="AP73" i="3"/>
  <c r="K88" i="3" s="1"/>
  <c r="BD73" i="3"/>
  <c r="DJ73" i="3"/>
  <c r="DK73" i="3"/>
  <c r="E88" i="3"/>
  <c r="AK73" i="3"/>
  <c r="DM73" i="3"/>
  <c r="AN72" i="3"/>
  <c r="DJ72" i="3"/>
  <c r="DK72" i="3"/>
  <c r="DM72" i="3"/>
  <c r="E87" i="3"/>
  <c r="AK72" i="3"/>
  <c r="AP72" i="3"/>
  <c r="DK71" i="3"/>
  <c r="DM71" i="3"/>
  <c r="AK71" i="3"/>
  <c r="E86" i="3"/>
  <c r="AN71" i="3"/>
  <c r="AP71" i="3"/>
  <c r="K86" i="3" s="1"/>
  <c r="DJ71" i="3"/>
  <c r="AN74" i="3"/>
  <c r="AP74" i="3"/>
  <c r="K89" i="3" s="1"/>
  <c r="BD74" i="3"/>
  <c r="BE74" i="3"/>
  <c r="E89" i="3"/>
  <c r="DM74" i="3"/>
  <c r="DK74" i="3"/>
  <c r="DJ74" i="3"/>
  <c r="AK74" i="3"/>
  <c r="AD71" i="3"/>
  <c r="J132" i="3"/>
  <c r="AP70" i="3"/>
  <c r="K85" i="3" s="1"/>
  <c r="E85" i="3"/>
  <c r="K134" i="3"/>
  <c r="DJ70" i="3"/>
  <c r="DM70" i="3"/>
  <c r="DK70" i="3"/>
  <c r="AD70" i="3"/>
  <c r="J131" i="3"/>
  <c r="AH79" i="3"/>
  <c r="AH78" i="3"/>
  <c r="AH77" i="3"/>
  <c r="AH76" i="3"/>
  <c r="AH75" i="3"/>
  <c r="AH73" i="3"/>
  <c r="AH74" i="3"/>
  <c r="AG87" i="3"/>
  <c r="AL72" i="14" l="1"/>
  <c r="BE74" i="14"/>
  <c r="L131" i="14"/>
  <c r="M131" i="14"/>
  <c r="BB74" i="14"/>
  <c r="CY74" i="14"/>
  <c r="DB74" i="14" s="1"/>
  <c r="AY74" i="14"/>
  <c r="AX74" i="14"/>
  <c r="BF74" i="14"/>
  <c r="EF74" i="14"/>
  <c r="AU74" i="14"/>
  <c r="BY74" i="14" s="1"/>
  <c r="AV74" i="14"/>
  <c r="AZ74" i="14"/>
  <c r="BC74" i="14"/>
  <c r="CZ74" i="14"/>
  <c r="AW74" i="14"/>
  <c r="EH74" i="14"/>
  <c r="BA74" i="14"/>
  <c r="CA74" i="14" s="1"/>
  <c r="DA74" i="14"/>
  <c r="DD74" i="14" s="1"/>
  <c r="DN74" i="14"/>
  <c r="EG74" i="14"/>
  <c r="AS74" i="14"/>
  <c r="AQ74" i="14"/>
  <c r="M89" i="14" s="1"/>
  <c r="H89" i="14"/>
  <c r="BE81" i="14"/>
  <c r="BE79" i="14"/>
  <c r="BA76" i="14"/>
  <c r="CA76" i="14" s="1"/>
  <c r="AY76" i="14"/>
  <c r="AW76" i="14"/>
  <c r="AU76" i="14"/>
  <c r="AQ76" i="14"/>
  <c r="M91" i="14" s="1"/>
  <c r="BE80" i="14"/>
  <c r="AL82" i="14"/>
  <c r="EG76" i="14"/>
  <c r="BE72" i="14"/>
  <c r="EG71" i="14"/>
  <c r="EF71" i="14"/>
  <c r="BB71" i="14"/>
  <c r="BA71" i="14"/>
  <c r="AZ71" i="14"/>
  <c r="AY71" i="14"/>
  <c r="BE76" i="14"/>
  <c r="AL78" i="14"/>
  <c r="AS76" i="14"/>
  <c r="EH76" i="14"/>
  <c r="DN76" i="14"/>
  <c r="BF76" i="14"/>
  <c r="BC76" i="14"/>
  <c r="AY73" i="14"/>
  <c r="CY82" i="14"/>
  <c r="DA82" i="14"/>
  <c r="DD82" i="14" s="1"/>
  <c r="AQ82" i="14"/>
  <c r="M97" i="14" s="1"/>
  <c r="BF82" i="14"/>
  <c r="CZ76" i="14"/>
  <c r="CY76" i="14"/>
  <c r="BB76" i="14"/>
  <c r="AZ76" i="14"/>
  <c r="AX76" i="14"/>
  <c r="AV76" i="14"/>
  <c r="AL83" i="14"/>
  <c r="AL77" i="14"/>
  <c r="DL70" i="14"/>
  <c r="J136" i="14"/>
  <c r="DA76" i="14"/>
  <c r="DD76" i="14" s="1"/>
  <c r="EF76" i="14"/>
  <c r="H91" i="14"/>
  <c r="H88" i="14"/>
  <c r="AZ73" i="14"/>
  <c r="AW73" i="14"/>
  <c r="AS73" i="14"/>
  <c r="BA73" i="14"/>
  <c r="BC73" i="14"/>
  <c r="BF73" i="14"/>
  <c r="DA73" i="14"/>
  <c r="BB73" i="14"/>
  <c r="EH73" i="14"/>
  <c r="AX73" i="14"/>
  <c r="EF73" i="14"/>
  <c r="EG73" i="14"/>
  <c r="AV73" i="14"/>
  <c r="AQ73" i="14"/>
  <c r="M88" i="14" s="1"/>
  <c r="AU73" i="14"/>
  <c r="BY73" i="14" s="1"/>
  <c r="CY73" i="14"/>
  <c r="DB73" i="14" s="1"/>
  <c r="CZ73" i="14"/>
  <c r="DN73" i="14"/>
  <c r="B13" i="14"/>
  <c r="K152" i="14"/>
  <c r="K138" i="14"/>
  <c r="AV71" i="14"/>
  <c r="H86" i="14"/>
  <c r="EH71" i="14"/>
  <c r="AS71" i="14"/>
  <c r="AQ71" i="14"/>
  <c r="M86" i="14" s="1"/>
  <c r="AX71" i="14"/>
  <c r="AW71" i="14"/>
  <c r="BC71" i="14"/>
  <c r="BF71" i="14"/>
  <c r="CY71" i="14"/>
  <c r="DB71" i="14" s="1"/>
  <c r="CZ71" i="14"/>
  <c r="DA71" i="14"/>
  <c r="DN71" i="14"/>
  <c r="AU71" i="14"/>
  <c r="BY71" i="14" s="1"/>
  <c r="M137" i="14"/>
  <c r="L137" i="14"/>
  <c r="ES4" i="14"/>
  <c r="ES3" i="14"/>
  <c r="K85" i="14"/>
  <c r="AP87" i="14"/>
  <c r="L134" i="14"/>
  <c r="M134" i="14"/>
  <c r="AK87" i="14"/>
  <c r="J139" i="14"/>
  <c r="K135" i="14"/>
  <c r="ES1" i="14"/>
  <c r="ES2" i="14"/>
  <c r="L133" i="14"/>
  <c r="M133" i="14"/>
  <c r="J140" i="14"/>
  <c r="E125" i="14"/>
  <c r="B118" i="14"/>
  <c r="B107" i="14"/>
  <c r="AH87" i="14"/>
  <c r="DL79" i="14"/>
  <c r="DL78" i="14"/>
  <c r="BE77" i="14"/>
  <c r="DL77" i="14"/>
  <c r="DL82" i="14"/>
  <c r="BE82" i="14"/>
  <c r="AO87" i="14"/>
  <c r="L10" i="14" s="1"/>
  <c r="AL70" i="14"/>
  <c r="AI87" i="14"/>
  <c r="BE83" i="14"/>
  <c r="DL83" i="14"/>
  <c r="DL75" i="14"/>
  <c r="BE75" i="14"/>
  <c r="AL75" i="14"/>
  <c r="AL81" i="14"/>
  <c r="DL81" i="14"/>
  <c r="AL80" i="14"/>
  <c r="DL80" i="14"/>
  <c r="AL79" i="14"/>
  <c r="AH83" i="3"/>
  <c r="AN83" i="3"/>
  <c r="BE81" i="3"/>
  <c r="BE80" i="3"/>
  <c r="AK83" i="3"/>
  <c r="BE78" i="3"/>
  <c r="AL82" i="3"/>
  <c r="AL81" i="3"/>
  <c r="AL80" i="3"/>
  <c r="BF82" i="3"/>
  <c r="BE82" i="3"/>
  <c r="DL82" i="3"/>
  <c r="DL81" i="3"/>
  <c r="BE77" i="3"/>
  <c r="AL76" i="3"/>
  <c r="BF76" i="3" s="1"/>
  <c r="AF87" i="3"/>
  <c r="B118" i="3" s="1"/>
  <c r="BD70" i="3"/>
  <c r="L155" i="3"/>
  <c r="DL74" i="3"/>
  <c r="DL80" i="3"/>
  <c r="BE75" i="3"/>
  <c r="M155" i="3"/>
  <c r="AD87" i="3"/>
  <c r="BD72" i="3"/>
  <c r="BD71" i="3"/>
  <c r="AH72" i="3"/>
  <c r="BE73" i="3"/>
  <c r="DL71" i="3"/>
  <c r="BE71" i="3"/>
  <c r="J138" i="3"/>
  <c r="K133" i="3"/>
  <c r="AN70" i="3"/>
  <c r="J135" i="3"/>
  <c r="J137" i="3"/>
  <c r="AK70" i="3"/>
  <c r="K87" i="3"/>
  <c r="AP87" i="3"/>
  <c r="AH71" i="3"/>
  <c r="AL71" i="3" s="1"/>
  <c r="BF71" i="3" s="1"/>
  <c r="K132" i="3"/>
  <c r="L134" i="3"/>
  <c r="M134" i="3"/>
  <c r="ES1" i="3"/>
  <c r="ES2" i="3"/>
  <c r="ES3" i="3"/>
  <c r="ES4" i="3"/>
  <c r="AK89" i="3"/>
  <c r="K131" i="3"/>
  <c r="AD89" i="3"/>
  <c r="J152" i="3" s="1"/>
  <c r="AL79" i="3"/>
  <c r="BF79" i="3" s="1"/>
  <c r="DL78" i="3"/>
  <c r="AL77" i="3"/>
  <c r="BF77" i="3" s="1"/>
  <c r="DL77" i="3"/>
  <c r="BE79" i="3"/>
  <c r="DL79" i="3"/>
  <c r="AL78" i="3"/>
  <c r="BF78" i="3" s="1"/>
  <c r="BE76" i="3"/>
  <c r="DL76" i="3"/>
  <c r="AL75" i="3"/>
  <c r="BF75" i="3" s="1"/>
  <c r="DL75" i="3"/>
  <c r="AL73" i="3"/>
  <c r="BF73" i="3" s="1"/>
  <c r="DL73" i="3"/>
  <c r="AL74" i="3"/>
  <c r="BE72" i="3"/>
  <c r="DL72" i="3"/>
  <c r="AH70" i="3"/>
  <c r="J136" i="3" s="1"/>
  <c r="AS72" i="14" l="1"/>
  <c r="BB72" i="14"/>
  <c r="EH72" i="14"/>
  <c r="AQ72" i="14"/>
  <c r="M87" i="14" s="1"/>
  <c r="AZ72" i="14"/>
  <c r="CY72" i="14"/>
  <c r="DB72" i="14" s="1"/>
  <c r="CZ72" i="14"/>
  <c r="EF72" i="14"/>
  <c r="DA72" i="14"/>
  <c r="AV72" i="14"/>
  <c r="H87" i="14"/>
  <c r="AW72" i="14"/>
  <c r="BA72" i="14"/>
  <c r="BC72" i="14"/>
  <c r="AX72" i="14"/>
  <c r="AY72" i="14"/>
  <c r="BF72" i="14"/>
  <c r="DN72" i="14"/>
  <c r="AU72" i="14"/>
  <c r="BY72" i="14" s="1"/>
  <c r="EG72" i="14"/>
  <c r="AV82" i="14"/>
  <c r="AX82" i="14"/>
  <c r="BZ82" i="14" s="1"/>
  <c r="AZ82" i="14"/>
  <c r="BC82" i="14"/>
  <c r="EG82" i="14"/>
  <c r="BA82" i="14"/>
  <c r="CA82" i="14" s="1"/>
  <c r="AS82" i="14"/>
  <c r="H97" i="14"/>
  <c r="AU82" i="14"/>
  <c r="BB82" i="14"/>
  <c r="CZ82" i="14"/>
  <c r="DC82" i="14" s="1"/>
  <c r="EF82" i="14"/>
  <c r="EH82" i="14"/>
  <c r="AY82" i="14"/>
  <c r="DN82" i="14"/>
  <c r="AW82" i="14"/>
  <c r="CY80" i="3"/>
  <c r="DB80" i="3" s="1"/>
  <c r="AW78" i="14"/>
  <c r="EH78" i="14"/>
  <c r="EG78" i="14"/>
  <c r="EF78" i="14"/>
  <c r="DN78" i="14"/>
  <c r="DA78" i="14"/>
  <c r="DD78" i="14" s="1"/>
  <c r="CZ78" i="14"/>
  <c r="CY78" i="14"/>
  <c r="BF78" i="14"/>
  <c r="BC78" i="14"/>
  <c r="BB78" i="14"/>
  <c r="BA78" i="14"/>
  <c r="CA78" i="14" s="1"/>
  <c r="AZ78" i="14"/>
  <c r="AY78" i="14"/>
  <c r="AX78" i="14"/>
  <c r="AV78" i="14"/>
  <c r="AU78" i="14"/>
  <c r="AS78" i="14"/>
  <c r="AQ78" i="14"/>
  <c r="M93" i="14" s="1"/>
  <c r="H93" i="14"/>
  <c r="AV83" i="14"/>
  <c r="CZ83" i="14"/>
  <c r="DC83" i="14" s="1"/>
  <c r="AY83" i="14"/>
  <c r="AQ83" i="14"/>
  <c r="M98" i="14" s="1"/>
  <c r="EF83" i="14"/>
  <c r="EG83" i="14"/>
  <c r="EH83" i="14"/>
  <c r="DN83" i="14"/>
  <c r="CY83" i="14"/>
  <c r="DB83" i="14" s="1"/>
  <c r="AZ83" i="14"/>
  <c r="AS83" i="14"/>
  <c r="BF83" i="14"/>
  <c r="BB83" i="14"/>
  <c r="AW83" i="14"/>
  <c r="AU83" i="14"/>
  <c r="BY83" i="14" s="1"/>
  <c r="DA83" i="14"/>
  <c r="BA83" i="14"/>
  <c r="AX83" i="14"/>
  <c r="BZ83" i="14" s="1"/>
  <c r="H98" i="14"/>
  <c r="BC83" i="14"/>
  <c r="AX77" i="14"/>
  <c r="AS77" i="14"/>
  <c r="AW77" i="14"/>
  <c r="AV77" i="14"/>
  <c r="AU77" i="14"/>
  <c r="AQ77" i="14"/>
  <c r="M92" i="14" s="1"/>
  <c r="H92" i="14"/>
  <c r="AY77" i="14"/>
  <c r="AZ77" i="14"/>
  <c r="BA77" i="14"/>
  <c r="BB77" i="14"/>
  <c r="BC77" i="14"/>
  <c r="BF77" i="14"/>
  <c r="CY77" i="14"/>
  <c r="CZ77" i="14"/>
  <c r="DA77" i="14"/>
  <c r="DN77" i="14"/>
  <c r="EF77" i="14"/>
  <c r="EG77" i="14"/>
  <c r="EH77" i="14"/>
  <c r="ES7" i="14"/>
  <c r="ES6" i="14"/>
  <c r="J141" i="14"/>
  <c r="L152" i="14"/>
  <c r="M152" i="14"/>
  <c r="L138" i="14"/>
  <c r="M138" i="14"/>
  <c r="H13" i="14"/>
  <c r="B21" i="14"/>
  <c r="K99" i="14"/>
  <c r="K13" i="14"/>
  <c r="E13" i="14"/>
  <c r="K139" i="14"/>
  <c r="L135" i="14"/>
  <c r="M135" i="14"/>
  <c r="B119" i="14"/>
  <c r="B120" i="14" s="1"/>
  <c r="B121" i="14" s="1"/>
  <c r="B117" i="14"/>
  <c r="B116" i="14" s="1"/>
  <c r="B115" i="14" s="1"/>
  <c r="B108" i="14"/>
  <c r="B109" i="14" s="1"/>
  <c r="B110" i="14" s="1"/>
  <c r="B106" i="14"/>
  <c r="B105" i="14" s="1"/>
  <c r="B104" i="14" s="1"/>
  <c r="K140" i="14"/>
  <c r="J154" i="14"/>
  <c r="F10" i="14"/>
  <c r="EH70" i="14"/>
  <c r="BF70" i="14"/>
  <c r="AS70" i="14"/>
  <c r="EG70" i="14"/>
  <c r="CY70" i="14"/>
  <c r="AW70" i="14"/>
  <c r="BB70" i="14"/>
  <c r="BA70" i="14"/>
  <c r="AV70" i="14"/>
  <c r="AU70" i="14"/>
  <c r="AQ70" i="14"/>
  <c r="M85" i="14" s="1"/>
  <c r="DN70" i="14"/>
  <c r="CZ70" i="14"/>
  <c r="AY70" i="14"/>
  <c r="DA70" i="14"/>
  <c r="AZ70" i="14"/>
  <c r="K136" i="14"/>
  <c r="H85" i="14"/>
  <c r="EF70" i="14"/>
  <c r="BC70" i="14"/>
  <c r="AX70" i="14"/>
  <c r="F115" i="14"/>
  <c r="G115" i="14"/>
  <c r="F116" i="14"/>
  <c r="G116" i="14"/>
  <c r="F117" i="14"/>
  <c r="G117" i="14"/>
  <c r="F118" i="14"/>
  <c r="G118" i="14"/>
  <c r="F119" i="14"/>
  <c r="G119" i="14"/>
  <c r="F120" i="14"/>
  <c r="G120" i="14"/>
  <c r="F121" i="14"/>
  <c r="G121" i="14"/>
  <c r="H127" i="14"/>
  <c r="AW75" i="14"/>
  <c r="EH75" i="14"/>
  <c r="BC75" i="14"/>
  <c r="AV75" i="14"/>
  <c r="AS75" i="14"/>
  <c r="CZ75" i="14"/>
  <c r="DC75" i="14" s="1"/>
  <c r="BA75" i="14"/>
  <c r="CA75" i="14" s="1"/>
  <c r="AU75" i="14"/>
  <c r="EG75" i="14"/>
  <c r="EF75" i="14"/>
  <c r="DN75" i="14"/>
  <c r="CY75" i="14"/>
  <c r="BB75" i="14"/>
  <c r="AZ75" i="14"/>
  <c r="AX75" i="14"/>
  <c r="BZ75" i="14" s="1"/>
  <c r="AQ75" i="14"/>
  <c r="M90" i="14" s="1"/>
  <c r="BF75" i="14"/>
  <c r="AY75" i="14"/>
  <c r="DA75" i="14"/>
  <c r="DD75" i="14" s="1"/>
  <c r="H90" i="14"/>
  <c r="BB81" i="14"/>
  <c r="EG81" i="14"/>
  <c r="DN81" i="14"/>
  <c r="CY81" i="14"/>
  <c r="DB81" i="14" s="1"/>
  <c r="AZ81" i="14"/>
  <c r="EH81" i="14"/>
  <c r="BF81" i="14"/>
  <c r="CZ81" i="14"/>
  <c r="BC81" i="14"/>
  <c r="BA81" i="14"/>
  <c r="EF81" i="14"/>
  <c r="DA81" i="14"/>
  <c r="AY81" i="14"/>
  <c r="AX81" i="14"/>
  <c r="AW81" i="14"/>
  <c r="AV81" i="14"/>
  <c r="AU81" i="14"/>
  <c r="BY81" i="14" s="1"/>
  <c r="AS81" i="14"/>
  <c r="AQ81" i="14"/>
  <c r="M96" i="14" s="1"/>
  <c r="H96" i="14"/>
  <c r="DA80" i="14"/>
  <c r="DD80" i="14" s="1"/>
  <c r="CY80" i="14"/>
  <c r="DB80" i="14" s="1"/>
  <c r="BB80" i="14"/>
  <c r="AZ80" i="14"/>
  <c r="AX80" i="14"/>
  <c r="AU80" i="14"/>
  <c r="BY80" i="14" s="1"/>
  <c r="EH80" i="14"/>
  <c r="EG80" i="14"/>
  <c r="EF80" i="14"/>
  <c r="DN80" i="14"/>
  <c r="CZ80" i="14"/>
  <c r="BF80" i="14"/>
  <c r="BC80" i="14"/>
  <c r="BA80" i="14"/>
  <c r="CA80" i="14" s="1"/>
  <c r="AY80" i="14"/>
  <c r="AW80" i="14"/>
  <c r="AV80" i="14"/>
  <c r="AS80" i="14"/>
  <c r="AQ80" i="14"/>
  <c r="M95" i="14" s="1"/>
  <c r="H95" i="14"/>
  <c r="EG79" i="14"/>
  <c r="DN79" i="14"/>
  <c r="CZ79" i="14"/>
  <c r="BF79" i="14"/>
  <c r="BC79" i="14"/>
  <c r="BA79" i="14"/>
  <c r="CA79" i="14" s="1"/>
  <c r="AY79" i="14"/>
  <c r="AW79" i="14"/>
  <c r="AU79" i="14"/>
  <c r="AQ79" i="14"/>
  <c r="M94" i="14" s="1"/>
  <c r="EF79" i="14"/>
  <c r="EH79" i="14"/>
  <c r="DA79" i="14"/>
  <c r="DD79" i="14" s="1"/>
  <c r="CY79" i="14"/>
  <c r="BB79" i="14"/>
  <c r="AZ79" i="14"/>
  <c r="AX79" i="14"/>
  <c r="AV79" i="14"/>
  <c r="AS79" i="14"/>
  <c r="H94" i="14"/>
  <c r="BJ79" i="14"/>
  <c r="BJ77" i="14"/>
  <c r="BJ76" i="14"/>
  <c r="BJ70" i="14"/>
  <c r="BJ74" i="14"/>
  <c r="BJ83" i="14"/>
  <c r="BJ82" i="14"/>
  <c r="BJ80" i="14"/>
  <c r="AJ87" i="14"/>
  <c r="ES8" i="14"/>
  <c r="BJ78" i="14"/>
  <c r="BJ73" i="14"/>
  <c r="BJ75" i="14"/>
  <c r="BJ72" i="14"/>
  <c r="BJ81" i="14"/>
  <c r="BJ71" i="14"/>
  <c r="ES5" i="14"/>
  <c r="AQ82" i="3"/>
  <c r="M97" i="3" s="1"/>
  <c r="CZ80" i="3"/>
  <c r="BC81" i="3"/>
  <c r="H97" i="3"/>
  <c r="EH82" i="3"/>
  <c r="AU80" i="3"/>
  <c r="BY80" i="3" s="1"/>
  <c r="AW80" i="3"/>
  <c r="AY80" i="3"/>
  <c r="BA80" i="3"/>
  <c r="DA80" i="3"/>
  <c r="CY81" i="3"/>
  <c r="DB81" i="3" s="1"/>
  <c r="EF82" i="3"/>
  <c r="EG82" i="3"/>
  <c r="H96" i="3"/>
  <c r="EG81" i="3"/>
  <c r="EF81" i="3"/>
  <c r="EH81" i="3"/>
  <c r="H95" i="3"/>
  <c r="EH80" i="3"/>
  <c r="AU81" i="3"/>
  <c r="BY81" i="3" s="1"/>
  <c r="AV81" i="3"/>
  <c r="AW81" i="3"/>
  <c r="AX81" i="3"/>
  <c r="BZ81" i="3" s="1"/>
  <c r="AY81" i="3"/>
  <c r="AZ81" i="3"/>
  <c r="BA81" i="3"/>
  <c r="BB81" i="3"/>
  <c r="AV80" i="3"/>
  <c r="AX80" i="3"/>
  <c r="AZ80" i="3"/>
  <c r="BB80" i="3"/>
  <c r="CZ82" i="3"/>
  <c r="DC82" i="3" s="1"/>
  <c r="DA82" i="3"/>
  <c r="DD82" i="3" s="1"/>
  <c r="BC80" i="3"/>
  <c r="AU82" i="3"/>
  <c r="AW82" i="3"/>
  <c r="AY82" i="3"/>
  <c r="BA82" i="3"/>
  <c r="CA82" i="3" s="1"/>
  <c r="BC82" i="3"/>
  <c r="CY82" i="3"/>
  <c r="AV82" i="3"/>
  <c r="AX82" i="3"/>
  <c r="BZ82" i="3" s="1"/>
  <c r="AZ82" i="3"/>
  <c r="BB82" i="3"/>
  <c r="DN82" i="3"/>
  <c r="DA81" i="3"/>
  <c r="AL83" i="3"/>
  <c r="DL83" i="3"/>
  <c r="BE83" i="3"/>
  <c r="B117" i="3"/>
  <c r="B116" i="3" s="1"/>
  <c r="B115" i="3" s="1"/>
  <c r="B119" i="3"/>
  <c r="B120" i="3" s="1"/>
  <c r="B121" i="3" s="1"/>
  <c r="AS82" i="3"/>
  <c r="DN81" i="3"/>
  <c r="AS81" i="3"/>
  <c r="DN80" i="3"/>
  <c r="AS80" i="3"/>
  <c r="AQ80" i="3"/>
  <c r="M95" i="3" s="1"/>
  <c r="BF80" i="3"/>
  <c r="BF81" i="3"/>
  <c r="AQ81" i="3"/>
  <c r="M96" i="3" s="1"/>
  <c r="EG80" i="3"/>
  <c r="EF80" i="3"/>
  <c r="CZ81" i="3"/>
  <c r="DC81" i="3" s="1"/>
  <c r="H91" i="3"/>
  <c r="EH76" i="3"/>
  <c r="EG76" i="3"/>
  <c r="EF76" i="3"/>
  <c r="AY76" i="3"/>
  <c r="BB76" i="3"/>
  <c r="DA76" i="3"/>
  <c r="DD76" i="3" s="1"/>
  <c r="DN76" i="3"/>
  <c r="AX76" i="3"/>
  <c r="AZ76" i="3"/>
  <c r="BA76" i="3"/>
  <c r="CA76" i="3" s="1"/>
  <c r="BC76" i="3"/>
  <c r="CY76" i="3"/>
  <c r="DB76" i="3" s="1"/>
  <c r="CZ76" i="3"/>
  <c r="AS76" i="3"/>
  <c r="AQ76" i="3"/>
  <c r="M91" i="3" s="1"/>
  <c r="AW76" i="3"/>
  <c r="AV76" i="3"/>
  <c r="AU76" i="3"/>
  <c r="BY76" i="3" s="1"/>
  <c r="EH71" i="3"/>
  <c r="EG71" i="3"/>
  <c r="EF71" i="3"/>
  <c r="EG79" i="3"/>
  <c r="EH79" i="3"/>
  <c r="EF79" i="3"/>
  <c r="EH77" i="3"/>
  <c r="EG77" i="3"/>
  <c r="EF77" i="3"/>
  <c r="EG78" i="3"/>
  <c r="EH78" i="3"/>
  <c r="EF78" i="3"/>
  <c r="EH75" i="3"/>
  <c r="EG75" i="3"/>
  <c r="EF75" i="3"/>
  <c r="EH73" i="3"/>
  <c r="EG73" i="3"/>
  <c r="EF73" i="3"/>
  <c r="EH74" i="3"/>
  <c r="EG74" i="3"/>
  <c r="EF74" i="3"/>
  <c r="B107" i="3"/>
  <c r="AO87" i="3"/>
  <c r="L10" i="3" s="1"/>
  <c r="AI87" i="3"/>
  <c r="E125" i="3"/>
  <c r="J139" i="3"/>
  <c r="AK87" i="3"/>
  <c r="K137" i="3"/>
  <c r="BE70" i="3"/>
  <c r="K135" i="3"/>
  <c r="DL70" i="3"/>
  <c r="B4" i="3" a="1"/>
  <c r="B4" i="3" s="1"/>
  <c r="K138" i="3"/>
  <c r="J140" i="3"/>
  <c r="AH87" i="3"/>
  <c r="B13" i="3"/>
  <c r="AL72" i="3"/>
  <c r="BF72" i="3" s="1"/>
  <c r="AQ71" i="3"/>
  <c r="M86" i="3" s="1"/>
  <c r="AS71" i="3"/>
  <c r="DN71" i="3"/>
  <c r="L133" i="3"/>
  <c r="M133" i="3"/>
  <c r="ES8" i="3"/>
  <c r="ES6" i="3"/>
  <c r="K152" i="3"/>
  <c r="B21" i="3"/>
  <c r="H13" i="3"/>
  <c r="K99" i="3"/>
  <c r="DA71" i="3"/>
  <c r="CY71" i="3"/>
  <c r="BA71" i="3"/>
  <c r="AY71" i="3"/>
  <c r="AW71" i="3"/>
  <c r="AU71" i="3"/>
  <c r="CZ71" i="3"/>
  <c r="BC71" i="3"/>
  <c r="BB71" i="3"/>
  <c r="AZ71" i="3"/>
  <c r="AX71" i="3"/>
  <c r="AV71" i="3"/>
  <c r="H86" i="3"/>
  <c r="M132" i="3"/>
  <c r="L132" i="3"/>
  <c r="L131" i="3"/>
  <c r="M131" i="3"/>
  <c r="DA79" i="3"/>
  <c r="DD79" i="3" s="1"/>
  <c r="CZ79" i="3"/>
  <c r="CY79" i="3"/>
  <c r="DN79" i="3"/>
  <c r="BC79" i="3"/>
  <c r="BB79" i="3"/>
  <c r="BA79" i="3"/>
  <c r="CA79" i="3" s="1"/>
  <c r="AZ79" i="3"/>
  <c r="AY79" i="3"/>
  <c r="AX79" i="3"/>
  <c r="AW79" i="3"/>
  <c r="AV79" i="3"/>
  <c r="AU79" i="3"/>
  <c r="AS79" i="3"/>
  <c r="AQ79" i="3"/>
  <c r="M94" i="3" s="1"/>
  <c r="H94" i="3"/>
  <c r="DN77" i="3"/>
  <c r="BB77" i="3"/>
  <c r="AV77" i="3"/>
  <c r="DA77" i="3"/>
  <c r="CZ77" i="3"/>
  <c r="CY77" i="3"/>
  <c r="DB77" i="3" s="1"/>
  <c r="BC77" i="3"/>
  <c r="BA77" i="3"/>
  <c r="AZ77" i="3"/>
  <c r="AY77" i="3"/>
  <c r="AX77" i="3"/>
  <c r="AW77" i="3"/>
  <c r="AU77" i="3"/>
  <c r="BY77" i="3" s="1"/>
  <c r="AS77" i="3"/>
  <c r="AQ77" i="3"/>
  <c r="M92" i="3" s="1"/>
  <c r="H92" i="3"/>
  <c r="DN78" i="3"/>
  <c r="DA78" i="3"/>
  <c r="DD78" i="3" s="1"/>
  <c r="CZ78" i="3"/>
  <c r="CY78" i="3"/>
  <c r="BC78" i="3"/>
  <c r="BB78" i="3"/>
  <c r="BA78" i="3"/>
  <c r="CA78" i="3" s="1"/>
  <c r="AY78" i="3"/>
  <c r="AX78" i="3"/>
  <c r="AW78" i="3"/>
  <c r="AV78" i="3"/>
  <c r="AU78" i="3"/>
  <c r="AQ78" i="3"/>
  <c r="M93" i="3" s="1"/>
  <c r="AZ78" i="3"/>
  <c r="AS78" i="3"/>
  <c r="H93" i="3"/>
  <c r="DN75" i="3"/>
  <c r="DA75" i="3"/>
  <c r="DD75" i="3" s="1"/>
  <c r="CZ75" i="3"/>
  <c r="CY75" i="3"/>
  <c r="BC75" i="3"/>
  <c r="BB75" i="3"/>
  <c r="BA75" i="3"/>
  <c r="CA75" i="3" s="1"/>
  <c r="AZ75" i="3"/>
  <c r="AY75" i="3"/>
  <c r="AX75" i="3"/>
  <c r="AW75" i="3"/>
  <c r="AV75" i="3"/>
  <c r="AU75" i="3"/>
  <c r="AS75" i="3"/>
  <c r="AQ75" i="3"/>
  <c r="M90" i="3" s="1"/>
  <c r="H90" i="3"/>
  <c r="DN73" i="3"/>
  <c r="DA73" i="3"/>
  <c r="CZ73" i="3"/>
  <c r="CY73" i="3"/>
  <c r="BC73" i="3"/>
  <c r="BB73" i="3"/>
  <c r="BA73" i="3"/>
  <c r="AZ73" i="3"/>
  <c r="AY73" i="3"/>
  <c r="AX73" i="3"/>
  <c r="AW73" i="3"/>
  <c r="AV73" i="3"/>
  <c r="AU73" i="3"/>
  <c r="AS73" i="3"/>
  <c r="AQ73" i="3"/>
  <c r="M88" i="3" s="1"/>
  <c r="H88" i="3"/>
  <c r="CY74" i="3"/>
  <c r="CZ74" i="3"/>
  <c r="DA74" i="3"/>
  <c r="DD74" i="3" s="1"/>
  <c r="DN74" i="3"/>
  <c r="BC74" i="3"/>
  <c r="BB74" i="3"/>
  <c r="BA74" i="3"/>
  <c r="CA74" i="3" s="1"/>
  <c r="AZ74" i="3"/>
  <c r="AY74" i="3"/>
  <c r="AX74" i="3"/>
  <c r="AW74" i="3"/>
  <c r="AV74" i="3"/>
  <c r="AU74" i="3"/>
  <c r="AS74" i="3"/>
  <c r="AQ74" i="3"/>
  <c r="M89" i="3" s="1"/>
  <c r="H89" i="3"/>
  <c r="AL70" i="3"/>
  <c r="BF70" i="3" s="1"/>
  <c r="ES5" i="3"/>
  <c r="ES7" i="3"/>
  <c r="DB76" i="14" l="1"/>
  <c r="DB77" i="14"/>
  <c r="BY76" i="14"/>
  <c r="BY77" i="14"/>
  <c r="DC81" i="14"/>
  <c r="BZ81" i="14"/>
  <c r="C111" i="14"/>
  <c r="D111" i="14"/>
  <c r="E111" i="14"/>
  <c r="DC78" i="14"/>
  <c r="BZ78" i="14"/>
  <c r="DC79" i="14"/>
  <c r="BZ79" i="14"/>
  <c r="BZ77" i="14"/>
  <c r="DC77" i="14"/>
  <c r="CA72" i="14"/>
  <c r="CA71" i="14"/>
  <c r="DC74" i="14"/>
  <c r="DC73" i="14"/>
  <c r="DD71" i="14"/>
  <c r="DD72" i="14"/>
  <c r="BZ73" i="14"/>
  <c r="BZ74" i="14"/>
  <c r="ES9" i="14"/>
  <c r="ES10" i="14"/>
  <c r="G105" i="14"/>
  <c r="D106" i="14"/>
  <c r="D107" i="14"/>
  <c r="G107" i="14"/>
  <c r="D108" i="14"/>
  <c r="F108" i="14"/>
  <c r="H108" i="14"/>
  <c r="D109" i="14"/>
  <c r="F109" i="14"/>
  <c r="H109" i="14"/>
  <c r="D110" i="14"/>
  <c r="F110" i="14"/>
  <c r="H110" i="14"/>
  <c r="B18" i="14"/>
  <c r="E105" i="14"/>
  <c r="I105" i="14" s="1"/>
  <c r="F105" i="14"/>
  <c r="H105" i="14"/>
  <c r="C106" i="14"/>
  <c r="E106" i="14"/>
  <c r="I106" i="14" s="1"/>
  <c r="F106" i="14"/>
  <c r="G106" i="14"/>
  <c r="H106" i="14"/>
  <c r="C107" i="14"/>
  <c r="E107" i="14"/>
  <c r="I107" i="14" s="1"/>
  <c r="F107" i="14"/>
  <c r="H107" i="14"/>
  <c r="C108" i="14"/>
  <c r="E108" i="14"/>
  <c r="I108" i="14" s="1"/>
  <c r="G108" i="14"/>
  <c r="C109" i="14"/>
  <c r="E109" i="14"/>
  <c r="I109" i="14" s="1"/>
  <c r="G109" i="14"/>
  <c r="C110" i="14"/>
  <c r="E110" i="14"/>
  <c r="I110" i="14" s="1"/>
  <c r="G110" i="14"/>
  <c r="FD69" i="14" a="1"/>
  <c r="C104" i="14"/>
  <c r="D104" i="14"/>
  <c r="E104" i="14"/>
  <c r="I104" i="14" s="1"/>
  <c r="F104" i="14"/>
  <c r="G104" i="14"/>
  <c r="H104" i="14"/>
  <c r="C105" i="14"/>
  <c r="D105" i="14"/>
  <c r="L139" i="14"/>
  <c r="M139" i="14"/>
  <c r="L140" i="14"/>
  <c r="M140" i="14"/>
  <c r="M154" i="14"/>
  <c r="L154" i="14"/>
  <c r="EE71" i="14" a="1"/>
  <c r="EE71" i="14" s="1"/>
  <c r="DW72" i="14" a="1"/>
  <c r="DW72" i="14" s="1"/>
  <c r="EE72" i="14" a="1"/>
  <c r="EE72" i="14" s="1"/>
  <c r="DV73" i="14" a="1"/>
  <c r="DV73" i="14" s="1"/>
  <c r="EE73" i="14" a="1"/>
  <c r="EE73" i="14" s="1"/>
  <c r="DV74" i="14" a="1"/>
  <c r="DV74" i="14" s="1"/>
  <c r="DX74" i="14" a="1"/>
  <c r="DX74" i="14" s="1"/>
  <c r="EE74" i="14" a="1"/>
  <c r="EE74" i="14" s="1"/>
  <c r="DV83" i="14" a="1"/>
  <c r="DV83" i="14" s="1"/>
  <c r="DW83" i="14" a="1"/>
  <c r="DW83" i="14" s="1"/>
  <c r="DX83" i="14" a="1"/>
  <c r="DX83" i="14" s="1"/>
  <c r="EE83" i="14" a="1"/>
  <c r="EE83" i="14" s="1"/>
  <c r="DV71" i="14" a="1"/>
  <c r="DV71" i="14" s="1"/>
  <c r="DW71" i="14" a="1"/>
  <c r="DW71" i="14" s="1"/>
  <c r="DX71" i="14" a="1"/>
  <c r="DX71" i="14" s="1"/>
  <c r="DX75" i="14" a="1"/>
  <c r="DX75" i="14" s="1"/>
  <c r="DV70" i="14" a="1"/>
  <c r="DV70" i="14" s="1"/>
  <c r="DV72" i="14" a="1"/>
  <c r="DV72" i="14" s="1"/>
  <c r="DW73" i="14" a="1"/>
  <c r="DW73" i="14" s="1"/>
  <c r="DW74" i="14" a="1"/>
  <c r="DW74" i="14" s="1"/>
  <c r="DV75" i="14" a="1"/>
  <c r="DV75" i="14" s="1"/>
  <c r="EE75" i="14" a="1"/>
  <c r="EE75" i="14" s="1"/>
  <c r="DV76" i="14" a="1"/>
  <c r="DV76" i="14" s="1"/>
  <c r="DW76" i="14" a="1"/>
  <c r="DW76" i="14" s="1"/>
  <c r="DX76" i="14" a="1"/>
  <c r="DX76" i="14" s="1"/>
  <c r="EE76" i="14" a="1"/>
  <c r="EE76" i="14" s="1"/>
  <c r="DV77" i="14" a="1"/>
  <c r="DV77" i="14" s="1"/>
  <c r="DW77" i="14" a="1"/>
  <c r="DW77" i="14" s="1"/>
  <c r="DX77" i="14" a="1"/>
  <c r="DX77" i="14" s="1"/>
  <c r="EE77" i="14" a="1"/>
  <c r="EE77" i="14" s="1"/>
  <c r="DV78" i="14" a="1"/>
  <c r="DV78" i="14" s="1"/>
  <c r="DW78" i="14" a="1"/>
  <c r="DW78" i="14" s="1"/>
  <c r="DX78" i="14" a="1"/>
  <c r="DX78" i="14" s="1"/>
  <c r="EE78" i="14" a="1"/>
  <c r="EE78" i="14" s="1"/>
  <c r="DX70" i="14" a="1"/>
  <c r="DX70" i="14" s="1"/>
  <c r="DX72" i="14" a="1"/>
  <c r="DX72" i="14" s="1"/>
  <c r="DX73" i="14" a="1"/>
  <c r="DX73" i="14" s="1"/>
  <c r="DW75" i="14" a="1"/>
  <c r="DW75" i="14" s="1"/>
  <c r="DV79" i="14" a="1"/>
  <c r="DV79" i="14" s="1"/>
  <c r="DW79" i="14" a="1"/>
  <c r="DW79" i="14" s="1"/>
  <c r="DX79" i="14" a="1"/>
  <c r="DX79" i="14" s="1"/>
  <c r="EE79" i="14" a="1"/>
  <c r="EE79" i="14" s="1"/>
  <c r="DV80" i="14" a="1"/>
  <c r="DV80" i="14" s="1"/>
  <c r="DW80" i="14" a="1"/>
  <c r="DW80" i="14" s="1"/>
  <c r="DX80" i="14" a="1"/>
  <c r="DX80" i="14" s="1"/>
  <c r="EE80" i="14" a="1"/>
  <c r="EE80" i="14" s="1"/>
  <c r="DV81" i="14" a="1"/>
  <c r="DV81" i="14" s="1"/>
  <c r="DW81" i="14" a="1"/>
  <c r="DW81" i="14" s="1"/>
  <c r="DX81" i="14" a="1"/>
  <c r="DX81" i="14" s="1"/>
  <c r="EE81" i="14" a="1"/>
  <c r="EE81" i="14" s="1"/>
  <c r="DV82" i="14" a="1"/>
  <c r="DV82" i="14" s="1"/>
  <c r="DW82" i="14" a="1"/>
  <c r="DW82" i="14" s="1"/>
  <c r="DX82" i="14" a="1"/>
  <c r="DX82" i="14" s="1"/>
  <c r="EE82" i="14" a="1"/>
  <c r="EE82" i="14" s="1"/>
  <c r="DW70" i="14" a="1"/>
  <c r="DW70" i="14" s="1"/>
  <c r="EE70" i="14" a="1"/>
  <c r="EE70" i="14" s="1"/>
  <c r="FE69" i="14" a="1"/>
  <c r="BI70" i="14"/>
  <c r="EB70" i="14"/>
  <c r="BH71" i="14"/>
  <c r="EB71" i="14"/>
  <c r="EB72" i="14"/>
  <c r="BH73" i="14"/>
  <c r="EB73" i="14"/>
  <c r="BG75" i="14"/>
  <c r="BH75" i="14"/>
  <c r="BI75" i="14"/>
  <c r="EB83" i="14"/>
  <c r="BG72" i="14"/>
  <c r="BG74" i="14"/>
  <c r="BG70" i="14"/>
  <c r="BI71" i="14"/>
  <c r="BI72" i="14"/>
  <c r="BG73" i="14"/>
  <c r="BH74" i="14"/>
  <c r="EB74" i="14"/>
  <c r="EB75" i="14"/>
  <c r="BG76" i="14"/>
  <c r="BH76" i="14"/>
  <c r="BI76" i="14"/>
  <c r="EB76" i="14"/>
  <c r="BG77" i="14"/>
  <c r="BH77" i="14"/>
  <c r="BI77" i="14"/>
  <c r="EB77" i="14"/>
  <c r="BG78" i="14"/>
  <c r="BH78" i="14"/>
  <c r="BI78" i="14"/>
  <c r="EB78" i="14"/>
  <c r="BG79" i="14"/>
  <c r="BH79" i="14"/>
  <c r="BI79" i="14"/>
  <c r="FC69" i="14" a="1"/>
  <c r="BH70" i="14"/>
  <c r="BG71" i="14"/>
  <c r="BH72" i="14"/>
  <c r="BI73" i="14"/>
  <c r="BI74" i="14"/>
  <c r="EB79" i="14"/>
  <c r="BG80" i="14"/>
  <c r="BH80" i="14"/>
  <c r="BI80" i="14"/>
  <c r="EB80" i="14"/>
  <c r="BG81" i="14"/>
  <c r="BH81" i="14"/>
  <c r="BI81" i="14"/>
  <c r="EB81" i="14"/>
  <c r="BG82" i="14"/>
  <c r="BH82" i="14"/>
  <c r="BI82" i="14"/>
  <c r="EB82" i="14"/>
  <c r="BG83" i="14"/>
  <c r="BH83" i="14"/>
  <c r="BI83" i="14"/>
  <c r="DT72" i="14" a="1"/>
  <c r="DT72" i="14" s="1"/>
  <c r="DS73" i="14" a="1"/>
  <c r="DS73" i="14" s="1"/>
  <c r="DT74" i="14" a="1"/>
  <c r="DT74" i="14" s="1"/>
  <c r="ED74" i="14" a="1"/>
  <c r="ED74" i="14" s="1"/>
  <c r="DU75" i="14" a="1"/>
  <c r="DU75" i="14" s="1"/>
  <c r="DS83" i="14" a="1"/>
  <c r="DS83" i="14" s="1"/>
  <c r="DT83" i="14" a="1"/>
  <c r="DT83" i="14" s="1"/>
  <c r="DU83" i="14" a="1"/>
  <c r="DU83" i="14" s="1"/>
  <c r="ED83" i="14" a="1"/>
  <c r="ED83" i="14" s="1"/>
  <c r="DS71" i="14" a="1"/>
  <c r="DS71" i="14" s="1"/>
  <c r="DT71" i="14" a="1"/>
  <c r="DT71" i="14" s="1"/>
  <c r="DU71" i="14" a="1"/>
  <c r="DU71" i="14" s="1"/>
  <c r="DS70" i="14" a="1"/>
  <c r="DS70" i="14" s="1"/>
  <c r="ED70" i="14" a="1"/>
  <c r="ED70" i="14" s="1"/>
  <c r="DS72" i="14" a="1"/>
  <c r="DS72" i="14" s="1"/>
  <c r="DT73" i="14" a="1"/>
  <c r="DT73" i="14" s="1"/>
  <c r="DS74" i="14" a="1"/>
  <c r="DS74" i="14" s="1"/>
  <c r="DU74" i="14" a="1"/>
  <c r="DU74" i="14" s="1"/>
  <c r="DS75" i="14" a="1"/>
  <c r="DS75" i="14" s="1"/>
  <c r="ED75" i="14" a="1"/>
  <c r="ED75" i="14" s="1"/>
  <c r="DS76" i="14" a="1"/>
  <c r="DS76" i="14" s="1"/>
  <c r="DT76" i="14" a="1"/>
  <c r="DT76" i="14" s="1"/>
  <c r="DU76" i="14" a="1"/>
  <c r="DU76" i="14" s="1"/>
  <c r="ED76" i="14" a="1"/>
  <c r="ED76" i="14" s="1"/>
  <c r="DS77" i="14" a="1"/>
  <c r="DS77" i="14" s="1"/>
  <c r="DT77" i="14" a="1"/>
  <c r="DT77" i="14" s="1"/>
  <c r="DU77" i="14" a="1"/>
  <c r="DU77" i="14" s="1"/>
  <c r="ED77" i="14" a="1"/>
  <c r="ED77" i="14" s="1"/>
  <c r="DS78" i="14" a="1"/>
  <c r="DS78" i="14" s="1"/>
  <c r="DT78" i="14" a="1"/>
  <c r="DT78" i="14" s="1"/>
  <c r="DU78" i="14" a="1"/>
  <c r="DU78" i="14" s="1"/>
  <c r="ED78" i="14" a="1"/>
  <c r="ED78" i="14" s="1"/>
  <c r="DS79" i="14" a="1"/>
  <c r="DS79" i="14" s="1"/>
  <c r="DT79" i="14" a="1"/>
  <c r="DT79" i="14" s="1"/>
  <c r="DU70" i="14" a="1"/>
  <c r="DU70" i="14" s="1"/>
  <c r="ED71" i="14" a="1"/>
  <c r="ED71" i="14" s="1"/>
  <c r="DU72" i="14" a="1"/>
  <c r="DU72" i="14" s="1"/>
  <c r="ED72" i="14" a="1"/>
  <c r="ED72" i="14" s="1"/>
  <c r="DU73" i="14" a="1"/>
  <c r="DU73" i="14" s="1"/>
  <c r="ED73" i="14" a="1"/>
  <c r="ED73" i="14" s="1"/>
  <c r="DT75" i="14" a="1"/>
  <c r="DT75" i="14" s="1"/>
  <c r="DU79" i="14" a="1"/>
  <c r="DU79" i="14" s="1"/>
  <c r="ED79" i="14" a="1"/>
  <c r="ED79" i="14" s="1"/>
  <c r="DS80" i="14" a="1"/>
  <c r="DS80" i="14" s="1"/>
  <c r="DT80" i="14" a="1"/>
  <c r="DT80" i="14" s="1"/>
  <c r="DU80" i="14" a="1"/>
  <c r="DU80" i="14" s="1"/>
  <c r="ED80" i="14" a="1"/>
  <c r="ED80" i="14" s="1"/>
  <c r="DS81" i="14" a="1"/>
  <c r="DS81" i="14" s="1"/>
  <c r="DT81" i="14" a="1"/>
  <c r="DT81" i="14" s="1"/>
  <c r="DU81" i="14" a="1"/>
  <c r="DU81" i="14" s="1"/>
  <c r="ED81" i="14" a="1"/>
  <c r="ED81" i="14" s="1"/>
  <c r="DS82" i="14" a="1"/>
  <c r="DS82" i="14" s="1"/>
  <c r="DT82" i="14" a="1"/>
  <c r="DT82" i="14" s="1"/>
  <c r="DU82" i="14" a="1"/>
  <c r="DU82" i="14" s="1"/>
  <c r="ED82" i="14" a="1"/>
  <c r="ED82" i="14" s="1"/>
  <c r="DT70" i="14" a="1"/>
  <c r="DT70" i="14" s="1"/>
  <c r="DB82" i="14"/>
  <c r="DB78" i="14"/>
  <c r="DB70" i="14"/>
  <c r="CA77" i="14"/>
  <c r="CA73" i="14"/>
  <c r="CA83" i="14"/>
  <c r="CA70" i="14"/>
  <c r="BY78" i="14"/>
  <c r="BY82" i="14"/>
  <c r="BY70" i="14"/>
  <c r="DC72" i="14"/>
  <c r="DC71" i="14"/>
  <c r="DC76" i="14"/>
  <c r="DC70" i="14"/>
  <c r="DD77" i="14"/>
  <c r="DD73" i="14"/>
  <c r="DD83" i="14"/>
  <c r="DD70" i="14"/>
  <c r="L136" i="14"/>
  <c r="M136" i="14"/>
  <c r="DP70" i="14" a="1"/>
  <c r="DP70" i="14" s="1"/>
  <c r="EC71" i="14" a="1"/>
  <c r="EC71" i="14" s="1"/>
  <c r="DP72" i="14" a="1"/>
  <c r="DP72" i="14" s="1"/>
  <c r="EC72" i="14" a="1"/>
  <c r="EC72" i="14" s="1"/>
  <c r="EC73" i="14" a="1"/>
  <c r="EC73" i="14" s="1"/>
  <c r="DP74" i="14" a="1"/>
  <c r="DP74" i="14" s="1"/>
  <c r="EC75" i="14" a="1"/>
  <c r="EC75" i="14" s="1"/>
  <c r="DP76" i="14" a="1"/>
  <c r="DP76" i="14" s="1"/>
  <c r="DQ76" i="14" a="1"/>
  <c r="DQ76" i="14" s="1"/>
  <c r="DR76" i="14" a="1"/>
  <c r="DR76" i="14" s="1"/>
  <c r="EC76" i="14" a="1"/>
  <c r="EC76" i="14" s="1"/>
  <c r="DP77" i="14" a="1"/>
  <c r="DP77" i="14" s="1"/>
  <c r="DQ77" i="14" a="1"/>
  <c r="DQ77" i="14" s="1"/>
  <c r="DR77" i="14" a="1"/>
  <c r="DR77" i="14" s="1"/>
  <c r="EC77" i="14" a="1"/>
  <c r="EC77" i="14" s="1"/>
  <c r="DP78" i="14" a="1"/>
  <c r="DP78" i="14" s="1"/>
  <c r="DQ78" i="14" a="1"/>
  <c r="DQ78" i="14" s="1"/>
  <c r="DR78" i="14" a="1"/>
  <c r="DR78" i="14" s="1"/>
  <c r="EC78" i="14" a="1"/>
  <c r="EC78" i="14" s="1"/>
  <c r="DP79" i="14" a="1"/>
  <c r="DP79" i="14" s="1"/>
  <c r="DQ79" i="14" a="1"/>
  <c r="DQ79" i="14" s="1"/>
  <c r="DR79" i="14" a="1"/>
  <c r="DR79" i="14" s="1"/>
  <c r="DQ70" i="14" a="1"/>
  <c r="DQ70" i="14" s="1"/>
  <c r="EC70" i="14" a="1"/>
  <c r="EC70" i="14" s="1"/>
  <c r="DR72" i="14" a="1"/>
  <c r="DR72" i="14" s="1"/>
  <c r="DP73" i="14" a="1"/>
  <c r="DP73" i="14" s="1"/>
  <c r="DR73" i="14" a="1"/>
  <c r="DR73" i="14" s="1"/>
  <c r="DQ74" i="14" a="1"/>
  <c r="DQ74" i="14" s="1"/>
  <c r="DQ75" i="14" a="1"/>
  <c r="DQ75" i="14" s="1"/>
  <c r="EC79" i="14" a="1"/>
  <c r="EC79" i="14" s="1"/>
  <c r="DP80" i="14" a="1"/>
  <c r="DP80" i="14" s="1"/>
  <c r="DQ80" i="14" a="1"/>
  <c r="DQ80" i="14" s="1"/>
  <c r="DR80" i="14" a="1"/>
  <c r="DR80" i="14" s="1"/>
  <c r="EC80" i="14" a="1"/>
  <c r="EC80" i="14" s="1"/>
  <c r="DP81" i="14" a="1"/>
  <c r="DP81" i="14" s="1"/>
  <c r="DQ81" i="14" a="1"/>
  <c r="DQ81" i="14" s="1"/>
  <c r="DR81" i="14" a="1"/>
  <c r="DR81" i="14" s="1"/>
  <c r="EC81" i="14" a="1"/>
  <c r="EC81" i="14" s="1"/>
  <c r="DP82" i="14" a="1"/>
  <c r="DP82" i="14" s="1"/>
  <c r="DQ82" i="14" a="1"/>
  <c r="DQ82" i="14" s="1"/>
  <c r="DR82" i="14" a="1"/>
  <c r="DR82" i="14" s="1"/>
  <c r="EC82" i="14" a="1"/>
  <c r="EC82" i="14" s="1"/>
  <c r="DP83" i="14" a="1"/>
  <c r="DP83" i="14" s="1"/>
  <c r="DQ83" i="14" a="1"/>
  <c r="DQ83" i="14" s="1"/>
  <c r="DR70" i="14" a="1"/>
  <c r="DR70" i="14" s="1"/>
  <c r="DQ72" i="14" a="1"/>
  <c r="DQ72" i="14" s="1"/>
  <c r="DQ73" i="14" a="1"/>
  <c r="DQ73" i="14" s="1"/>
  <c r="DR74" i="14" a="1"/>
  <c r="DR74" i="14" s="1"/>
  <c r="EC74" i="14" a="1"/>
  <c r="EC74" i="14" s="1"/>
  <c r="DP75" i="14" a="1"/>
  <c r="DP75" i="14" s="1"/>
  <c r="DR75" i="14" a="1"/>
  <c r="DR75" i="14" s="1"/>
  <c r="DR83" i="14" a="1"/>
  <c r="DR83" i="14" s="1"/>
  <c r="EC83" i="14" a="1"/>
  <c r="EC83" i="14" s="1"/>
  <c r="DP71" i="14" a="1"/>
  <c r="DP71" i="14" s="1"/>
  <c r="DQ71" i="14" a="1"/>
  <c r="DQ71" i="14" s="1"/>
  <c r="DR71" i="14" a="1"/>
  <c r="DR71" i="14" s="1"/>
  <c r="BZ71" i="14"/>
  <c r="BZ72" i="14"/>
  <c r="BZ76" i="14"/>
  <c r="BZ70" i="14"/>
  <c r="H10" i="14"/>
  <c r="J142" i="14"/>
  <c r="K141" i="14"/>
  <c r="E127" i="14"/>
  <c r="H126" i="14"/>
  <c r="E99" i="14"/>
  <c r="AL87" i="14"/>
  <c r="H125" i="14"/>
  <c r="AN87" i="14"/>
  <c r="AM87" i="14"/>
  <c r="BY75" i="14"/>
  <c r="DB75" i="14"/>
  <c r="CA81" i="14"/>
  <c r="DD81" i="14"/>
  <c r="BZ80" i="14"/>
  <c r="DC80" i="14"/>
  <c r="BY79" i="14"/>
  <c r="DB79" i="14"/>
  <c r="DN83" i="3"/>
  <c r="AQ83" i="3"/>
  <c r="M98" i="3" s="1"/>
  <c r="AS83" i="3"/>
  <c r="BF83" i="3"/>
  <c r="CY83" i="3"/>
  <c r="DB83" i="3" s="1"/>
  <c r="DA83" i="3"/>
  <c r="AU83" i="3"/>
  <c r="BY83" i="3" s="1"/>
  <c r="AW83" i="3"/>
  <c r="AV83" i="3"/>
  <c r="AY83" i="3"/>
  <c r="BA83" i="3"/>
  <c r="AX83" i="3"/>
  <c r="BZ83" i="3" s="1"/>
  <c r="AZ83" i="3"/>
  <c r="BC83" i="3"/>
  <c r="EH83" i="3"/>
  <c r="BB83" i="3"/>
  <c r="CZ83" i="3"/>
  <c r="DC83" i="3" s="1"/>
  <c r="EF83" i="3"/>
  <c r="EG83" i="3"/>
  <c r="H98" i="3"/>
  <c r="EB70" i="3"/>
  <c r="EB72" i="3"/>
  <c r="EB73" i="3"/>
  <c r="EB75" i="3"/>
  <c r="EB77" i="3"/>
  <c r="EB79" i="3"/>
  <c r="EB83" i="3"/>
  <c r="BI72" i="3"/>
  <c r="BI77" i="3"/>
  <c r="BI83" i="3"/>
  <c r="BH75" i="3"/>
  <c r="BH81" i="3"/>
  <c r="BG73" i="3"/>
  <c r="BG74" i="3"/>
  <c r="BI71" i="3"/>
  <c r="BI75" i="3"/>
  <c r="BI78" i="3"/>
  <c r="BI81" i="3"/>
  <c r="BH71" i="3"/>
  <c r="BH77" i="3"/>
  <c r="BH80" i="3"/>
  <c r="EB80" i="3"/>
  <c r="EH72" i="3"/>
  <c r="EG72" i="3"/>
  <c r="EF72" i="3"/>
  <c r="EH70" i="3"/>
  <c r="EG70" i="3"/>
  <c r="EF70" i="3"/>
  <c r="B108" i="3"/>
  <c r="B109" i="3" s="1"/>
  <c r="B110" i="3" s="1"/>
  <c r="B106" i="3"/>
  <c r="B105" i="3" s="1"/>
  <c r="B104" i="3" s="1"/>
  <c r="F119" i="3"/>
  <c r="F120" i="3"/>
  <c r="G121" i="3"/>
  <c r="G115" i="3"/>
  <c r="D127" i="3"/>
  <c r="H127" i="3" s="1"/>
  <c r="F115" i="3"/>
  <c r="F116" i="3"/>
  <c r="G116" i="3"/>
  <c r="F117" i="3"/>
  <c r="F118" i="3"/>
  <c r="G119" i="3"/>
  <c r="G120" i="3"/>
  <c r="F121" i="3"/>
  <c r="G117" i="3"/>
  <c r="G118" i="3"/>
  <c r="BJ83" i="3"/>
  <c r="J141" i="3"/>
  <c r="AJ87" i="3"/>
  <c r="M137" i="3"/>
  <c r="L137" i="3"/>
  <c r="L135" i="3"/>
  <c r="M135" i="3"/>
  <c r="BJ70" i="3"/>
  <c r="BJ72" i="3"/>
  <c r="K139" i="3"/>
  <c r="E13" i="3"/>
  <c r="K13" i="3"/>
  <c r="BJ73" i="3"/>
  <c r="BJ75" i="3"/>
  <c r="BJ76" i="3"/>
  <c r="BJ77" i="3"/>
  <c r="BJ78" i="3"/>
  <c r="BJ79" i="3"/>
  <c r="BJ80" i="3"/>
  <c r="BJ81" i="3"/>
  <c r="BJ82" i="3"/>
  <c r="BJ74" i="3"/>
  <c r="BJ71" i="3"/>
  <c r="AQ70" i="3"/>
  <c r="M85" i="3" s="1"/>
  <c r="AS70" i="3"/>
  <c r="DN70" i="3"/>
  <c r="L138" i="3"/>
  <c r="M138" i="3"/>
  <c r="J154" i="3"/>
  <c r="K140" i="3"/>
  <c r="F10" i="3"/>
  <c r="AQ72" i="3"/>
  <c r="M87" i="3" s="1"/>
  <c r="AV72" i="3"/>
  <c r="DN72" i="3"/>
  <c r="CY72" i="3"/>
  <c r="BA72" i="3"/>
  <c r="CA72" i="3" s="1"/>
  <c r="AY72" i="3"/>
  <c r="AW72" i="3"/>
  <c r="AS72" i="3"/>
  <c r="BC72" i="3"/>
  <c r="DA72" i="3"/>
  <c r="DD72" i="3" s="1"/>
  <c r="CZ72" i="3"/>
  <c r="BB72" i="3"/>
  <c r="AZ72" i="3"/>
  <c r="AX72" i="3"/>
  <c r="AU72" i="3"/>
  <c r="H87" i="3"/>
  <c r="M152" i="3"/>
  <c r="L152" i="3"/>
  <c r="ES10" i="3"/>
  <c r="ES9" i="3"/>
  <c r="K136" i="3"/>
  <c r="H85" i="3"/>
  <c r="AW70" i="3"/>
  <c r="AY70" i="3"/>
  <c r="BA70" i="3"/>
  <c r="BC70" i="3"/>
  <c r="CZ70" i="3"/>
  <c r="AX70" i="3"/>
  <c r="AZ70" i="3"/>
  <c r="BB70" i="3"/>
  <c r="CY70" i="3"/>
  <c r="DA70" i="3"/>
  <c r="AV70" i="3"/>
  <c r="AU70" i="3"/>
  <c r="EB82" i="3" l="1"/>
  <c r="BI70" i="3"/>
  <c r="BI74" i="3"/>
  <c r="BI80" i="3"/>
  <c r="BH72" i="3"/>
  <c r="BH78" i="3"/>
  <c r="BG70" i="3"/>
  <c r="BG79" i="3"/>
  <c r="BG82" i="3"/>
  <c r="BI73" i="3"/>
  <c r="BI76" i="3"/>
  <c r="BI79" i="3"/>
  <c r="BH70" i="3"/>
  <c r="BH73" i="3"/>
  <c r="BH76" i="3"/>
  <c r="BH79" i="3"/>
  <c r="BH83" i="3"/>
  <c r="BG72" i="3"/>
  <c r="BG78" i="3"/>
  <c r="BG83" i="3"/>
  <c r="E111" i="3"/>
  <c r="D111" i="3"/>
  <c r="C111" i="3"/>
  <c r="B17" i="14"/>
  <c r="B19" i="14"/>
  <c r="B19" i="3"/>
  <c r="B17" i="3"/>
  <c r="FE69" i="14"/>
  <c r="FD69" i="14"/>
  <c r="FC69" i="14"/>
  <c r="DY75" i="14"/>
  <c r="DZ75" i="14"/>
  <c r="EA75" i="14"/>
  <c r="DZ72" i="14"/>
  <c r="DY72" i="14"/>
  <c r="EA72" i="14"/>
  <c r="DY74" i="14"/>
  <c r="DZ74" i="14"/>
  <c r="EA74" i="14"/>
  <c r="DY70" i="14"/>
  <c r="DZ70" i="14"/>
  <c r="EA70" i="14"/>
  <c r="BG68" i="14"/>
  <c r="DY73" i="14"/>
  <c r="EA73" i="14"/>
  <c r="DZ73" i="14"/>
  <c r="DY76" i="14"/>
  <c r="DZ76" i="14"/>
  <c r="EA76" i="14"/>
  <c r="DY77" i="14"/>
  <c r="DZ77" i="14"/>
  <c r="EA77" i="14"/>
  <c r="DY78" i="14"/>
  <c r="DZ78" i="14"/>
  <c r="EA78" i="14"/>
  <c r="DY79" i="14"/>
  <c r="DZ79" i="14"/>
  <c r="EA79" i="14"/>
  <c r="DY71" i="14"/>
  <c r="DZ71" i="14"/>
  <c r="EA71" i="14"/>
  <c r="DY80" i="14"/>
  <c r="DZ80" i="14"/>
  <c r="EA80" i="14"/>
  <c r="DY81" i="14"/>
  <c r="DZ81" i="14"/>
  <c r="EA81" i="14"/>
  <c r="DY82" i="14"/>
  <c r="DZ82" i="14"/>
  <c r="EA82" i="14"/>
  <c r="DY83" i="14"/>
  <c r="DZ83" i="14"/>
  <c r="EA83" i="14"/>
  <c r="DG40" i="14"/>
  <c r="EV40" i="14" s="1"/>
  <c r="DG46" i="14"/>
  <c r="EV46" i="14" s="1"/>
  <c r="DG47" i="14"/>
  <c r="EV47" i="14" s="1"/>
  <c r="DH48" i="14"/>
  <c r="DG49" i="14"/>
  <c r="EV49" i="14" s="1"/>
  <c r="DH51" i="14"/>
  <c r="DF52" i="14"/>
  <c r="EU52" i="14" s="1"/>
  <c r="DG53" i="14"/>
  <c r="EV53" i="14" s="1"/>
  <c r="DF40" i="14"/>
  <c r="EU40" i="14" s="1"/>
  <c r="DF41" i="14"/>
  <c r="EU41" i="14" s="1"/>
  <c r="DG41" i="14"/>
  <c r="EV41" i="14" s="1"/>
  <c r="DH41" i="14"/>
  <c r="DF42" i="14"/>
  <c r="EU42" i="14" s="1"/>
  <c r="DG42" i="14"/>
  <c r="EV42" i="14" s="1"/>
  <c r="DH42" i="14"/>
  <c r="DF43" i="14"/>
  <c r="EU43" i="14" s="1"/>
  <c r="DG43" i="14"/>
  <c r="EV43" i="14" s="1"/>
  <c r="DH43" i="14"/>
  <c r="DF44" i="14"/>
  <c r="EU44" i="14" s="1"/>
  <c r="DG44" i="14"/>
  <c r="EV44" i="14" s="1"/>
  <c r="DH44" i="14"/>
  <c r="DF45" i="14"/>
  <c r="EU45" i="14" s="1"/>
  <c r="DF48" i="14"/>
  <c r="EU48" i="14" s="1"/>
  <c r="DH50" i="14"/>
  <c r="DG51" i="14"/>
  <c r="EV51" i="14" s="1"/>
  <c r="DF46" i="14"/>
  <c r="EU46" i="14" s="1"/>
  <c r="DF47" i="14"/>
  <c r="EU47" i="14" s="1"/>
  <c r="DF50" i="14"/>
  <c r="EU50" i="14" s="1"/>
  <c r="DG52" i="14"/>
  <c r="EV52" i="14" s="1"/>
  <c r="DF53" i="14"/>
  <c r="EU53" i="14" s="1"/>
  <c r="DH40" i="14"/>
  <c r="DG45" i="14"/>
  <c r="EV45" i="14" s="1"/>
  <c r="DH46" i="14"/>
  <c r="DG48" i="14"/>
  <c r="EV48" i="14" s="1"/>
  <c r="DH49" i="14"/>
  <c r="DG50" i="14"/>
  <c r="EV50" i="14" s="1"/>
  <c r="DF51" i="14"/>
  <c r="EU51" i="14" s="1"/>
  <c r="DE40" i="14"/>
  <c r="ET40" i="14" s="1"/>
  <c r="DH45" i="14"/>
  <c r="DH47" i="14"/>
  <c r="DF49" i="14"/>
  <c r="EU49" i="14" s="1"/>
  <c r="DH52" i="14"/>
  <c r="DH53" i="14"/>
  <c r="BX79" i="14"/>
  <c r="BW79" i="14"/>
  <c r="BV79" i="14"/>
  <c r="BX78" i="14"/>
  <c r="BW78" i="14"/>
  <c r="BV78" i="14"/>
  <c r="BX77" i="14"/>
  <c r="BW77" i="14"/>
  <c r="BV77" i="14"/>
  <c r="BX76" i="14"/>
  <c r="BW76" i="14"/>
  <c r="BV76" i="14"/>
  <c r="BV74" i="14"/>
  <c r="BW70" i="14"/>
  <c r="BX70" i="14"/>
  <c r="BX71" i="14"/>
  <c r="BW71" i="14"/>
  <c r="BW72" i="14"/>
  <c r="BX73" i="14"/>
  <c r="BX74" i="14"/>
  <c r="BV80" i="14"/>
  <c r="BW80" i="14"/>
  <c r="BX80" i="14"/>
  <c r="BV81" i="14"/>
  <c r="BW81" i="14"/>
  <c r="BX81" i="14"/>
  <c r="BV82" i="14"/>
  <c r="BW82" i="14"/>
  <c r="BX82" i="14"/>
  <c r="BV83" i="14"/>
  <c r="BW83" i="14"/>
  <c r="BX83" i="14"/>
  <c r="BX72" i="14"/>
  <c r="BW73" i="14"/>
  <c r="BW74" i="14"/>
  <c r="BV75" i="14"/>
  <c r="BW75" i="14"/>
  <c r="BX75" i="14"/>
  <c r="BQ79" i="14"/>
  <c r="BP79" i="14"/>
  <c r="BQ78" i="14"/>
  <c r="BP78" i="14"/>
  <c r="BQ77" i="14"/>
  <c r="BP77" i="14"/>
  <c r="BQ76" i="14"/>
  <c r="BP76" i="14"/>
  <c r="BP74" i="14"/>
  <c r="BQ71" i="14"/>
  <c r="BQ70" i="14"/>
  <c r="BP72" i="14"/>
  <c r="BQ73" i="14"/>
  <c r="BQ74" i="14"/>
  <c r="BP80" i="14"/>
  <c r="BQ80" i="14"/>
  <c r="BP81" i="14"/>
  <c r="BQ81" i="14"/>
  <c r="BP82" i="14"/>
  <c r="BQ82" i="14"/>
  <c r="BP83" i="14"/>
  <c r="BQ83" i="14"/>
  <c r="BP70" i="14"/>
  <c r="BP71" i="14"/>
  <c r="BQ72" i="14"/>
  <c r="BP73" i="14"/>
  <c r="BP75" i="14"/>
  <c r="BQ75" i="14"/>
  <c r="DI41" i="14"/>
  <c r="EW41" i="14" s="1"/>
  <c r="DJ41" i="14"/>
  <c r="EX41" i="14" s="1"/>
  <c r="DK41" i="14"/>
  <c r="EY41" i="14" s="1"/>
  <c r="DL41" i="14"/>
  <c r="DI42" i="14"/>
  <c r="EW42" i="14" s="1"/>
  <c r="DJ42" i="14"/>
  <c r="EX42" i="14" s="1"/>
  <c r="DK42" i="14"/>
  <c r="EY42" i="14" s="1"/>
  <c r="DL42" i="14"/>
  <c r="DJ43" i="14"/>
  <c r="EX43" i="14" s="1"/>
  <c r="DK43" i="14"/>
  <c r="EY43" i="14" s="1"/>
  <c r="DL43" i="14"/>
  <c r="DJ44" i="14"/>
  <c r="EX44" i="14" s="1"/>
  <c r="DK44" i="14"/>
  <c r="EY44" i="14" s="1"/>
  <c r="DL44" i="14"/>
  <c r="DJ40" i="14"/>
  <c r="EX40" i="14" s="1"/>
  <c r="DJ47" i="14"/>
  <c r="EX47" i="14" s="1"/>
  <c r="DL49" i="14"/>
  <c r="DL50" i="14"/>
  <c r="DK40" i="14"/>
  <c r="EY40" i="14" s="1"/>
  <c r="DL45" i="14"/>
  <c r="DK46" i="14"/>
  <c r="EY46" i="14" s="1"/>
  <c r="DL47" i="14"/>
  <c r="DJ48" i="14"/>
  <c r="EX48" i="14" s="1"/>
  <c r="DJ49" i="14"/>
  <c r="EX49" i="14" s="1"/>
  <c r="DJ50" i="14"/>
  <c r="EX50" i="14" s="1"/>
  <c r="DL51" i="14"/>
  <c r="DJ52" i="14"/>
  <c r="EX52" i="14" s="1"/>
  <c r="DI40" i="14"/>
  <c r="EW40" i="14" s="1"/>
  <c r="DL40" i="14"/>
  <c r="DK45" i="14"/>
  <c r="EY45" i="14" s="1"/>
  <c r="DJ46" i="14"/>
  <c r="EX46" i="14" s="1"/>
  <c r="DK48" i="14"/>
  <c r="EY48" i="14" s="1"/>
  <c r="DJ51" i="14"/>
  <c r="EX51" i="14" s="1"/>
  <c r="DK52" i="14"/>
  <c r="EY52" i="14" s="1"/>
  <c r="DK53" i="14"/>
  <c r="EY53" i="14" s="1"/>
  <c r="DJ45" i="14"/>
  <c r="EX45" i="14" s="1"/>
  <c r="DL46" i="14"/>
  <c r="DK47" i="14"/>
  <c r="EY47" i="14" s="1"/>
  <c r="DL48" i="14"/>
  <c r="DK49" i="14"/>
  <c r="EY49" i="14" s="1"/>
  <c r="DK50" i="14"/>
  <c r="EY50" i="14" s="1"/>
  <c r="DK51" i="14"/>
  <c r="EY51" i="14" s="1"/>
  <c r="DL52" i="14"/>
  <c r="DJ53" i="14"/>
  <c r="EX53" i="14" s="1"/>
  <c r="DL53" i="14"/>
  <c r="DP45" i="14"/>
  <c r="DP48" i="14"/>
  <c r="DO49" i="14"/>
  <c r="FB49" i="14" s="1"/>
  <c r="DO50" i="14"/>
  <c r="FB50" i="14" s="1"/>
  <c r="DO52" i="14"/>
  <c r="FB52" i="14" s="1"/>
  <c r="DP53" i="14"/>
  <c r="DN40" i="14"/>
  <c r="FA40" i="14" s="1"/>
  <c r="DN45" i="14"/>
  <c r="FA45" i="14" s="1"/>
  <c r="DP49" i="14"/>
  <c r="DP50" i="14"/>
  <c r="DP51" i="14"/>
  <c r="DO53" i="14"/>
  <c r="FB53" i="14" s="1"/>
  <c r="DO40" i="14"/>
  <c r="FB40" i="14" s="1"/>
  <c r="DP40" i="14"/>
  <c r="DM41" i="14"/>
  <c r="EZ41" i="14" s="1"/>
  <c r="DN41" i="14"/>
  <c r="FA41" i="14" s="1"/>
  <c r="DO41" i="14"/>
  <c r="FB41" i="14" s="1"/>
  <c r="DP41" i="14"/>
  <c r="DN42" i="14"/>
  <c r="FA42" i="14" s="1"/>
  <c r="DO42" i="14"/>
  <c r="FB42" i="14" s="1"/>
  <c r="DP42" i="14"/>
  <c r="DN43" i="14"/>
  <c r="FA43" i="14" s="1"/>
  <c r="DO43" i="14"/>
  <c r="FB43" i="14" s="1"/>
  <c r="DP43" i="14"/>
  <c r="DN44" i="14"/>
  <c r="FA44" i="14" s="1"/>
  <c r="DO44" i="14"/>
  <c r="FB44" i="14" s="1"/>
  <c r="DP44" i="14"/>
  <c r="DP46" i="14"/>
  <c r="DO47" i="14"/>
  <c r="FB47" i="14" s="1"/>
  <c r="DN48" i="14"/>
  <c r="FA48" i="14" s="1"/>
  <c r="DO51" i="14"/>
  <c r="FB51" i="14" s="1"/>
  <c r="DM40" i="14"/>
  <c r="EZ40" i="14" s="1"/>
  <c r="DO46" i="14"/>
  <c r="FB46" i="14" s="1"/>
  <c r="DN47" i="14"/>
  <c r="FA47" i="14" s="1"/>
  <c r="DN51" i="14"/>
  <c r="FA51" i="14" s="1"/>
  <c r="DP52" i="14"/>
  <c r="DN53" i="14"/>
  <c r="FA53" i="14" s="1"/>
  <c r="DO45" i="14"/>
  <c r="FB45" i="14" s="1"/>
  <c r="DN46" i="14"/>
  <c r="FA46" i="14" s="1"/>
  <c r="DP47" i="14"/>
  <c r="DO48" i="14"/>
  <c r="FB48" i="14" s="1"/>
  <c r="DN49" i="14"/>
  <c r="FA49" i="14" s="1"/>
  <c r="DN50" i="14"/>
  <c r="FA50" i="14" s="1"/>
  <c r="DN52" i="14"/>
  <c r="FA52" i="14" s="1"/>
  <c r="BU74" i="14"/>
  <c r="BU75" i="14"/>
  <c r="BU70" i="14"/>
  <c r="BU71" i="14"/>
  <c r="BU72" i="14"/>
  <c r="BU73" i="14"/>
  <c r="BU76" i="14"/>
  <c r="BU77" i="14"/>
  <c r="BU78" i="14"/>
  <c r="BU79" i="14"/>
  <c r="BU80" i="14"/>
  <c r="BU81" i="14"/>
  <c r="BU82" i="14"/>
  <c r="BU83" i="14"/>
  <c r="L141" i="14"/>
  <c r="M141" i="14"/>
  <c r="E121" i="14"/>
  <c r="H121" i="14" s="1"/>
  <c r="E119" i="14"/>
  <c r="H119" i="14" s="1"/>
  <c r="E118" i="14"/>
  <c r="H118" i="14" s="1"/>
  <c r="E120" i="14"/>
  <c r="H120" i="14" s="1"/>
  <c r="E115" i="14"/>
  <c r="H115" i="14" s="1"/>
  <c r="E117" i="14"/>
  <c r="H117" i="14" s="1"/>
  <c r="E116" i="14"/>
  <c r="H116" i="14" s="1"/>
  <c r="E114" i="14"/>
  <c r="D120" i="14"/>
  <c r="D119" i="14"/>
  <c r="D117" i="14"/>
  <c r="D116" i="14"/>
  <c r="D121" i="14"/>
  <c r="D118" i="14"/>
  <c r="D115" i="14"/>
  <c r="D114" i="14"/>
  <c r="C121" i="14"/>
  <c r="C118" i="14"/>
  <c r="C119" i="14"/>
  <c r="C117" i="14"/>
  <c r="C116" i="14"/>
  <c r="C120" i="14"/>
  <c r="C115" i="14"/>
  <c r="C114" i="14"/>
  <c r="H99" i="14"/>
  <c r="M99" i="14"/>
  <c r="L124" i="14"/>
  <c r="K142" i="14"/>
  <c r="J153" i="14"/>
  <c r="B11" i="14"/>
  <c r="B10" i="14"/>
  <c r="F21" i="14"/>
  <c r="J10" i="14"/>
  <c r="I99" i="14"/>
  <c r="FC69" i="3" a="1"/>
  <c r="FE69" i="3" a="1"/>
  <c r="FD69" i="3" a="1"/>
  <c r="EB81" i="3"/>
  <c r="BH74" i="3"/>
  <c r="BG71" i="3"/>
  <c r="BG76" i="3"/>
  <c r="BG77" i="3"/>
  <c r="BI82" i="3"/>
  <c r="BH82" i="3"/>
  <c r="BG75" i="3"/>
  <c r="BG81" i="3"/>
  <c r="BG80" i="3"/>
  <c r="EB71" i="3"/>
  <c r="EB74" i="3"/>
  <c r="EB76" i="3"/>
  <c r="EB78" i="3"/>
  <c r="BY82" i="3"/>
  <c r="DC80" i="3"/>
  <c r="BZ80" i="3"/>
  <c r="DB82" i="3"/>
  <c r="E110" i="3"/>
  <c r="D110" i="3"/>
  <c r="C110" i="3"/>
  <c r="E109" i="3"/>
  <c r="D109" i="3"/>
  <c r="C109" i="3"/>
  <c r="E108" i="3"/>
  <c r="D108" i="3"/>
  <c r="C108" i="3"/>
  <c r="E107" i="3"/>
  <c r="D107" i="3"/>
  <c r="C107" i="3"/>
  <c r="E106" i="3"/>
  <c r="D106" i="3"/>
  <c r="C106" i="3"/>
  <c r="E105" i="3"/>
  <c r="D105" i="3"/>
  <c r="C105" i="3"/>
  <c r="E104" i="3"/>
  <c r="D104" i="3"/>
  <c r="C104" i="3"/>
  <c r="D126" i="3"/>
  <c r="H126" i="3" s="1"/>
  <c r="CA81" i="3"/>
  <c r="CA83" i="3"/>
  <c r="DD81" i="3"/>
  <c r="DD83" i="3"/>
  <c r="EA70" i="3"/>
  <c r="DZ70" i="3"/>
  <c r="EA72" i="3"/>
  <c r="DZ72" i="3"/>
  <c r="EA73" i="3"/>
  <c r="DZ73" i="3"/>
  <c r="EA74" i="3"/>
  <c r="EA78" i="3"/>
  <c r="DZ78" i="3"/>
  <c r="EA79" i="3"/>
  <c r="DZ79" i="3"/>
  <c r="EA83" i="3"/>
  <c r="DZ83" i="3"/>
  <c r="DB71" i="3"/>
  <c r="DB75" i="3"/>
  <c r="BY71" i="3"/>
  <c r="BY75" i="3"/>
  <c r="DW83" i="3" a="1"/>
  <c r="DW83" i="3" s="1"/>
  <c r="DX72" i="3" a="1"/>
  <c r="DX72" i="3" s="1"/>
  <c r="DX75" i="3" a="1"/>
  <c r="DX75" i="3" s="1"/>
  <c r="EE83" i="3" a="1"/>
  <c r="EE83" i="3" s="1"/>
  <c r="DV71" i="3" a="1"/>
  <c r="DV71" i="3" s="1"/>
  <c r="DV72" i="3" a="1"/>
  <c r="DV72" i="3" s="1"/>
  <c r="DV74" i="3" a="1"/>
  <c r="DV74" i="3" s="1"/>
  <c r="DV76" i="3" a="1"/>
  <c r="DV76" i="3" s="1"/>
  <c r="DV77" i="3" a="1"/>
  <c r="DV77" i="3" s="1"/>
  <c r="DV78" i="3" a="1"/>
  <c r="DV78" i="3" s="1"/>
  <c r="DV79" i="3" a="1"/>
  <c r="DV79" i="3" s="1"/>
  <c r="DV80" i="3" a="1"/>
  <c r="DV80" i="3" s="1"/>
  <c r="DV81" i="3" a="1"/>
  <c r="DV81" i="3" s="1"/>
  <c r="DV82" i="3" a="1"/>
  <c r="DV82" i="3" s="1"/>
  <c r="DV83" i="3" a="1"/>
  <c r="DV83" i="3" s="1"/>
  <c r="DW70" i="3" a="1"/>
  <c r="DW70" i="3" s="1"/>
  <c r="DW71" i="3" a="1"/>
  <c r="DW71" i="3" s="1"/>
  <c r="DW72" i="3" a="1"/>
  <c r="DW72" i="3" s="1"/>
  <c r="DW73" i="3" a="1"/>
  <c r="DW73" i="3" s="1"/>
  <c r="DW74" i="3" a="1"/>
  <c r="DW74" i="3" s="1"/>
  <c r="DW75" i="3" a="1"/>
  <c r="DW75" i="3" s="1"/>
  <c r="DW76" i="3" a="1"/>
  <c r="DW76" i="3" s="1"/>
  <c r="DW77" i="3" a="1"/>
  <c r="DW77" i="3" s="1"/>
  <c r="DW78" i="3" a="1"/>
  <c r="DW78" i="3" s="1"/>
  <c r="DW79" i="3" a="1"/>
  <c r="DW79" i="3" s="1"/>
  <c r="DW80" i="3" a="1"/>
  <c r="DW80" i="3" s="1"/>
  <c r="DW81" i="3" a="1"/>
  <c r="DW81" i="3" s="1"/>
  <c r="DW82" i="3" a="1"/>
  <c r="DW82" i="3" s="1"/>
  <c r="DX70" i="3" a="1"/>
  <c r="DX70" i="3" s="1"/>
  <c r="DX71" i="3" a="1"/>
  <c r="DX71" i="3" s="1"/>
  <c r="DX73" i="3" a="1"/>
  <c r="DX73" i="3" s="1"/>
  <c r="DX74" i="3" a="1"/>
  <c r="DX74" i="3" s="1"/>
  <c r="DX76" i="3" a="1"/>
  <c r="DX76" i="3" s="1"/>
  <c r="DX77" i="3" a="1"/>
  <c r="DX77" i="3" s="1"/>
  <c r="DX78" i="3" a="1"/>
  <c r="DX78" i="3" s="1"/>
  <c r="DX79" i="3" a="1"/>
  <c r="DX79" i="3" s="1"/>
  <c r="DX80" i="3" a="1"/>
  <c r="DX80" i="3" s="1"/>
  <c r="DX81" i="3" a="1"/>
  <c r="DX81" i="3" s="1"/>
  <c r="DX82" i="3" a="1"/>
  <c r="DX82" i="3" s="1"/>
  <c r="DX83" i="3" a="1"/>
  <c r="DX83" i="3" s="1"/>
  <c r="EE70" i="3" a="1"/>
  <c r="EE70" i="3" s="1"/>
  <c r="EE71" i="3" a="1"/>
  <c r="EE71" i="3" s="1"/>
  <c r="EE72" i="3" a="1"/>
  <c r="EE72" i="3" s="1"/>
  <c r="EE73" i="3" a="1"/>
  <c r="EE73" i="3" s="1"/>
  <c r="EE74" i="3" a="1"/>
  <c r="EE74" i="3" s="1"/>
  <c r="EE75" i="3" a="1"/>
  <c r="EE75" i="3" s="1"/>
  <c r="EE76" i="3" a="1"/>
  <c r="EE76" i="3" s="1"/>
  <c r="EE77" i="3" a="1"/>
  <c r="EE77" i="3" s="1"/>
  <c r="EE81" i="3" a="1"/>
  <c r="EE81" i="3" s="1"/>
  <c r="EE79" i="3" a="1"/>
  <c r="EE79" i="3" s="1"/>
  <c r="EE80" i="3" a="1"/>
  <c r="EE80" i="3" s="1"/>
  <c r="EE82" i="3" a="1"/>
  <c r="EE82" i="3" s="1"/>
  <c r="DV70" i="3" a="1"/>
  <c r="DV70" i="3" s="1"/>
  <c r="DV73" i="3" a="1"/>
  <c r="DV73" i="3" s="1"/>
  <c r="DV75" i="3" a="1"/>
  <c r="DV75" i="3" s="1"/>
  <c r="EE78" i="3" a="1"/>
  <c r="EE78" i="3" s="1"/>
  <c r="DS72" i="3" a="1"/>
  <c r="DS72" i="3" s="1"/>
  <c r="DS76" i="3" a="1"/>
  <c r="DS76" i="3" s="1"/>
  <c r="DS80" i="3" a="1"/>
  <c r="DS80" i="3" s="1"/>
  <c r="DT70" i="3" a="1"/>
  <c r="DT70" i="3" s="1"/>
  <c r="DT73" i="3" a="1"/>
  <c r="DT73" i="3" s="1"/>
  <c r="DT76" i="3" a="1"/>
  <c r="DT76" i="3" s="1"/>
  <c r="DT79" i="3" a="1"/>
  <c r="DT79" i="3" s="1"/>
  <c r="DT82" i="3" a="1"/>
  <c r="DT82" i="3" s="1"/>
  <c r="DU73" i="3" a="1"/>
  <c r="DU73" i="3" s="1"/>
  <c r="DU75" i="3" a="1"/>
  <c r="DU75" i="3" s="1"/>
  <c r="ED74" i="3" a="1"/>
  <c r="ED74" i="3" s="1"/>
  <c r="ED78" i="3" a="1"/>
  <c r="ED78" i="3" s="1"/>
  <c r="ED80" i="3" a="1"/>
  <c r="ED80" i="3" s="1"/>
  <c r="ED82" i="3" a="1"/>
  <c r="ED82" i="3" s="1"/>
  <c r="DS71" i="3" a="1"/>
  <c r="DS71" i="3" s="1"/>
  <c r="DS74" i="3" a="1"/>
  <c r="DS74" i="3" s="1"/>
  <c r="DS78" i="3" a="1"/>
  <c r="DS78" i="3" s="1"/>
  <c r="DS83" i="3" a="1"/>
  <c r="DS83" i="3" s="1"/>
  <c r="DT72" i="3" a="1"/>
  <c r="DT72" i="3" s="1"/>
  <c r="DT75" i="3" a="1"/>
  <c r="DT75" i="3" s="1"/>
  <c r="DT77" i="3" a="1"/>
  <c r="DT77" i="3" s="1"/>
  <c r="DT81" i="3" a="1"/>
  <c r="DT81" i="3" s="1"/>
  <c r="DU70" i="3" a="1"/>
  <c r="DU70" i="3" s="1"/>
  <c r="DU71" i="3" a="1"/>
  <c r="DU71" i="3" s="1"/>
  <c r="DU74" i="3" a="1"/>
  <c r="DU74" i="3" s="1"/>
  <c r="DU77" i="3" a="1"/>
  <c r="DU77" i="3" s="1"/>
  <c r="DU78" i="3" a="1"/>
  <c r="DU78" i="3" s="1"/>
  <c r="DU79" i="3" a="1"/>
  <c r="DU79" i="3" s="1"/>
  <c r="DU80" i="3" a="1"/>
  <c r="DU80" i="3" s="1"/>
  <c r="DU81" i="3" a="1"/>
  <c r="DU81" i="3" s="1"/>
  <c r="DU82" i="3" a="1"/>
  <c r="DU82" i="3" s="1"/>
  <c r="DU83" i="3" a="1"/>
  <c r="DU83" i="3" s="1"/>
  <c r="ED70" i="3" a="1"/>
  <c r="ED70" i="3" s="1"/>
  <c r="ED71" i="3" a="1"/>
  <c r="ED71" i="3" s="1"/>
  <c r="ED72" i="3" a="1"/>
  <c r="ED72" i="3" s="1"/>
  <c r="ED73" i="3" a="1"/>
  <c r="ED73" i="3" s="1"/>
  <c r="DS77" i="3" a="1"/>
  <c r="DS77" i="3" s="1"/>
  <c r="DS70" i="3" a="1"/>
  <c r="DS70" i="3" s="1"/>
  <c r="DS75" i="3" a="1"/>
  <c r="DS75" i="3" s="1"/>
  <c r="DS79" i="3" a="1"/>
  <c r="DS79" i="3" s="1"/>
  <c r="DS82" i="3" a="1"/>
  <c r="DS82" i="3" s="1"/>
  <c r="DT71" i="3" a="1"/>
  <c r="DT71" i="3" s="1"/>
  <c r="DT74" i="3" a="1"/>
  <c r="DT74" i="3" s="1"/>
  <c r="DT78" i="3" a="1"/>
  <c r="DT78" i="3" s="1"/>
  <c r="DT80" i="3" a="1"/>
  <c r="DT80" i="3" s="1"/>
  <c r="DT83" i="3" a="1"/>
  <c r="DT83" i="3" s="1"/>
  <c r="DU72" i="3" a="1"/>
  <c r="DU72" i="3" s="1"/>
  <c r="DU76" i="3" a="1"/>
  <c r="DU76" i="3" s="1"/>
  <c r="ED75" i="3" a="1"/>
  <c r="ED75" i="3" s="1"/>
  <c r="ED77" i="3" a="1"/>
  <c r="ED77" i="3" s="1"/>
  <c r="ED79" i="3" a="1"/>
  <c r="ED79" i="3" s="1"/>
  <c r="ED81" i="3" a="1"/>
  <c r="ED81" i="3" s="1"/>
  <c r="ED83" i="3" a="1"/>
  <c r="ED83" i="3" s="1"/>
  <c r="DS73" i="3" a="1"/>
  <c r="DS73" i="3" s="1"/>
  <c r="DS81" i="3" a="1"/>
  <c r="DS81" i="3" s="1"/>
  <c r="ED76" i="3" a="1"/>
  <c r="ED76" i="3" s="1"/>
  <c r="EC80" i="3" a="1"/>
  <c r="EC80" i="3" s="1"/>
  <c r="EC77" i="3" a="1"/>
  <c r="EC77" i="3" s="1"/>
  <c r="EC72" i="3" a="1"/>
  <c r="EC72" i="3" s="1"/>
  <c r="DR83" i="3" a="1"/>
  <c r="DR83" i="3" s="1"/>
  <c r="DR78" i="3" a="1"/>
  <c r="DR78" i="3" s="1"/>
  <c r="DR74" i="3" a="1"/>
  <c r="DR74" i="3" s="1"/>
  <c r="DR70" i="3" a="1"/>
  <c r="DR70" i="3" s="1"/>
  <c r="DQ80" i="3" a="1"/>
  <c r="DQ80" i="3" s="1"/>
  <c r="DQ76" i="3" a="1"/>
  <c r="DQ76" i="3" s="1"/>
  <c r="DQ71" i="3" a="1"/>
  <c r="DQ71" i="3" s="1"/>
  <c r="DP82" i="3" a="1"/>
  <c r="DP82" i="3" s="1"/>
  <c r="DP79" i="3" a="1"/>
  <c r="DP79" i="3" s="1"/>
  <c r="DP75" i="3" a="1"/>
  <c r="DP75" i="3" s="1"/>
  <c r="DP72" i="3" a="1"/>
  <c r="DP72" i="3" s="1"/>
  <c r="EC83" i="3" a="1"/>
  <c r="EC83" i="3" s="1"/>
  <c r="EC74" i="3" a="1"/>
  <c r="EC74" i="3" s="1"/>
  <c r="DR80" i="3" a="1"/>
  <c r="DR80" i="3" s="1"/>
  <c r="DR72" i="3" a="1"/>
  <c r="DR72" i="3" s="1"/>
  <c r="DQ73" i="3" a="1"/>
  <c r="DQ73" i="3" s="1"/>
  <c r="DR77" i="3" a="1"/>
  <c r="DR77" i="3" s="1"/>
  <c r="DQ79" i="3" a="1"/>
  <c r="DQ79" i="3" s="1"/>
  <c r="DQ70" i="3" a="1"/>
  <c r="DQ70" i="3" s="1"/>
  <c r="DP76" i="3" a="1"/>
  <c r="DP76" i="3" s="1"/>
  <c r="DP70" i="3" a="1"/>
  <c r="DP70" i="3" s="1"/>
  <c r="EC81" i="3" a="1"/>
  <c r="EC81" i="3" s="1"/>
  <c r="EC78" i="3" a="1"/>
  <c r="EC78" i="3" s="1"/>
  <c r="EC75" i="3" a="1"/>
  <c r="EC75" i="3" s="1"/>
  <c r="EC71" i="3" a="1"/>
  <c r="EC71" i="3" s="1"/>
  <c r="DR81" i="3" a="1"/>
  <c r="DR81" i="3" s="1"/>
  <c r="DR73" i="3" a="1"/>
  <c r="DR73" i="3" s="1"/>
  <c r="DQ81" i="3" a="1"/>
  <c r="DQ81" i="3" s="1"/>
  <c r="DQ77" i="3" a="1"/>
  <c r="DQ77" i="3" s="1"/>
  <c r="DQ74" i="3" a="1"/>
  <c r="DQ74" i="3" s="1"/>
  <c r="DP81" i="3" a="1"/>
  <c r="DP81" i="3" s="1"/>
  <c r="DP77" i="3" a="1"/>
  <c r="DP77" i="3" s="1"/>
  <c r="DP73" i="3" a="1"/>
  <c r="DP73" i="3" s="1"/>
  <c r="DP71" i="3" a="1"/>
  <c r="DP71" i="3" s="1"/>
  <c r="DR82" i="3" a="1"/>
  <c r="DR82" i="3" s="1"/>
  <c r="DQ83" i="3" a="1"/>
  <c r="DQ83" i="3" s="1"/>
  <c r="DP78" i="3" a="1"/>
  <c r="DP78" i="3" s="1"/>
  <c r="EC82" i="3" a="1"/>
  <c r="EC82" i="3" s="1"/>
  <c r="EC79" i="3" a="1"/>
  <c r="EC79" i="3" s="1"/>
  <c r="EC76" i="3" a="1"/>
  <c r="EC76" i="3" s="1"/>
  <c r="EC73" i="3" a="1"/>
  <c r="EC73" i="3" s="1"/>
  <c r="EC70" i="3" a="1"/>
  <c r="EC70" i="3" s="1"/>
  <c r="DR79" i="3" a="1"/>
  <c r="DR79" i="3" s="1"/>
  <c r="DR75" i="3" a="1"/>
  <c r="DR75" i="3" s="1"/>
  <c r="DR71" i="3" a="1"/>
  <c r="DR71" i="3" s="1"/>
  <c r="DQ82" i="3" a="1"/>
  <c r="DQ82" i="3" s="1"/>
  <c r="DQ78" i="3" a="1"/>
  <c r="DQ78" i="3" s="1"/>
  <c r="DQ75" i="3" a="1"/>
  <c r="DQ75" i="3" s="1"/>
  <c r="DQ72" i="3" a="1"/>
  <c r="DQ72" i="3" s="1"/>
  <c r="DP83" i="3" a="1"/>
  <c r="DP83" i="3" s="1"/>
  <c r="DP80" i="3" a="1"/>
  <c r="DP80" i="3" s="1"/>
  <c r="DP74" i="3" a="1"/>
  <c r="DP74" i="3" s="1"/>
  <c r="DR76" i="3" a="1"/>
  <c r="DR76" i="3" s="1"/>
  <c r="H110" i="3"/>
  <c r="G110" i="3"/>
  <c r="CA80" i="3"/>
  <c r="CA71" i="3"/>
  <c r="DD80" i="3"/>
  <c r="DD71" i="3"/>
  <c r="H109" i="3"/>
  <c r="G109" i="3"/>
  <c r="F109" i="3"/>
  <c r="H107" i="3"/>
  <c r="G107" i="3"/>
  <c r="F107" i="3"/>
  <c r="H106" i="3"/>
  <c r="G106" i="3"/>
  <c r="F106" i="3"/>
  <c r="H108" i="3"/>
  <c r="G108" i="3"/>
  <c r="F108" i="3"/>
  <c r="H105" i="3"/>
  <c r="G105" i="3"/>
  <c r="F105" i="3"/>
  <c r="H104" i="3"/>
  <c r="G104" i="3"/>
  <c r="F104" i="3"/>
  <c r="F110" i="3"/>
  <c r="D125" i="3"/>
  <c r="H125" i="3" s="1"/>
  <c r="J142" i="3"/>
  <c r="E99" i="3"/>
  <c r="AL87" i="3"/>
  <c r="E127" i="3"/>
  <c r="K141" i="3"/>
  <c r="H10" i="3"/>
  <c r="AN87" i="3"/>
  <c r="AM87" i="3"/>
  <c r="DY72" i="3"/>
  <c r="DY74" i="3"/>
  <c r="M139" i="3"/>
  <c r="L139" i="3"/>
  <c r="DY83" i="3"/>
  <c r="DY78" i="3"/>
  <c r="DY79" i="3"/>
  <c r="DY82" i="3"/>
  <c r="DY70" i="3"/>
  <c r="DY73" i="3"/>
  <c r="DD73" i="3"/>
  <c r="CA73" i="3"/>
  <c r="DC71" i="3"/>
  <c r="DC74" i="3"/>
  <c r="DC79" i="3"/>
  <c r="DC77" i="3"/>
  <c r="DC78" i="3"/>
  <c r="DC73" i="3"/>
  <c r="BZ71" i="3"/>
  <c r="BZ79" i="3"/>
  <c r="BZ74" i="3"/>
  <c r="BZ77" i="3"/>
  <c r="BZ78" i="3"/>
  <c r="BZ73" i="3"/>
  <c r="DB72" i="3"/>
  <c r="BY72" i="3"/>
  <c r="M154" i="3"/>
  <c r="L154" i="3"/>
  <c r="M140" i="3"/>
  <c r="L140" i="3"/>
  <c r="B18" i="3"/>
  <c r="L136" i="3"/>
  <c r="M136" i="3"/>
  <c r="CA77" i="3"/>
  <c r="CA70" i="3"/>
  <c r="DC72" i="3"/>
  <c r="DC75" i="3"/>
  <c r="DC76" i="3"/>
  <c r="DC70" i="3"/>
  <c r="BZ75" i="3"/>
  <c r="BZ72" i="3"/>
  <c r="BZ76" i="3"/>
  <c r="BZ70" i="3"/>
  <c r="DB78" i="3"/>
  <c r="DB74" i="3"/>
  <c r="DB73" i="3"/>
  <c r="DB79" i="3"/>
  <c r="DB70" i="3"/>
  <c r="DD77" i="3"/>
  <c r="DD70" i="3"/>
  <c r="BY78" i="3"/>
  <c r="BY74" i="3"/>
  <c r="BY73" i="3"/>
  <c r="BY79" i="3"/>
  <c r="BY70" i="3"/>
  <c r="DM42" i="14" l="1"/>
  <c r="EZ42" i="14" s="1"/>
  <c r="DE41" i="14"/>
  <c r="DI43" i="14"/>
  <c r="EW43" i="14" s="1"/>
  <c r="L142" i="14"/>
  <c r="M142" i="14"/>
  <c r="L153" i="14"/>
  <c r="M153" i="14"/>
  <c r="M129" i="14" s="1"/>
  <c r="FC69" i="3"/>
  <c r="BG68" i="3"/>
  <c r="EA71" i="3"/>
  <c r="FE69" i="3"/>
  <c r="DZ71" i="3"/>
  <c r="FD69" i="3"/>
  <c r="DZ74" i="3"/>
  <c r="DZ75" i="3"/>
  <c r="EA76" i="3"/>
  <c r="DZ76" i="3"/>
  <c r="EA77" i="3"/>
  <c r="DZ77" i="3"/>
  <c r="EA80" i="3"/>
  <c r="DZ80" i="3"/>
  <c r="EA81" i="3"/>
  <c r="DZ81" i="3"/>
  <c r="EA82" i="3"/>
  <c r="DZ82" i="3"/>
  <c r="EA75" i="3"/>
  <c r="DY71" i="3"/>
  <c r="DY75" i="3"/>
  <c r="DY76" i="3"/>
  <c r="DY77" i="3"/>
  <c r="DY80" i="3"/>
  <c r="DY81" i="3"/>
  <c r="E115" i="3"/>
  <c r="H115" i="3" s="1"/>
  <c r="E116" i="3"/>
  <c r="H116" i="3" s="1"/>
  <c r="E117" i="3"/>
  <c r="H117" i="3" s="1"/>
  <c r="E118" i="3"/>
  <c r="H118" i="3" s="1"/>
  <c r="E119" i="3"/>
  <c r="H119" i="3" s="1"/>
  <c r="E120" i="3"/>
  <c r="H120" i="3" s="1"/>
  <c r="E121" i="3"/>
  <c r="H121" i="3" s="1"/>
  <c r="E114" i="3"/>
  <c r="D115" i="3"/>
  <c r="D116" i="3"/>
  <c r="D117" i="3"/>
  <c r="D118" i="3"/>
  <c r="D119" i="3"/>
  <c r="D120" i="3"/>
  <c r="D121" i="3"/>
  <c r="D114" i="3"/>
  <c r="C115" i="3"/>
  <c r="C116" i="3"/>
  <c r="C117" i="3"/>
  <c r="C118" i="3"/>
  <c r="C119" i="3"/>
  <c r="C120" i="3"/>
  <c r="C121" i="3"/>
  <c r="C114" i="3"/>
  <c r="I110" i="3"/>
  <c r="I106" i="3"/>
  <c r="I104" i="3"/>
  <c r="I105" i="3"/>
  <c r="I107" i="3"/>
  <c r="I108" i="3"/>
  <c r="I109" i="3"/>
  <c r="B11" i="3"/>
  <c r="J153" i="3"/>
  <c r="H99" i="3"/>
  <c r="M99" i="3"/>
  <c r="K142" i="3"/>
  <c r="M141" i="3"/>
  <c r="L141" i="3"/>
  <c r="L124" i="3"/>
  <c r="B10" i="3"/>
  <c r="F21" i="3"/>
  <c r="J10" i="3"/>
  <c r="I99" i="3"/>
  <c r="BW70" i="3"/>
  <c r="BX83" i="3"/>
  <c r="BW83" i="3"/>
  <c r="BV83" i="3"/>
  <c r="BX82" i="3"/>
  <c r="BW82" i="3"/>
  <c r="BV82" i="3"/>
  <c r="BX81" i="3"/>
  <c r="BW81" i="3"/>
  <c r="BV81" i="3"/>
  <c r="BX80" i="3"/>
  <c r="BW80" i="3"/>
  <c r="BV80" i="3"/>
  <c r="BX79" i="3"/>
  <c r="BW79" i="3"/>
  <c r="BV79" i="3"/>
  <c r="BX78" i="3"/>
  <c r="BW78" i="3"/>
  <c r="BV78" i="3"/>
  <c r="BX77" i="3"/>
  <c r="BW77" i="3"/>
  <c r="BV77" i="3"/>
  <c r="BX76" i="3"/>
  <c r="BW76" i="3"/>
  <c r="BV76" i="3"/>
  <c r="BX75" i="3"/>
  <c r="BW75" i="3"/>
  <c r="BV75" i="3"/>
  <c r="BX74" i="3"/>
  <c r="BW74" i="3"/>
  <c r="BV74" i="3"/>
  <c r="BX73" i="3"/>
  <c r="BX72" i="3"/>
  <c r="BW71" i="3"/>
  <c r="BX70" i="3"/>
  <c r="BW73" i="3"/>
  <c r="BW72" i="3"/>
  <c r="BX71" i="3"/>
  <c r="DL53" i="3"/>
  <c r="DK53" i="3"/>
  <c r="EY53" i="3" s="1"/>
  <c r="DJ53" i="3"/>
  <c r="EX53" i="3" s="1"/>
  <c r="DL52" i="3"/>
  <c r="DK52" i="3"/>
  <c r="EY52" i="3" s="1"/>
  <c r="DJ52" i="3"/>
  <c r="EX52" i="3" s="1"/>
  <c r="DL51" i="3"/>
  <c r="DK51" i="3"/>
  <c r="EY51" i="3" s="1"/>
  <c r="DJ51" i="3"/>
  <c r="EX51" i="3" s="1"/>
  <c r="DL50" i="3"/>
  <c r="DK50" i="3"/>
  <c r="EY50" i="3" s="1"/>
  <c r="DJ50" i="3"/>
  <c r="EX50" i="3" s="1"/>
  <c r="DL49" i="3"/>
  <c r="DK49" i="3"/>
  <c r="EY49" i="3" s="1"/>
  <c r="DJ49" i="3"/>
  <c r="EX49" i="3" s="1"/>
  <c r="DL48" i="3"/>
  <c r="DK48" i="3"/>
  <c r="EY48" i="3" s="1"/>
  <c r="DJ48" i="3"/>
  <c r="EX48" i="3" s="1"/>
  <c r="DL47" i="3"/>
  <c r="DK47" i="3"/>
  <c r="EY47" i="3" s="1"/>
  <c r="DJ47" i="3"/>
  <c r="EX47" i="3" s="1"/>
  <c r="DL46" i="3"/>
  <c r="DK46" i="3"/>
  <c r="EY46" i="3" s="1"/>
  <c r="DJ46" i="3"/>
  <c r="EX46" i="3" s="1"/>
  <c r="DL45" i="3"/>
  <c r="DK45" i="3"/>
  <c r="EY45" i="3" s="1"/>
  <c r="DJ45" i="3"/>
  <c r="EX45" i="3" s="1"/>
  <c r="DL44" i="3"/>
  <c r="DK44" i="3"/>
  <c r="EY44" i="3" s="1"/>
  <c r="DJ44" i="3"/>
  <c r="EX44" i="3" s="1"/>
  <c r="DL43" i="3"/>
  <c r="DK43" i="3"/>
  <c r="EY43" i="3" s="1"/>
  <c r="DJ43" i="3"/>
  <c r="EX43" i="3" s="1"/>
  <c r="DL42" i="3"/>
  <c r="DK42" i="3"/>
  <c r="EY42" i="3" s="1"/>
  <c r="DJ42" i="3"/>
  <c r="EX42" i="3" s="1"/>
  <c r="DL41" i="3"/>
  <c r="DK41" i="3"/>
  <c r="EY41" i="3" s="1"/>
  <c r="DJ41" i="3"/>
  <c r="EX41" i="3" s="1"/>
  <c r="DL40" i="3"/>
  <c r="DK40" i="3"/>
  <c r="EY40" i="3" s="1"/>
  <c r="DJ40" i="3"/>
  <c r="EX40" i="3" s="1"/>
  <c r="DI40" i="3"/>
  <c r="EW40" i="3" s="1"/>
  <c r="BU70" i="3"/>
  <c r="BU83" i="3"/>
  <c r="BU82" i="3"/>
  <c r="BU81" i="3"/>
  <c r="BU80" i="3"/>
  <c r="BU79" i="3"/>
  <c r="BU78" i="3"/>
  <c r="BU77" i="3"/>
  <c r="BU76" i="3"/>
  <c r="BU75" i="3"/>
  <c r="BU74" i="3"/>
  <c r="BU73" i="3"/>
  <c r="BU72" i="3"/>
  <c r="BU71" i="3"/>
  <c r="DH53" i="3"/>
  <c r="DG53" i="3"/>
  <c r="EV53" i="3" s="1"/>
  <c r="DF53" i="3"/>
  <c r="EU53" i="3" s="1"/>
  <c r="DH52" i="3"/>
  <c r="DG52" i="3"/>
  <c r="EV52" i="3" s="1"/>
  <c r="DF52" i="3"/>
  <c r="EU52" i="3" s="1"/>
  <c r="DH51" i="3"/>
  <c r="DG51" i="3"/>
  <c r="EV51" i="3" s="1"/>
  <c r="DF51" i="3"/>
  <c r="EU51" i="3" s="1"/>
  <c r="DH50" i="3"/>
  <c r="DG50" i="3"/>
  <c r="EV50" i="3" s="1"/>
  <c r="DF50" i="3"/>
  <c r="EU50" i="3" s="1"/>
  <c r="DH49" i="3"/>
  <c r="DG49" i="3"/>
  <c r="EV49" i="3" s="1"/>
  <c r="DF49" i="3"/>
  <c r="EU49" i="3" s="1"/>
  <c r="DH48" i="3"/>
  <c r="DG48" i="3"/>
  <c r="EV48" i="3" s="1"/>
  <c r="DF48" i="3"/>
  <c r="EU48" i="3" s="1"/>
  <c r="DH47" i="3"/>
  <c r="DG47" i="3"/>
  <c r="EV47" i="3" s="1"/>
  <c r="DF47" i="3"/>
  <c r="EU47" i="3" s="1"/>
  <c r="DH46" i="3"/>
  <c r="DG46" i="3"/>
  <c r="EV46" i="3" s="1"/>
  <c r="DF46" i="3"/>
  <c r="EU46" i="3" s="1"/>
  <c r="DH45" i="3"/>
  <c r="DG45" i="3"/>
  <c r="EV45" i="3" s="1"/>
  <c r="DF45" i="3"/>
  <c r="EU45" i="3" s="1"/>
  <c r="DH44" i="3"/>
  <c r="DG44" i="3"/>
  <c r="EV44" i="3" s="1"/>
  <c r="DF44" i="3"/>
  <c r="EU44" i="3" s="1"/>
  <c r="DH43" i="3"/>
  <c r="DG43" i="3"/>
  <c r="EV43" i="3" s="1"/>
  <c r="DF43" i="3"/>
  <c r="EU43" i="3" s="1"/>
  <c r="DH42" i="3"/>
  <c r="DG42" i="3"/>
  <c r="EV42" i="3" s="1"/>
  <c r="DF42" i="3"/>
  <c r="EU42" i="3" s="1"/>
  <c r="DH41" i="3"/>
  <c r="DG41" i="3"/>
  <c r="EV41" i="3" s="1"/>
  <c r="DF41" i="3"/>
  <c r="EU41" i="3" s="1"/>
  <c r="DH40" i="3"/>
  <c r="DG40" i="3"/>
  <c r="EV40" i="3" s="1"/>
  <c r="DF40" i="3"/>
  <c r="EU40" i="3" s="1"/>
  <c r="DE40" i="3"/>
  <c r="ET40" i="3" s="1"/>
  <c r="DP53" i="3"/>
  <c r="DO53" i="3"/>
  <c r="FB53" i="3" s="1"/>
  <c r="DN53" i="3"/>
  <c r="FA53" i="3" s="1"/>
  <c r="DP52" i="3"/>
  <c r="DO52" i="3"/>
  <c r="FB52" i="3" s="1"/>
  <c r="DN52" i="3"/>
  <c r="FA52" i="3" s="1"/>
  <c r="DP51" i="3"/>
  <c r="DO51" i="3"/>
  <c r="FB51" i="3" s="1"/>
  <c r="DN51" i="3"/>
  <c r="FA51" i="3" s="1"/>
  <c r="DP50" i="3"/>
  <c r="DO50" i="3"/>
  <c r="FB50" i="3" s="1"/>
  <c r="DN50" i="3"/>
  <c r="FA50" i="3" s="1"/>
  <c r="DP49" i="3"/>
  <c r="DO49" i="3"/>
  <c r="FB49" i="3" s="1"/>
  <c r="DN49" i="3"/>
  <c r="FA49" i="3" s="1"/>
  <c r="DP48" i="3"/>
  <c r="DO48" i="3"/>
  <c r="FB48" i="3" s="1"/>
  <c r="DN48" i="3"/>
  <c r="FA48" i="3" s="1"/>
  <c r="DP47" i="3"/>
  <c r="DO47" i="3"/>
  <c r="FB47" i="3" s="1"/>
  <c r="DN47" i="3"/>
  <c r="FA47" i="3" s="1"/>
  <c r="DP46" i="3"/>
  <c r="DO46" i="3"/>
  <c r="FB46" i="3" s="1"/>
  <c r="DN46" i="3"/>
  <c r="FA46" i="3" s="1"/>
  <c r="DP45" i="3"/>
  <c r="DO45" i="3"/>
  <c r="FB45" i="3" s="1"/>
  <c r="DN45" i="3"/>
  <c r="FA45" i="3" s="1"/>
  <c r="DP44" i="3"/>
  <c r="DO44" i="3"/>
  <c r="FB44" i="3" s="1"/>
  <c r="DN44" i="3"/>
  <c r="FA44" i="3" s="1"/>
  <c r="DP43" i="3"/>
  <c r="DO43" i="3"/>
  <c r="FB43" i="3" s="1"/>
  <c r="DN43" i="3"/>
  <c r="FA43" i="3" s="1"/>
  <c r="DP42" i="3"/>
  <c r="DO42" i="3"/>
  <c r="FB42" i="3" s="1"/>
  <c r="DN42" i="3"/>
  <c r="FA42" i="3" s="1"/>
  <c r="DP41" i="3"/>
  <c r="DO41" i="3"/>
  <c r="FB41" i="3" s="1"/>
  <c r="DN41" i="3"/>
  <c r="FA41" i="3" s="1"/>
  <c r="DP40" i="3"/>
  <c r="DO40" i="3"/>
  <c r="FB40" i="3" s="1"/>
  <c r="DN40" i="3"/>
  <c r="FA40" i="3" s="1"/>
  <c r="DM40" i="3"/>
  <c r="EZ40" i="3" s="1"/>
  <c r="BP71" i="3"/>
  <c r="BQ72" i="3"/>
  <c r="BP74" i="3"/>
  <c r="BQ74" i="3"/>
  <c r="BP70" i="3"/>
  <c r="BQ71" i="3"/>
  <c r="BP72" i="3"/>
  <c r="BP73" i="3"/>
  <c r="BQ73" i="3"/>
  <c r="BP75" i="3"/>
  <c r="BQ75" i="3"/>
  <c r="BP76" i="3"/>
  <c r="BQ76" i="3"/>
  <c r="BP77" i="3"/>
  <c r="BQ77" i="3"/>
  <c r="BP78" i="3"/>
  <c r="BQ78" i="3"/>
  <c r="BP79" i="3"/>
  <c r="BQ79" i="3"/>
  <c r="BP80" i="3"/>
  <c r="BQ80" i="3"/>
  <c r="BP81" i="3"/>
  <c r="BQ81" i="3"/>
  <c r="BP82" i="3"/>
  <c r="BQ82" i="3"/>
  <c r="BQ83" i="3"/>
  <c r="BP83" i="3"/>
  <c r="BQ70" i="3"/>
  <c r="DM43" i="14" l="1"/>
  <c r="EZ43" i="14" s="1"/>
  <c r="DE42" i="14"/>
  <c r="ET41" i="14"/>
  <c r="DI44" i="14"/>
  <c r="L142" i="3"/>
  <c r="M142" i="3"/>
  <c r="M153" i="3"/>
  <c r="L153" i="3"/>
  <c r="DE41" i="3"/>
  <c r="DI41" i="3"/>
  <c r="DM41" i="3"/>
  <c r="DM44" i="14" l="1"/>
  <c r="DM45" i="14"/>
  <c r="EZ44" i="14"/>
  <c r="DE43" i="14"/>
  <c r="ET42" i="14"/>
  <c r="DI45" i="14"/>
  <c r="EW44" i="14"/>
  <c r="M129" i="3"/>
  <c r="DE42" i="3"/>
  <c r="ET41" i="3"/>
  <c r="DI42" i="3"/>
  <c r="EW41" i="3"/>
  <c r="DM42" i="3"/>
  <c r="EZ41" i="3"/>
  <c r="DM46" i="14" l="1"/>
  <c r="EZ45" i="14"/>
  <c r="DE44" i="14"/>
  <c r="ET43" i="14"/>
  <c r="DI46" i="14"/>
  <c r="EW45" i="14"/>
  <c r="DE43" i="3"/>
  <c r="ET42" i="3"/>
  <c r="DI43" i="3"/>
  <c r="EW42" i="3"/>
  <c r="DM43" i="3"/>
  <c r="EZ42" i="3"/>
  <c r="DM47" i="14" l="1"/>
  <c r="EZ46" i="14"/>
  <c r="DE45" i="14"/>
  <c r="ET44" i="14"/>
  <c r="DI47" i="14"/>
  <c r="EW46" i="14"/>
  <c r="DE44" i="3"/>
  <c r="ET43" i="3"/>
  <c r="EW43" i="3"/>
  <c r="DI44" i="3"/>
  <c r="DM44" i="3"/>
  <c r="EZ43" i="3"/>
  <c r="EZ47" i="14" l="1"/>
  <c r="DM48" i="14"/>
  <c r="DE46" i="14"/>
  <c r="ET45" i="14"/>
  <c r="DI48" i="14"/>
  <c r="EW47" i="14"/>
  <c r="ET44" i="3"/>
  <c r="DE45" i="3"/>
  <c r="EW44" i="3"/>
  <c r="DI45" i="3"/>
  <c r="DM45" i="3"/>
  <c r="EZ44" i="3"/>
  <c r="EZ48" i="14" l="1"/>
  <c r="DM49" i="14"/>
  <c r="ET46" i="14"/>
  <c r="DE47" i="14"/>
  <c r="DI49" i="14"/>
  <c r="EW48" i="14"/>
  <c r="ET45" i="3"/>
  <c r="DE46" i="3"/>
  <c r="EW45" i="3"/>
  <c r="DI46" i="3"/>
  <c r="DM46" i="3"/>
  <c r="EZ45" i="3"/>
  <c r="EZ49" i="14" l="1"/>
  <c r="DM50" i="14"/>
  <c r="ET47" i="14"/>
  <c r="DE48" i="14"/>
  <c r="EW49" i="14"/>
  <c r="DI50" i="14"/>
  <c r="DE47" i="3"/>
  <c r="ET46" i="3"/>
  <c r="EW46" i="3"/>
  <c r="DI47" i="3"/>
  <c r="DM47" i="3"/>
  <c r="EZ46" i="3"/>
  <c r="DM51" i="14" l="1"/>
  <c r="EZ50" i="14"/>
  <c r="DE49" i="14"/>
  <c r="ET48" i="14"/>
  <c r="EW50" i="14"/>
  <c r="DI51" i="14"/>
  <c r="ET47" i="3"/>
  <c r="DE48" i="3"/>
  <c r="DI48" i="3"/>
  <c r="EW47" i="3"/>
  <c r="DM48" i="3"/>
  <c r="EZ47" i="3"/>
  <c r="EZ51" i="14" l="1"/>
  <c r="DM52" i="14"/>
  <c r="ET49" i="14"/>
  <c r="DE50" i="14"/>
  <c r="EW51" i="14"/>
  <c r="DI52" i="14"/>
  <c r="ET48" i="3"/>
  <c r="DE49" i="3"/>
  <c r="EW48" i="3"/>
  <c r="DI49" i="3"/>
  <c r="DM49" i="3"/>
  <c r="EZ48" i="3"/>
  <c r="EZ52" i="14" l="1"/>
  <c r="DM53" i="14"/>
  <c r="EZ53" i="14" s="1"/>
  <c r="DE51" i="14"/>
  <c r="ET50" i="14"/>
  <c r="EW52" i="14"/>
  <c r="DI53" i="14"/>
  <c r="EW53" i="14" s="1"/>
  <c r="DE50" i="3"/>
  <c r="ET49" i="3"/>
  <c r="EW49" i="3"/>
  <c r="DI50" i="3"/>
  <c r="DM50" i="3"/>
  <c r="EZ49" i="3"/>
  <c r="DE52" i="14" l="1"/>
  <c r="ET51" i="14"/>
  <c r="ET50" i="3"/>
  <c r="DE51" i="3"/>
  <c r="EW50" i="3"/>
  <c r="DI51" i="3"/>
  <c r="DM51" i="3"/>
  <c r="EZ50" i="3"/>
  <c r="DE53" i="14" l="1"/>
  <c r="ET53" i="14" s="1"/>
  <c r="ET52" i="14"/>
  <c r="ET51" i="3"/>
  <c r="DE52" i="3"/>
  <c r="EW51" i="3"/>
  <c r="DI52" i="3"/>
  <c r="DM52" i="3"/>
  <c r="EZ51" i="3"/>
  <c r="ET52" i="3" l="1"/>
  <c r="DE53" i="3"/>
  <c r="ET53" i="3" s="1"/>
  <c r="EW52" i="3"/>
  <c r="DI53" i="3"/>
  <c r="EW53" i="3" s="1"/>
  <c r="DM53" i="3"/>
  <c r="EZ53" i="3" s="1"/>
  <c r="EZ5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Infraxus</author>
  </authors>
  <commentList>
    <comment ref="E84" authorId="0" shapeId="0" xr:uid="{00000000-0006-0000-0200-000001000000}">
      <text>
        <r>
          <rPr>
            <sz val="11"/>
            <color theme="1"/>
            <rFont val="Calibri"/>
            <family val="2"/>
            <scheme val="minor"/>
          </rPr>
          <t>Earned per billable hour = revenue / billable hours. In FP&amp;A this is called the Effective Hourly Rate (EHR). Cost per billable hour (ACPH) and the average billed rate (ABR) sit behind the margin.</t>
        </r>
      </text>
    </comment>
    <comment ref="H84" authorId="0" shapeId="0" xr:uid="{00000000-0006-0000-0200-000002000000}">
      <text>
        <r>
          <rPr>
            <sz val="11"/>
            <color theme="1"/>
            <rFont val="Calibri"/>
            <family val="2"/>
            <scheme val="minor"/>
          </rPr>
          <t>Delivery margin = (earned per hour - cost per hour) / earned per hour, measured against the 50% benchmark.</t>
        </r>
      </text>
    </comment>
    <comment ref="I84" authorId="0" shapeId="0" xr:uid="{00000000-0006-0000-0200-000003000000}">
      <text>
        <r>
          <rPr>
            <sz val="11"/>
            <color theme="1"/>
            <rFont val="Calibri"/>
            <family val="2"/>
            <scheme val="minor"/>
          </rPr>
          <t>Pricing leak = the share of the listed rate not collected (discounts, write-offs). In FP&amp;A this is called the realisation gap.</t>
        </r>
      </text>
    </comment>
    <comment ref="K84" authorId="0" shapeId="0" xr:uid="{00000000-0006-0000-0200-000004000000}">
      <text>
        <r>
          <rPr>
            <sz val="11"/>
            <color theme="1"/>
            <rFont val="Calibri"/>
            <family val="2"/>
            <scheme val="minor"/>
          </rPr>
          <t>Capacity slack = annual revenue available from closing the gap between target and actual utilisation. In FP&amp;A this is the utilisation-gap uplift.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Infraxus</author>
  </authors>
  <commentList>
    <comment ref="E84" authorId="0" shapeId="0" xr:uid="{A7CE2F53-10D7-3B4F-9EA7-B32EAB7307E0}">
      <text>
        <r>
          <rPr>
            <sz val="11"/>
            <color theme="1"/>
            <rFont val="Calibri"/>
            <family val="2"/>
            <scheme val="minor"/>
          </rPr>
          <t>Earned per billable hour = revenue / billable hours. In FP&amp;A this is called the Effective Hourly Rate (EHR). Cost per billable hour (ACPH) and the average billed rate (ABR) sit behind the margin.</t>
        </r>
      </text>
    </comment>
    <comment ref="H84" authorId="0" shapeId="0" xr:uid="{DAC14068-00CB-3949-B987-3BE0700C1301}">
      <text>
        <r>
          <rPr>
            <sz val="11"/>
            <color theme="1"/>
            <rFont val="Calibri"/>
            <family val="2"/>
            <scheme val="minor"/>
          </rPr>
          <t>Delivery margin = (earned per hour - cost per hour) / earned per hour, measured against the 50% benchmark.</t>
        </r>
      </text>
    </comment>
    <comment ref="I84" authorId="0" shapeId="0" xr:uid="{5BCAD9DE-CFC4-634C-AD58-526B83AF2D1A}">
      <text>
        <r>
          <rPr>
            <sz val="11"/>
            <color theme="1"/>
            <rFont val="Calibri"/>
            <family val="2"/>
            <scheme val="minor"/>
          </rPr>
          <t>Pricing leak = the share of the listed rate not collected (discounts, write-offs). In FP&amp;A this is called the realisation gap.</t>
        </r>
      </text>
    </comment>
    <comment ref="K84" authorId="0" shapeId="0" xr:uid="{C076AB74-F044-CD4F-A433-DB85BE239A3F}">
      <text>
        <r>
          <rPr>
            <sz val="11"/>
            <color theme="1"/>
            <rFont val="Calibri"/>
            <family val="2"/>
            <scheme val="minor"/>
          </rPr>
          <t>Capacity slack = annual revenue available from closing the gap between target and actual utilisation. In FP&amp;A this is the utilisation-gap uplift.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<sst xmlns="http://schemas.openxmlformats.org/spreadsheetml/2006/main" count="832" uniqueCount="363">
  <si>
    <t>X min (raw)</t>
  </si>
  <si>
    <t>REGION</t>
  </si>
  <si>
    <t>X max (raw)</t>
  </si>
  <si>
    <t>infraxus.com</t>
  </si>
  <si>
    <t>Y min (raw)</t>
  </si>
  <si>
    <t>Y max (raw)</t>
  </si>
  <si>
    <t>X axis lo</t>
  </si>
  <si>
    <t>LEGEND</t>
  </si>
  <si>
    <t>123</t>
  </si>
  <si>
    <t>Input</t>
  </si>
  <si>
    <t>Formula</t>
  </si>
  <si>
    <t>Override</t>
  </si>
  <si>
    <t>Reference</t>
  </si>
  <si>
    <t>PASS</t>
  </si>
  <si>
    <t>Healthy</t>
  </si>
  <si>
    <t>X axis hi</t>
  </si>
  <si>
    <t>Y axis lo</t>
  </si>
  <si>
    <t>VISUAL SUMMARY  ·  blended delivery margin vs benchmark</t>
  </si>
  <si>
    <t>BUSINESS</t>
  </si>
  <si>
    <t>Y axis hi</t>
  </si>
  <si>
    <t>BLENDED DELIVERY MARGIN</t>
  </si>
  <si>
    <t>BLENDED COST / HR</t>
  </si>
  <si>
    <t>BLENDED EARNED / HR</t>
  </si>
  <si>
    <t>PRICING LEAK</t>
  </si>
  <si>
    <t>CAPACITY SLACK</t>
  </si>
  <si>
    <t>X major</t>
  </si>
  <si>
    <t>Current margin</t>
  </si>
  <si>
    <t>Y major</t>
  </si>
  <si>
    <t>$ / billable hr, cost</t>
  </si>
  <si>
    <t>$ / billable hr, earned</t>
  </si>
  <si>
    <t>discount / write-off</t>
  </si>
  <si>
    <t>idle vs target</t>
  </si>
  <si>
    <t>seed1</t>
  </si>
  <si>
    <t>TEAM ECONOMICS  ·  annualised</t>
  </si>
  <si>
    <t>seed2</t>
  </si>
  <si>
    <t>seed3</t>
  </si>
  <si>
    <t>delivery cost (annualised)</t>
  </si>
  <si>
    <t>delivery revenue (annualised)</t>
  </si>
  <si>
    <t>capacity slack $ / yr</t>
  </si>
  <si>
    <t>net margin after overhead</t>
  </si>
  <si>
    <t>TOP THREE OPPORTUNITIES  ·  surfaced from your data</t>
  </si>
  <si>
    <t>THE OPPORTUNITY  ·  dollars per year on the table</t>
  </si>
  <si>
    <t>Capacity slack worth / yr, idle vs target</t>
  </si>
  <si>
    <t>Pricing leak worth / yr, discounts &amp; write-offs</t>
  </si>
  <si>
    <t>THE QUADRANT  ·  each role by utilisation × pricing, bubble sized by revenue</t>
  </si>
  <si>
    <t>g_x</t>
  </si>
  <si>
    <t>g_y</t>
  </si>
  <si>
    <t>g_z</t>
  </si>
  <si>
    <t>g_lbl</t>
  </si>
  <si>
    <t>a_x</t>
  </si>
  <si>
    <t>a_y</t>
  </si>
  <si>
    <t>a_z</t>
  </si>
  <si>
    <t>a_lbl</t>
  </si>
  <si>
    <t>r_x</t>
  </si>
  <si>
    <t>r_y</t>
  </si>
  <si>
    <t>r_z</t>
  </si>
  <si>
    <t>r_lbl</t>
  </si>
  <si>
    <t>Zones (clockwise from top-right): Healthy  ·  busy but discounted - hold rates  ·  double drag - restructure  ·  well-priced, underbilled - sell more</t>
  </si>
  <si>
    <t>Each bubble = one delivery role; size = revenue. Green ≥50% margin · amber 30–50% · red &lt;30%. Benchmark util 0.65, realisation 0.90. Leadership and Overhead roles excluded by design.</t>
  </si>
  <si>
    <t>PER-ROLE DIAGNOSTIC  ·  earned per hour · margin (inline benchmark bar) · pricing leak &amp; capacity slack</t>
  </si>
  <si>
    <t>BENCHMARK</t>
  </si>
  <si>
    <t>PER-ROLE ENGINE</t>
  </si>
  <si>
    <t>#</t>
  </si>
  <si>
    <t>Role</t>
  </si>
  <si>
    <t>Category</t>
  </si>
  <si>
    <t>Earned / hr</t>
  </si>
  <si>
    <t>Margin %</t>
  </si>
  <si>
    <t>Pricing leak %</t>
  </si>
  <si>
    <t>Capacity slack $/yr</t>
  </si>
  <si>
    <t>Flag</t>
  </si>
  <si>
    <t>Active</t>
  </si>
  <si>
    <t>Title</t>
  </si>
  <si>
    <t>Cat</t>
  </si>
  <si>
    <t>HC</t>
  </si>
  <si>
    <t>Salary</t>
  </si>
  <si>
    <t>OnCost</t>
  </si>
  <si>
    <t>Ben/m</t>
  </si>
  <si>
    <t>Cap</t>
  </si>
  <si>
    <t>Tutil</t>
  </si>
  <si>
    <t>Autil</t>
  </si>
  <si>
    <t>Rate</t>
  </si>
  <si>
    <t>Real</t>
  </si>
  <si>
    <t>CostFTE</t>
  </si>
  <si>
    <t>CostTot</t>
  </si>
  <si>
    <t>CapTot</t>
  </si>
  <si>
    <t>BH_act</t>
  </si>
  <si>
    <t>BH_tgt</t>
  </si>
  <si>
    <t>ACPH</t>
  </si>
  <si>
    <t>ABR</t>
  </si>
  <si>
    <t>EHR</t>
  </si>
  <si>
    <t>Rev</t>
  </si>
  <si>
    <t>Margin</t>
  </si>
  <si>
    <t>RealGap%</t>
  </si>
  <si>
    <t>RealGap$</t>
  </si>
  <si>
    <t>UtilGap</t>
  </si>
  <si>
    <t>UtilUplift</t>
  </si>
  <si>
    <t>LblGood</t>
  </si>
  <si>
    <t>LblMid</t>
  </si>
  <si>
    <t>LblBad</t>
  </si>
  <si>
    <t>VlineX</t>
  </si>
  <si>
    <t>VlineY</t>
  </si>
  <si>
    <t>HlineX</t>
  </si>
  <si>
    <t>HlineY</t>
  </si>
  <si>
    <t>X (Util)</t>
  </si>
  <si>
    <t>Y (Real)</t>
  </si>
  <si>
    <t>Size</t>
  </si>
  <si>
    <t>Label</t>
  </si>
  <si>
    <t>Green X</t>
  </si>
  <si>
    <t>Green Y</t>
  </si>
  <si>
    <t>Green Sz</t>
  </si>
  <si>
    <t>Amber X</t>
  </si>
  <si>
    <t>Amber Y</t>
  </si>
  <si>
    <t>Amber Sz</t>
  </si>
  <si>
    <t>Red X</t>
  </si>
  <si>
    <t>Red Y</t>
  </si>
  <si>
    <t>Red Sz</t>
  </si>
  <si>
    <t>Role (sorted)</t>
  </si>
  <si>
    <t>Target margin</t>
  </si>
  <si>
    <t>Σ</t>
  </si>
  <si>
    <t>BLENDED (delivery only)</t>
  </si>
  <si>
    <t>-</t>
  </si>
  <si>
    <t>BLENDED (delivery roles only)</t>
  </si>
  <si>
    <t>Block</t>
  </si>
  <si>
    <t>DelivCost</t>
  </si>
  <si>
    <t>DelivCap</t>
  </si>
  <si>
    <t>DelivBH_a</t>
  </si>
  <si>
    <t>DelivBH_t</t>
  </si>
  <si>
    <t>BlendACPH</t>
  </si>
  <si>
    <t>BlendABR</t>
  </si>
  <si>
    <t>BlendEHR</t>
  </si>
  <si>
    <t>DelivRev</t>
  </si>
  <si>
    <t>BlendMargin</t>
  </si>
  <si>
    <t>BlendRealGap%</t>
  </si>
  <si>
    <t>BlendRealGap$</t>
  </si>
  <si>
    <t>BlendUtilGap</t>
  </si>
  <si>
    <t>BlendUtilUplift</t>
  </si>
  <si>
    <t>1.1×</t>
  </si>
  <si>
    <t>1.2×</t>
  </si>
  <si>
    <t>1.3×</t>
  </si>
  <si>
    <t>Δ vs benchmark</t>
  </si>
  <si>
    <t>Delivery</t>
  </si>
  <si>
    <t>All-active</t>
  </si>
  <si>
    <t>SCENARIO TESTER  ·  what would utilization or rate need to be to hit target?</t>
  </si>
  <si>
    <t>Target delivery margin</t>
  </si>
  <si>
    <t>← edit on Team Roster</t>
  </si>
  <si>
    <t>current blended margin</t>
  </si>
  <si>
    <t>Implied utilization @ current rates</t>
  </si>
  <si>
    <t>of current listed rates</t>
  </si>
  <si>
    <t>Implied realisation @ current util &amp; rates</t>
  </si>
  <si>
    <t>RECONCILIATION  ·  every check must hold for the diagnostic to be trustworthy</t>
  </si>
  <si>
    <t>MASTER</t>
  </si>
  <si>
    <t>ID</t>
  </si>
  <si>
    <t>Check</t>
  </si>
  <si>
    <t>Expected</t>
  </si>
  <si>
    <t>Actual</t>
  </si>
  <si>
    <t>δ</t>
  </si>
  <si>
    <t>Result</t>
  </si>
  <si>
    <t>R01</t>
  </si>
  <si>
    <t>Role 1 cost identity: cost_fte × HC = cost_total (when active)</t>
  </si>
  <si>
    <t>R02</t>
  </si>
  <si>
    <t>Role 2 cost identity</t>
  </si>
  <si>
    <t>R03</t>
  </si>
  <si>
    <t>Role 1 billable-hr identity: cap × HC × autil = bh_actual</t>
  </si>
  <si>
    <t>R04</t>
  </si>
  <si>
    <t>Role 1 EHR identity: listed × realisation = EHR</t>
  </si>
  <si>
    <t>R05</t>
  </si>
  <si>
    <t>Role 1 revenue identity: EHR × bh_actual = revenue</t>
  </si>
  <si>
    <t>R06</t>
  </si>
  <si>
    <t>Role 1 margin identity: 1 − ACPH/EHR = margin (when EHR&gt;0)</t>
  </si>
  <si>
    <t>R07</t>
  </si>
  <si>
    <t>Role 1 realisation-gap identity: (listed-EHR)×bh = real_gap_$</t>
  </si>
  <si>
    <t>R08</t>
  </si>
  <si>
    <t>Blended delivery cost = SUMIFS over delivery+active roles</t>
  </si>
  <si>
    <t>R09</t>
  </si>
  <si>
    <t>Blended delivery revenue = SUMIFS over delivery+active roles</t>
  </si>
  <si>
    <t>R10</t>
  </si>
  <si>
    <t>Blended ACPH identity: delivery_cost / delivery_bh = blend_ACPH</t>
  </si>
  <si>
    <t>R11</t>
  </si>
  <si>
    <t>Blended EHR identity: delivery_rev / delivery_bh = blend_EHR</t>
  </si>
  <si>
    <t>R12</t>
  </si>
  <si>
    <t>Blended margin identity: 1 - ACPH/EHR = blend_margin</t>
  </si>
  <si>
    <t>R13</t>
  </si>
  <si>
    <t>Region on-cost resolves: ref table matches engine lookup for AU</t>
  </si>
  <si>
    <t>R14</t>
  </si>
  <si>
    <t>Region on-cost resolves: NZ</t>
  </si>
  <si>
    <t>R15</t>
  </si>
  <si>
    <t>Region on-cost resolves: US</t>
  </si>
  <si>
    <t>R16</t>
  </si>
  <si>
    <t>R17</t>
  </si>
  <si>
    <t>Benchmark margin target = 50%</t>
  </si>
  <si>
    <t>R18</t>
  </si>
  <si>
    <t>Benchmark utilization = 65%</t>
  </si>
  <si>
    <t>R19</t>
  </si>
  <si>
    <t>Benchmark realisation = 90%</t>
  </si>
  <si>
    <t>R20</t>
  </si>
  <si>
    <t>Target margin within (0%, 90%) sanity range</t>
  </si>
  <si>
    <t>R21</t>
  </si>
  <si>
    <t>Active-roles count between 0 and 14</t>
  </si>
  <si>
    <t>R22</t>
  </si>
  <si>
    <t>All-active team cost ≥ blended delivery cost (delivery ⊂ team)</t>
  </si>
  <si>
    <t>R23</t>
  </si>
  <si>
    <t>No #DIV/0 in blended margin</t>
  </si>
  <si>
    <t>R24</t>
  </si>
  <si>
    <t>No #DIV/0 in blended ACPH</t>
  </si>
  <si>
    <t>Infraxus, operator finance · infraxus.com</t>
  </si>
  <si>
    <t>Capacity_Utilization_Diagnostic.xlsx</t>
  </si>
  <si>
    <t>US</t>
  </si>
  <si>
    <t>Consulting</t>
  </si>
  <si>
    <t>REGION LOOKUP (engine)</t>
  </si>
  <si>
    <t>ACTIVE RESOLVERS</t>
  </si>
  <si>
    <t>Code</t>
  </si>
  <si>
    <t>Benefits</t>
  </si>
  <si>
    <t>SuperLbl</t>
  </si>
  <si>
    <t>Note</t>
  </si>
  <si>
    <t>AU</t>
  </si>
  <si>
    <t>Super (12% SG)</t>
  </si>
  <si>
    <t>Harmonised on-cost 18.5%: SG 12% OTE (ATO, 12% from 1 Jul 2025) + state payroll tax ~5% blended (above-threshold) + workers comp and leave on-costs ~1.5%. Override per role for state-specific or part-time.</t>
  </si>
  <si>
    <t>NZ</t>
  </si>
  <si>
    <t>NZD</t>
  </si>
  <si>
    <t>KiwiSaver (3.5%)</t>
  </si>
  <si>
    <t>Harmonised on-cost 4.5%: KiwiSaver employer 3.5% (IRD, 3.5% from 1 Apr 2026) + ACC work levy and accruals ~1.0%. No payroll tax in NZ.</t>
  </si>
  <si>
    <t>USD</t>
  </si>
  <si>
    <t>FICA + SUTA</t>
  </si>
  <si>
    <t>Harmonised on-cost 10.5%: FICA 7.65% (SS 6.2% + Medicare 1.45%) + FUTA 0.6% + SUTA ~1.25% blended + workers comp ~1.0% (services). Health benefits ~$700/m captured separately.</t>
  </si>
  <si>
    <t>BUSINESS CONTEXT</t>
  </si>
  <si>
    <t>Business name</t>
  </si>
  <si>
    <t>Enter your business name. Appears in the dashboard title.</t>
  </si>
  <si>
    <t>Fiscal year</t>
  </si>
  <si>
    <t>FY26</t>
  </si>
  <si>
    <t>Free text, e.g., FY26 or 2026.</t>
  </si>
  <si>
    <t>Term</t>
  </si>
  <si>
    <t>Reporting period</t>
  </si>
  <si>
    <t>Period these numbers describe.</t>
  </si>
  <si>
    <t>Agency</t>
  </si>
  <si>
    <t>billable</t>
  </si>
  <si>
    <t>Period length (months)</t>
  </si>
  <si>
    <t>Number of months in the period, 1 = month, 3 = quarter, 12 = year.</t>
  </si>
  <si>
    <t>Total revenue (period)</t>
  </si>
  <si>
    <t>Total revenue invoiced in the period (across all clients).</t>
  </si>
  <si>
    <t>Engineering</t>
  </si>
  <si>
    <t>chargeable</t>
  </si>
  <si>
    <t>Target delivery margin %</t>
  </si>
  <si>
    <t>Target delivery margin for scenario tester, 50% is the industry-healthy benchmark.</t>
  </si>
  <si>
    <t>IT services</t>
  </si>
  <si>
    <t>Professional services</t>
  </si>
  <si>
    <t>Recruiting</t>
  </si>
  <si>
    <t>Trades</t>
  </si>
  <si>
    <t>Other</t>
  </si>
  <si>
    <t>Active?</t>
  </si>
  <si>
    <t>Role title</t>
  </si>
  <si>
    <t>Function</t>
  </si>
  <si>
    <t>FTE</t>
  </si>
  <si>
    <t>Salary / yr</t>
  </si>
  <si>
    <t>On-cost %</t>
  </si>
  <si>
    <t>Benefits /FTE/mo</t>
  </si>
  <si>
    <t>Cap hrs/yr</t>
  </si>
  <si>
    <t>Target util</t>
  </si>
  <si>
    <t>Listed rate / hr</t>
  </si>
  <si>
    <t>Billable hrs</t>
  </si>
  <si>
    <t>Revenue</t>
  </si>
  <si>
    <t>Managing Director</t>
  </si>
  <si>
    <t>Leadership</t>
  </si>
  <si>
    <t>Creative Director</t>
  </si>
  <si>
    <t>Senior Designer</t>
  </si>
  <si>
    <t>Junior Designer</t>
  </si>
  <si>
    <t>PORTFOLIO CONTEXT  ·  top-3 clients (effort vs revenue)</t>
  </si>
  <si>
    <t>Client name</t>
  </si>
  <si>
    <t>Revenue (period)</t>
  </si>
  <si>
    <t>% of period rev</t>
  </si>
  <si>
    <t>Effort share %</t>
  </si>
  <si>
    <t>Margin signal</t>
  </si>
  <si>
    <t>Notes</t>
  </si>
  <si>
    <t>Effort &gt; Revenue % flags underwater.</t>
  </si>
  <si>
    <t>REGION DEFAULTS  ·  on-cost &amp; benefit anchors</t>
  </si>
  <si>
    <t>Currency</t>
  </si>
  <si>
    <t>Benefits / FTE / mo</t>
  </si>
  <si>
    <t>Capacity hrs / yr</t>
  </si>
  <si>
    <t>Super label</t>
  </si>
  <si>
    <t>AUD</t>
  </si>
  <si>
    <t>VERTICAL DEFAULTS  ·  capacity anchors &amp; utilisation note</t>
  </si>
  <si>
    <t>Vertical</t>
  </si>
  <si>
    <t>Utilisation reference</t>
  </si>
  <si>
    <t>Wow BenchPress 2024: 65% avg util; 75% junior, 33% director.</t>
  </si>
  <si>
    <t>SPI 2025 Maturity Benchmark: 70% mgmt-consulting avg; 74-84% healthy zone.</t>
  </si>
  <si>
    <t>AEC firms target ~80% firm-wide; design teams 75-85%.</t>
  </si>
  <si>
    <t>IT consulting 71% 2024 avg (SPI). Treat chargeable project hours as billable.</t>
  </si>
  <si>
    <t>Law/accounting: realisation 85-95%; utilisation 60-70% common (more non-billable admin).</t>
  </si>
  <si>
    <t>Contingent/retained mix shapes effective rate. Treat fee × actual placements as billable revenue.</t>
  </si>
  <si>
    <t>More public holidays; capacity adjusted. Chargeable = on-job hours.</t>
  </si>
  <si>
    <t>Generic services baseline. Adjust capacity to your annual hours.</t>
  </si>
  <si>
    <t>INDUSTRY BENCHMARKS  ·  the comparator you read yourself against</t>
  </si>
  <si>
    <t>Delivery margin · healthy</t>
  </si>
  <si>
    <t>Parakeeto agency framework, 50%+ on the P&amp;L is the industry-healthy threshold. Below 30% = FAIL signal.</t>
  </si>
  <si>
    <t>Delivery margin · WARN floor</t>
  </si>
  <si>
    <t>Roles below 30% delivery margin are operationally underwater after overhead and leadership absorption.</t>
  </si>
  <si>
    <t>Utilization · services avg</t>
  </si>
  <si>
    <t>Wow BenchPress 2024 (UK agency): 65% avg; 75% junior, 33% director. SPI 2025 Maturity: 66.4% pro-services avg.</t>
  </si>
  <si>
    <t>Realisation · high-performing</t>
  </si>
  <si>
    <t>Accounting/law: 85-95%. Agencies: 80-90%. Below 85% blended typically indicates pricing or scope discipline gap.</t>
  </si>
  <si>
    <t>Overhead</t>
  </si>
  <si>
    <t>Capacity sanity: every active role's capacity hrs within (0, 2080]</t>
  </si>
  <si>
    <t>Senior Consultant</t>
  </si>
  <si>
    <t>Consultant</t>
  </si>
  <si>
    <t>R25</t>
  </si>
  <si>
    <t>Input sanity: annualised utilisation ≤ 130% for every active role (else check period/hours)</t>
  </si>
  <si>
    <t>R26</t>
  </si>
  <si>
    <t>Input sanity: realisation ≤ 125% for every active role (else confirm revenue vs listed rate)</t>
  </si>
  <si>
    <t>Implied earned-rate multiplier @ current util</t>
  </si>
  <si>
    <t/>
  </si>
  <si>
    <t>Green Lbl</t>
  </si>
  <si>
    <t>Amber Lbl</t>
  </si>
  <si>
    <t>Red Lbl</t>
  </si>
  <si>
    <t>G memberRow</t>
  </si>
  <si>
    <t>A memberRow</t>
  </si>
  <si>
    <t>R memberRow</t>
  </si>
  <si>
    <t>Engagement Lead</t>
  </si>
  <si>
    <t>Principal Consultant</t>
  </si>
  <si>
    <t>Analyst</t>
  </si>
  <si>
    <t>Target margin (util + pricing at benchmark)</t>
  </si>
  <si>
    <t>Built by Infraxus, operator finance · infraxus.com</t>
  </si>
  <si>
    <t>PRICING POWER  ·  what happens to margin if you change your RATES (the price on your proposals)</t>
  </si>
  <si>
    <t>10% cheaper</t>
  </si>
  <si>
    <t>today's price</t>
  </si>
  <si>
    <t>DISCOUNT LEAKAGE  ·  what happens to margin if you COLLECT MORE of your sticker price (less discounting &amp; write-offs)</t>
  </si>
  <si>
    <t>10% dearer</t>
  </si>
  <si>
    <t>06</t>
  </si>
  <si>
    <t>What to do if something looks wrong</t>
  </si>
  <si>
    <t>05</t>
  </si>
  <si>
    <t>What the colours mean</t>
  </si>
  <si>
    <t>04</t>
  </si>
  <si>
    <t>03</t>
  </si>
  <si>
    <t>How to use it</t>
  </si>
  <si>
    <t>02</t>
  </si>
  <si>
    <t>What this is</t>
  </si>
  <si>
    <t>01</t>
  </si>
  <si>
    <t>How to use this template · what the colours mean · what to do if something looks wrong</t>
  </si>
  <si>
    <t>Read Me · Capacity &amp; Margin Diagnostic</t>
  </si>
  <si>
    <t>What the what-if grids do</t>
  </si>
  <si>
    <t>Free version vs the Control Sprint</t>
  </si>
  <si>
    <t>Meridian Digital</t>
  </si>
  <si>
    <t>Q1 FY26 (Jul-Sep)</t>
  </si>
  <si>
    <t>Group Account Director</t>
  </si>
  <si>
    <t>Senior Account Manager</t>
  </si>
  <si>
    <t>Strategy Lead</t>
  </si>
  <si>
    <t>Account Manager</t>
  </si>
  <si>
    <t>Midweight Designer</t>
  </si>
  <si>
    <t>Digital Strategist</t>
  </si>
  <si>
    <t>Developer</t>
  </si>
  <si>
    <t>Account Executive</t>
  </si>
  <si>
    <t>Operations &amp; Finance</t>
  </si>
  <si>
    <t>Studio &amp; Admin</t>
  </si>
  <si>
    <t>util ↓</t>
  </si>
  <si>
    <t>Capacity_Margin_Diagnostic.xlsx</t>
  </si>
  <si>
    <t>Each role on a row. Region drives on-cost defaults; vertical drives capacity hours. Override any cell. · free to use · no attribution required</t>
  </si>
  <si>
    <t>See where your delivery margin is made or lost, role by role · free to use · no attribution required</t>
  </si>
  <si>
    <t xml:space="preserve">
A free Excel template that shows you, role by role, where your delivery margin is really made or lost.
Enter your team on the Team Roster tab and the Diagnostic builds automatically: what each role costs per billable hour, what it earns, the gap to a healthy 50% margin, which roles are profitable and which are underwater, and which lever, rate, pricing, or utilisation, closes the gap first.</t>
  </si>
  <si>
    <t xml:space="preserve">
1. Open the Team Roster tab. Pick your Region (sets on-cost defaults) and Vertical (sets capacity-hour defaults), then fill Business Context: name, the period you're analysing, and your target margin.
2. Add your team, one row per role. Toggle Active for the roles to include. Set headcount, salary, on-cost, capacity hours, target utilisation and listed rate, then enter the billable hours and revenue each role actually delivered, straight from your time-tracking and accounting.
3. Switch to the Diagnostic tab to read your blended margin, the top three opportunities, the per-role table, and the quadrant.
4. Use the two what-if grids and the scenario tester to see what charging more, leaking less, or running busier would do to your margin.</t>
  </si>
  <si>
    <t xml:space="preserve">
Two grids flex your blended margin against the levers you control. Both put utilisation down the side; the box marked "today" is where you are now.
PRICING POWER asks what happens to margin if you change your rates, the price on your proposals.
DISCOUNT LEAKAGE asks what happens if you collect more of your sticker price, less discounting, scope creep and write-off.
The Scenario Tester then works backwards: what utilisation or rate would you need to hit your target margin.</t>
  </si>
  <si>
    <t xml:space="preserve">
BLUE TEXT  Input, a cell you are meant to edit.
OFF-WHITE TEXT  Formula, a calculated cell, leave it alone.
GREEN TEXT  Override, an optional manual override of a default.
SLATE TEXT  Reference / label, context, not an input.
Flags on the per-role table: PASS ≥ 50% margin · WARN 30 to 50% · FAIL below 30%. Leadership and Overhead roles are tracked as cost, not scored.</t>
  </si>
  <si>
    <t xml:space="preserve">
• If blended margin looks implausible, check the billable hours and revenue you entered, and confirm the period length matches (a quarter of revenue against a year of hours will skew everything).
• If a role shows a negative margin, either it's genuinely underwater at current rates and utilisation, or its listed rate is set to 0 (an overhead role).
• If a Reconciliation check reads FAIL, open the panel, each row names the identity that broke. Usually a formula cell was over-typed with a number.
• Every figure on the Diagnostic traces back to a cell on Team Roster; nothing is hard-coded.</t>
  </si>
  <si>
    <t xml:space="preserve">
This template answers one question, where is your delivery margin made or lost, from figures you enter and maintain. Its output is only as good as your inputs.
The Control Sprint installs the equivalent diagnostic on your actual time-tracking and accounting data: per-client earned-rate analysis, per-role margin trend over time, integrated with the cash and profit picture across the rest of the business.
Ten business days, $5,000 fixed fee, refundable on the delivery call if you don't get the clarity promised. No retainer, no annual lock-in.</t>
  </si>
  <si>
    <t>Capacity &amp; Margin Diagnostic</t>
  </si>
  <si>
    <t>Want this run on your real numbers, not a sample?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</si>
</sst>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quot;$&quot;#,##0;[Red]\(&quot;$&quot;#,##0\);&quot;–&quot;;@"/>
    <numFmt numFmtId="165" formatCode="0.0%;[Red]\-0.0%;&quot;–&quot;;@"/>
    <numFmt numFmtId="166" formatCode="#,##0;[Red]\-#,##0;&quot;–&quot;;@"/>
    <numFmt numFmtId="167" formatCode="#,##0.0"/>
    <numFmt numFmtId="168" formatCode="0%;[Red]\-0%;&quot;–&quot;;@"/>
    <numFmt numFmtId="169" formatCode="0.00&quot;×&quot;;[Red]0.00&quot;×&quot;;&quot;–&quot;;@"/>
    <numFmt numFmtId="170" formatCode="0.0000;[Red]\-0.0000;&quot;–&quot;;@"/>
    <numFmt numFmtId="171" formatCode="#,##0.0;\-#,##0.0;&quot;–&quot;;@"/>
    <numFmt numFmtId="172" formatCode="\+0.0&quot; pts&quot;;[Red]\-0.0&quot; pts&quot;;&quot;–&quot;;@"/>
    <numFmt numFmtId="173" formatCode="&quot;$&quot;#,##0"/>
    <numFmt numFmtId="174" formatCode="\+0.0%;[Red]\-0.0%;&quot;–&quot;;@"/>
    <numFmt numFmtId="175" formatCode="0.0"/>
  </numFmts>
  <fonts count="41" x14ac:knownFonts="1">
    <font>
      <sz val="11"/>
      <color theme="1"/>
      <name val="Calibri"/>
      <family val="2"/>
      <scheme val="minor"/>
    </font>
    <font>
      <b/>
      <sz val="11"/>
      <color rgb="FF1E50FF"/>
      <name val="Consolas"/>
      <family val="2"/>
    </font>
    <font>
      <b/>
      <sz val="10"/>
      <color rgb="FF1E50FF"/>
      <name val="Consolas"/>
      <family val="2"/>
    </font>
    <font>
      <sz val="11"/>
      <color rgb="FF1E50FF"/>
      <name val="Consolas"/>
      <family val="2"/>
    </font>
    <font>
      <i/>
      <sz val="11"/>
      <color rgb="FF1E50FF"/>
      <name val="Calibri"/>
      <family val="2"/>
      <scheme val="minor"/>
    </font>
    <font>
      <sz val="10"/>
      <color rgb="FF8896B3"/>
      <name val="Calibri"/>
      <family val="2"/>
    </font>
    <font>
      <b/>
      <sz val="14"/>
      <color rgb="FFF2F2F2"/>
      <name val="Calibri Light"/>
      <family val="2"/>
    </font>
    <font>
      <sz val="11"/>
      <color rgb="FFF2F2F2"/>
      <name val="Calibri"/>
      <family val="2"/>
    </font>
    <font>
      <sz val="10"/>
      <color rgb="FF8896B3"/>
      <name val="Consolas"/>
      <family val="2"/>
    </font>
    <font>
      <sz val="11"/>
      <color rgb="FFF2F2F2"/>
      <name val="Consolas"/>
      <family val="2"/>
    </font>
    <font>
      <b/>
      <sz val="10"/>
      <color rgb="FF8896B3"/>
      <name val="Consolas"/>
      <family val="2"/>
    </font>
    <font>
      <b/>
      <sz val="11"/>
      <color rgb="FFF2F2F2"/>
      <name val="Consolas"/>
      <family val="2"/>
    </font>
    <font>
      <b/>
      <sz val="11"/>
      <color rgb="FF10B981"/>
      <name val="Consolas"/>
      <family val="2"/>
    </font>
    <font>
      <b/>
      <sz val="11"/>
      <color rgb="FF8896B3"/>
      <name val="Consolas"/>
      <family val="2"/>
    </font>
    <font>
      <i/>
      <sz val="10"/>
      <color rgb="FF8896B3"/>
      <name val="Calibri"/>
      <family val="2"/>
    </font>
    <font>
      <b/>
      <sz val="10"/>
      <color rgb="FFF2F2F2"/>
      <name val="Consolas"/>
      <family val="2"/>
    </font>
    <font>
      <sz val="11"/>
      <color rgb="FFF2F2F2"/>
      <name val="Calibri"/>
      <family val="2"/>
      <scheme val="minor"/>
    </font>
    <font>
      <b/>
      <sz val="32"/>
      <color rgb="FFF2F2F2"/>
      <name val="Calibri Light"/>
      <family val="2"/>
    </font>
    <font>
      <sz val="20"/>
      <color rgb="FFF2F2F2"/>
      <name val="Calibri Light"/>
      <family val="2"/>
    </font>
    <font>
      <sz val="11"/>
      <color rgb="FF8896B3"/>
      <name val="Calibri"/>
      <family val="2"/>
    </font>
    <font>
      <sz val="15"/>
      <color rgb="FFF2F2F2"/>
      <name val="Calibri Light"/>
      <family val="2"/>
    </font>
    <font>
      <sz val="15"/>
      <color rgb="FF10B981"/>
      <name val="Calibri Light"/>
      <family val="2"/>
    </font>
    <font>
      <b/>
      <sz val="26"/>
      <color rgb="FFF2F2F2"/>
      <name val="Calibri Light"/>
      <family val="2"/>
    </font>
    <font>
      <b/>
      <i/>
      <sz val="9"/>
      <color rgb="FF8896B3"/>
      <name val="Consolas"/>
      <family val="2"/>
    </font>
    <font>
      <b/>
      <sz val="11"/>
      <color rgb="FFF2F2F2"/>
      <name val="Calibri"/>
      <family val="2"/>
    </font>
    <font>
      <b/>
      <sz val="12"/>
      <color rgb="FFF2F2F2"/>
      <name val="Consolas"/>
      <family val="2"/>
    </font>
    <font>
      <b/>
      <sz val="14"/>
      <color rgb="FFF2F2F2"/>
      <name val="Consolas"/>
      <family val="2"/>
    </font>
    <font>
      <b/>
      <sz val="12"/>
      <color rgb="FF10B981"/>
      <name val="Consolas"/>
      <family val="2"/>
    </font>
    <font>
      <sz val="10"/>
      <color rgb="FFF2F2F2"/>
      <name val="Calibri"/>
      <family val="2"/>
    </font>
    <font>
      <sz val="10"/>
      <color rgb="FFF2F2F2"/>
      <name val="Consolas"/>
      <family val="2"/>
    </font>
    <font>
      <b/>
      <sz val="10"/>
      <color rgb="FFF59E0B"/>
      <name val="Consolas"/>
      <family val="2"/>
    </font>
    <font>
      <sz val="11"/>
      <color theme="0"/>
      <name val="Calibri"/>
      <family val="2"/>
      <scheme val="minor"/>
    </font>
    <font>
      <sz val="11"/>
      <color theme="1"/>
      <name val="Calibri"/>
      <family val="2"/>
      <scheme val="minor"/>
    </font>
    <font>
      <sz val="10"/>
      <color rgb="FF8896B3"/>
      <name val="Calibri"/>
      <family val="2"/>
      <scheme val="minor"/>
    </font>
    <font>
      <b/>
      <u/>
      <sz val="10"/>
      <color rgb="FF5B86FF"/>
      <name val="Consolas"/>
      <family val="2"/>
    </font>
    <font>
      <b/>
      <sz val="9"/>
      <color rgb="FF8896B3"/>
      <name val="Consolas"/>
      <family val="2"/>
    </font>
    <font>
      <b/>
      <sz val="18"/>
      <color rgb="FFF2F2F2"/>
      <name val="Calibri Light"/>
      <family val="2"/>
    </font>
    <font>
      <sz val="8"/>
      <color rgb="FF8896B3"/>
      <name val="Consolas"/>
      <family val="2"/>
    </font>
    <font>
      <b/>
      <sz val="16"/>
      <color rgb="FFF2F2F2"/>
      <name val="Calibri Light"/>
      <family val="2"/>
    </font>
    <font>
      <b/>
      <sz val="12"/>
      <color rgb="FF1E50FF"/>
      <name val="Consolas"/>
      <family val="2"/>
    </font>
    <font>
      <u/>
      <sz val="11"/>
      <color theme="10"/>
      <name val="Calibri"/>
      <family val="2"/>
      <scheme val="minor"/>
    </font>
  </fonts>
  <fills count="9">
    <fill>
      <patternFill patternType="none"/>
    </fill>
    <fill>
      <patternFill patternType="gray125"/>
    </fill>
    <fill>
      <patternFill patternType="solid">
        <fgColor rgb="FF1C1C1E"/>
        <bgColor rgb="FF1C1C1E"/>
      </patternFill>
    </fill>
    <fill>
      <patternFill patternType="solid">
        <fgColor rgb="FF0D0D0D"/>
        <bgColor rgb="FF0D0D0D"/>
      </patternFill>
    </fill>
    <fill>
      <patternFill patternType="solid">
        <fgColor rgb="FF26282B"/>
        <bgColor rgb="FF26282B"/>
      </patternFill>
    </fill>
    <fill>
      <patternFill patternType="solid">
        <fgColor rgb="FF0D0D0D"/>
        <bgColor indexed="64"/>
      </patternFill>
    </fill>
    <fill>
      <patternFill patternType="solid">
        <fgColor rgb="FF0D0D0D"/>
        <bgColor rgb="FF1C1C1E"/>
      </patternFill>
    </fill>
    <fill>
      <patternFill patternType="solid">
        <fgColor rgb="FF1C1C1E"/>
        <bgColor indexed="64"/>
      </patternFill>
    </fill>
    <fill>
      <patternFill patternType="solid">
        <fgColor rgb="FF1C1C1E"/>
        <bgColor rgb="FF0D0D0D"/>
      </patternFill>
    </fill>
  </fills>
  <borders count="7">
    <border>
      <left/>
      <right/>
      <top/>
      <bottom/>
      <diagonal/>
    </border>
    <border>
      <left style="thin">
        <color rgb="FF3A3A3C"/>
      </left>
      <right style="thin">
        <color rgb="FF3A3A3C"/>
      </right>
      <top style="thin">
        <color rgb="FF3A3A3C"/>
      </top>
      <bottom style="thin">
        <color rgb="FF3A3A3C"/>
      </bottom>
      <diagonal/>
    </border>
    <border>
      <left/>
      <right/>
      <top/>
      <bottom style="thin">
        <color rgb="FF3A3A3C"/>
      </bottom>
      <diagonal/>
    </border>
    <border>
      <left/>
      <right style="thin">
        <color rgb="FF3A3A3C"/>
      </right>
      <top style="thin">
        <color rgb="FF3A3A3C"/>
      </top>
      <bottom style="thin">
        <color rgb="FF3A3A3C"/>
      </bottom>
      <diagonal/>
    </border>
    <border>
      <left/>
      <right/>
      <top style="thin">
        <color rgb="FF3A3A3C"/>
      </top>
      <bottom style="thin">
        <color rgb="FF3A3A3C"/>
      </bottom>
      <diagonal/>
    </border>
    <border>
      <left/>
      <right/>
      <top style="thin">
        <color rgb="FF3A3A3C"/>
      </top>
      <bottom/>
      <diagonal/>
    </border>
    <border>
      <left style="thick">
        <color rgb="FF1E50FF"/>
      </left>
      <right style="thick">
        <color rgb="FF1E50FF"/>
      </right>
      <top style="thick">
        <color rgb="FF1E50FF"/>
      </top>
      <bottom style="thick">
        <color rgb="FF1E50FF"/>
      </bottom>
      <diagonal/>
    </border>
  </borders>
  <cellStyleXfs count="3">
    <xf numFmtId="0" fontId="0" fillId="0" borderId="0"/>
    <xf numFmtId="43" fontId="32" fillId="0" borderId="0"/>
    <xf numFmtId="0" fontId="40" fillId="0" borderId="0" applyNumberFormat="0" applyFill="0" applyBorder="0" applyAlignment="0" applyProtection="0"/>
  </cellStyleXfs>
  <cellXfs count="128">
    <xf numFmtId="0" fontId="0" fillId="0" borderId="0" xfId="0"/>
    <xf numFmtId="0" fontId="0" fillId="2" borderId="0" xfId="0" applyFill="1"/>
    <xf numFmtId="0" fontId="0" fillId="3" borderId="0" xfId="0" applyFill="1"/>
    <xf numFmtId="0" fontId="8" fillId="2" borderId="0" xfId="0" applyFont="1" applyFill="1" applyAlignment="1">
      <alignment horizontal="left" vertical="center"/>
    </xf>
    <xf numFmtId="0" fontId="8" fillId="2" borderId="0" xfId="0" applyFont="1" applyFill="1" applyAlignment="1">
      <alignment horizontal="right" vertical="center"/>
    </xf>
    <xf numFmtId="0" fontId="2" fillId="2" borderId="0" xfId="0" applyFont="1" applyFill="1" applyAlignment="1">
      <alignment horizontal="left" vertical="center"/>
    </xf>
    <xf numFmtId="165" fontId="9" fillId="3" borderId="0" xfId="0" applyNumberFormat="1" applyFont="1" applyFill="1" applyAlignment="1">
      <alignment horizontal="right" vertical="center"/>
    </xf>
    <xf numFmtId="0" fontId="10" fillId="4" borderId="2" xfId="0" applyFont="1" applyFill="1" applyBorder="1" applyAlignment="1">
      <alignment horizontal="left" vertical="center"/>
    </xf>
    <xf numFmtId="0" fontId="10" fillId="4" borderId="2" xfId="0" applyFont="1" applyFill="1" applyBorder="1" applyAlignment="1">
      <alignment horizontal="right" vertical="center"/>
    </xf>
    <xf numFmtId="0" fontId="7" fillId="3" borderId="0" xfId="0" applyFont="1" applyFill="1" applyAlignment="1">
      <alignment horizontal="left" vertical="center"/>
    </xf>
    <xf numFmtId="164" fontId="9" fillId="3" borderId="0" xfId="0" applyNumberFormat="1" applyFont="1" applyFill="1" applyAlignment="1">
      <alignment horizontal="right" vertical="center"/>
    </xf>
    <xf numFmtId="166" fontId="9" fillId="3" borderId="0" xfId="0" applyNumberFormat="1" applyFont="1" applyFill="1" applyAlignment="1">
      <alignment horizontal="right" vertical="center"/>
    </xf>
    <xf numFmtId="0" fontId="5" fillId="3" borderId="0" xfId="0" applyFont="1" applyFill="1" applyAlignment="1">
      <alignment horizontal="left" vertical="center"/>
    </xf>
    <xf numFmtId="0" fontId="1"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49"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0" fontId="10" fillId="4" borderId="2" xfId="0" applyFont="1" applyFill="1" applyBorder="1" applyAlignment="1">
      <alignment horizontal="center" vertical="center" wrapText="1"/>
    </xf>
    <xf numFmtId="0" fontId="10" fillId="4" borderId="2" xfId="0" applyFont="1" applyFill="1" applyBorder="1" applyAlignment="1">
      <alignment horizontal="left" vertical="center" wrapText="1"/>
    </xf>
    <xf numFmtId="0" fontId="10" fillId="4" borderId="2" xfId="0" applyFont="1" applyFill="1" applyBorder="1" applyAlignment="1">
      <alignment horizontal="right" vertical="center" wrapText="1"/>
    </xf>
    <xf numFmtId="0" fontId="2" fillId="3" borderId="1" xfId="0" applyFont="1" applyFill="1" applyBorder="1" applyAlignment="1">
      <alignment horizontal="left" vertical="center"/>
    </xf>
    <xf numFmtId="171" fontId="3" fillId="3" borderId="1" xfId="0" applyNumberFormat="1" applyFont="1" applyFill="1" applyBorder="1" applyAlignment="1">
      <alignment horizontal="right" vertical="center"/>
    </xf>
    <xf numFmtId="168" fontId="3" fillId="3" borderId="1" xfId="0" applyNumberFormat="1" applyFont="1" applyFill="1" applyBorder="1" applyAlignment="1">
      <alignment horizontal="right" vertical="center"/>
    </xf>
    <xf numFmtId="0" fontId="10" fillId="4" borderId="2" xfId="0" applyFont="1" applyFill="1" applyBorder="1" applyAlignment="1">
      <alignment horizontal="center" vertical="center"/>
    </xf>
    <xf numFmtId="0" fontId="15" fillId="3" borderId="0" xfId="0" applyFont="1" applyFill="1" applyAlignment="1">
      <alignment horizontal="center" vertical="center"/>
    </xf>
    <xf numFmtId="0" fontId="16" fillId="3" borderId="0" xfId="0" applyFont="1" applyFill="1"/>
    <xf numFmtId="0" fontId="4" fillId="2" borderId="0" xfId="0" applyFont="1" applyFill="1" applyAlignment="1">
      <alignment horizontal="left"/>
    </xf>
    <xf numFmtId="0" fontId="8" fillId="3" borderId="0" xfId="0" applyFont="1" applyFill="1" applyAlignment="1">
      <alignment horizontal="left" vertical="center"/>
    </xf>
    <xf numFmtId="0" fontId="23" fillId="2" borderId="0" xfId="0" applyFont="1" applyFill="1" applyAlignment="1">
      <alignment horizontal="left" vertical="center"/>
    </xf>
    <xf numFmtId="0" fontId="11" fillId="2" borderId="0" xfId="0" applyFont="1" applyFill="1" applyAlignment="1">
      <alignment horizontal="right" vertical="center"/>
    </xf>
    <xf numFmtId="0" fontId="8" fillId="3" borderId="0" xfId="0" applyFont="1" applyFill="1" applyAlignment="1">
      <alignment horizontal="center" vertical="center"/>
    </xf>
    <xf numFmtId="167" fontId="9" fillId="3" borderId="0" xfId="0" applyNumberFormat="1" applyFont="1" applyFill="1" applyAlignment="1">
      <alignment horizontal="right" vertical="center"/>
    </xf>
    <xf numFmtId="0" fontId="1" fillId="3" borderId="5" xfId="0" applyFont="1" applyFill="1" applyBorder="1" applyAlignment="1">
      <alignment horizontal="center" vertical="center"/>
    </xf>
    <xf numFmtId="0" fontId="24" fillId="3" borderId="5" xfId="0" applyFont="1" applyFill="1" applyBorder="1" applyAlignment="1">
      <alignment horizontal="left" vertical="center"/>
    </xf>
    <xf numFmtId="0" fontId="19" fillId="3" borderId="5" xfId="0" applyFont="1" applyFill="1" applyBorder="1" applyAlignment="1">
      <alignment horizontal="left" vertical="center"/>
    </xf>
    <xf numFmtId="165" fontId="11" fillId="3" borderId="5" xfId="0" applyNumberFormat="1" applyFont="1" applyFill="1" applyBorder="1" applyAlignment="1">
      <alignment horizontal="right" vertical="center"/>
    </xf>
    <xf numFmtId="0" fontId="11" fillId="3" borderId="5" xfId="0" applyFont="1" applyFill="1" applyBorder="1" applyAlignment="1">
      <alignment horizontal="center" vertical="center"/>
    </xf>
    <xf numFmtId="168" fontId="9" fillId="3" borderId="0" xfId="0" applyNumberFormat="1" applyFont="1" applyFill="1" applyAlignment="1">
      <alignment horizontal="right" vertical="center"/>
    </xf>
    <xf numFmtId="165" fontId="26" fillId="3" borderId="0" xfId="0" applyNumberFormat="1" applyFont="1" applyFill="1" applyAlignment="1">
      <alignment horizontal="right" vertical="center"/>
    </xf>
    <xf numFmtId="169" fontId="26" fillId="3" borderId="0" xfId="0" applyNumberFormat="1" applyFont="1" applyFill="1" applyAlignment="1">
      <alignment horizontal="right" vertical="center"/>
    </xf>
    <xf numFmtId="0" fontId="27" fillId="3" borderId="1" xfId="0" applyFont="1" applyFill="1" applyBorder="1" applyAlignment="1">
      <alignment horizontal="center" vertical="center"/>
    </xf>
    <xf numFmtId="0" fontId="8" fillId="3" borderId="0" xfId="0" applyFont="1" applyFill="1" applyAlignment="1">
      <alignment horizontal="right" vertical="center"/>
    </xf>
    <xf numFmtId="0" fontId="29" fillId="3" borderId="0" xfId="0" applyFont="1" applyFill="1" applyAlignment="1">
      <alignment horizontal="right" vertical="center"/>
    </xf>
    <xf numFmtId="170" fontId="8" fillId="3" borderId="0" xfId="0" applyNumberFormat="1" applyFont="1" applyFill="1" applyAlignment="1">
      <alignment horizontal="right" vertical="center"/>
    </xf>
    <xf numFmtId="0" fontId="0" fillId="5" borderId="0" xfId="0" applyFill="1"/>
    <xf numFmtId="0" fontId="0" fillId="6" borderId="0" xfId="0" applyFill="1"/>
    <xf numFmtId="166" fontId="8" fillId="3" borderId="0" xfId="0" applyNumberFormat="1" applyFont="1" applyFill="1" applyAlignment="1">
      <alignment horizontal="right" vertical="center"/>
    </xf>
    <xf numFmtId="166" fontId="29" fillId="3" borderId="0" xfId="0" applyNumberFormat="1" applyFont="1" applyFill="1" applyAlignment="1">
      <alignment horizontal="right" vertical="center"/>
    </xf>
    <xf numFmtId="0" fontId="8" fillId="5" borderId="0" xfId="0" applyFont="1" applyFill="1" applyAlignment="1">
      <alignment horizontal="left"/>
    </xf>
    <xf numFmtId="170" fontId="8" fillId="5" borderId="0" xfId="0" applyNumberFormat="1" applyFont="1" applyFill="1" applyAlignment="1">
      <alignment horizontal="right"/>
    </xf>
    <xf numFmtId="0" fontId="30" fillId="5" borderId="0" xfId="0" applyFont="1" applyFill="1" applyAlignment="1">
      <alignment horizontal="center"/>
    </xf>
    <xf numFmtId="0" fontId="0" fillId="7" borderId="0" xfId="0" applyFill="1"/>
    <xf numFmtId="0" fontId="31" fillId="3" borderId="0" xfId="0" applyFont="1" applyFill="1"/>
    <xf numFmtId="0" fontId="31" fillId="5" borderId="0" xfId="0" applyFont="1" applyFill="1"/>
    <xf numFmtId="0" fontId="19" fillId="3" borderId="0" xfId="0" applyFont="1" applyFill="1" applyAlignment="1">
      <alignment horizontal="left" vertical="center"/>
    </xf>
    <xf numFmtId="0" fontId="36" fillId="7" borderId="0" xfId="0" applyFont="1" applyFill="1" applyAlignment="1">
      <alignment horizontal="left" vertical="center"/>
    </xf>
    <xf numFmtId="9" fontId="37" fillId="2" borderId="0" xfId="0" applyNumberFormat="1" applyFont="1" applyFill="1"/>
    <xf numFmtId="175" fontId="37" fillId="2" borderId="0" xfId="0" applyNumberFormat="1" applyFont="1" applyFill="1"/>
    <xf numFmtId="165" fontId="9" fillId="3" borderId="6" xfId="0" applyNumberFormat="1" applyFont="1" applyFill="1" applyBorder="1" applyAlignment="1">
      <alignment horizontal="right" vertical="center"/>
    </xf>
    <xf numFmtId="9" fontId="10" fillId="4" borderId="2" xfId="0" applyNumberFormat="1" applyFont="1" applyFill="1" applyBorder="1" applyAlignment="1">
      <alignment horizontal="right" vertical="center" wrapText="1"/>
    </xf>
    <xf numFmtId="0" fontId="1" fillId="3" borderId="0" xfId="0" applyFont="1" applyFill="1" applyAlignment="1">
      <alignment horizontal="center" vertical="center"/>
    </xf>
    <xf numFmtId="0" fontId="24" fillId="3" borderId="0" xfId="0" applyFont="1" applyFill="1" applyAlignment="1">
      <alignment horizontal="left" vertical="center"/>
    </xf>
    <xf numFmtId="164" fontId="11" fillId="3" borderId="0" xfId="0" applyNumberFormat="1" applyFont="1" applyFill="1" applyAlignment="1">
      <alignment horizontal="right" vertical="center"/>
    </xf>
    <xf numFmtId="165" fontId="11" fillId="3" borderId="0" xfId="0" applyNumberFormat="1" applyFont="1" applyFill="1" applyAlignment="1">
      <alignment horizontal="right" vertical="center"/>
    </xf>
    <xf numFmtId="0" fontId="11" fillId="3" borderId="0" xfId="0" applyFont="1" applyFill="1" applyAlignment="1">
      <alignment horizontal="center" vertical="center"/>
    </xf>
    <xf numFmtId="0" fontId="35" fillId="7" borderId="0" xfId="0" applyFont="1" applyFill="1"/>
    <xf numFmtId="49" fontId="39" fillId="7" borderId="0" xfId="0" applyNumberFormat="1" applyFont="1" applyFill="1" applyAlignment="1">
      <alignment horizontal="left" vertical="center"/>
    </xf>
    <xf numFmtId="0" fontId="38" fillId="7" borderId="0" xfId="0" applyFont="1" applyFill="1"/>
    <xf numFmtId="0" fontId="7" fillId="7" borderId="0" xfId="0" applyFont="1" applyFill="1" applyAlignment="1">
      <alignment horizontal="left" vertical="top" wrapText="1"/>
    </xf>
    <xf numFmtId="49" fontId="39" fillId="7" borderId="0" xfId="0" applyNumberFormat="1" applyFont="1" applyFill="1" applyAlignment="1">
      <alignment horizontal="left" vertical="top" wrapText="1"/>
    </xf>
    <xf numFmtId="0" fontId="6" fillId="7" borderId="0" xfId="0" applyFont="1" applyFill="1" applyAlignment="1">
      <alignment horizontal="left" vertical="center"/>
    </xf>
    <xf numFmtId="0" fontId="16" fillId="5" borderId="0" xfId="0" applyFont="1" applyFill="1" applyAlignment="1">
      <alignment vertical="top" wrapText="1"/>
    </xf>
    <xf numFmtId="0" fontId="0" fillId="7" borderId="0" xfId="0" applyFill="1" applyAlignment="1">
      <alignment vertical="top" wrapText="1"/>
    </xf>
    <xf numFmtId="0" fontId="38" fillId="7" borderId="0" xfId="0" applyFont="1" applyFill="1" applyAlignment="1">
      <alignment vertical="top" wrapText="1"/>
    </xf>
    <xf numFmtId="0" fontId="33" fillId="7" borderId="0" xfId="0" applyFont="1" applyFill="1" applyAlignment="1">
      <alignment horizontal="left"/>
    </xf>
    <xf numFmtId="0" fontId="7" fillId="5" borderId="0" xfId="0" applyFont="1" applyFill="1" applyAlignment="1">
      <alignment horizontal="left" vertical="top" wrapText="1"/>
    </xf>
    <xf numFmtId="0" fontId="8" fillId="7" borderId="0" xfId="0" applyFont="1" applyFill="1" applyAlignment="1">
      <alignment horizontal="left"/>
    </xf>
    <xf numFmtId="0" fontId="8" fillId="7" borderId="0" xfId="0" applyFont="1" applyFill="1" applyAlignment="1">
      <alignment horizontal="right"/>
    </xf>
    <xf numFmtId="0" fontId="36" fillId="2" borderId="0" xfId="0" applyFont="1" applyFill="1" applyAlignment="1">
      <alignment horizontal="left" vertical="center"/>
    </xf>
    <xf numFmtId="0" fontId="36" fillId="8" borderId="0" xfId="0" applyFont="1" applyFill="1"/>
    <xf numFmtId="0" fontId="0" fillId="8" borderId="0" xfId="0" applyFill="1"/>
    <xf numFmtId="0" fontId="1" fillId="8" borderId="1" xfId="0" applyFont="1" applyFill="1" applyBorder="1" applyAlignment="1" applyProtection="1">
      <alignment horizontal="center" vertical="center"/>
      <protection locked="0"/>
    </xf>
    <xf numFmtId="0" fontId="34" fillId="7" borderId="0" xfId="2" applyFont="1" applyFill="1"/>
    <xf numFmtId="0" fontId="28" fillId="3" borderId="0" xfId="0" applyFont="1" applyFill="1" applyAlignment="1">
      <alignment horizontal="left" vertical="center"/>
    </xf>
    <xf numFmtId="0" fontId="0" fillId="3" borderId="0" xfId="0" applyFill="1"/>
    <xf numFmtId="0" fontId="8" fillId="2" borderId="0" xfId="0" applyFont="1" applyFill="1" applyAlignment="1">
      <alignment horizontal="right" vertical="center"/>
    </xf>
    <xf numFmtId="0" fontId="0" fillId="8" borderId="0" xfId="0" applyFill="1"/>
    <xf numFmtId="172" fontId="8" fillId="3" borderId="0" xfId="0" applyNumberFormat="1" applyFont="1" applyFill="1" applyAlignment="1">
      <alignment horizontal="right" vertical="center"/>
    </xf>
    <xf numFmtId="0" fontId="5" fillId="2" borderId="0" xfId="0" applyFont="1" applyFill="1" applyAlignment="1">
      <alignment horizontal="left" vertical="center"/>
    </xf>
    <xf numFmtId="0" fontId="14" fillId="3" borderId="0" xfId="0" applyFont="1" applyFill="1" applyAlignment="1">
      <alignment horizontal="left" vertical="center"/>
    </xf>
    <xf numFmtId="0" fontId="5" fillId="3" borderId="0" xfId="0" applyFont="1" applyFill="1" applyAlignment="1">
      <alignment horizontal="left" vertical="center"/>
    </xf>
    <xf numFmtId="165" fontId="9" fillId="3" borderId="0" xfId="0" applyNumberFormat="1" applyFont="1" applyFill="1" applyAlignment="1">
      <alignment horizontal="right" vertical="center"/>
    </xf>
    <xf numFmtId="164" fontId="11" fillId="3" borderId="5" xfId="0" applyNumberFormat="1" applyFont="1" applyFill="1" applyBorder="1" applyAlignment="1">
      <alignment horizontal="right" vertical="center"/>
    </xf>
    <xf numFmtId="0" fontId="0" fillId="3" borderId="5" xfId="0" applyFill="1" applyBorder="1"/>
    <xf numFmtId="164" fontId="9" fillId="3" borderId="0" xfId="0" applyNumberFormat="1" applyFont="1" applyFill="1" applyAlignment="1">
      <alignment horizontal="right" vertical="center"/>
    </xf>
    <xf numFmtId="0" fontId="10" fillId="4" borderId="2" xfId="0" applyFont="1" applyFill="1" applyBorder="1" applyAlignment="1">
      <alignment horizontal="right" vertical="center"/>
    </xf>
    <xf numFmtId="0" fontId="0" fillId="3" borderId="2" xfId="0" applyFill="1" applyBorder="1"/>
    <xf numFmtId="173" fontId="22" fillId="3" borderId="0" xfId="0" applyNumberFormat="1" applyFont="1" applyFill="1" applyAlignment="1">
      <alignment horizontal="left" vertical="center"/>
    </xf>
    <xf numFmtId="0" fontId="8" fillId="3" borderId="0" xfId="0" applyFont="1" applyFill="1" applyAlignment="1">
      <alignment horizontal="left" vertical="center"/>
    </xf>
    <xf numFmtId="0" fontId="10" fillId="4" borderId="2" xfId="0" applyFont="1" applyFill="1" applyBorder="1" applyAlignment="1">
      <alignment horizontal="left" vertical="center"/>
    </xf>
    <xf numFmtId="0" fontId="19" fillId="3" borderId="0" xfId="0" applyFont="1" applyFill="1" applyAlignment="1">
      <alignment horizontal="left" vertical="center"/>
    </xf>
    <xf numFmtId="173" fontId="20" fillId="3" borderId="0" xfId="0" applyNumberFormat="1" applyFont="1" applyFill="1" applyAlignment="1">
      <alignment horizontal="left" vertical="center"/>
    </xf>
    <xf numFmtId="0" fontId="7" fillId="3" borderId="0" xfId="0" applyFont="1" applyFill="1" applyAlignment="1">
      <alignment horizontal="left" vertical="center" wrapText="1"/>
    </xf>
    <xf numFmtId="165" fontId="17" fillId="3" borderId="0" xfId="0" applyNumberFormat="1" applyFont="1" applyFill="1" applyAlignment="1">
      <alignment horizontal="left" vertical="center"/>
    </xf>
    <xf numFmtId="173" fontId="21" fillId="3" borderId="0" xfId="0" applyNumberFormat="1" applyFont="1" applyFill="1" applyAlignment="1">
      <alignment horizontal="left" vertical="center"/>
    </xf>
    <xf numFmtId="0" fontId="15" fillId="2" borderId="0" xfId="0" applyFont="1" applyFill="1" applyAlignment="1">
      <alignment horizontal="right" vertical="center"/>
    </xf>
    <xf numFmtId="164" fontId="18" fillId="3" borderId="0" xfId="0" applyNumberFormat="1" applyFont="1" applyFill="1" applyAlignment="1">
      <alignment horizontal="left" vertical="center"/>
    </xf>
    <xf numFmtId="165" fontId="18" fillId="3" borderId="0" xfId="0" applyNumberFormat="1" applyFont="1" applyFill="1" applyAlignment="1">
      <alignment horizontal="left" vertical="center"/>
    </xf>
    <xf numFmtId="0" fontId="14" fillId="2" borderId="0" xfId="0" applyFont="1" applyFill="1" applyAlignment="1">
      <alignment horizontal="left" vertical="center"/>
    </xf>
    <xf numFmtId="165" fontId="20" fillId="3" borderId="0" xfId="0" applyNumberFormat="1" applyFont="1" applyFill="1" applyAlignment="1">
      <alignment horizontal="left" vertical="center"/>
    </xf>
    <xf numFmtId="174" fontId="18" fillId="3" borderId="0" xfId="0" applyNumberFormat="1" applyFont="1" applyFill="1" applyAlignment="1">
      <alignment horizontal="left" vertical="center"/>
    </xf>
    <xf numFmtId="165" fontId="11" fillId="3" borderId="5" xfId="0" applyNumberFormat="1" applyFont="1" applyFill="1" applyBorder="1" applyAlignment="1">
      <alignment horizontal="right" vertical="center"/>
    </xf>
    <xf numFmtId="165" fontId="25" fillId="3" borderId="0" xfId="0" applyNumberFormat="1" applyFont="1" applyFill="1" applyAlignment="1">
      <alignment horizontal="right" vertical="center"/>
    </xf>
    <xf numFmtId="0" fontId="5" fillId="3" borderId="0" xfId="0" applyFont="1" applyFill="1" applyAlignment="1">
      <alignment horizontal="right" vertical="center"/>
    </xf>
    <xf numFmtId="0" fontId="7" fillId="3" borderId="0" xfId="0" applyFont="1" applyFill="1" applyAlignment="1">
      <alignment horizontal="left" vertical="center"/>
    </xf>
    <xf numFmtId="0" fontId="14" fillId="3" borderId="0" xfId="0" applyFont="1" applyFill="1" applyAlignment="1">
      <alignment horizontal="left" vertical="center" wrapText="1"/>
    </xf>
    <xf numFmtId="49" fontId="3" fillId="3" borderId="1" xfId="0" applyNumberFormat="1" applyFont="1" applyFill="1" applyBorder="1" applyAlignment="1">
      <alignment horizontal="left" vertical="center"/>
    </xf>
    <xf numFmtId="0" fontId="0" fillId="3" borderId="3" xfId="0" applyFill="1" applyBorder="1"/>
    <xf numFmtId="166" fontId="3" fillId="3" borderId="1" xfId="0" applyNumberFormat="1" applyFont="1" applyFill="1" applyBorder="1" applyAlignment="1">
      <alignment horizontal="right" vertical="center"/>
    </xf>
    <xf numFmtId="0" fontId="10" fillId="4" borderId="2" xfId="0" applyFont="1" applyFill="1" applyBorder="1" applyAlignment="1">
      <alignment horizontal="center" vertical="center"/>
    </xf>
    <xf numFmtId="165" fontId="3" fillId="3" borderId="1" xfId="0" applyNumberFormat="1" applyFont="1" applyFill="1" applyBorder="1" applyAlignment="1">
      <alignment horizontal="right" vertical="center"/>
    </xf>
    <xf numFmtId="164" fontId="3" fillId="3" borderId="1" xfId="0" applyNumberFormat="1" applyFont="1" applyFill="1" applyBorder="1" applyAlignment="1">
      <alignment horizontal="right" vertical="center"/>
    </xf>
    <xf numFmtId="0" fontId="0" fillId="3" borderId="4" xfId="0" applyFill="1" applyBorder="1"/>
    <xf numFmtId="0" fontId="15" fillId="3" borderId="0" xfId="0" applyFont="1" applyFill="1" applyAlignment="1">
      <alignment horizontal="center" vertical="center"/>
    </xf>
  </cellXfs>
  <cellStyles count="3">
    <cellStyle name="Comma 2" xfId="1" xr:uid="{96D4D515-5D24-4A4B-99FB-6D5417473E66}"/>
    <cellStyle name="Hyperlink" xfId="2" builtinId="8"/>
    <cellStyle name="Normal" xfId="0" builtinId="0"/>
  </cellStyles>
  <dxfs count="40">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sz val="10"/>
        <color rgb="FF8896B3"/>
        <name val="Consolas"/>
      </font>
    </dxf>
    <dxf>
      <font>
        <b/>
        <sz val="10"/>
        <color rgb="FFE5484D"/>
        <name val="Consolas"/>
      </font>
    </dxf>
    <dxf>
      <font>
        <b/>
        <sz val="10"/>
        <color rgb="FFFFC857"/>
        <name val="Consolas"/>
      </font>
    </dxf>
    <dxf>
      <font>
        <b/>
        <sz val="10"/>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32"/>
        <color rgb="FFE5484D"/>
        <name val="Calibri Light"/>
      </font>
    </dxf>
    <dxf>
      <font>
        <b/>
        <sz val="32"/>
        <color rgb="FF10B981"/>
        <name val="Calibri Light"/>
      </font>
    </dxf>
    <dxf>
      <font>
        <b/>
        <sz val="10"/>
        <color rgb="FF10B981"/>
        <name val="Consolas"/>
      </font>
    </dxf>
    <dxf>
      <font>
        <b/>
        <sz val="10"/>
        <color rgb="FFFFC857"/>
        <name val="Consolas"/>
      </font>
    </dxf>
    <dxf>
      <font>
        <b/>
        <sz val="10"/>
        <color rgb="FFE5484D"/>
        <name val="Consolas"/>
      </font>
    </dxf>
    <dxf>
      <font>
        <sz val="11"/>
        <color rgb="FF10B981"/>
        <name val="Consolas"/>
      </font>
    </dxf>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sz val="10"/>
        <color rgb="FF8896B3"/>
        <name val="Consolas"/>
      </font>
    </dxf>
    <dxf>
      <font>
        <b/>
        <sz val="10"/>
        <color rgb="FFE5484D"/>
        <name val="Consolas"/>
      </font>
    </dxf>
    <dxf>
      <font>
        <b/>
        <sz val="10"/>
        <color rgb="FFFFC857"/>
        <name val="Consolas"/>
      </font>
    </dxf>
    <dxf>
      <font>
        <b/>
        <sz val="10"/>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32"/>
        <color rgb="FFE5484D"/>
        <name val="Calibri Light"/>
      </font>
    </dxf>
    <dxf>
      <font>
        <b/>
        <sz val="32"/>
        <color rgb="FF10B981"/>
        <name val="Calibri Light"/>
      </font>
    </dxf>
    <dxf>
      <font>
        <b/>
        <sz val="10"/>
        <color rgb="FF10B981"/>
        <name val="Consolas"/>
      </font>
    </dxf>
    <dxf>
      <font>
        <b/>
        <sz val="10"/>
        <color rgb="FFFFC857"/>
        <name val="Consolas"/>
      </font>
    </dxf>
    <dxf>
      <font>
        <b/>
        <sz val="10"/>
        <color rgb="FFE5484D"/>
        <name val="Consolas"/>
      </font>
    </dxf>
    <dxf>
      <font>
        <sz val="11"/>
        <color rgb="FF10B981"/>
        <name val="Consolas"/>
      </font>
    </dxf>
  </dxfs>
  <tableStyles count="0" defaultTableStyle="TableStyleMedium9" defaultPivotStyle="PivotStyleLight16"/>
  <colors>
    <mruColors>
      <color rgb="FF1C1C1E"/>
      <color rgb="FF0D0D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rot="0" spcFirstLastPara="1" vertOverflow="ellipsis" vert="horz" wrap="square" anchor="ctr" anchorCtr="1"/>
          <a:lstStyle/>
          <a:p>
            <a:pPr>
              <a:defRPr sz="1400" b="1" i="0" strike="noStrike" kern="1200" spc="0" baseline="0">
                <a:solidFill>
                  <a:schemeClr val="bg1"/>
                </a:solidFill>
                <a:latin typeface="+mn-lt"/>
                <a:ea typeface="+mn-ea"/>
                <a:cs typeface="+mn-cs"/>
              </a:defRPr>
            </a:pPr>
            <a:r>
              <a:rPr lang="en-US">
                <a:solidFill>
                  <a:schemeClr val="bg1"/>
                </a:solidFill>
              </a:rPr>
              <a:t>Quadrant: where each role sits on utilisation × pricing</a:t>
            </a:r>
          </a:p>
        </c:rich>
      </c:tx>
      <c:overlay val="0"/>
      <c:spPr>
        <a:noFill/>
        <a:ln>
          <a:noFill/>
          <a:prstDash val="solid"/>
        </a:ln>
      </c:spPr>
    </c:title>
    <c:autoTitleDeleted val="0"/>
    <c:plotArea>
      <c:layout/>
      <c:bubbleChart>
        <c:varyColors val="0"/>
        <c:ser>
          <c:idx val="0"/>
          <c:order val="0"/>
          <c:tx>
            <c:v>Healthy (≥50% margin)</c:v>
          </c:tx>
          <c:spPr>
            <a:solidFill>
              <a:srgbClr val="16A34A"/>
            </a:solidFill>
            <a:ln>
              <a:solidFill>
                <a:srgbClr val="10B981"/>
              </a:solidFill>
              <a:prstDash val="solid"/>
            </a:ln>
          </c:spPr>
          <c:invertIfNegative val="0"/>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704-294B-885A-2D85CD469EAB}"/>
                </c:ext>
              </c:extLst>
            </c:dLbl>
            <c:dLbl>
              <c:idx val="1"/>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704-294B-885A-2D85CD469EAB}"/>
                </c:ext>
              </c:extLst>
            </c:dLbl>
            <c:dLbl>
              <c:idx val="2"/>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04-294B-885A-2D85CD469EAB}"/>
                </c:ext>
              </c:extLst>
            </c:dLbl>
            <c:dLbl>
              <c:idx val="3"/>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04-294B-885A-2D85CD469EAB}"/>
                </c:ext>
              </c:extLst>
            </c:dLbl>
            <c:dLbl>
              <c:idx val="4"/>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04-294B-885A-2D85CD469EAB}"/>
                </c:ext>
              </c:extLst>
            </c:dLbl>
            <c:dLbl>
              <c:idx val="5"/>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04-294B-885A-2D85CD469EAB}"/>
                </c:ext>
              </c:extLst>
            </c:dLbl>
            <c:dLbl>
              <c:idx val="6"/>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04-294B-885A-2D85CD469EAB}"/>
                </c:ext>
              </c:extLst>
            </c:dLbl>
            <c:dLbl>
              <c:idx val="7"/>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0-4497-6C4A-A3A5-014ADEC4382A}"/>
                </c:ext>
              </c:extLst>
            </c:dLbl>
            <c:dLbl>
              <c:idx val="8"/>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497-6C4A-A3A5-014ADEC4382A}"/>
                </c:ext>
              </c:extLst>
            </c:dLbl>
            <c:dLbl>
              <c:idx val="9"/>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497-6C4A-A3A5-014ADEC4382A}"/>
                </c:ext>
              </c:extLst>
            </c:dLbl>
            <c:dLbl>
              <c:idx val="10"/>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497-6C4A-A3A5-014ADEC4382A}"/>
                </c:ext>
              </c:extLst>
            </c:dLbl>
            <c:dLbl>
              <c:idx val="11"/>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497-6C4A-A3A5-014ADEC4382A}"/>
                </c:ext>
              </c:extLst>
            </c:dLbl>
            <c:dLbl>
              <c:idx val="12"/>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497-6C4A-A3A5-014ADEC4382A}"/>
                </c:ext>
              </c:extLst>
            </c:dLbl>
            <c:dLbl>
              <c:idx val="13"/>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497-6C4A-A3A5-014ADEC4382A}"/>
                </c:ext>
              </c:extLst>
            </c:dLbl>
            <c:spPr>
              <a:noFill/>
              <a:ln>
                <a:noFill/>
              </a:ln>
              <a:effectLst/>
            </c:spPr>
            <c:txPr>
              <a:bodyPr wrap="square" lIns="38100" tIns="19050" rIns="38100" bIns="19050" anchor="ctr">
                <a:spAutoFit/>
              </a:bodyPr>
              <a:lstStyle/>
              <a:p>
                <a:pPr>
                  <a:defRPr>
                    <a:solidFill>
                      <a:schemeClr val="bg1"/>
                    </a:solidFill>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Diagnostic!$DP$70:$DP$83</c:f>
              <c:numCache>
                <c:formatCode>General</c:formatCode>
                <c:ptCount val="1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numCache>
            </c:numRef>
          </c:xVal>
          <c:yVal>
            <c:numRef>
              <c:f>Diagnostic!$DQ$70:$DQ$83</c:f>
              <c:numCache>
                <c:formatCode>General</c:formatCode>
                <c:ptCount val="1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numCache>
            </c:numRef>
          </c:yVal>
          <c:bubbleSize>
            <c:numRef>
              <c:f>Diagnostic!$DR$70:$DR$83</c:f>
              <c:numCache>
                <c:formatCode>General</c:formatCode>
                <c:ptCount val="1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numCache>
            </c:numRef>
          </c:bubbleSize>
          <c:bubble3D val="0"/>
          <c:extLst>
            <c:ext xmlns:c15="http://schemas.microsoft.com/office/drawing/2012/chart" uri="{02D57815-91ED-43cb-92C2-25804820EDAC}">
              <c15:datalabelsRange>
                <c15:f>Diagnostic!$EC$70:$EC$83</c15:f>
                <c15:dlblRangeCache>
                  <c:ptCount val="14"/>
                </c15:dlblRangeCache>
              </c15:datalabelsRange>
            </c:ext>
            <c:ext xmlns:c16="http://schemas.microsoft.com/office/drawing/2014/chart" uri="{C3380CC4-5D6E-409C-BE32-E72D297353CC}">
              <c16:uniqueId val="{0000000E-D704-294B-885A-2D85CD469EAB}"/>
            </c:ext>
          </c:extLst>
        </c:ser>
        <c:ser>
          <c:idx val="1"/>
          <c:order val="1"/>
          <c:tx>
            <c:v>Watch (30–50% margin)</c:v>
          </c:tx>
          <c:spPr>
            <a:solidFill>
              <a:srgbClr val="F59E0B"/>
            </a:solidFill>
            <a:ln>
              <a:solidFill>
                <a:srgbClr val="FFC857"/>
              </a:solidFill>
              <a:prstDash val="solid"/>
            </a:ln>
          </c:spPr>
          <c:invertIfNegative val="0"/>
          <c:dLbls>
            <c:dLbl>
              <c:idx val="0"/>
              <c:tx>
                <c:rich>
                  <a:bodyPr/>
                  <a:lstStyle/>
                  <a:p>
                    <a:fld id="{566ED565-F645-C341-91DB-6CA62B162FD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D704-294B-885A-2D85CD469EAB}"/>
                </c:ext>
              </c:extLst>
            </c:dLbl>
            <c:dLbl>
              <c:idx val="1"/>
              <c:tx>
                <c:rich>
                  <a:bodyPr/>
                  <a:lstStyle/>
                  <a:p>
                    <a:fld id="{93CD30B3-F2E9-984C-A525-86162CE98EC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D704-294B-885A-2D85CD469EAB}"/>
                </c:ext>
              </c:extLst>
            </c:dLbl>
            <c:dLbl>
              <c:idx val="2"/>
              <c:tx>
                <c:rich>
                  <a:bodyPr/>
                  <a:lstStyle/>
                  <a:p>
                    <a:fld id="{38DAB538-8FF4-7743-967F-CC0FEE0A15E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D704-294B-885A-2D85CD469EAB}"/>
                </c:ext>
              </c:extLst>
            </c:dLbl>
            <c:dLbl>
              <c:idx val="3"/>
              <c:tx>
                <c:rich>
                  <a:bodyPr/>
                  <a:lstStyle/>
                  <a:p>
                    <a:fld id="{8C3368E6-48AC-5843-AE9B-A1BB158732E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D704-294B-885A-2D85CD469EAB}"/>
                </c:ext>
              </c:extLst>
            </c:dLbl>
            <c:dLbl>
              <c:idx val="4"/>
              <c:tx>
                <c:rich>
                  <a:bodyPr/>
                  <a:lstStyle/>
                  <a:p>
                    <a:fld id="{8D05E60A-543F-6345-99F1-34504F04B3A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D704-294B-885A-2D85CD469EAB}"/>
                </c:ext>
              </c:extLst>
            </c:dLbl>
            <c:dLbl>
              <c:idx val="5"/>
              <c:tx>
                <c:rich>
                  <a:bodyPr/>
                  <a:lstStyle/>
                  <a:p>
                    <a:fld id="{BB2570F8-1E68-9543-A1FC-507AB9FA0FE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D704-294B-885A-2D85CD469EAB}"/>
                </c:ext>
              </c:extLst>
            </c:dLbl>
            <c:dLbl>
              <c:idx val="6"/>
              <c:tx>
                <c:rich>
                  <a:bodyPr/>
                  <a:lstStyle/>
                  <a:p>
                    <a:fld id="{09D2EA16-CA08-AB45-A40C-882AE337A87A}"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D704-294B-885A-2D85CD469EAB}"/>
                </c:ext>
              </c:extLst>
            </c:dLbl>
            <c:dLbl>
              <c:idx val="7"/>
              <c:tx>
                <c:rich>
                  <a:bodyPr/>
                  <a:lstStyle/>
                  <a:p>
                    <a:fld id="{5DB8B5FE-7562-9648-AAEF-C9E292C2828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D704-294B-885A-2D85CD469EAB}"/>
                </c:ext>
              </c:extLst>
            </c:dLbl>
            <c:dLbl>
              <c:idx val="8"/>
              <c:tx>
                <c:rich>
                  <a:bodyPr/>
                  <a:lstStyle/>
                  <a:p>
                    <a:fld id="{AADF58BE-9AAE-2044-9654-1C3B800315F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D704-294B-885A-2D85CD469EAB}"/>
                </c:ext>
              </c:extLst>
            </c:dLbl>
            <c:dLbl>
              <c:idx val="9"/>
              <c:tx>
                <c:rich>
                  <a:bodyPr/>
                  <a:lstStyle/>
                  <a:p>
                    <a:fld id="{68D5752A-3115-C647-8B82-6B3DF063861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D704-294B-885A-2D85CD469EAB}"/>
                </c:ext>
              </c:extLst>
            </c:dLbl>
            <c:dLbl>
              <c:idx val="10"/>
              <c:tx>
                <c:rich>
                  <a:bodyPr/>
                  <a:lstStyle/>
                  <a:p>
                    <a:fld id="{F2F758A8-A80A-E445-B3AE-189DD7617B9A}"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D704-294B-885A-2D85CD469EAB}"/>
                </c:ext>
              </c:extLst>
            </c:dLbl>
            <c:dLbl>
              <c:idx val="11"/>
              <c:tx>
                <c:rich>
                  <a:bodyPr/>
                  <a:lstStyle/>
                  <a:p>
                    <a:fld id="{5910DB40-7A13-CB4B-A0BA-BE7EA68561F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D704-294B-885A-2D85CD469EAB}"/>
                </c:ext>
              </c:extLst>
            </c:dLbl>
            <c:dLbl>
              <c:idx val="12"/>
              <c:tx>
                <c:rich>
                  <a:bodyPr/>
                  <a:lstStyle/>
                  <a:p>
                    <a:fld id="{9B22432E-BC2B-3F46-B6CB-332F2B4B3D4E}"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D704-294B-885A-2D85CD469EAB}"/>
                </c:ext>
              </c:extLst>
            </c:dLbl>
            <c:dLbl>
              <c:idx val="13"/>
              <c:tx>
                <c:rich>
                  <a:bodyPr/>
                  <a:lstStyle/>
                  <a:p>
                    <a:fld id="{B019FFB0-BB7B-2B4E-B090-81F9B18CD06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D704-294B-885A-2D85CD469EAB}"/>
                </c:ext>
              </c:extLst>
            </c:dLbl>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Diagnostic!$EW$40:$EW$53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Diagnostic!$EX$40:$EX$53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bubbleSize>
            <c:numRef>
              <c:f>Diagnostic!$EY$40:$EY$53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bubbleSize>
          <c:bubble3D val="0"/>
          <c:extLst>
            <c:ext xmlns:c15="http://schemas.microsoft.com/office/drawing/2012/chart" uri="{02D57815-91ED-43cb-92C2-25804820EDAC}">
              <c15:datalabelsRange>
                <c15:f>Diagnostic!$ED$70:$ED$83</c15:f>
                <c15:dlblRangeCache>
                  <c:ptCount val="14"/>
                </c15:dlblRangeCache>
              </c15:datalabelsRange>
            </c:ext>
            <c:ext xmlns:c16="http://schemas.microsoft.com/office/drawing/2014/chart" uri="{C3380CC4-5D6E-409C-BE32-E72D297353CC}">
              <c16:uniqueId val="{0000001D-D704-294B-885A-2D85CD469EAB}"/>
            </c:ext>
          </c:extLst>
        </c:ser>
        <c:ser>
          <c:idx val="2"/>
          <c:order val="2"/>
          <c:tx>
            <c:v>Restructure (&lt;30% margin)</c:v>
          </c:tx>
          <c:spPr>
            <a:solidFill>
              <a:srgbClr val="DC2626"/>
            </a:solidFill>
            <a:ln>
              <a:solidFill>
                <a:srgbClr val="E5484D"/>
              </a:solidFill>
              <a:prstDash val="solid"/>
            </a:ln>
          </c:spPr>
          <c:invertIfNegative val="0"/>
          <c:dLbls>
            <c:dLbl>
              <c:idx val="0"/>
              <c:tx>
                <c:rich>
                  <a:bodyPr/>
                  <a:lstStyle/>
                  <a:p>
                    <a:fld id="{A7DBFBB9-BBB8-EC43-A155-EA66CBC6A72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D704-294B-885A-2D85CD469EAB}"/>
                </c:ext>
              </c:extLst>
            </c:dLbl>
            <c:dLbl>
              <c:idx val="1"/>
              <c:tx>
                <c:rich>
                  <a:bodyPr/>
                  <a:lstStyle/>
                  <a:p>
                    <a:fld id="{424A7526-AD67-9844-A714-69889DF6B03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D704-294B-885A-2D85CD469EAB}"/>
                </c:ext>
              </c:extLst>
            </c:dLbl>
            <c:dLbl>
              <c:idx val="2"/>
              <c:tx>
                <c:rich>
                  <a:bodyPr/>
                  <a:lstStyle/>
                  <a:p>
                    <a:fld id="{DEF4EAF6-0F97-394E-9F87-310108A33DF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D704-294B-885A-2D85CD469EAB}"/>
                </c:ext>
              </c:extLst>
            </c:dLbl>
            <c:dLbl>
              <c:idx val="3"/>
              <c:tx>
                <c:rich>
                  <a:bodyPr/>
                  <a:lstStyle/>
                  <a:p>
                    <a:fld id="{AF72B9AF-C51F-5344-9B38-0A1D5959764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D704-294B-885A-2D85CD469EAB}"/>
                </c:ext>
              </c:extLst>
            </c:dLbl>
            <c:dLbl>
              <c:idx val="4"/>
              <c:tx>
                <c:rich>
                  <a:bodyPr/>
                  <a:lstStyle/>
                  <a:p>
                    <a:fld id="{5C35F30C-BC01-4949-AE34-9C31F462F07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D704-294B-885A-2D85CD469EAB}"/>
                </c:ext>
              </c:extLst>
            </c:dLbl>
            <c:dLbl>
              <c:idx val="5"/>
              <c:tx>
                <c:rich>
                  <a:bodyPr/>
                  <a:lstStyle/>
                  <a:p>
                    <a:fld id="{B8CE258A-1E9C-944A-9019-812CA567EEC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D704-294B-885A-2D85CD469EAB}"/>
                </c:ext>
              </c:extLst>
            </c:dLbl>
            <c:dLbl>
              <c:idx val="6"/>
              <c:tx>
                <c:rich>
                  <a:bodyPr/>
                  <a:lstStyle/>
                  <a:p>
                    <a:fld id="{55B335C2-10F1-924A-898E-7F77DDE149D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D704-294B-885A-2D85CD469EAB}"/>
                </c:ext>
              </c:extLst>
            </c:dLbl>
            <c:dLbl>
              <c:idx val="7"/>
              <c:tx>
                <c:rich>
                  <a:bodyPr/>
                  <a:lstStyle/>
                  <a:p>
                    <a:fld id="{7033A59F-AA53-2A42-9BF7-22B3B6FFD96E}"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D704-294B-885A-2D85CD469EAB}"/>
                </c:ext>
              </c:extLst>
            </c:dLbl>
            <c:dLbl>
              <c:idx val="8"/>
              <c:tx>
                <c:rich>
                  <a:bodyPr/>
                  <a:lstStyle/>
                  <a:p>
                    <a:fld id="{9A433A35-3930-394A-9213-8C52212D77C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D704-294B-885A-2D85CD469EAB}"/>
                </c:ext>
              </c:extLst>
            </c:dLbl>
            <c:dLbl>
              <c:idx val="9"/>
              <c:tx>
                <c:rich>
                  <a:bodyPr/>
                  <a:lstStyle/>
                  <a:p>
                    <a:fld id="{C67F6023-929D-4A45-A800-EAC03632F14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D704-294B-885A-2D85CD469EAB}"/>
                </c:ext>
              </c:extLst>
            </c:dLbl>
            <c:dLbl>
              <c:idx val="10"/>
              <c:tx>
                <c:rich>
                  <a:bodyPr/>
                  <a:lstStyle/>
                  <a:p>
                    <a:fld id="{9EE69183-8CFD-3845-97B4-6CBEE759B02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D704-294B-885A-2D85CD469EAB}"/>
                </c:ext>
              </c:extLst>
            </c:dLbl>
            <c:dLbl>
              <c:idx val="11"/>
              <c:tx>
                <c:rich>
                  <a:bodyPr/>
                  <a:lstStyle/>
                  <a:p>
                    <a:fld id="{DB1E5410-ED55-F344-B12E-17AEA9C9256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D704-294B-885A-2D85CD469EAB}"/>
                </c:ext>
              </c:extLst>
            </c:dLbl>
            <c:dLbl>
              <c:idx val="12"/>
              <c:tx>
                <c:rich>
                  <a:bodyPr/>
                  <a:lstStyle/>
                  <a:p>
                    <a:fld id="{88B4BF09-12EA-AB4F-86DD-3EEE42A90F9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D704-294B-885A-2D85CD469EAB}"/>
                </c:ext>
              </c:extLst>
            </c:dLbl>
            <c:dLbl>
              <c:idx val="13"/>
              <c:tx>
                <c:rich>
                  <a:bodyPr/>
                  <a:lstStyle/>
                  <a:p>
                    <a:fld id="{BDC033D1-DF1A-D744-BC38-72AB2D77BE6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D704-294B-885A-2D85CD469EAB}"/>
                </c:ext>
              </c:extLst>
            </c:dLbl>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Diagnostic!$EZ$40:$EZ$53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Diagnostic!$FA$40:$FA$53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bubbleSize>
            <c:numRef>
              <c:f>Diagnostic!$FB$40:$FB$53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bubbleSize>
          <c:bubble3D val="0"/>
          <c:extLst>
            <c:ext xmlns:c15="http://schemas.microsoft.com/office/drawing/2012/chart" uri="{02D57815-91ED-43cb-92C2-25804820EDAC}">
              <c15:datalabelsRange>
                <c15:f>Diagnostic!$EE$70:$EE$83</c15:f>
                <c15:dlblRangeCache>
                  <c:ptCount val="14"/>
                </c15:dlblRangeCache>
              </c15:datalabelsRange>
            </c:ext>
            <c:ext xmlns:c16="http://schemas.microsoft.com/office/drawing/2014/chart" uri="{C3380CC4-5D6E-409C-BE32-E72D297353CC}">
              <c16:uniqueId val="{0000002C-D704-294B-885A-2D85CD469EAB}"/>
            </c:ext>
          </c:extLst>
        </c:ser>
        <c:dLbls>
          <c:showLegendKey val="0"/>
          <c:showVal val="0"/>
          <c:showCatName val="0"/>
          <c:showSerName val="0"/>
          <c:showPercent val="0"/>
          <c:showBubbleSize val="0"/>
        </c:dLbls>
        <c:bubbleScale val="40"/>
        <c:showNegBubbles val="0"/>
        <c:axId val="1913213312"/>
        <c:axId val="1913211072"/>
      </c:bubbleChart>
      <c:valAx>
        <c:axId val="1913213312"/>
        <c:scaling>
          <c:orientation val="minMax"/>
          <c:max val="1"/>
          <c:min val="0.3"/>
        </c:scaling>
        <c:delete val="0"/>
        <c:axPos val="b"/>
        <c:majorGridlines>
          <c:spPr>
            <a:ln>
              <a:solidFill>
                <a:srgbClr val="26282B"/>
              </a:solidFill>
              <a:prstDash val="solid"/>
            </a:ln>
          </c:spPr>
        </c:majorGridlines>
        <c:title>
          <c:tx>
            <c:rich>
              <a:bodyPr rot="0" spcFirstLastPara="1" vertOverflow="ellipsis" vert="horz" wrap="square" anchor="ctr" anchorCtr="1"/>
              <a:lstStyle/>
              <a:p>
                <a:pPr>
                  <a:defRPr sz="1000" b="1" i="0" strike="noStrike" kern="1200" baseline="0">
                    <a:solidFill>
                      <a:schemeClr val="bg1"/>
                    </a:solidFill>
                    <a:latin typeface="+mn-lt"/>
                    <a:ea typeface="+mn-ea"/>
                    <a:cs typeface="+mn-cs"/>
                  </a:defRPr>
                </a:pPr>
                <a:r>
                  <a:rPr lang="en-GB">
                    <a:solidFill>
                      <a:schemeClr val="bg1"/>
                    </a:solidFill>
                  </a:rPr>
                  <a:t>Utilisation (billable ÷ capacity)</a:t>
                </a:r>
              </a:p>
            </c:rich>
          </c:tx>
          <c:overlay val="0"/>
          <c:spPr>
            <a:noFill/>
            <a:ln>
              <a:noFill/>
              <a:prstDash val="solid"/>
            </a:ln>
          </c:spPr>
        </c:title>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913211072"/>
        <c:crosses val="autoZero"/>
        <c:crossBetween val="midCat"/>
        <c:majorUnit val="0.1"/>
      </c:valAx>
      <c:valAx>
        <c:axId val="1913211072"/>
        <c:scaling>
          <c:orientation val="minMax"/>
          <c:max val="1"/>
          <c:min val="0.7"/>
        </c:scaling>
        <c:delete val="0"/>
        <c:axPos val="l"/>
        <c:majorGridlines>
          <c:spPr>
            <a:ln>
              <a:solidFill>
                <a:srgbClr val="26282B"/>
              </a:solidFill>
              <a:prstDash val="solid"/>
            </a:ln>
          </c:spPr>
        </c:majorGridlines>
        <c:title>
          <c:tx>
            <c:rich>
              <a:bodyPr rot="-5400000" spcFirstLastPara="1" vertOverflow="ellipsis" vert="horz" wrap="square" anchor="ctr" anchorCtr="1"/>
              <a:lstStyle/>
              <a:p>
                <a:pPr>
                  <a:defRPr sz="1000" b="1" i="0" strike="noStrike" kern="1200" baseline="0">
                    <a:solidFill>
                      <a:schemeClr val="bg1"/>
                    </a:solidFill>
                    <a:latin typeface="+mn-lt"/>
                    <a:ea typeface="+mn-ea"/>
                    <a:cs typeface="+mn-cs"/>
                  </a:defRPr>
                </a:pPr>
                <a:r>
                  <a:rPr lang="en-GB">
                    <a:solidFill>
                      <a:schemeClr val="bg1"/>
                    </a:solidFill>
                  </a:rPr>
                  <a:t>Realisation (earned ÷ listed rate)</a:t>
                </a:r>
              </a:p>
            </c:rich>
          </c:tx>
          <c:overlay val="0"/>
          <c:spPr>
            <a:noFill/>
            <a:ln>
              <a:noFill/>
              <a:prstDash val="solid"/>
            </a:ln>
          </c:spPr>
        </c:title>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913213312"/>
        <c:crosses val="autoZero"/>
        <c:crossBetween val="midCat"/>
        <c:majorUnit val="0.05"/>
      </c:valAx>
      <c:spPr>
        <a:solidFill>
          <a:srgbClr val="1C1C1E"/>
        </a:solidFill>
        <a:ln>
          <a:prstDash val="solid"/>
        </a:ln>
      </c:spPr>
    </c:plotArea>
    <c:legend>
      <c:legendPos val="b"/>
      <c:overlay val="0"/>
      <c:spPr>
        <a:noFill/>
        <a:ln>
          <a:noFill/>
          <a:prstDash val="solid"/>
        </a:ln>
      </c:spPr>
      <c:txPr>
        <a:bodyPr/>
        <a:lstStyle/>
        <a:p>
          <a:pPr>
            <a:defRPr>
              <a:solidFill>
                <a:schemeClr val="bg1"/>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F2F2F2"/>
                </a:solidFill>
              </a:defRPr>
            </a:pPr>
            <a:r>
              <a:rPr lang="en-GB"/>
              <a:t>Margin by Role: Current vs. Target</a:t>
            </a:r>
          </a:p>
        </c:rich>
      </c:tx>
      <c:overlay val="0"/>
    </c:title>
    <c:autoTitleDeleted val="0"/>
    <c:plotArea>
      <c:layout/>
      <c:barChart>
        <c:barDir val="bar"/>
        <c:grouping val="clustered"/>
        <c:varyColors val="0"/>
        <c:ser>
          <c:idx val="0"/>
          <c:order val="0"/>
          <c:tx>
            <c:v>Current margin</c:v>
          </c:tx>
          <c:spPr>
            <a:solidFill>
              <a:srgbClr val="1E50FF"/>
            </a:solidFill>
          </c:spPr>
          <c:invertIfNegative val="0"/>
          <c:dLbls>
            <c:numFmt formatCode="0%" sourceLinked="0"/>
            <c:spPr>
              <a:noFill/>
              <a:ln>
                <a:noFill/>
              </a:ln>
              <a:effectLst/>
            </c:spPr>
            <c:txPr>
              <a:bodyPr wrap="square" lIns="38100" tIns="19050" rIns="38100" bIns="19050" anchor="ctr">
                <a:spAutoFit/>
              </a:bodyPr>
              <a:lstStyle/>
              <a:p>
                <a:pPr>
                  <a:defRPr>
                    <a:solidFill>
                      <a:srgbClr val="F2F2F2"/>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Diagnostic!$FC$69:$FC$81</c:f>
            </c:multiLvlStrRef>
          </c:cat>
          <c:val>
            <c:numRef>
              <c:f>Diagnostic!$FD$69:$FD$81</c:f>
              <c:numCache>
                <c:formatCode>General</c:formatCode>
                <c:ptCount val="13"/>
                <c:pt idx="0">
                  <c:v>0</c:v>
                </c:pt>
              </c:numCache>
            </c:numRef>
          </c:val>
          <c:extLst>
            <c:ext xmlns:c16="http://schemas.microsoft.com/office/drawing/2014/chart" uri="{C3380CC4-5D6E-409C-BE32-E72D297353CC}">
              <c16:uniqueId val="{00000000-FA29-6045-9F16-4CCDDDB81153}"/>
            </c:ext>
          </c:extLst>
        </c:ser>
        <c:ser>
          <c:idx val="1"/>
          <c:order val="1"/>
          <c:tx>
            <c:v>Target margin (util + pricing at benchmark)</c:v>
          </c:tx>
          <c:spPr>
            <a:solidFill>
              <a:srgbClr val="8896B3"/>
            </a:solidFill>
          </c:spPr>
          <c:invertIfNegative val="0"/>
          <c:cat>
            <c:multiLvlStrRef>
              <c:f>Diagnostic!$FC$69:$FC$81</c:f>
            </c:multiLvlStrRef>
          </c:cat>
          <c:val>
            <c:numRef>
              <c:f>Diagnostic!$FE$69:$FE$81</c:f>
              <c:numCache>
                <c:formatCode>General</c:formatCode>
                <c:ptCount val="13"/>
                <c:pt idx="0">
                  <c:v>0</c:v>
                </c:pt>
              </c:numCache>
            </c:numRef>
          </c:val>
          <c:extLst>
            <c:ext xmlns:c16="http://schemas.microsoft.com/office/drawing/2014/chart" uri="{C3380CC4-5D6E-409C-BE32-E72D297353CC}">
              <c16:uniqueId val="{00000001-FA29-6045-9F16-4CCDDDB81153}"/>
            </c:ext>
          </c:extLst>
        </c:ser>
        <c:dLbls>
          <c:showLegendKey val="0"/>
          <c:showVal val="0"/>
          <c:showCatName val="0"/>
          <c:showSerName val="0"/>
          <c:showPercent val="0"/>
          <c:showBubbleSize val="0"/>
        </c:dLbls>
        <c:gapWidth val="182"/>
        <c:axId val="1868115328"/>
        <c:axId val="1868116224"/>
      </c:barChart>
      <c:catAx>
        <c:axId val="1868115328"/>
        <c:scaling>
          <c:orientation val="minMax"/>
        </c:scaling>
        <c:delete val="0"/>
        <c:axPos val="l"/>
        <c:numFmt formatCode="General" sourceLinked="1"/>
        <c:majorTickMark val="none"/>
        <c:minorTickMark val="none"/>
        <c:tickLblPos val="nextTo"/>
        <c:spPr>
          <a:ln>
            <a:solidFill>
              <a:srgbClr val="3A3A3C"/>
            </a:solidFill>
            <a:prstDash val="solid"/>
          </a:ln>
        </c:spPr>
        <c:txPr>
          <a:bodyPr/>
          <a:lstStyle/>
          <a:p>
            <a:pPr>
              <a:defRPr>
                <a:solidFill>
                  <a:srgbClr val="F2F2F2"/>
                </a:solidFill>
              </a:defRPr>
            </a:pPr>
            <a:endParaRPr lang="en-US"/>
          </a:p>
        </c:txPr>
        <c:crossAx val="1868116224"/>
        <c:crosses val="autoZero"/>
        <c:auto val="1"/>
        <c:lblAlgn val="ctr"/>
        <c:lblOffset val="100"/>
        <c:noMultiLvlLbl val="0"/>
      </c:catAx>
      <c:valAx>
        <c:axId val="1868116224"/>
        <c:scaling>
          <c:orientation val="minMax"/>
          <c:max val="0.8"/>
          <c:min val="-0.4"/>
        </c:scaling>
        <c:delete val="0"/>
        <c:axPos val="b"/>
        <c:majorGridlines>
          <c:spPr>
            <a:ln>
              <a:solidFill>
                <a:srgbClr val="26282B"/>
              </a:solidFill>
              <a:prstDash val="solid"/>
            </a:ln>
          </c:spPr>
        </c:majorGridlines>
        <c:numFmt formatCode="0.0%;[Red]\-0.0%" sourceLinked="0"/>
        <c:majorTickMark val="none"/>
        <c:minorTickMark val="none"/>
        <c:tickLblPos val="nextTo"/>
        <c:spPr>
          <a:ln>
            <a:solidFill>
              <a:srgbClr val="3A3A3C"/>
            </a:solidFill>
            <a:prstDash val="solid"/>
          </a:ln>
        </c:spPr>
        <c:txPr>
          <a:bodyPr/>
          <a:lstStyle/>
          <a:p>
            <a:pPr>
              <a:defRPr>
                <a:solidFill>
                  <a:srgbClr val="F2F2F2"/>
                </a:solidFill>
              </a:defRPr>
            </a:pPr>
            <a:endParaRPr lang="en-US"/>
          </a:p>
        </c:txPr>
        <c:crossAx val="1868115328"/>
        <c:crosses val="autoZero"/>
        <c:crossBetween val="between"/>
        <c:majorUnit val="0.2"/>
      </c:valAx>
      <c:spPr>
        <a:solidFill>
          <a:srgbClr val="1C1C1E"/>
        </a:solidFill>
        <a:ln>
          <a:prstDash val="solid"/>
        </a:ln>
      </c:spPr>
    </c:plotArea>
    <c:legend>
      <c:legendPos val="b"/>
      <c:overlay val="0"/>
      <c:spPr>
        <a:noFill/>
        <a:ln>
          <a:noFill/>
          <a:prstDash val="solid"/>
        </a:ln>
      </c:spPr>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strike="noStrike" kern="1200" spc="0" baseline="0">
                <a:solidFill>
                  <a:schemeClr val="bg1"/>
                </a:solidFill>
                <a:latin typeface="+mn-lt"/>
                <a:ea typeface="+mn-ea"/>
                <a:cs typeface="+mn-cs"/>
              </a:defRPr>
            </a:pPr>
            <a:r>
              <a:rPr lang="en-US">
                <a:solidFill>
                  <a:schemeClr val="bg1"/>
                </a:solidFill>
              </a:rPr>
              <a:t>Quadrant: where each role sits on utilisation × pricing</a:t>
            </a:r>
          </a:p>
        </c:rich>
      </c:tx>
      <c:overlay val="0"/>
      <c:spPr>
        <a:noFill/>
        <a:ln>
          <a:noFill/>
          <a:prstDash val="solid"/>
        </a:ln>
      </c:spPr>
    </c:title>
    <c:autoTitleDeleted val="0"/>
    <c:plotArea>
      <c:layout/>
      <c:bubbleChart>
        <c:varyColors val="0"/>
        <c:ser>
          <c:idx val="0"/>
          <c:order val="0"/>
          <c:tx>
            <c:v>Healthy (≥50% margin)</c:v>
          </c:tx>
          <c:spPr>
            <a:solidFill>
              <a:srgbClr val="16A34A"/>
            </a:solidFill>
            <a:ln>
              <a:solidFill>
                <a:srgbClr val="10B981"/>
              </a:solidFill>
              <a:prstDash val="solid"/>
            </a:ln>
          </c:spPr>
          <c:invertIfNegative val="0"/>
          <c:dLbls>
            <c:dLbl>
              <c:idx val="0"/>
              <c:tx>
                <c:rich>
                  <a:bodyPr/>
                  <a:lstStyle/>
                  <a:p>
                    <a:fld id="{A03AADAF-C5D3-C84F-AF4C-10B28B34758C}" type="CELLRANGE">
                      <a:rPr lang="en-US"/>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631-7C4F-A403-2C83FBD953A2}"/>
                </c:ext>
              </c:extLst>
            </c:dLbl>
            <c:dLbl>
              <c:idx val="1"/>
              <c:tx>
                <c:rich>
                  <a:bodyPr/>
                  <a:lstStyle/>
                  <a:p>
                    <a:fld id="{37CCA1E7-E7B6-CF42-A185-94398F2002D4}"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631-7C4F-A403-2C83FBD953A2}"/>
                </c:ext>
              </c:extLst>
            </c:dLbl>
            <c:dLbl>
              <c:idx val="2"/>
              <c:tx>
                <c:rich>
                  <a:bodyPr/>
                  <a:lstStyle/>
                  <a:p>
                    <a:fld id="{A0AFABA5-44FE-4440-A2EC-502831231853}"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631-7C4F-A403-2C83FBD953A2}"/>
                </c:ext>
              </c:extLst>
            </c:dLbl>
            <c:dLbl>
              <c:idx val="3"/>
              <c:tx>
                <c:rich>
                  <a:bodyPr/>
                  <a:lstStyle/>
                  <a:p>
                    <a:fld id="{6875A3FD-7471-F44F-A0D4-27C44C3A72C2}"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631-7C4F-A403-2C83FBD953A2}"/>
                </c:ext>
              </c:extLst>
            </c:dLbl>
            <c:dLbl>
              <c:idx val="4"/>
              <c:tx>
                <c:rich>
                  <a:bodyPr/>
                  <a:lstStyle/>
                  <a:p>
                    <a:fld id="{9EB44BF3-8598-C94F-A040-2065A8B928AE}" type="CELLRANGE">
                      <a:rPr lang="en-GB"/>
                      <a:pPr/>
                      <a:t>[CELLRANGE]</a:t>
                    </a:fld>
                    <a:endParaRPr lang="en-GB"/>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631-7C4F-A403-2C83FBD953A2}"/>
                </c:ext>
              </c:extLst>
            </c:dLbl>
            <c:dLbl>
              <c:idx val="5"/>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631-7C4F-A403-2C83FBD953A2}"/>
                </c:ext>
              </c:extLst>
            </c:dLbl>
            <c:dLbl>
              <c:idx val="6"/>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631-7C4F-A403-2C83FBD953A2}"/>
                </c:ext>
              </c:extLst>
            </c:dLbl>
            <c:dLbl>
              <c:idx val="7"/>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631-7C4F-A403-2C83FBD953A2}"/>
                </c:ext>
              </c:extLst>
            </c:dLbl>
            <c:dLbl>
              <c:idx val="8"/>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631-7C4F-A403-2C83FBD953A2}"/>
                </c:ext>
              </c:extLst>
            </c:dLbl>
            <c:dLbl>
              <c:idx val="9"/>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631-7C4F-A403-2C83FBD953A2}"/>
                </c:ext>
              </c:extLst>
            </c:dLbl>
            <c:dLbl>
              <c:idx val="10"/>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631-7C4F-A403-2C83FBD953A2}"/>
                </c:ext>
              </c:extLst>
            </c:dLbl>
            <c:dLbl>
              <c:idx val="11"/>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631-7C4F-A403-2C83FBD953A2}"/>
                </c:ext>
              </c:extLst>
            </c:dLbl>
            <c:dLbl>
              <c:idx val="12"/>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631-7C4F-A403-2C83FBD953A2}"/>
                </c:ext>
              </c:extLst>
            </c:dLbl>
            <c:dLbl>
              <c:idx val="13"/>
              <c:tx>
                <c:rich>
                  <a:bodyPr/>
                  <a:lstStyle/>
                  <a:p>
                    <a:endParaRPr lang="en-GB"/>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631-7C4F-A403-2C83FBD953A2}"/>
                </c:ext>
              </c:extLst>
            </c:dLbl>
            <c:spPr>
              <a:noFill/>
              <a:ln>
                <a:noFill/>
              </a:ln>
              <a:effectLst/>
            </c:spPr>
            <c:txPr>
              <a:bodyPr wrap="square" lIns="38100" tIns="19050" rIns="38100" bIns="19050" anchor="ctr">
                <a:spAutoFit/>
              </a:bodyPr>
              <a:lstStyle/>
              <a:p>
                <a:pPr>
                  <a:defRPr>
                    <a:solidFill>
                      <a:schemeClr val="bg1"/>
                    </a:solidFill>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'Sample Diagnostic'!$DP$70:$DP$83</c:f>
              <c:numCache>
                <c:formatCode>General</c:formatCode>
                <c:ptCount val="14"/>
                <c:pt idx="0">
                  <c:v>0.75</c:v>
                </c:pt>
                <c:pt idx="1">
                  <c:v>0.72</c:v>
                </c:pt>
                <c:pt idx="2">
                  <c:v>0.76</c:v>
                </c:pt>
                <c:pt idx="3">
                  <c:v>0.68</c:v>
                </c:pt>
                <c:pt idx="4">
                  <c:v>0.74</c:v>
                </c:pt>
                <c:pt idx="5">
                  <c:v>#N/A</c:v>
                </c:pt>
                <c:pt idx="6">
                  <c:v>#N/A</c:v>
                </c:pt>
                <c:pt idx="7">
                  <c:v>#N/A</c:v>
                </c:pt>
                <c:pt idx="8">
                  <c:v>#N/A</c:v>
                </c:pt>
                <c:pt idx="9">
                  <c:v>#N/A</c:v>
                </c:pt>
                <c:pt idx="10">
                  <c:v>#N/A</c:v>
                </c:pt>
                <c:pt idx="11">
                  <c:v>#N/A</c:v>
                </c:pt>
                <c:pt idx="12">
                  <c:v>#N/A</c:v>
                </c:pt>
                <c:pt idx="13">
                  <c:v>#N/A</c:v>
                </c:pt>
              </c:numCache>
            </c:numRef>
          </c:xVal>
          <c:yVal>
            <c:numRef>
              <c:f>'Sample Diagnostic'!$DQ$70:$DQ$83</c:f>
              <c:numCache>
                <c:formatCode>General</c:formatCode>
                <c:ptCount val="14"/>
                <c:pt idx="0">
                  <c:v>0.95993179880647905</c:v>
                </c:pt>
                <c:pt idx="1">
                  <c:v>0.83994528043775651</c:v>
                </c:pt>
                <c:pt idx="2">
                  <c:v>0.90990712074303404</c:v>
                </c:pt>
                <c:pt idx="3">
                  <c:v>0.93974844839896743</c:v>
                </c:pt>
                <c:pt idx="4">
                  <c:v>0.97011777684046596</c:v>
                </c:pt>
                <c:pt idx="5">
                  <c:v>#N/A</c:v>
                </c:pt>
                <c:pt idx="6">
                  <c:v>#N/A</c:v>
                </c:pt>
                <c:pt idx="7">
                  <c:v>#N/A</c:v>
                </c:pt>
                <c:pt idx="8">
                  <c:v>#N/A</c:v>
                </c:pt>
                <c:pt idx="9">
                  <c:v>#N/A</c:v>
                </c:pt>
                <c:pt idx="10">
                  <c:v>#N/A</c:v>
                </c:pt>
                <c:pt idx="11">
                  <c:v>#N/A</c:v>
                </c:pt>
                <c:pt idx="12">
                  <c:v>#N/A</c:v>
                </c:pt>
                <c:pt idx="13">
                  <c:v>#N/A</c:v>
                </c:pt>
              </c:numCache>
            </c:numRef>
          </c:yVal>
          <c:bubbleSize>
            <c:numRef>
              <c:f>'Sample Diagnostic'!$DR$70:$DR$83</c:f>
              <c:numCache>
                <c:formatCode>General</c:formatCode>
                <c:ptCount val="14"/>
                <c:pt idx="0">
                  <c:v>13.264143394882311</c:v>
                </c:pt>
                <c:pt idx="1">
                  <c:v>13.141061600951423</c:v>
                </c:pt>
                <c:pt idx="2">
                  <c:v>13.553136168429798</c:v>
                </c:pt>
                <c:pt idx="3">
                  <c:v>10.34105893997322</c:v>
                </c:pt>
                <c:pt idx="4">
                  <c:v>13.670223114492316</c:v>
                </c:pt>
                <c:pt idx="5">
                  <c:v>#N/A</c:v>
                </c:pt>
                <c:pt idx="6">
                  <c:v>#N/A</c:v>
                </c:pt>
                <c:pt idx="7">
                  <c:v>#N/A</c:v>
                </c:pt>
                <c:pt idx="8">
                  <c:v>#N/A</c:v>
                </c:pt>
                <c:pt idx="9">
                  <c:v>#N/A</c:v>
                </c:pt>
                <c:pt idx="10">
                  <c:v>#N/A</c:v>
                </c:pt>
                <c:pt idx="11">
                  <c:v>#N/A</c:v>
                </c:pt>
                <c:pt idx="12">
                  <c:v>#N/A</c:v>
                </c:pt>
                <c:pt idx="13">
                  <c:v>#N/A</c:v>
                </c:pt>
              </c:numCache>
            </c:numRef>
          </c:bubbleSize>
          <c:bubble3D val="0"/>
          <c:extLst>
            <c:ext xmlns:c15="http://schemas.microsoft.com/office/drawing/2012/chart" uri="{02D57815-91ED-43cb-92C2-25804820EDAC}">
              <c15:datalabelsRange>
                <c15:f>'Sample Diagnostic'!$EC$70:$EC$83</c15:f>
                <c15:dlblRangeCache>
                  <c:ptCount val="14"/>
                  <c:pt idx="0">
                    <c:v>Senior Designer</c:v>
                  </c:pt>
                  <c:pt idx="1">
                    <c:v>Account Manager</c:v>
                  </c:pt>
                  <c:pt idx="2">
                    <c:v>Midweight Designer</c:v>
                  </c:pt>
                  <c:pt idx="3">
                    <c:v>Digital Strategist</c:v>
                  </c:pt>
                  <c:pt idx="4">
                    <c:v>Developer</c:v>
                  </c:pt>
                </c15:dlblRangeCache>
              </c15:datalabelsRange>
            </c:ext>
            <c:ext xmlns:c16="http://schemas.microsoft.com/office/drawing/2014/chart" uri="{C3380CC4-5D6E-409C-BE32-E72D297353CC}">
              <c16:uniqueId val="{0000000E-7631-7C4F-A403-2C83FBD953A2}"/>
            </c:ext>
          </c:extLst>
        </c:ser>
        <c:ser>
          <c:idx val="1"/>
          <c:order val="1"/>
          <c:tx>
            <c:v>Watch (30–50% margin)</c:v>
          </c:tx>
          <c:spPr>
            <a:solidFill>
              <a:srgbClr val="F59E0B"/>
            </a:solidFill>
            <a:ln>
              <a:solidFill>
                <a:srgbClr val="FFC857"/>
              </a:solidFill>
              <a:prstDash val="solid"/>
            </a:ln>
          </c:spPr>
          <c:invertIfNegative val="0"/>
          <c:dLbls>
            <c:dLbl>
              <c:idx val="0"/>
              <c:tx>
                <c:rich>
                  <a:bodyPr/>
                  <a:lstStyle/>
                  <a:p>
                    <a:fld id="{86DA9109-2457-CE41-ADE6-2A6FA01B095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7631-7C4F-A403-2C83FBD953A2}"/>
                </c:ext>
              </c:extLst>
            </c:dLbl>
            <c:dLbl>
              <c:idx val="1"/>
              <c:tx>
                <c:rich>
                  <a:bodyPr/>
                  <a:lstStyle/>
                  <a:p>
                    <a:fld id="{9BC5A750-7DA4-3F49-995B-344E42AD01B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7631-7C4F-A403-2C83FBD953A2}"/>
                </c:ext>
              </c:extLst>
            </c:dLbl>
            <c:dLbl>
              <c:idx val="2"/>
              <c:tx>
                <c:rich>
                  <a:bodyPr/>
                  <a:lstStyle/>
                  <a:p>
                    <a:fld id="{7BAD6972-A9A0-6C4B-9F81-DD6074FA17A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7631-7C4F-A403-2C83FBD953A2}"/>
                </c:ext>
              </c:extLst>
            </c:dLbl>
            <c:dLbl>
              <c:idx val="3"/>
              <c:tx>
                <c:rich>
                  <a:bodyPr/>
                  <a:lstStyle/>
                  <a:p>
                    <a:fld id="{B31DAF62-D3AB-3D4A-97F3-65B0465B0CC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7631-7C4F-A403-2C83FBD953A2}"/>
                </c:ext>
              </c:extLst>
            </c:dLbl>
            <c:dLbl>
              <c:idx val="4"/>
              <c:tx>
                <c:rich>
                  <a:bodyPr/>
                  <a:lstStyle/>
                  <a:p>
                    <a:fld id="{2B47F5F7-1719-8740-A6E1-61A069D5CE3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7631-7C4F-A403-2C83FBD953A2}"/>
                </c:ext>
              </c:extLst>
            </c:dLbl>
            <c:dLbl>
              <c:idx val="5"/>
              <c:tx>
                <c:rich>
                  <a:bodyPr/>
                  <a:lstStyle/>
                  <a:p>
                    <a:fld id="{D1A84AC2-4455-254A-8AD5-927A58DFEA1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7631-7C4F-A403-2C83FBD953A2}"/>
                </c:ext>
              </c:extLst>
            </c:dLbl>
            <c:dLbl>
              <c:idx val="6"/>
              <c:tx>
                <c:rich>
                  <a:bodyPr/>
                  <a:lstStyle/>
                  <a:p>
                    <a:fld id="{69167C36-6991-8A4F-9797-AC11E71BBD0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7631-7C4F-A403-2C83FBD953A2}"/>
                </c:ext>
              </c:extLst>
            </c:dLbl>
            <c:dLbl>
              <c:idx val="7"/>
              <c:tx>
                <c:rich>
                  <a:bodyPr/>
                  <a:lstStyle/>
                  <a:p>
                    <a:fld id="{C788B509-F92D-714C-87E4-60EF827ADF8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7631-7C4F-A403-2C83FBD953A2}"/>
                </c:ext>
              </c:extLst>
            </c:dLbl>
            <c:dLbl>
              <c:idx val="8"/>
              <c:tx>
                <c:rich>
                  <a:bodyPr/>
                  <a:lstStyle/>
                  <a:p>
                    <a:fld id="{419683BE-62D9-0342-BFBD-964DFD42C13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7631-7C4F-A403-2C83FBD953A2}"/>
                </c:ext>
              </c:extLst>
            </c:dLbl>
            <c:dLbl>
              <c:idx val="9"/>
              <c:tx>
                <c:rich>
                  <a:bodyPr/>
                  <a:lstStyle/>
                  <a:p>
                    <a:fld id="{00DB600C-3DF9-C34A-9394-9FCA48ABC3B5}"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7631-7C4F-A403-2C83FBD953A2}"/>
                </c:ext>
              </c:extLst>
            </c:dLbl>
            <c:dLbl>
              <c:idx val="10"/>
              <c:tx>
                <c:rich>
                  <a:bodyPr/>
                  <a:lstStyle/>
                  <a:p>
                    <a:fld id="{0279C404-AE36-FE4B-8D9A-5B04F16738C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7631-7C4F-A403-2C83FBD953A2}"/>
                </c:ext>
              </c:extLst>
            </c:dLbl>
            <c:dLbl>
              <c:idx val="11"/>
              <c:tx>
                <c:rich>
                  <a:bodyPr/>
                  <a:lstStyle/>
                  <a:p>
                    <a:fld id="{1D3B7639-1A81-714F-8843-FB2572E3604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7631-7C4F-A403-2C83FBD953A2}"/>
                </c:ext>
              </c:extLst>
            </c:dLbl>
            <c:dLbl>
              <c:idx val="12"/>
              <c:tx>
                <c:rich>
                  <a:bodyPr/>
                  <a:lstStyle/>
                  <a:p>
                    <a:fld id="{3B238EBB-BD89-C649-9391-0E92CF9EC48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7631-7C4F-A403-2C83FBD953A2}"/>
                </c:ext>
              </c:extLst>
            </c:dLbl>
            <c:dLbl>
              <c:idx val="13"/>
              <c:tx>
                <c:rich>
                  <a:bodyPr/>
                  <a:lstStyle/>
                  <a:p>
                    <a:fld id="{D83896B3-B456-E045-ADFA-6AA199DE1CD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7631-7C4F-A403-2C83FBD953A2}"/>
                </c:ext>
              </c:extLst>
            </c:dLbl>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'Sample Diagnostic'!$EW$40:$EW$53</c:f>
              <c:numCache>
                <c:formatCode>General</c:formatCode>
                <c:ptCount val="14"/>
                <c:pt idx="0">
                  <c:v>0.7</c:v>
                </c:pt>
                <c:pt idx="1">
                  <c:v>0.65294117647058825</c:v>
                </c:pt>
                <c:pt idx="2">
                  <c:v>0.7</c:v>
                </c:pt>
                <c:pt idx="3">
                  <c:v>0.66</c:v>
                </c:pt>
                <c:pt idx="4">
                  <c:v>0.66</c:v>
                </c:pt>
                <c:pt idx="5">
                  <c:v>0.66</c:v>
                </c:pt>
                <c:pt idx="6">
                  <c:v>0.66</c:v>
                </c:pt>
                <c:pt idx="7">
                  <c:v>0.66</c:v>
                </c:pt>
                <c:pt idx="8">
                  <c:v>0.66</c:v>
                </c:pt>
                <c:pt idx="9">
                  <c:v>0.66</c:v>
                </c:pt>
                <c:pt idx="10">
                  <c:v>0.66</c:v>
                </c:pt>
                <c:pt idx="11">
                  <c:v>0.66</c:v>
                </c:pt>
                <c:pt idx="12">
                  <c:v>0.66</c:v>
                </c:pt>
                <c:pt idx="13">
                  <c:v>0.66</c:v>
                </c:pt>
              </c:numCache>
            </c:numRef>
          </c:xVal>
          <c:yVal>
            <c:numRef>
              <c:f>'Sample Diagnostic'!$EX$40:$EX$53</c:f>
              <c:numCache>
                <c:formatCode>General</c:formatCode>
                <c:ptCount val="14"/>
                <c:pt idx="0">
                  <c:v>0.86000357589844456</c:v>
                </c:pt>
                <c:pt idx="1">
                  <c:v>0.92030492030492028</c:v>
                </c:pt>
                <c:pt idx="2">
                  <c:v>0.78011204481792717</c:v>
                </c:pt>
                <c:pt idx="3">
                  <c:v>0.81996434937611418</c:v>
                </c:pt>
                <c:pt idx="4">
                  <c:v>0</c:v>
                </c:pt>
                <c:pt idx="5">
                  <c:v>0</c:v>
                </c:pt>
                <c:pt idx="6">
                  <c:v>0</c:v>
                </c:pt>
                <c:pt idx="7">
                  <c:v>0</c:v>
                </c:pt>
                <c:pt idx="8">
                  <c:v>0</c:v>
                </c:pt>
                <c:pt idx="9">
                  <c:v>0</c:v>
                </c:pt>
                <c:pt idx="10">
                  <c:v>0</c:v>
                </c:pt>
                <c:pt idx="11">
                  <c:v>0</c:v>
                </c:pt>
                <c:pt idx="12">
                  <c:v>0</c:v>
                </c:pt>
                <c:pt idx="13">
                  <c:v>0</c:v>
                </c:pt>
              </c:numCache>
            </c:numRef>
          </c:yVal>
          <c:bubbleSize>
            <c:numRef>
              <c:f>'Sample Diagnostic'!$EY$40:$EY$53</c:f>
              <c:numCache>
                <c:formatCode>General</c:formatCode>
                <c:ptCount val="14"/>
                <c:pt idx="0">
                  <c:v>12.260199835239229</c:v>
                </c:pt>
                <c:pt idx="1">
                  <c:v>9.1104335791442992</c:v>
                </c:pt>
                <c:pt idx="2">
                  <c:v>8.3441596341393183</c:v>
                </c:pt>
                <c:pt idx="3">
                  <c:v>7.952986860293433</c:v>
                </c:pt>
                <c:pt idx="4">
                  <c:v>0</c:v>
                </c:pt>
                <c:pt idx="5">
                  <c:v>0</c:v>
                </c:pt>
                <c:pt idx="6">
                  <c:v>0</c:v>
                </c:pt>
                <c:pt idx="7">
                  <c:v>0</c:v>
                </c:pt>
                <c:pt idx="8">
                  <c:v>0</c:v>
                </c:pt>
                <c:pt idx="9">
                  <c:v>0</c:v>
                </c:pt>
                <c:pt idx="10">
                  <c:v>0</c:v>
                </c:pt>
                <c:pt idx="11">
                  <c:v>0</c:v>
                </c:pt>
                <c:pt idx="12">
                  <c:v>0</c:v>
                </c:pt>
                <c:pt idx="13">
                  <c:v>0</c:v>
                </c:pt>
              </c:numCache>
            </c:numRef>
          </c:bubbleSize>
          <c:bubble3D val="0"/>
          <c:extLst>
            <c:ext xmlns:c15="http://schemas.microsoft.com/office/drawing/2012/chart" uri="{02D57815-91ED-43cb-92C2-25804820EDAC}">
              <c15:datalabelsRange>
                <c15:f>'Sample Diagnostic'!$ED$70:$ED$83</c15:f>
                <c15:dlblRangeCache>
                  <c:ptCount val="14"/>
                  <c:pt idx="0">
                    <c:v>Senior Account Manager</c:v>
                  </c:pt>
                  <c:pt idx="1">
                    <c:v>Strategy Lead</c:v>
                  </c:pt>
                  <c:pt idx="2">
                    <c:v>Junior Designer</c:v>
                  </c:pt>
                  <c:pt idx="3">
                    <c:v>Account Executive</c:v>
                  </c:pt>
                </c15:dlblRangeCache>
              </c15:datalabelsRange>
            </c:ext>
            <c:ext xmlns:c16="http://schemas.microsoft.com/office/drawing/2014/chart" uri="{C3380CC4-5D6E-409C-BE32-E72D297353CC}">
              <c16:uniqueId val="{0000001D-7631-7C4F-A403-2C83FBD953A2}"/>
            </c:ext>
          </c:extLst>
        </c:ser>
        <c:ser>
          <c:idx val="2"/>
          <c:order val="2"/>
          <c:tx>
            <c:v>Restructure (&lt;30% margin)</c:v>
          </c:tx>
          <c:spPr>
            <a:solidFill>
              <a:srgbClr val="DC2626"/>
            </a:solidFill>
            <a:ln>
              <a:solidFill>
                <a:srgbClr val="E5484D"/>
              </a:solidFill>
              <a:prstDash val="solid"/>
            </a:ln>
          </c:spPr>
          <c:invertIfNegative val="0"/>
          <c:dLbls>
            <c:dLbl>
              <c:idx val="0"/>
              <c:tx>
                <c:rich>
                  <a:bodyPr/>
                  <a:lstStyle/>
                  <a:p>
                    <a:fld id="{6A382881-EFE2-7948-9FD4-FFCED30361E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7631-7C4F-A403-2C83FBD953A2}"/>
                </c:ext>
              </c:extLst>
            </c:dLbl>
            <c:dLbl>
              <c:idx val="1"/>
              <c:tx>
                <c:rich>
                  <a:bodyPr/>
                  <a:lstStyle/>
                  <a:p>
                    <a:fld id="{7E775064-F420-7A43-9E4D-940E5640EBE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7631-7C4F-A403-2C83FBD953A2}"/>
                </c:ext>
              </c:extLst>
            </c:dLbl>
            <c:dLbl>
              <c:idx val="2"/>
              <c:tx>
                <c:rich>
                  <a:bodyPr/>
                  <a:lstStyle/>
                  <a:p>
                    <a:fld id="{E93E84D8-B43C-AC4D-A52D-7B02FF36DACC}"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7631-7C4F-A403-2C83FBD953A2}"/>
                </c:ext>
              </c:extLst>
            </c:dLbl>
            <c:dLbl>
              <c:idx val="3"/>
              <c:tx>
                <c:rich>
                  <a:bodyPr/>
                  <a:lstStyle/>
                  <a:p>
                    <a:fld id="{F167638D-7EC6-7042-B24A-E69339500D1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7631-7C4F-A403-2C83FBD953A2}"/>
                </c:ext>
              </c:extLst>
            </c:dLbl>
            <c:dLbl>
              <c:idx val="4"/>
              <c:tx>
                <c:rich>
                  <a:bodyPr/>
                  <a:lstStyle/>
                  <a:p>
                    <a:fld id="{E7AED3B7-8158-2645-9FA8-6FC751258DA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7631-7C4F-A403-2C83FBD953A2}"/>
                </c:ext>
              </c:extLst>
            </c:dLbl>
            <c:dLbl>
              <c:idx val="5"/>
              <c:tx>
                <c:rich>
                  <a:bodyPr/>
                  <a:lstStyle/>
                  <a:p>
                    <a:fld id="{B8CE258A-1E9C-944A-9019-812CA567EEC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7631-7C4F-A403-2C83FBD953A2}"/>
                </c:ext>
              </c:extLst>
            </c:dLbl>
            <c:dLbl>
              <c:idx val="6"/>
              <c:tx>
                <c:rich>
                  <a:bodyPr/>
                  <a:lstStyle/>
                  <a:p>
                    <a:fld id="{55B335C2-10F1-924A-898E-7F77DDE149D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7631-7C4F-A403-2C83FBD953A2}"/>
                </c:ext>
              </c:extLst>
            </c:dLbl>
            <c:dLbl>
              <c:idx val="7"/>
              <c:tx>
                <c:rich>
                  <a:bodyPr/>
                  <a:lstStyle/>
                  <a:p>
                    <a:fld id="{CADF21CB-4A7B-AF43-B1A9-83E44A7689E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7631-7C4F-A403-2C83FBD953A2}"/>
                </c:ext>
              </c:extLst>
            </c:dLbl>
            <c:dLbl>
              <c:idx val="8"/>
              <c:tx>
                <c:rich>
                  <a:bodyPr/>
                  <a:lstStyle/>
                  <a:p>
                    <a:fld id="{2C22FE7F-3AE0-AC45-BF8F-4D2755D1EBD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7631-7C4F-A403-2C83FBD953A2}"/>
                </c:ext>
              </c:extLst>
            </c:dLbl>
            <c:dLbl>
              <c:idx val="9"/>
              <c:tx>
                <c:rich>
                  <a:bodyPr/>
                  <a:lstStyle/>
                  <a:p>
                    <a:fld id="{3E6B7ECF-0BD5-E745-9C2D-F89288348FF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7631-7C4F-A403-2C83FBD953A2}"/>
                </c:ext>
              </c:extLst>
            </c:dLbl>
            <c:dLbl>
              <c:idx val="10"/>
              <c:tx>
                <c:rich>
                  <a:bodyPr/>
                  <a:lstStyle/>
                  <a:p>
                    <a:fld id="{DD65FA19-184D-3E43-8293-FA99F399476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7631-7C4F-A403-2C83FBD953A2}"/>
                </c:ext>
              </c:extLst>
            </c:dLbl>
            <c:dLbl>
              <c:idx val="11"/>
              <c:tx>
                <c:rich>
                  <a:bodyPr/>
                  <a:lstStyle/>
                  <a:p>
                    <a:fld id="{9FCDBE54-FFE2-964A-87F9-671106743E2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7631-7C4F-A403-2C83FBD953A2}"/>
                </c:ext>
              </c:extLst>
            </c:dLbl>
            <c:dLbl>
              <c:idx val="12"/>
              <c:tx>
                <c:rich>
                  <a:bodyPr/>
                  <a:lstStyle/>
                  <a:p>
                    <a:fld id="{B94EE1A2-6B0D-864A-B4E1-1C4CFF9CF33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7631-7C4F-A403-2C83FBD953A2}"/>
                </c:ext>
              </c:extLst>
            </c:dLbl>
            <c:dLbl>
              <c:idx val="13"/>
              <c:tx>
                <c:rich>
                  <a:bodyPr/>
                  <a:lstStyle/>
                  <a:p>
                    <a:fld id="{14CCD03D-ADFC-9148-A9DC-7CF13FD49C8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7631-7C4F-A403-2C83FBD953A2}"/>
                </c:ext>
              </c:extLst>
            </c:dLbl>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'Sample Diagnostic'!$EZ$40:$EZ$53</c:f>
              <c:numCache>
                <c:formatCode>General</c:formatCode>
                <c:ptCount val="14"/>
                <c:pt idx="0">
                  <c:v>0.55294117647058827</c:v>
                </c:pt>
                <c:pt idx="1">
                  <c:v>0.6</c:v>
                </c:pt>
                <c:pt idx="2">
                  <c:v>0.6</c:v>
                </c:pt>
                <c:pt idx="3">
                  <c:v>0.6</c:v>
                </c:pt>
                <c:pt idx="4">
                  <c:v>0.6</c:v>
                </c:pt>
                <c:pt idx="5">
                  <c:v>0.6</c:v>
                </c:pt>
                <c:pt idx="6">
                  <c:v>0.6</c:v>
                </c:pt>
                <c:pt idx="7">
                  <c:v>0.6</c:v>
                </c:pt>
                <c:pt idx="8">
                  <c:v>0.6</c:v>
                </c:pt>
                <c:pt idx="9">
                  <c:v>0.6</c:v>
                </c:pt>
                <c:pt idx="10">
                  <c:v>0.6</c:v>
                </c:pt>
                <c:pt idx="11">
                  <c:v>0.6</c:v>
                </c:pt>
                <c:pt idx="12">
                  <c:v>0.6</c:v>
                </c:pt>
                <c:pt idx="13">
                  <c:v>0.6</c:v>
                </c:pt>
              </c:numCache>
            </c:numRef>
          </c:xVal>
          <c:yVal>
            <c:numRef>
              <c:f>'Sample Diagnostic'!$FA$40:$FA$53</c:f>
              <c:numCache>
                <c:formatCode>General</c:formatCode>
                <c:ptCount val="14"/>
                <c:pt idx="0">
                  <c:v>0.8</c:v>
                </c:pt>
                <c:pt idx="1">
                  <c:v>0.82913165266106448</c:v>
                </c:pt>
                <c:pt idx="2">
                  <c:v>0</c:v>
                </c:pt>
                <c:pt idx="3">
                  <c:v>0</c:v>
                </c:pt>
                <c:pt idx="4">
                  <c:v>0</c:v>
                </c:pt>
                <c:pt idx="5">
                  <c:v>0</c:v>
                </c:pt>
                <c:pt idx="6">
                  <c:v>0</c:v>
                </c:pt>
                <c:pt idx="7">
                  <c:v>0</c:v>
                </c:pt>
                <c:pt idx="8">
                  <c:v>0</c:v>
                </c:pt>
                <c:pt idx="9">
                  <c:v>0</c:v>
                </c:pt>
                <c:pt idx="10">
                  <c:v>0</c:v>
                </c:pt>
                <c:pt idx="11">
                  <c:v>0</c:v>
                </c:pt>
                <c:pt idx="12">
                  <c:v>0</c:v>
                </c:pt>
                <c:pt idx="13">
                  <c:v>0</c:v>
                </c:pt>
              </c:numCache>
            </c:numRef>
          </c:yVal>
          <c:bubbleSize>
            <c:numRef>
              <c:f>'Sample Diagnostic'!$FB$40:$FB$53</c:f>
              <c:numCache>
                <c:formatCode>General</c:formatCode>
                <c:ptCount val="14"/>
                <c:pt idx="0">
                  <c:v>8.396427811873334</c:v>
                </c:pt>
                <c:pt idx="1">
                  <c:v>6.0827625302982202</c:v>
                </c:pt>
                <c:pt idx="2">
                  <c:v>0</c:v>
                </c:pt>
                <c:pt idx="3">
                  <c:v>0</c:v>
                </c:pt>
                <c:pt idx="4">
                  <c:v>0</c:v>
                </c:pt>
                <c:pt idx="5">
                  <c:v>0</c:v>
                </c:pt>
                <c:pt idx="6">
                  <c:v>0</c:v>
                </c:pt>
                <c:pt idx="7">
                  <c:v>0</c:v>
                </c:pt>
                <c:pt idx="8">
                  <c:v>0</c:v>
                </c:pt>
                <c:pt idx="9">
                  <c:v>0</c:v>
                </c:pt>
                <c:pt idx="10">
                  <c:v>0</c:v>
                </c:pt>
                <c:pt idx="11">
                  <c:v>0</c:v>
                </c:pt>
                <c:pt idx="12">
                  <c:v>0</c:v>
                </c:pt>
                <c:pt idx="13">
                  <c:v>0</c:v>
                </c:pt>
              </c:numCache>
            </c:numRef>
          </c:bubbleSize>
          <c:bubble3D val="0"/>
          <c:extLst>
            <c:ext xmlns:c15="http://schemas.microsoft.com/office/drawing/2012/chart" uri="{02D57815-91ED-43cb-92C2-25804820EDAC}">
              <c15:datalabelsRange>
                <c15:f>'Sample Diagnostic'!$EE$70:$EE$83</c15:f>
                <c15:dlblRangeCache>
                  <c:ptCount val="14"/>
                  <c:pt idx="0">
                    <c:v>Group Account Director</c:v>
                  </c:pt>
                  <c:pt idx="1">
                    <c:v>Creative Director</c:v>
                  </c:pt>
                </c15:dlblRangeCache>
              </c15:datalabelsRange>
            </c:ext>
            <c:ext xmlns:c16="http://schemas.microsoft.com/office/drawing/2014/chart" uri="{C3380CC4-5D6E-409C-BE32-E72D297353CC}">
              <c16:uniqueId val="{0000002C-7631-7C4F-A403-2C83FBD953A2}"/>
            </c:ext>
          </c:extLst>
        </c:ser>
        <c:dLbls>
          <c:showLegendKey val="0"/>
          <c:showVal val="0"/>
          <c:showCatName val="0"/>
          <c:showSerName val="0"/>
          <c:showPercent val="0"/>
          <c:showBubbleSize val="0"/>
        </c:dLbls>
        <c:bubbleScale val="40"/>
        <c:showNegBubbles val="0"/>
        <c:axId val="1913213312"/>
        <c:axId val="1913211072"/>
      </c:bubbleChart>
      <c:valAx>
        <c:axId val="1913213312"/>
        <c:scaling>
          <c:orientation val="minMax"/>
          <c:max val="1"/>
          <c:min val="0.3"/>
        </c:scaling>
        <c:delete val="0"/>
        <c:axPos val="b"/>
        <c:majorGridlines>
          <c:spPr>
            <a:ln>
              <a:solidFill>
                <a:srgbClr val="26282B"/>
              </a:solidFill>
              <a:prstDash val="solid"/>
            </a:ln>
          </c:spPr>
        </c:majorGridlines>
        <c:title>
          <c:tx>
            <c:rich>
              <a:bodyPr rot="0" spcFirstLastPara="1" vertOverflow="ellipsis" vert="horz" wrap="square" anchor="ctr" anchorCtr="1"/>
              <a:lstStyle/>
              <a:p>
                <a:pPr>
                  <a:defRPr sz="1000" b="1" i="0" strike="noStrike" kern="1200" baseline="0">
                    <a:solidFill>
                      <a:schemeClr val="bg1"/>
                    </a:solidFill>
                    <a:latin typeface="+mn-lt"/>
                    <a:ea typeface="+mn-ea"/>
                    <a:cs typeface="+mn-cs"/>
                  </a:defRPr>
                </a:pPr>
                <a:r>
                  <a:rPr lang="en-GB">
                    <a:solidFill>
                      <a:schemeClr val="bg1"/>
                    </a:solidFill>
                  </a:rPr>
                  <a:t>Utilisation (billable ÷ capacity)</a:t>
                </a:r>
              </a:p>
            </c:rich>
          </c:tx>
          <c:overlay val="0"/>
          <c:spPr>
            <a:noFill/>
            <a:ln>
              <a:noFill/>
              <a:prstDash val="solid"/>
            </a:ln>
          </c:spPr>
        </c:title>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913211072"/>
        <c:crosses val="autoZero"/>
        <c:crossBetween val="midCat"/>
        <c:majorUnit val="0.1"/>
      </c:valAx>
      <c:valAx>
        <c:axId val="1913211072"/>
        <c:scaling>
          <c:orientation val="minMax"/>
          <c:max val="1"/>
          <c:min val="0.7"/>
        </c:scaling>
        <c:delete val="0"/>
        <c:axPos val="l"/>
        <c:majorGridlines>
          <c:spPr>
            <a:ln>
              <a:solidFill>
                <a:srgbClr val="26282B"/>
              </a:solidFill>
              <a:prstDash val="solid"/>
            </a:ln>
          </c:spPr>
        </c:majorGridlines>
        <c:title>
          <c:tx>
            <c:rich>
              <a:bodyPr rot="-5400000" spcFirstLastPara="1" vertOverflow="ellipsis" vert="horz" wrap="square" anchor="ctr" anchorCtr="1"/>
              <a:lstStyle/>
              <a:p>
                <a:pPr>
                  <a:defRPr sz="1000" b="1" i="0" strike="noStrike" kern="1200" baseline="0">
                    <a:solidFill>
                      <a:schemeClr val="bg1"/>
                    </a:solidFill>
                    <a:latin typeface="+mn-lt"/>
                    <a:ea typeface="+mn-ea"/>
                    <a:cs typeface="+mn-cs"/>
                  </a:defRPr>
                </a:pPr>
                <a:r>
                  <a:rPr lang="en-GB">
                    <a:solidFill>
                      <a:schemeClr val="bg1"/>
                    </a:solidFill>
                  </a:rPr>
                  <a:t>Realisation (earned ÷ listed rate)</a:t>
                </a:r>
              </a:p>
            </c:rich>
          </c:tx>
          <c:overlay val="0"/>
          <c:spPr>
            <a:noFill/>
            <a:ln>
              <a:noFill/>
              <a:prstDash val="solid"/>
            </a:ln>
          </c:spPr>
        </c:title>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913213312"/>
        <c:crosses val="autoZero"/>
        <c:crossBetween val="midCat"/>
        <c:majorUnit val="0.05"/>
      </c:valAx>
      <c:spPr>
        <a:solidFill>
          <a:srgbClr val="1C1C1E"/>
        </a:solidFill>
        <a:ln>
          <a:prstDash val="solid"/>
        </a:ln>
      </c:spPr>
    </c:plotArea>
    <c:legend>
      <c:legendPos val="b"/>
      <c:overlay val="0"/>
      <c:spPr>
        <a:noFill/>
        <a:ln>
          <a:noFill/>
          <a:prstDash val="solid"/>
        </a:ln>
      </c:spPr>
      <c:txPr>
        <a:bodyPr/>
        <a:lstStyle/>
        <a:p>
          <a:pPr>
            <a:defRPr>
              <a:solidFill>
                <a:schemeClr val="bg1"/>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F2F2F2"/>
                </a:solidFill>
              </a:defRPr>
            </a:pPr>
            <a:r>
              <a:rPr lang="en-GB"/>
              <a:t>Margin by Role: Current vs. Target</a:t>
            </a:r>
          </a:p>
        </c:rich>
      </c:tx>
      <c:overlay val="0"/>
    </c:title>
    <c:autoTitleDeleted val="0"/>
    <c:plotArea>
      <c:layout/>
      <c:barChart>
        <c:barDir val="bar"/>
        <c:grouping val="clustered"/>
        <c:varyColors val="0"/>
        <c:ser>
          <c:idx val="0"/>
          <c:order val="0"/>
          <c:tx>
            <c:v>Current margin</c:v>
          </c:tx>
          <c:spPr>
            <a:solidFill>
              <a:srgbClr val="1E50FF"/>
            </a:solidFill>
          </c:spPr>
          <c:invertIfNegative val="0"/>
          <c:dLbls>
            <c:numFmt formatCode="0%" sourceLinked="0"/>
            <c:spPr>
              <a:noFill/>
              <a:ln>
                <a:noFill/>
              </a:ln>
              <a:effectLst/>
            </c:spPr>
            <c:txPr>
              <a:bodyPr wrap="square" lIns="38100" tIns="19050" rIns="38100" bIns="19050" anchor="ctr">
                <a:spAutoFit/>
              </a:bodyPr>
              <a:lstStyle/>
              <a:p>
                <a:pPr>
                  <a:defRPr>
                    <a:solidFill>
                      <a:srgbClr val="F2F2F2"/>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'Sample Diagnostic'!$FC$69:$FC$81</c:f>
              <c:strCache>
                <c:ptCount val="11"/>
                <c:pt idx="0">
                  <c:v>Midweight Designer</c:v>
                </c:pt>
                <c:pt idx="1">
                  <c:v>Developer</c:v>
                </c:pt>
                <c:pt idx="2">
                  <c:v>Senior Designer</c:v>
                </c:pt>
                <c:pt idx="3">
                  <c:v>Account Manager</c:v>
                </c:pt>
                <c:pt idx="4">
                  <c:v>Digital Strategist</c:v>
                </c:pt>
                <c:pt idx="5">
                  <c:v>Senior Account Manager</c:v>
                </c:pt>
                <c:pt idx="6">
                  <c:v>Strategy Lead</c:v>
                </c:pt>
                <c:pt idx="7">
                  <c:v>Junior Designer</c:v>
                </c:pt>
                <c:pt idx="8">
                  <c:v>Account Executive</c:v>
                </c:pt>
                <c:pt idx="9">
                  <c:v>Creative Director</c:v>
                </c:pt>
                <c:pt idx="10">
                  <c:v>Group Account Director</c:v>
                </c:pt>
              </c:strCache>
            </c:strRef>
          </c:cat>
          <c:val>
            <c:numRef>
              <c:f>'Sample Diagnostic'!$FD$69:$FD$81</c:f>
              <c:numCache>
                <c:formatCode>General</c:formatCode>
                <c:ptCount val="13"/>
                <c:pt idx="0">
                  <c:v>0.58161789724396051</c:v>
                </c:pt>
                <c:pt idx="1">
                  <c:v>0.57984949832775912</c:v>
                </c:pt>
                <c:pt idx="2">
                  <c:v>0.53268206039076382</c:v>
                </c:pt>
                <c:pt idx="3">
                  <c:v>0.5228013029315961</c:v>
                </c:pt>
                <c:pt idx="4">
                  <c:v>0.50127849210987729</c:v>
                </c:pt>
                <c:pt idx="5">
                  <c:v>0.42837837837837839</c:v>
                </c:pt>
                <c:pt idx="6">
                  <c:v>0.37085843373493971</c:v>
                </c:pt>
                <c:pt idx="7">
                  <c:v>0.3297127468581687</c:v>
                </c:pt>
                <c:pt idx="8">
                  <c:v>0.30899209486166013</c:v>
                </c:pt>
                <c:pt idx="9">
                  <c:v>0.16923564189189197</c:v>
                </c:pt>
                <c:pt idx="10">
                  <c:v>7.5465425531915056E-2</c:v>
                </c:pt>
              </c:numCache>
            </c:numRef>
          </c:val>
          <c:extLst>
            <c:ext xmlns:c16="http://schemas.microsoft.com/office/drawing/2014/chart" uri="{C3380CC4-5D6E-409C-BE32-E72D297353CC}">
              <c16:uniqueId val="{00000000-080C-1640-8E97-C2015B5522BA}"/>
            </c:ext>
          </c:extLst>
        </c:ser>
        <c:ser>
          <c:idx val="1"/>
          <c:order val="1"/>
          <c:tx>
            <c:v>Target margin (util + pricing at benchmark)</c:v>
          </c:tx>
          <c:spPr>
            <a:solidFill>
              <a:srgbClr val="8896B3"/>
            </a:solidFill>
          </c:spPr>
          <c:invertIfNegative val="0"/>
          <c:cat>
            <c:strRef>
              <c:f>'Sample Diagnostic'!$FC$69:$FC$81</c:f>
              <c:strCache>
                <c:ptCount val="11"/>
                <c:pt idx="0">
                  <c:v>Midweight Designer</c:v>
                </c:pt>
                <c:pt idx="1">
                  <c:v>Developer</c:v>
                </c:pt>
                <c:pt idx="2">
                  <c:v>Senior Designer</c:v>
                </c:pt>
                <c:pt idx="3">
                  <c:v>Account Manager</c:v>
                </c:pt>
                <c:pt idx="4">
                  <c:v>Digital Strategist</c:v>
                </c:pt>
                <c:pt idx="5">
                  <c:v>Senior Account Manager</c:v>
                </c:pt>
                <c:pt idx="6">
                  <c:v>Strategy Lead</c:v>
                </c:pt>
                <c:pt idx="7">
                  <c:v>Junior Designer</c:v>
                </c:pt>
                <c:pt idx="8">
                  <c:v>Account Executive</c:v>
                </c:pt>
                <c:pt idx="9">
                  <c:v>Creative Director</c:v>
                </c:pt>
                <c:pt idx="10">
                  <c:v>Group Account Director</c:v>
                </c:pt>
              </c:strCache>
            </c:strRef>
          </c:cat>
          <c:val>
            <c:numRef>
              <c:f>'Sample Diagnostic'!$FE$69:$FE$81</c:f>
              <c:numCache>
                <c:formatCode>General</c:formatCode>
                <c:ptCount val="13"/>
                <c:pt idx="0">
                  <c:v>0.50542986425339365</c:v>
                </c:pt>
                <c:pt idx="1">
                  <c:v>0.4844091482746945</c:v>
                </c:pt>
                <c:pt idx="2">
                  <c:v>0.42488032002098503</c:v>
                </c:pt>
                <c:pt idx="3">
                  <c:v>0.50668210038935069</c:v>
                </c:pt>
                <c:pt idx="4">
                  <c:v>0.45521798462974933</c:v>
                </c:pt>
                <c:pt idx="5">
                  <c:v>0.41176470588235298</c:v>
                </c:pt>
                <c:pt idx="6">
                  <c:v>0.35375333565378819</c:v>
                </c:pt>
                <c:pt idx="7">
                  <c:v>0.37430869783810966</c:v>
                </c:pt>
                <c:pt idx="8">
                  <c:v>0.36075689016865486</c:v>
                </c:pt>
                <c:pt idx="9">
                  <c:v>0.29352510234863172</c:v>
                </c:pt>
                <c:pt idx="10">
                  <c:v>0.3009049773755656</c:v>
                </c:pt>
              </c:numCache>
            </c:numRef>
          </c:val>
          <c:extLst>
            <c:ext xmlns:c16="http://schemas.microsoft.com/office/drawing/2014/chart" uri="{C3380CC4-5D6E-409C-BE32-E72D297353CC}">
              <c16:uniqueId val="{00000001-080C-1640-8E97-C2015B5522BA}"/>
            </c:ext>
          </c:extLst>
        </c:ser>
        <c:dLbls>
          <c:showLegendKey val="0"/>
          <c:showVal val="0"/>
          <c:showCatName val="0"/>
          <c:showSerName val="0"/>
          <c:showPercent val="0"/>
          <c:showBubbleSize val="0"/>
        </c:dLbls>
        <c:gapWidth val="182"/>
        <c:axId val="1868115328"/>
        <c:axId val="1868116224"/>
      </c:barChart>
      <c:catAx>
        <c:axId val="1868115328"/>
        <c:scaling>
          <c:orientation val="minMax"/>
        </c:scaling>
        <c:delete val="0"/>
        <c:axPos val="l"/>
        <c:numFmt formatCode="General" sourceLinked="1"/>
        <c:majorTickMark val="none"/>
        <c:minorTickMark val="none"/>
        <c:tickLblPos val="nextTo"/>
        <c:spPr>
          <a:ln>
            <a:solidFill>
              <a:srgbClr val="3A3A3C"/>
            </a:solidFill>
            <a:prstDash val="solid"/>
          </a:ln>
        </c:spPr>
        <c:txPr>
          <a:bodyPr/>
          <a:lstStyle/>
          <a:p>
            <a:pPr>
              <a:defRPr>
                <a:solidFill>
                  <a:srgbClr val="F2F2F2"/>
                </a:solidFill>
              </a:defRPr>
            </a:pPr>
            <a:endParaRPr lang="en-US"/>
          </a:p>
        </c:txPr>
        <c:crossAx val="1868116224"/>
        <c:crosses val="autoZero"/>
        <c:auto val="1"/>
        <c:lblAlgn val="ctr"/>
        <c:lblOffset val="100"/>
        <c:noMultiLvlLbl val="0"/>
      </c:catAx>
      <c:valAx>
        <c:axId val="1868116224"/>
        <c:scaling>
          <c:orientation val="minMax"/>
          <c:max val="0.8"/>
          <c:min val="-0.4"/>
        </c:scaling>
        <c:delete val="0"/>
        <c:axPos val="b"/>
        <c:majorGridlines>
          <c:spPr>
            <a:ln>
              <a:solidFill>
                <a:srgbClr val="26282B"/>
              </a:solidFill>
              <a:prstDash val="solid"/>
            </a:ln>
          </c:spPr>
        </c:majorGridlines>
        <c:numFmt formatCode="0.0%;[Red]\-0.0%" sourceLinked="0"/>
        <c:majorTickMark val="none"/>
        <c:minorTickMark val="none"/>
        <c:tickLblPos val="nextTo"/>
        <c:spPr>
          <a:ln>
            <a:solidFill>
              <a:srgbClr val="3A3A3C"/>
            </a:solidFill>
            <a:prstDash val="solid"/>
          </a:ln>
        </c:spPr>
        <c:txPr>
          <a:bodyPr/>
          <a:lstStyle/>
          <a:p>
            <a:pPr>
              <a:defRPr>
                <a:solidFill>
                  <a:srgbClr val="F2F2F2"/>
                </a:solidFill>
              </a:defRPr>
            </a:pPr>
            <a:endParaRPr lang="en-US"/>
          </a:p>
        </c:txPr>
        <c:crossAx val="1868115328"/>
        <c:crosses val="autoZero"/>
        <c:crossBetween val="between"/>
        <c:majorUnit val="0.2"/>
      </c:valAx>
      <c:spPr>
        <a:solidFill>
          <a:srgbClr val="1C1C1E"/>
        </a:solidFill>
        <a:ln>
          <a:prstDash val="solid"/>
        </a:ln>
      </c:spPr>
    </c:plotArea>
    <c:legend>
      <c:legendPos val="b"/>
      <c:overlay val="0"/>
      <c:spPr>
        <a:noFill/>
        <a:ln>
          <a:noFill/>
          <a:prstDash val="solid"/>
        </a:ln>
      </c:spPr>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154178</xdr:colOff>
      <xdr:row>1</xdr:row>
      <xdr:rowOff>36</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4178" y="99822"/>
          <a:ext cx="1571625" cy="390525"/>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26</xdr:row>
      <xdr:rowOff>25400</xdr:rowOff>
    </xdr:from>
    <xdr:to>
      <xdr:col>12</xdr:col>
      <xdr:colOff>789215</xdr:colOff>
      <xdr:row>54</xdr:row>
      <xdr:rowOff>90714</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1</xdr:row>
      <xdr:rowOff>0</xdr:rowOff>
    </xdr:from>
    <xdr:ext cx="1571625" cy="390525"/>
    <xdr:pic>
      <xdr:nvPicPr>
        <xdr:cNvPr id="4" name="Image 3" descr="Picture">
          <a:hlinkClick xmlns:r="http://schemas.openxmlformats.org/officeDocument/2006/relationships" r:id=""/>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twoCellAnchor>
    <xdr:from>
      <xdr:col>1</xdr:col>
      <xdr:colOff>54428</xdr:colOff>
      <xdr:row>57</xdr:row>
      <xdr:rowOff>54427</xdr:rowOff>
    </xdr:from>
    <xdr:to>
      <xdr:col>12</xdr:col>
      <xdr:colOff>816428</xdr:colOff>
      <xdr:row>81</xdr:row>
      <xdr:rowOff>5442</xdr:rowOff>
    </xdr:to>
    <xdr:graphicFrame macro="">
      <xdr:nvGraphicFramePr>
        <xdr:cNvPr id="19" name="Chart 18">
          <a:extLst>
            <a:ext uri="{FF2B5EF4-FFF2-40B4-BE49-F238E27FC236}">
              <a16:creationId xmlns:a16="http://schemas.microsoft.com/office/drawing/2014/main" id="{A24D4740-A2C7-6D44-A6E9-295C97E3C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6D5B2DCA-AF16-C74E-A3CD-000731BAD1CC}"/>
            </a:ext>
          </a:extLst>
        </xdr:cNvPr>
        <xdr:cNvPicPr/>
      </xdr:nvPicPr>
      <xdr:blipFill>
        <a:blip xmlns:r="http://schemas.openxmlformats.org/officeDocument/2006/relationships" r:embed="rId1" cstate="print"/>
        <a:stretch>
          <a:fillRect/>
        </a:stretch>
      </xdr:blipFill>
      <xdr:spPr>
        <a:xfrm>
          <a:off x="152400" y="101600"/>
          <a:ext cx="1571625" cy="390525"/>
        </a:xfrm>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26</xdr:row>
      <xdr:rowOff>25400</xdr:rowOff>
    </xdr:from>
    <xdr:to>
      <xdr:col>12</xdr:col>
      <xdr:colOff>789215</xdr:colOff>
      <xdr:row>54</xdr:row>
      <xdr:rowOff>90714</xdr:rowOff>
    </xdr:to>
    <xdr:graphicFrame macro="">
      <xdr:nvGraphicFramePr>
        <xdr:cNvPr id="2" name="Chart 1">
          <a:extLst>
            <a:ext uri="{FF2B5EF4-FFF2-40B4-BE49-F238E27FC236}">
              <a16:creationId xmlns:a16="http://schemas.microsoft.com/office/drawing/2014/main" id="{57AB7B44-0361-DF40-A870-00F4DEB0D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1</xdr:row>
      <xdr:rowOff>0</xdr:rowOff>
    </xdr:from>
    <xdr:ext cx="1571625" cy="390525"/>
    <xdr:pic>
      <xdr:nvPicPr>
        <xdr:cNvPr id="3" name="Image 3" descr="Picture">
          <a:hlinkClick xmlns:r="http://schemas.openxmlformats.org/officeDocument/2006/relationships" r:id=""/>
          <a:extLst>
            <a:ext uri="{FF2B5EF4-FFF2-40B4-BE49-F238E27FC236}">
              <a16:creationId xmlns:a16="http://schemas.microsoft.com/office/drawing/2014/main" id="{A0F47C1D-BF26-AC44-A693-78E670CF557D}"/>
            </a:ext>
          </a:extLst>
        </xdr:cNvPr>
        <xdr:cNvPicPr/>
      </xdr:nvPicPr>
      <xdr:blipFill>
        <a:blip xmlns:r="http://schemas.openxmlformats.org/officeDocument/2006/relationships" r:embed="rId2" cstate="print"/>
        <a:stretch>
          <a:fillRect/>
        </a:stretch>
      </xdr:blipFill>
      <xdr:spPr>
        <a:xfrm>
          <a:off x="152400" y="101600"/>
          <a:ext cx="1571625" cy="390525"/>
        </a:xfrm>
        <a:prstGeom prst="rect">
          <a:avLst/>
        </a:prstGeom>
        <a:ln>
          <a:prstDash val="solid"/>
        </a:ln>
      </xdr:spPr>
    </xdr:pic>
    <xdr:clientData/>
  </xdr:oneCellAnchor>
  <xdr:twoCellAnchor>
    <xdr:from>
      <xdr:col>1</xdr:col>
      <xdr:colOff>54428</xdr:colOff>
      <xdr:row>57</xdr:row>
      <xdr:rowOff>54427</xdr:rowOff>
    </xdr:from>
    <xdr:to>
      <xdr:col>12</xdr:col>
      <xdr:colOff>816428</xdr:colOff>
      <xdr:row>81</xdr:row>
      <xdr:rowOff>5442</xdr:rowOff>
    </xdr:to>
    <xdr:graphicFrame macro="">
      <xdr:nvGraphicFramePr>
        <xdr:cNvPr id="4" name="Chart 3">
          <a:extLst>
            <a:ext uri="{FF2B5EF4-FFF2-40B4-BE49-F238E27FC236}">
              <a16:creationId xmlns:a16="http://schemas.microsoft.com/office/drawing/2014/main" id="{B1F416F9-8232-774C-93A9-105D2C339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AB4DB7E-3095-BE44-9D17-5D4FF42E4EAA}">
  <we:reference id="wa200009404" version="1.0.0.8" store="en-US" storeType="OMEX"/>
  <we:alternateReferences>
    <we:reference id="WA200009404" version="1.0.0.8" store="" storeType="OMEX"/>
  </we:alternateReferences>
  <we:properties>
    <we:property name="claude.fileId" value="&quot;04b95254-1230-4c50-9abd-91cb6c3b2cf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hyperlink" Target="https://infraxus.com/book"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hyperlink" Target="https://infraxus.com/book"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3"/>
  <sheetViews>
    <sheetView showGridLines="0" tabSelected="1" zoomScale="140" zoomScaleNormal="140" workbookViewId="0">
      <pane xSplit="1" ySplit="4" topLeftCell="B5" activePane="bottomRight" state="frozen"/>
      <selection pane="topRight" activeCell="B1" sqref="B1"/>
      <selection pane="bottomLeft" activeCell="A5" sqref="A5"/>
      <selection pane="bottomRight" activeCell="AF6" sqref="AF6"/>
    </sheetView>
  </sheetViews>
  <sheetFormatPr baseColWidth="10" defaultColWidth="8.83203125" defaultRowHeight="15" x14ac:dyDescent="0.2"/>
  <cols>
    <col min="1" max="1" width="2" style="48" customWidth="1"/>
    <col min="2" max="2" width="26" style="48" customWidth="1"/>
    <col min="3" max="3" width="123.33203125" style="48" customWidth="1"/>
    <col min="4" max="4" width="2" style="48" customWidth="1"/>
    <col min="5" max="29" width="13" style="48" hidden="1" customWidth="1"/>
    <col min="30" max="16384" width="8.83203125" style="48"/>
  </cols>
  <sheetData>
    <row r="1" spans="1:29" ht="8" customHeight="1" x14ac:dyDescent="0.2">
      <c r="A1" s="55"/>
      <c r="B1" s="55"/>
      <c r="C1" s="55"/>
      <c r="D1" s="55"/>
      <c r="E1"/>
      <c r="F1"/>
      <c r="G1"/>
      <c r="H1"/>
      <c r="I1"/>
      <c r="J1"/>
      <c r="K1"/>
      <c r="L1"/>
      <c r="M1"/>
      <c r="N1"/>
      <c r="O1"/>
      <c r="P1"/>
      <c r="Q1"/>
      <c r="R1"/>
      <c r="S1"/>
      <c r="T1"/>
      <c r="U1"/>
      <c r="V1"/>
      <c r="W1"/>
      <c r="X1"/>
      <c r="Y1"/>
      <c r="Z1"/>
      <c r="AA1"/>
      <c r="AB1"/>
      <c r="AC1"/>
    </row>
    <row r="2" spans="1:29" ht="30" customHeight="1" x14ac:dyDescent="0.2">
      <c r="A2" s="55"/>
      <c r="B2" s="69"/>
      <c r="C2" s="59" t="s">
        <v>336</v>
      </c>
      <c r="D2" s="55"/>
      <c r="E2"/>
      <c r="F2"/>
      <c r="G2"/>
      <c r="H2"/>
      <c r="I2"/>
      <c r="J2"/>
      <c r="K2"/>
      <c r="L2"/>
      <c r="M2"/>
      <c r="N2"/>
      <c r="O2"/>
      <c r="P2"/>
      <c r="Q2"/>
      <c r="R2"/>
      <c r="S2"/>
      <c r="T2"/>
      <c r="U2"/>
      <c r="V2"/>
      <c r="W2"/>
      <c r="X2"/>
      <c r="Y2"/>
      <c r="Z2"/>
      <c r="AA2"/>
      <c r="AB2"/>
      <c r="AC2"/>
    </row>
    <row r="3" spans="1:29" ht="22" customHeight="1" x14ac:dyDescent="0.2">
      <c r="A3" s="55"/>
      <c r="B3" s="78" t="s">
        <v>335</v>
      </c>
      <c r="C3" s="55"/>
      <c r="D3" s="55"/>
      <c r="E3"/>
      <c r="F3"/>
      <c r="G3"/>
      <c r="H3"/>
      <c r="I3"/>
      <c r="J3"/>
      <c r="K3"/>
      <c r="L3"/>
      <c r="M3"/>
      <c r="N3"/>
      <c r="O3"/>
      <c r="P3"/>
      <c r="Q3"/>
      <c r="R3"/>
      <c r="S3"/>
      <c r="T3"/>
      <c r="U3"/>
      <c r="V3"/>
      <c r="W3"/>
      <c r="X3"/>
      <c r="Y3"/>
      <c r="Z3"/>
      <c r="AA3"/>
      <c r="AB3"/>
      <c r="AC3"/>
    </row>
    <row r="4" spans="1:29" ht="16" customHeight="1" x14ac:dyDescent="0.2">
      <c r="A4" s="55"/>
      <c r="B4" s="55"/>
      <c r="C4" s="55"/>
      <c r="D4" s="55"/>
      <c r="E4"/>
      <c r="F4"/>
      <c r="G4"/>
      <c r="H4"/>
      <c r="I4"/>
      <c r="J4"/>
      <c r="K4"/>
      <c r="L4"/>
      <c r="M4"/>
      <c r="N4"/>
      <c r="O4"/>
      <c r="P4"/>
      <c r="Q4"/>
      <c r="R4"/>
      <c r="S4"/>
      <c r="T4"/>
      <c r="U4"/>
      <c r="V4"/>
      <c r="W4"/>
      <c r="X4"/>
      <c r="Y4"/>
      <c r="Z4"/>
      <c r="AA4"/>
      <c r="AB4"/>
      <c r="AC4"/>
    </row>
    <row r="5" spans="1:29" x14ac:dyDescent="0.2">
      <c r="A5" s="55"/>
      <c r="B5" s="55"/>
      <c r="C5" s="55"/>
      <c r="D5" s="55"/>
      <c r="E5"/>
      <c r="F5"/>
      <c r="G5"/>
      <c r="H5"/>
      <c r="I5"/>
      <c r="J5"/>
      <c r="K5"/>
      <c r="L5"/>
      <c r="M5"/>
      <c r="N5"/>
      <c r="O5"/>
      <c r="P5"/>
      <c r="Q5"/>
      <c r="R5"/>
      <c r="S5"/>
      <c r="T5"/>
      <c r="U5"/>
      <c r="V5"/>
      <c r="W5"/>
      <c r="X5"/>
      <c r="Y5"/>
      <c r="Z5"/>
      <c r="AA5"/>
      <c r="AB5"/>
      <c r="AC5"/>
    </row>
    <row r="6" spans="1:29" ht="26" customHeight="1" x14ac:dyDescent="0.25">
      <c r="A6" s="55"/>
      <c r="B6" s="70" t="s">
        <v>334</v>
      </c>
      <c r="C6" s="71" t="s">
        <v>333</v>
      </c>
      <c r="D6" s="55"/>
      <c r="E6"/>
      <c r="F6"/>
      <c r="G6"/>
      <c r="H6"/>
      <c r="I6"/>
      <c r="J6"/>
      <c r="K6"/>
      <c r="L6"/>
      <c r="M6"/>
      <c r="N6"/>
      <c r="O6"/>
      <c r="P6"/>
      <c r="Q6"/>
      <c r="R6"/>
      <c r="S6"/>
      <c r="T6"/>
      <c r="U6"/>
      <c r="V6"/>
      <c r="W6"/>
      <c r="X6"/>
      <c r="Y6"/>
      <c r="Z6"/>
      <c r="AA6"/>
      <c r="AB6"/>
      <c r="AC6"/>
    </row>
    <row r="7" spans="1:29" ht="80" x14ac:dyDescent="0.2">
      <c r="A7" s="55"/>
      <c r="B7" s="79"/>
      <c r="C7" s="75" t="s">
        <v>355</v>
      </c>
      <c r="D7" s="55"/>
      <c r="E7"/>
      <c r="F7"/>
      <c r="G7"/>
      <c r="H7"/>
      <c r="I7"/>
      <c r="J7"/>
      <c r="K7"/>
      <c r="L7"/>
      <c r="M7"/>
      <c r="N7"/>
      <c r="O7"/>
      <c r="P7"/>
      <c r="Q7"/>
      <c r="R7"/>
      <c r="S7"/>
      <c r="T7"/>
      <c r="U7"/>
      <c r="V7"/>
      <c r="W7"/>
      <c r="X7"/>
      <c r="Y7"/>
      <c r="Z7"/>
      <c r="AA7"/>
      <c r="AB7"/>
      <c r="AC7"/>
    </row>
    <row r="8" spans="1:29" ht="14" customHeight="1" x14ac:dyDescent="0.2">
      <c r="A8" s="55"/>
      <c r="B8" s="55"/>
      <c r="C8" s="76"/>
      <c r="D8" s="55"/>
      <c r="E8"/>
      <c r="F8"/>
      <c r="G8"/>
      <c r="H8"/>
      <c r="I8"/>
      <c r="J8"/>
      <c r="K8"/>
      <c r="L8"/>
      <c r="M8"/>
      <c r="N8"/>
      <c r="O8"/>
      <c r="P8"/>
      <c r="Q8"/>
      <c r="R8"/>
      <c r="S8"/>
      <c r="T8"/>
      <c r="U8"/>
      <c r="V8"/>
      <c r="W8"/>
      <c r="X8"/>
      <c r="Y8"/>
      <c r="Z8"/>
      <c r="AA8"/>
      <c r="AB8"/>
      <c r="AC8"/>
    </row>
    <row r="9" spans="1:29" ht="26" customHeight="1" x14ac:dyDescent="0.2">
      <c r="A9" s="55"/>
      <c r="B9" s="70" t="s">
        <v>332</v>
      </c>
      <c r="C9" s="77" t="s">
        <v>331</v>
      </c>
      <c r="D9" s="55"/>
      <c r="E9"/>
      <c r="F9"/>
      <c r="G9"/>
      <c r="H9"/>
      <c r="I9"/>
      <c r="J9"/>
      <c r="K9"/>
      <c r="L9"/>
      <c r="M9"/>
      <c r="N9"/>
      <c r="O9"/>
      <c r="P9"/>
      <c r="Q9"/>
      <c r="R9"/>
      <c r="S9"/>
      <c r="T9"/>
      <c r="U9"/>
      <c r="V9"/>
      <c r="W9"/>
      <c r="X9"/>
      <c r="Y9"/>
      <c r="Z9"/>
      <c r="AA9"/>
      <c r="AB9"/>
      <c r="AC9"/>
    </row>
    <row r="10" spans="1:29" ht="160" x14ac:dyDescent="0.2">
      <c r="A10" s="55"/>
      <c r="B10" s="79"/>
      <c r="C10" s="75" t="s">
        <v>356</v>
      </c>
      <c r="D10" s="55"/>
      <c r="E10"/>
      <c r="F10"/>
      <c r="G10"/>
      <c r="H10"/>
      <c r="I10"/>
      <c r="J10"/>
      <c r="K10"/>
      <c r="L10"/>
      <c r="M10"/>
      <c r="N10"/>
      <c r="O10"/>
      <c r="P10"/>
      <c r="Q10"/>
      <c r="R10"/>
      <c r="S10"/>
      <c r="T10"/>
      <c r="U10"/>
      <c r="V10"/>
      <c r="W10"/>
      <c r="X10"/>
      <c r="Y10"/>
      <c r="Z10"/>
      <c r="AA10"/>
      <c r="AB10"/>
      <c r="AC10"/>
    </row>
    <row r="11" spans="1:29" ht="14" customHeight="1" x14ac:dyDescent="0.2">
      <c r="A11" s="55"/>
      <c r="B11" s="55"/>
      <c r="C11" s="76"/>
      <c r="D11" s="55"/>
      <c r="E11"/>
      <c r="F11"/>
      <c r="G11"/>
      <c r="H11"/>
      <c r="I11"/>
      <c r="J11"/>
      <c r="K11"/>
      <c r="L11"/>
      <c r="M11"/>
      <c r="N11"/>
      <c r="O11"/>
      <c r="P11"/>
      <c r="Q11"/>
      <c r="R11"/>
      <c r="S11"/>
      <c r="T11"/>
      <c r="U11"/>
      <c r="V11"/>
      <c r="W11"/>
      <c r="X11"/>
      <c r="Y11"/>
      <c r="Z11"/>
      <c r="AA11"/>
      <c r="AB11"/>
      <c r="AC11"/>
    </row>
    <row r="12" spans="1:29" ht="26" customHeight="1" x14ac:dyDescent="0.2">
      <c r="A12" s="55"/>
      <c r="B12" s="70" t="s">
        <v>330</v>
      </c>
      <c r="C12" s="77" t="s">
        <v>337</v>
      </c>
      <c r="D12" s="55"/>
      <c r="E12"/>
      <c r="F12"/>
      <c r="G12"/>
      <c r="H12"/>
      <c r="I12"/>
      <c r="J12"/>
      <c r="K12"/>
      <c r="L12"/>
      <c r="M12"/>
      <c r="N12"/>
      <c r="O12"/>
      <c r="P12"/>
      <c r="Q12"/>
      <c r="R12"/>
      <c r="S12"/>
      <c r="T12"/>
      <c r="U12"/>
      <c r="V12"/>
      <c r="W12"/>
      <c r="X12"/>
      <c r="Y12"/>
      <c r="Z12"/>
      <c r="AA12"/>
      <c r="AB12"/>
      <c r="AC12"/>
    </row>
    <row r="13" spans="1:29" ht="128" x14ac:dyDescent="0.2">
      <c r="A13" s="55"/>
      <c r="B13" s="79"/>
      <c r="C13" s="75" t="s">
        <v>357</v>
      </c>
      <c r="D13" s="55"/>
      <c r="E13"/>
      <c r="F13"/>
      <c r="G13"/>
      <c r="H13"/>
      <c r="I13"/>
      <c r="J13"/>
      <c r="K13"/>
      <c r="L13"/>
      <c r="M13"/>
      <c r="N13"/>
      <c r="O13"/>
      <c r="P13"/>
      <c r="Q13"/>
      <c r="R13"/>
      <c r="S13"/>
      <c r="T13"/>
      <c r="U13"/>
      <c r="V13"/>
      <c r="W13"/>
      <c r="X13"/>
      <c r="Y13"/>
      <c r="Z13"/>
      <c r="AA13"/>
      <c r="AB13"/>
      <c r="AC13"/>
    </row>
    <row r="14" spans="1:29" ht="26" customHeight="1" x14ac:dyDescent="0.2">
      <c r="A14" s="55"/>
      <c r="B14" s="72"/>
      <c r="C14" s="76"/>
      <c r="D14" s="55"/>
      <c r="E14"/>
      <c r="F14"/>
      <c r="G14"/>
      <c r="H14"/>
      <c r="I14"/>
      <c r="J14"/>
      <c r="K14"/>
      <c r="L14"/>
      <c r="M14"/>
      <c r="N14"/>
      <c r="O14"/>
      <c r="P14"/>
      <c r="Q14"/>
      <c r="R14"/>
      <c r="S14"/>
      <c r="T14"/>
      <c r="U14"/>
      <c r="V14"/>
      <c r="W14"/>
      <c r="X14"/>
      <c r="Y14"/>
      <c r="Z14"/>
      <c r="AA14"/>
      <c r="AB14"/>
      <c r="AC14"/>
    </row>
    <row r="15" spans="1:29" ht="36" customHeight="1" x14ac:dyDescent="0.2">
      <c r="A15" s="55"/>
      <c r="B15" s="73" t="s">
        <v>329</v>
      </c>
      <c r="C15" s="77" t="s">
        <v>328</v>
      </c>
      <c r="D15" s="55"/>
      <c r="E15"/>
      <c r="F15"/>
      <c r="G15"/>
      <c r="H15"/>
      <c r="I15"/>
      <c r="J15"/>
      <c r="K15"/>
      <c r="L15"/>
      <c r="M15"/>
      <c r="N15"/>
      <c r="O15"/>
      <c r="P15"/>
      <c r="Q15"/>
      <c r="R15"/>
      <c r="S15"/>
      <c r="T15"/>
      <c r="U15"/>
      <c r="V15"/>
      <c r="W15"/>
      <c r="X15"/>
      <c r="Y15"/>
      <c r="Z15"/>
      <c r="AA15"/>
      <c r="AB15"/>
      <c r="AC15"/>
    </row>
    <row r="16" spans="1:29" ht="160" x14ac:dyDescent="0.2">
      <c r="A16" s="55"/>
      <c r="B16" s="79"/>
      <c r="C16" s="75" t="s">
        <v>358</v>
      </c>
      <c r="D16" s="55"/>
      <c r="E16"/>
      <c r="F16"/>
      <c r="G16"/>
      <c r="H16"/>
      <c r="I16"/>
      <c r="J16"/>
      <c r="K16"/>
      <c r="L16"/>
      <c r="M16"/>
      <c r="N16"/>
      <c r="O16"/>
      <c r="P16"/>
      <c r="Q16"/>
      <c r="R16"/>
      <c r="S16"/>
      <c r="T16"/>
      <c r="U16"/>
      <c r="V16"/>
      <c r="W16"/>
      <c r="X16"/>
      <c r="Y16"/>
      <c r="Z16"/>
      <c r="AA16"/>
      <c r="AB16"/>
      <c r="AC16"/>
    </row>
    <row r="17" spans="1:29" ht="17" customHeight="1" x14ac:dyDescent="0.2">
      <c r="A17" s="55"/>
      <c r="B17" s="72"/>
      <c r="C17" s="76"/>
      <c r="D17" s="55"/>
      <c r="E17"/>
      <c r="F17"/>
      <c r="G17"/>
      <c r="H17"/>
      <c r="I17"/>
      <c r="J17"/>
      <c r="K17"/>
      <c r="L17"/>
      <c r="M17"/>
      <c r="N17"/>
      <c r="O17"/>
      <c r="P17"/>
      <c r="Q17"/>
      <c r="R17"/>
      <c r="S17"/>
      <c r="T17"/>
      <c r="U17"/>
      <c r="V17"/>
      <c r="W17"/>
      <c r="X17"/>
      <c r="Y17"/>
      <c r="Z17"/>
      <c r="AA17"/>
      <c r="AB17"/>
      <c r="AC17"/>
    </row>
    <row r="18" spans="1:29" ht="32" customHeight="1" x14ac:dyDescent="0.2">
      <c r="A18" s="55"/>
      <c r="B18" s="73" t="s">
        <v>327</v>
      </c>
      <c r="C18" s="77" t="s">
        <v>326</v>
      </c>
      <c r="D18" s="55"/>
      <c r="E18"/>
      <c r="F18"/>
      <c r="G18"/>
      <c r="H18"/>
      <c r="I18"/>
      <c r="J18"/>
      <c r="K18"/>
      <c r="L18"/>
      <c r="M18"/>
      <c r="N18"/>
      <c r="O18"/>
      <c r="P18"/>
      <c r="Q18"/>
      <c r="R18"/>
      <c r="S18"/>
      <c r="T18"/>
      <c r="U18"/>
      <c r="V18"/>
      <c r="W18"/>
      <c r="X18"/>
      <c r="Y18"/>
      <c r="Z18"/>
      <c r="AA18"/>
      <c r="AB18"/>
      <c r="AC18"/>
    </row>
    <row r="19" spans="1:29" ht="144" x14ac:dyDescent="0.2">
      <c r="A19" s="55"/>
      <c r="C19" s="75" t="s">
        <v>359</v>
      </c>
      <c r="D19" s="55"/>
      <c r="E19"/>
      <c r="F19"/>
      <c r="G19"/>
      <c r="H19"/>
      <c r="I19"/>
      <c r="J19"/>
      <c r="K19"/>
      <c r="L19"/>
      <c r="M19"/>
      <c r="N19"/>
      <c r="O19"/>
      <c r="P19"/>
      <c r="Q19"/>
      <c r="R19"/>
      <c r="S19"/>
      <c r="T19"/>
      <c r="U19"/>
      <c r="V19"/>
      <c r="W19"/>
      <c r="X19"/>
      <c r="Y19"/>
      <c r="Z19"/>
      <c r="AA19"/>
      <c r="AB19"/>
      <c r="AC19"/>
    </row>
    <row r="20" spans="1:29" ht="19" customHeight="1" x14ac:dyDescent="0.2">
      <c r="A20" s="55"/>
      <c r="B20" s="74"/>
      <c r="C20" s="76"/>
      <c r="D20" s="55"/>
      <c r="E20"/>
      <c r="F20"/>
      <c r="G20"/>
      <c r="H20"/>
      <c r="I20"/>
      <c r="J20"/>
      <c r="K20"/>
      <c r="L20"/>
      <c r="M20"/>
      <c r="N20"/>
      <c r="O20"/>
      <c r="P20"/>
      <c r="Q20"/>
      <c r="R20"/>
      <c r="S20"/>
      <c r="T20"/>
      <c r="U20"/>
      <c r="V20"/>
      <c r="W20"/>
      <c r="X20"/>
      <c r="Y20"/>
      <c r="Z20"/>
      <c r="AA20"/>
      <c r="AB20"/>
      <c r="AC20"/>
    </row>
    <row r="21" spans="1:29" ht="31" customHeight="1" x14ac:dyDescent="0.2">
      <c r="A21" s="55"/>
      <c r="B21" s="73" t="s">
        <v>325</v>
      </c>
      <c r="C21" s="77" t="s">
        <v>338</v>
      </c>
      <c r="D21" s="55"/>
      <c r="E21"/>
      <c r="F21"/>
      <c r="G21"/>
      <c r="H21"/>
      <c r="I21"/>
      <c r="J21"/>
      <c r="K21"/>
      <c r="L21"/>
      <c r="M21"/>
      <c r="N21"/>
      <c r="O21"/>
      <c r="P21"/>
      <c r="Q21"/>
      <c r="R21"/>
      <c r="S21"/>
      <c r="T21"/>
      <c r="U21"/>
      <c r="V21"/>
      <c r="W21"/>
      <c r="X21"/>
      <c r="Y21"/>
      <c r="Z21"/>
      <c r="AA21"/>
      <c r="AB21"/>
      <c r="AC21"/>
    </row>
    <row r="22" spans="1:29" ht="112" x14ac:dyDescent="0.2">
      <c r="A22" s="55"/>
      <c r="B22" s="79"/>
      <c r="C22" s="75" t="s">
        <v>360</v>
      </c>
      <c r="D22" s="55"/>
      <c r="E22"/>
      <c r="F22"/>
      <c r="G22"/>
      <c r="H22"/>
      <c r="I22"/>
      <c r="J22"/>
      <c r="K22"/>
      <c r="L22"/>
      <c r="M22"/>
      <c r="N22"/>
      <c r="O22"/>
      <c r="P22"/>
      <c r="Q22"/>
      <c r="R22"/>
      <c r="S22"/>
      <c r="T22"/>
      <c r="U22"/>
      <c r="V22"/>
      <c r="W22"/>
      <c r="X22"/>
      <c r="Y22"/>
      <c r="Z22"/>
      <c r="AA22"/>
      <c r="AB22"/>
      <c r="AC22"/>
    </row>
    <row r="23" spans="1:29" ht="22" customHeight="1" x14ac:dyDescent="0.2">
      <c r="A23" s="55"/>
      <c r="B23" s="80" t="s">
        <v>319</v>
      </c>
      <c r="C23" s="81" t="s">
        <v>352</v>
      </c>
      <c r="D23" s="55"/>
      <c r="E23"/>
      <c r="F23"/>
      <c r="G23"/>
      <c r="H23"/>
      <c r="I23"/>
      <c r="J23"/>
      <c r="K23"/>
      <c r="L23"/>
      <c r="M23"/>
      <c r="N23"/>
      <c r="O23"/>
      <c r="P23"/>
      <c r="Q23"/>
      <c r="R23"/>
      <c r="S23"/>
      <c r="T23"/>
      <c r="U23"/>
      <c r="V23"/>
      <c r="W23"/>
      <c r="X23"/>
      <c r="Y23"/>
      <c r="Z23"/>
      <c r="AA23"/>
      <c r="AB23"/>
      <c r="AC23"/>
    </row>
    <row r="24" spans="1:29" ht="10" customHeight="1" x14ac:dyDescent="0.2">
      <c r="A24" s="55"/>
      <c r="B24" s="55"/>
      <c r="C24" s="55"/>
      <c r="D24" s="55"/>
      <c r="E24"/>
      <c r="F24"/>
      <c r="G24"/>
      <c r="H24"/>
      <c r="I24"/>
      <c r="J24"/>
      <c r="K24"/>
      <c r="L24"/>
      <c r="M24"/>
      <c r="N24"/>
      <c r="O24"/>
      <c r="P24"/>
      <c r="Q24"/>
      <c r="R24"/>
      <c r="S24"/>
      <c r="T24"/>
      <c r="U24"/>
      <c r="V24"/>
      <c r="W24"/>
      <c r="X24"/>
      <c r="Y24"/>
      <c r="Z24"/>
      <c r="AA24"/>
      <c r="AB24"/>
      <c r="AC24"/>
    </row>
    <row r="25" spans="1:29" x14ac:dyDescent="0.2">
      <c r="A25" s="49"/>
      <c r="B25" s="49"/>
      <c r="C25" s="49"/>
      <c r="D25" s="49"/>
    </row>
    <row r="26" spans="1:29" x14ac:dyDescent="0.2">
      <c r="A26" s="49"/>
      <c r="B26" s="49"/>
      <c r="C26" s="49"/>
      <c r="D26" s="49"/>
    </row>
    <row r="27" spans="1:29" x14ac:dyDescent="0.2">
      <c r="A27" s="49"/>
      <c r="B27" s="49"/>
      <c r="C27" s="49"/>
      <c r="D27" s="49"/>
    </row>
    <row r="28" spans="1:29" x14ac:dyDescent="0.2">
      <c r="A28" s="49"/>
      <c r="B28" s="49"/>
      <c r="C28" s="49"/>
      <c r="D28" s="49"/>
    </row>
    <row r="29" spans="1:29" x14ac:dyDescent="0.2">
      <c r="A29" s="49"/>
      <c r="B29" s="49"/>
      <c r="C29" s="49"/>
      <c r="D29" s="49"/>
    </row>
    <row r="30" spans="1:29" x14ac:dyDescent="0.2">
      <c r="A30" s="49"/>
      <c r="B30" s="49"/>
      <c r="C30" s="49"/>
      <c r="D30" s="49"/>
    </row>
    <row r="31" spans="1:29" x14ac:dyDescent="0.2">
      <c r="A31" s="49"/>
      <c r="B31" s="49"/>
      <c r="C31" s="49"/>
      <c r="D31" s="49"/>
    </row>
    <row r="32" spans="1:29"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row r="38" spans="1:4" x14ac:dyDescent="0.2">
      <c r="A38" s="49"/>
      <c r="B38" s="49"/>
      <c r="C38" s="49"/>
      <c r="D38" s="49"/>
    </row>
    <row r="39" spans="1:4" x14ac:dyDescent="0.2">
      <c r="A39" s="49"/>
      <c r="B39" s="49"/>
      <c r="C39" s="49"/>
      <c r="D39" s="49"/>
    </row>
    <row r="40" spans="1:4" x14ac:dyDescent="0.2">
      <c r="A40" s="49"/>
      <c r="B40" s="49"/>
      <c r="C40" s="49"/>
      <c r="D40" s="49"/>
    </row>
    <row r="41" spans="1:4" x14ac:dyDescent="0.2">
      <c r="A41" s="49"/>
      <c r="B41" s="49"/>
      <c r="C41" s="49"/>
      <c r="D41" s="49"/>
    </row>
    <row r="42" spans="1:4" x14ac:dyDescent="0.2">
      <c r="A42" s="49"/>
      <c r="B42" s="49"/>
      <c r="C42" s="49"/>
      <c r="D42" s="49"/>
    </row>
    <row r="43" spans="1:4" x14ac:dyDescent="0.2">
      <c r="A43" s="49"/>
      <c r="B43" s="49"/>
      <c r="C43" s="49"/>
      <c r="D43" s="49"/>
    </row>
  </sheetData>
  <printOptions horizontalCentered="1"/>
  <pageMargins left="0.4" right="0.4" top="0.5" bottom="0.5" header="0.3" footer="0.3"/>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50FF"/>
    <pageSetUpPr fitToPage="1"/>
  </sheetPr>
  <dimension ref="A1:CV70"/>
  <sheetViews>
    <sheetView showGridLines="0" zoomScale="140" zoomScaleNormal="140" workbookViewId="0">
      <pane xSplit="1" ySplit="4" topLeftCell="B5" activePane="bottomRight" state="frozen"/>
      <selection pane="topRight"/>
      <selection pane="bottomLeft"/>
      <selection pane="bottomRight" activeCell="CZ8" sqref="CZ8"/>
    </sheetView>
  </sheetViews>
  <sheetFormatPr baseColWidth="10" defaultColWidth="8.83203125" defaultRowHeight="15" x14ac:dyDescent="0.2"/>
  <cols>
    <col min="1" max="1" width="2" style="48" customWidth="1"/>
    <col min="2" max="2" width="8" style="48" customWidth="1"/>
    <col min="3" max="3" width="29" style="48" customWidth="1"/>
    <col min="4" max="4" width="12" style="48" customWidth="1"/>
    <col min="5" max="5" width="9" style="48" customWidth="1"/>
    <col min="6" max="6" width="12" style="48" customWidth="1"/>
    <col min="7" max="7" width="10" style="48" customWidth="1"/>
    <col min="8" max="9" width="11" style="48" customWidth="1"/>
    <col min="10" max="11" width="13" style="48" customWidth="1"/>
    <col min="12" max="12" width="12" style="48" customWidth="1"/>
    <col min="13" max="13" width="11" style="48" customWidth="1"/>
    <col min="14" max="14" width="2" style="48" customWidth="1"/>
    <col min="15" max="15" width="1.5" style="48" hidden="1" customWidth="1"/>
    <col min="16" max="100" width="14" style="48" hidden="1" customWidth="1"/>
    <col min="101" max="16384" width="8.83203125" style="48"/>
  </cols>
  <sheetData>
    <row r="1" spans="1:100" ht="8" customHeight="1" x14ac:dyDescent="0.2">
      <c r="A1" s="1"/>
      <c r="B1" s="1"/>
      <c r="C1" s="1"/>
      <c r="D1" s="1"/>
      <c r="E1" s="1"/>
      <c r="F1" s="1"/>
      <c r="G1" s="1"/>
      <c r="H1" s="1"/>
      <c r="I1" s="1"/>
      <c r="J1" s="1"/>
      <c r="K1" s="1"/>
      <c r="L1" s="1"/>
      <c r="M1" s="1"/>
      <c r="N1" s="1"/>
      <c r="O1" s="2"/>
      <c r="P1" s="2"/>
      <c r="Q1" s="2"/>
      <c r="R1" s="2"/>
      <c r="S1" s="2"/>
      <c r="T1" s="2"/>
      <c r="U1" s="2"/>
      <c r="V1" s="2"/>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row>
    <row r="2" spans="1:100" ht="30" customHeight="1" x14ac:dyDescent="0.3">
      <c r="A2" s="1"/>
      <c r="B2" s="1"/>
      <c r="C2" s="83"/>
      <c r="D2" s="82" t="s">
        <v>361</v>
      </c>
      <c r="E2" s="84"/>
      <c r="F2" s="84"/>
      <c r="G2" s="84"/>
      <c r="H2" s="84"/>
      <c r="I2" s="84"/>
      <c r="J2" s="4"/>
      <c r="K2" s="4"/>
      <c r="L2" s="4" t="s">
        <v>1</v>
      </c>
      <c r="M2" s="85" t="s">
        <v>214</v>
      </c>
      <c r="N2" s="1"/>
      <c r="O2" s="1"/>
      <c r="P2" s="1"/>
      <c r="Q2" s="2"/>
      <c r="R2" s="5" t="s">
        <v>208</v>
      </c>
      <c r="S2" s="2"/>
      <c r="T2" s="2"/>
      <c r="U2" s="5" t="s">
        <v>209</v>
      </c>
      <c r="V2" s="6">
        <f>INDEX(ref_region_oncost_all,MATCH(inp_region,ref_region_codes,0))</f>
        <v>0.185</v>
      </c>
      <c r="W2" s="2"/>
      <c r="X2" s="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row>
    <row r="3" spans="1:100" ht="22" customHeight="1" x14ac:dyDescent="0.2">
      <c r="A3" s="1"/>
      <c r="B3" s="92" t="s">
        <v>353</v>
      </c>
      <c r="C3" s="90"/>
      <c r="D3" s="90"/>
      <c r="E3" s="90"/>
      <c r="F3" s="90"/>
      <c r="G3" s="90"/>
      <c r="H3" s="90"/>
      <c r="I3" s="90"/>
      <c r="J3" s="89" t="s">
        <v>3</v>
      </c>
      <c r="K3" s="90"/>
      <c r="L3" s="90"/>
      <c r="M3" s="90"/>
      <c r="N3" s="1"/>
      <c r="O3" s="2"/>
      <c r="P3" s="7" t="s">
        <v>210</v>
      </c>
      <c r="Q3" s="8" t="s">
        <v>75</v>
      </c>
      <c r="R3" s="8" t="s">
        <v>211</v>
      </c>
      <c r="S3"/>
      <c r="T3"/>
      <c r="U3" s="7" t="s">
        <v>212</v>
      </c>
      <c r="V3" s="7" t="s">
        <v>213</v>
      </c>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100" ht="10" customHeight="1" x14ac:dyDescent="0.2">
      <c r="A4" s="1"/>
      <c r="B4" s="1"/>
      <c r="C4" s="1"/>
      <c r="D4" s="1"/>
      <c r="E4" s="1"/>
      <c r="F4" s="1"/>
      <c r="G4" s="1"/>
      <c r="H4" s="1"/>
      <c r="I4" s="1"/>
      <c r="J4" s="1"/>
      <c r="K4" s="1"/>
      <c r="L4" s="1"/>
      <c r="M4" s="1"/>
      <c r="N4" s="1"/>
      <c r="O4" s="2"/>
      <c r="P4" s="9" t="s">
        <v>214</v>
      </c>
      <c r="Q4" s="6">
        <v>0.185</v>
      </c>
      <c r="R4" s="10">
        <v>100</v>
      </c>
      <c r="S4"/>
      <c r="T4"/>
      <c r="U4" s="12" t="s">
        <v>215</v>
      </c>
      <c r="V4" s="12" t="s">
        <v>216</v>
      </c>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row>
    <row r="5" spans="1:100" x14ac:dyDescent="0.2">
      <c r="A5" s="1"/>
      <c r="B5" s="1"/>
      <c r="C5" s="1"/>
      <c r="D5" s="1"/>
      <c r="E5" s="1"/>
      <c r="F5" s="1"/>
      <c r="G5" s="1"/>
      <c r="H5" s="1"/>
      <c r="I5" s="1"/>
      <c r="J5" s="1"/>
      <c r="K5" s="1"/>
      <c r="L5" s="1"/>
      <c r="M5" s="1"/>
      <c r="N5" s="1"/>
      <c r="O5" s="2"/>
      <c r="P5" s="9" t="s">
        <v>217</v>
      </c>
      <c r="Q5" s="6">
        <v>4.4999999999999998E-2</v>
      </c>
      <c r="R5" s="10">
        <v>80</v>
      </c>
      <c r="S5" s="11">
        <v>1880</v>
      </c>
      <c r="T5" s="12" t="s">
        <v>218</v>
      </c>
      <c r="U5" s="12" t="s">
        <v>219</v>
      </c>
      <c r="V5" s="12" t="s">
        <v>220</v>
      </c>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row>
    <row r="6" spans="1:100" ht="22" customHeight="1" x14ac:dyDescent="0.2">
      <c r="A6" s="1"/>
      <c r="B6" s="3" t="s">
        <v>7</v>
      </c>
      <c r="C6" s="13" t="s">
        <v>8</v>
      </c>
      <c r="D6" s="3" t="s">
        <v>9</v>
      </c>
      <c r="E6" s="14" t="s">
        <v>8</v>
      </c>
      <c r="F6" s="3" t="s">
        <v>10</v>
      </c>
      <c r="G6" s="15" t="s">
        <v>8</v>
      </c>
      <c r="H6" s="3" t="s">
        <v>11</v>
      </c>
      <c r="I6" s="16" t="s">
        <v>8</v>
      </c>
      <c r="J6" s="3" t="s">
        <v>12</v>
      </c>
      <c r="K6" s="15" t="s">
        <v>13</v>
      </c>
      <c r="L6" s="3" t="s">
        <v>14</v>
      </c>
      <c r="M6" s="1"/>
      <c r="N6" s="1"/>
      <c r="O6" s="2"/>
      <c r="P6" s="9" t="s">
        <v>206</v>
      </c>
      <c r="Q6" s="6">
        <v>0.105</v>
      </c>
      <c r="R6" s="10">
        <v>700</v>
      </c>
      <c r="S6" s="11">
        <v>1880</v>
      </c>
      <c r="T6" s="12" t="s">
        <v>221</v>
      </c>
      <c r="U6" s="12" t="s">
        <v>222</v>
      </c>
      <c r="V6" s="12" t="s">
        <v>223</v>
      </c>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row>
    <row r="7" spans="1:100" ht="4" customHeight="1" x14ac:dyDescent="0.2">
      <c r="A7" s="1"/>
      <c r="B7" s="1"/>
      <c r="C7" s="1"/>
      <c r="D7" s="1"/>
      <c r="E7" s="1"/>
      <c r="F7" s="1"/>
      <c r="G7" s="1"/>
      <c r="H7" s="1"/>
      <c r="I7" s="1"/>
      <c r="J7" s="1"/>
      <c r="K7" s="1"/>
      <c r="L7" s="1"/>
      <c r="M7" s="1"/>
      <c r="N7" s="1"/>
      <c r="O7" s="2"/>
      <c r="P7" s="2"/>
      <c r="Q7" s="2"/>
      <c r="R7" s="2"/>
      <c r="S7" s="2"/>
      <c r="T7" s="2"/>
      <c r="U7" s="2"/>
      <c r="V7" s="2"/>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row>
    <row r="8" spans="1:100" ht="22" customHeight="1" x14ac:dyDescent="0.2">
      <c r="A8" s="1"/>
      <c r="B8" s="5" t="s">
        <v>224</v>
      </c>
      <c r="C8" s="1"/>
      <c r="D8" s="1"/>
      <c r="E8" s="1"/>
      <c r="F8" s="1"/>
      <c r="G8" s="1"/>
      <c r="H8" s="1"/>
      <c r="I8" s="1"/>
      <c r="J8" s="1"/>
      <c r="K8" s="1"/>
      <c r="L8" s="1"/>
      <c r="M8" s="1"/>
      <c r="N8" s="1"/>
      <c r="O8" s="2"/>
      <c r="P8" s="2"/>
      <c r="Q8" s="2"/>
      <c r="R8" s="2"/>
      <c r="S8" s="2"/>
      <c r="T8" s="2"/>
      <c r="U8" s="2"/>
      <c r="V8" s="2"/>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row>
    <row r="9" spans="1:100" ht="22" customHeight="1" x14ac:dyDescent="0.2">
      <c r="A9" s="1"/>
      <c r="B9" s="118" t="s">
        <v>225</v>
      </c>
      <c r="C9" s="88"/>
      <c r="D9" s="120" t="s">
        <v>308</v>
      </c>
      <c r="E9" s="121"/>
      <c r="F9" s="119" t="s">
        <v>226</v>
      </c>
      <c r="G9" s="88"/>
      <c r="H9" s="88"/>
      <c r="I9" s="88"/>
      <c r="J9" s="88"/>
      <c r="K9" s="88"/>
      <c r="L9" s="88"/>
      <c r="M9" s="88"/>
      <c r="N9" s="1"/>
      <c r="O9" s="2"/>
      <c r="P9"/>
      <c r="Q9"/>
      <c r="R9"/>
      <c r="S9" s="2"/>
      <c r="T9" s="2"/>
      <c r="U9" s="2"/>
      <c r="V9" s="2"/>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row>
    <row r="10" spans="1:100" ht="22" customHeight="1" x14ac:dyDescent="0.2">
      <c r="A10" s="1"/>
      <c r="B10" s="118" t="s">
        <v>227</v>
      </c>
      <c r="C10" s="88"/>
      <c r="D10" s="120" t="s">
        <v>308</v>
      </c>
      <c r="E10" s="121"/>
      <c r="F10" s="119" t="s">
        <v>229</v>
      </c>
      <c r="G10" s="88"/>
      <c r="H10" s="88"/>
      <c r="I10" s="88"/>
      <c r="J10" s="88"/>
      <c r="K10" s="88"/>
      <c r="L10" s="88"/>
      <c r="M10" s="88"/>
      <c r="N10" s="1"/>
      <c r="O10" s="2"/>
      <c r="P10"/>
      <c r="Q10"/>
      <c r="R10"/>
      <c r="S10" s="2"/>
      <c r="T10" s="2"/>
      <c r="U10" s="2"/>
      <c r="V10" s="2"/>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row>
    <row r="11" spans="1:100" ht="22" customHeight="1" x14ac:dyDescent="0.2">
      <c r="A11" s="1"/>
      <c r="B11" s="118" t="s">
        <v>231</v>
      </c>
      <c r="C11" s="88"/>
      <c r="D11" s="120" t="s">
        <v>308</v>
      </c>
      <c r="E11" s="121"/>
      <c r="F11" s="119" t="s">
        <v>232</v>
      </c>
      <c r="G11" s="88"/>
      <c r="H11" s="88"/>
      <c r="I11" s="88"/>
      <c r="J11" s="88"/>
      <c r="K11" s="88"/>
      <c r="L11" s="88"/>
      <c r="M11" s="88"/>
      <c r="N11" s="1"/>
      <c r="O11" s="2"/>
      <c r="P11"/>
      <c r="Q11"/>
      <c r="R11"/>
      <c r="S11" s="2"/>
      <c r="T11" s="2"/>
      <c r="U11" s="2"/>
      <c r="V11" s="2"/>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row>
    <row r="12" spans="1:100" ht="22" customHeight="1" x14ac:dyDescent="0.2">
      <c r="A12" s="1"/>
      <c r="B12" s="118" t="s">
        <v>235</v>
      </c>
      <c r="C12" s="88"/>
      <c r="D12" s="122"/>
      <c r="E12" s="121"/>
      <c r="F12" s="119" t="s">
        <v>236</v>
      </c>
      <c r="G12" s="88"/>
      <c r="H12" s="88"/>
      <c r="I12" s="88"/>
      <c r="J12" s="88"/>
      <c r="K12" s="88"/>
      <c r="L12" s="88"/>
      <c r="M12" s="88"/>
      <c r="N12" s="1"/>
      <c r="O12" s="2"/>
      <c r="P12"/>
      <c r="Q12"/>
      <c r="R12"/>
      <c r="S12" s="2"/>
      <c r="T12" s="2"/>
      <c r="U12" s="2"/>
      <c r="V12" s="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row>
    <row r="13" spans="1:100" ht="22" customHeight="1" x14ac:dyDescent="0.2">
      <c r="A13" s="1"/>
      <c r="B13" s="118" t="s">
        <v>237</v>
      </c>
      <c r="C13" s="88"/>
      <c r="D13" s="125"/>
      <c r="E13" s="121"/>
      <c r="F13" s="119" t="s">
        <v>238</v>
      </c>
      <c r="G13" s="88"/>
      <c r="H13" s="88"/>
      <c r="I13" s="88"/>
      <c r="J13" s="88"/>
      <c r="K13" s="88"/>
      <c r="L13" s="88"/>
      <c r="M13" s="88"/>
      <c r="N13" s="1"/>
      <c r="O13" s="2"/>
      <c r="P13"/>
      <c r="Q13"/>
      <c r="R13"/>
      <c r="S13" s="2"/>
      <c r="T13" s="2"/>
      <c r="U13" s="2"/>
      <c r="V13" s="2"/>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row>
    <row r="14" spans="1:100" ht="22" customHeight="1" x14ac:dyDescent="0.2">
      <c r="A14" s="1"/>
      <c r="B14" s="118" t="s">
        <v>241</v>
      </c>
      <c r="C14" s="88"/>
      <c r="D14" s="124"/>
      <c r="E14" s="121"/>
      <c r="F14" s="119" t="s">
        <v>242</v>
      </c>
      <c r="G14" s="88"/>
      <c r="H14" s="88"/>
      <c r="I14" s="88"/>
      <c r="J14" s="88"/>
      <c r="K14" s="88"/>
      <c r="L14" s="88"/>
      <c r="M14" s="88"/>
      <c r="N14" s="1"/>
      <c r="O14" s="2"/>
      <c r="P14"/>
      <c r="Q14"/>
      <c r="R14"/>
      <c r="S14" s="2"/>
      <c r="T14" s="2"/>
      <c r="U14" s="2"/>
      <c r="V14" s="2"/>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row>
    <row r="15" spans="1:100" ht="6" customHeight="1" x14ac:dyDescent="0.2">
      <c r="A15" s="1"/>
      <c r="B15" s="1"/>
      <c r="C15" s="1"/>
      <c r="D15" s="1"/>
      <c r="E15" s="1"/>
      <c r="F15" s="1"/>
      <c r="G15" s="1"/>
      <c r="H15" s="1"/>
      <c r="I15" s="1"/>
      <c r="J15" s="1"/>
      <c r="K15" s="1"/>
      <c r="L15" s="1"/>
      <c r="M15" s="1"/>
      <c r="N15" s="1"/>
      <c r="O15" s="2"/>
      <c r="P15"/>
      <c r="Q15"/>
      <c r="R15"/>
      <c r="S15" s="2"/>
      <c r="T15" s="2"/>
      <c r="U15" s="2"/>
      <c r="V15" s="2"/>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row>
    <row r="16" spans="1:100" x14ac:dyDescent="0.2">
      <c r="A16" s="1"/>
      <c r="B16" s="1"/>
      <c r="C16" s="1"/>
      <c r="D16" s="1"/>
      <c r="E16" s="1"/>
      <c r="F16" s="1"/>
      <c r="G16" s="1"/>
      <c r="H16" s="1"/>
      <c r="I16" s="1"/>
      <c r="J16" s="1"/>
      <c r="K16" s="1"/>
      <c r="L16" s="1"/>
      <c r="M16" s="1"/>
      <c r="N16" s="1"/>
      <c r="O16" s="2"/>
      <c r="P16"/>
      <c r="Q16"/>
      <c r="R16"/>
      <c r="S16" s="2"/>
      <c r="T16" s="2"/>
      <c r="U16" s="2"/>
      <c r="V16" s="2"/>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row>
    <row r="17" spans="1:100" x14ac:dyDescent="0.2">
      <c r="A17" s="1"/>
      <c r="B17" s="1"/>
      <c r="C17" s="1"/>
      <c r="D17" s="1"/>
      <c r="E17" s="1"/>
      <c r="F17" s="1"/>
      <c r="G17" s="1"/>
      <c r="H17" s="1"/>
      <c r="I17" s="1"/>
      <c r="J17" s="1"/>
      <c r="K17" s="1"/>
      <c r="L17" s="1"/>
      <c r="M17" s="1"/>
      <c r="N17" s="1"/>
      <c r="O17" s="2"/>
      <c r="P17"/>
      <c r="Q17"/>
      <c r="R17"/>
      <c r="S17" s="2"/>
      <c r="T17" s="2"/>
      <c r="U17" s="2"/>
      <c r="V17" s="2"/>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row>
    <row r="18" spans="1:100" ht="22" customHeight="1" x14ac:dyDescent="0.2">
      <c r="A18" s="1"/>
      <c r="B18" s="5" t="b">
        <v>0</v>
      </c>
      <c r="C18" s="1"/>
      <c r="D18" s="1"/>
      <c r="E18" s="1"/>
      <c r="F18" s="1"/>
      <c r="G18" s="1"/>
      <c r="H18" s="1"/>
      <c r="I18" s="1"/>
      <c r="J18" s="1"/>
      <c r="K18" s="1"/>
      <c r="L18" s="89"/>
      <c r="M18" s="88"/>
      <c r="N18" s="1"/>
      <c r="O18" s="2"/>
      <c r="P18"/>
      <c r="Q18"/>
      <c r="R18"/>
      <c r="S18" s="2"/>
      <c r="T18" s="2"/>
      <c r="U18" s="2"/>
      <c r="V18" s="2"/>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row>
    <row r="19" spans="1:100" ht="32" customHeight="1" x14ac:dyDescent="0.2">
      <c r="A19" s="1"/>
      <c r="B19" s="21" t="s">
        <v>248</v>
      </c>
      <c r="C19" s="22" t="s">
        <v>249</v>
      </c>
      <c r="D19" s="22" t="s">
        <v>250</v>
      </c>
      <c r="E19" s="21" t="s">
        <v>251</v>
      </c>
      <c r="F19" s="23" t="s">
        <v>252</v>
      </c>
      <c r="G19" s="23" t="s">
        <v>253</v>
      </c>
      <c r="H19" s="23" t="s">
        <v>254</v>
      </c>
      <c r="I19" s="23" t="s">
        <v>255</v>
      </c>
      <c r="J19" s="23" t="s">
        <v>256</v>
      </c>
      <c r="K19" s="23" t="s">
        <v>257</v>
      </c>
      <c r="L19" s="23" t="s">
        <v>258</v>
      </c>
      <c r="M19" s="23" t="s">
        <v>259</v>
      </c>
      <c r="N19" s="1"/>
      <c r="O19" s="2"/>
      <c r="P19" s="2"/>
      <c r="Q19" s="2"/>
      <c r="R19" s="2"/>
      <c r="S19" s="2"/>
      <c r="T19" s="2"/>
      <c r="U19" s="2"/>
      <c r="V19" s="2"/>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row>
    <row r="20" spans="1:100" ht="22" customHeight="1" x14ac:dyDescent="0.2">
      <c r="A20" s="1"/>
      <c r="B20" s="13"/>
      <c r="C20" s="17"/>
      <c r="D20" s="24"/>
      <c r="E20" s="25"/>
      <c r="F20" s="19"/>
      <c r="G20" s="6"/>
      <c r="H20" s="10"/>
      <c r="I20" s="26"/>
      <c r="J20" s="26"/>
      <c r="K20" s="19"/>
      <c r="L20" s="18"/>
      <c r="M20" s="19"/>
      <c r="N20" s="1"/>
      <c r="O20" s="2"/>
      <c r="P20" s="2"/>
      <c r="Q20" s="2"/>
      <c r="R20" s="2"/>
      <c r="S20" s="2"/>
      <c r="T20" s="2"/>
      <c r="U20" s="2"/>
      <c r="V20" s="2"/>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row>
    <row r="21" spans="1:100" ht="22" customHeight="1" x14ac:dyDescent="0.2">
      <c r="A21" s="1"/>
      <c r="B21" s="13"/>
      <c r="C21" s="17"/>
      <c r="D21" s="24"/>
      <c r="E21" s="25"/>
      <c r="F21" s="19"/>
      <c r="G21" s="6"/>
      <c r="H21" s="10"/>
      <c r="I21" s="26"/>
      <c r="J21" s="26"/>
      <c r="K21" s="19"/>
      <c r="L21" s="18"/>
      <c r="M21" s="19"/>
      <c r="N21" s="1"/>
      <c r="O21" s="2"/>
      <c r="P21" s="2"/>
      <c r="Q21" s="2"/>
      <c r="R21" s="2"/>
      <c r="S21" s="2"/>
      <c r="T21" s="2"/>
      <c r="U21" s="2"/>
      <c r="V21" s="2"/>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row>
    <row r="22" spans="1:100" ht="22" customHeight="1" x14ac:dyDescent="0.2">
      <c r="A22" s="1"/>
      <c r="B22" s="13"/>
      <c r="C22" s="17"/>
      <c r="D22" s="24"/>
      <c r="E22" s="25"/>
      <c r="F22" s="19"/>
      <c r="G22" s="6"/>
      <c r="H22" s="10"/>
      <c r="I22" s="26"/>
      <c r="J22" s="26"/>
      <c r="K22" s="19"/>
      <c r="L22" s="18"/>
      <c r="M22" s="19"/>
      <c r="N22" s="1"/>
      <c r="O22" s="2"/>
      <c r="P22" s="2"/>
      <c r="Q22" s="2"/>
      <c r="R22" s="2"/>
      <c r="S22" s="2"/>
      <c r="T22" s="2"/>
      <c r="U22" s="2"/>
      <c r="V22" s="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row>
    <row r="23" spans="1:100" ht="22" customHeight="1" x14ac:dyDescent="0.2">
      <c r="A23" s="1"/>
      <c r="B23" s="13"/>
      <c r="C23" s="17"/>
      <c r="D23" s="24"/>
      <c r="E23" s="25"/>
      <c r="F23" s="19"/>
      <c r="G23" s="6"/>
      <c r="H23" s="10"/>
      <c r="I23" s="26"/>
      <c r="J23" s="26"/>
      <c r="K23" s="19"/>
      <c r="L23" s="18"/>
      <c r="M23" s="19"/>
      <c r="N23" s="1"/>
      <c r="O23" s="2"/>
      <c r="P23" s="2"/>
      <c r="Q23" s="2"/>
      <c r="R23" s="2"/>
      <c r="S23" s="2"/>
      <c r="T23" s="2"/>
      <c r="U23" s="2"/>
      <c r="V23" s="2"/>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row>
    <row r="24" spans="1:100" ht="22" customHeight="1" x14ac:dyDescent="0.2">
      <c r="A24" s="1"/>
      <c r="B24" s="13"/>
      <c r="C24" s="17"/>
      <c r="D24" s="24"/>
      <c r="E24" s="25"/>
      <c r="F24" s="19"/>
      <c r="G24" s="6"/>
      <c r="H24" s="10"/>
      <c r="I24" s="26"/>
      <c r="J24" s="26"/>
      <c r="K24" s="19"/>
      <c r="L24" s="18"/>
      <c r="M24" s="19"/>
      <c r="N24" s="1"/>
      <c r="O24" s="2"/>
      <c r="P24" s="2"/>
      <c r="Q24" s="2"/>
      <c r="R24" s="2"/>
      <c r="S24" s="2"/>
      <c r="T24" s="2"/>
      <c r="U24" s="2"/>
      <c r="V24" s="2"/>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row>
    <row r="25" spans="1:100" ht="22" customHeight="1" x14ac:dyDescent="0.2">
      <c r="A25" s="1"/>
      <c r="B25" s="13"/>
      <c r="C25" s="17"/>
      <c r="D25" s="24"/>
      <c r="E25" s="25"/>
      <c r="F25" s="19"/>
      <c r="G25" s="6"/>
      <c r="H25" s="10"/>
      <c r="I25" s="26"/>
      <c r="J25" s="26"/>
      <c r="K25" s="19"/>
      <c r="L25" s="18"/>
      <c r="M25" s="19"/>
      <c r="N25" s="1"/>
      <c r="O25" s="2"/>
      <c r="P25" s="2"/>
      <c r="Q25" s="2"/>
      <c r="R25" s="2"/>
      <c r="S25" s="2"/>
      <c r="T25" s="2"/>
      <c r="U25" s="2"/>
      <c r="V25" s="2"/>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row>
    <row r="26" spans="1:100" ht="22" customHeight="1" x14ac:dyDescent="0.2">
      <c r="A26" s="1"/>
      <c r="B26" s="13"/>
      <c r="C26" s="17"/>
      <c r="D26" s="24"/>
      <c r="E26" s="25"/>
      <c r="F26" s="19"/>
      <c r="G26" s="6"/>
      <c r="H26" s="10"/>
      <c r="I26" s="26"/>
      <c r="J26" s="26"/>
      <c r="K26" s="19"/>
      <c r="L26" s="18"/>
      <c r="M26" s="19"/>
      <c r="N26" s="1"/>
      <c r="O26" s="2"/>
      <c r="P26" s="2"/>
      <c r="Q26" s="2"/>
      <c r="R26" s="2"/>
      <c r="S26" s="2"/>
      <c r="T26" s="2"/>
      <c r="U26" s="2"/>
      <c r="V26" s="2"/>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row>
    <row r="27" spans="1:100" ht="22" customHeight="1" x14ac:dyDescent="0.2">
      <c r="A27" s="1"/>
      <c r="B27" s="13"/>
      <c r="C27" s="17"/>
      <c r="D27" s="24"/>
      <c r="E27" s="25"/>
      <c r="F27" s="19"/>
      <c r="G27" s="6"/>
      <c r="H27" s="10"/>
      <c r="I27" s="26"/>
      <c r="J27" s="26"/>
      <c r="K27" s="19"/>
      <c r="L27" s="18"/>
      <c r="M27" s="19"/>
      <c r="N27" s="1"/>
      <c r="O27" s="2"/>
      <c r="P27" s="2"/>
      <c r="Q27" s="2"/>
      <c r="R27" s="2"/>
      <c r="S27" s="2"/>
      <c r="T27" s="2"/>
      <c r="U27" s="2"/>
      <c r="V27" s="2"/>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row>
    <row r="28" spans="1:100" ht="22" customHeight="1" x14ac:dyDescent="0.2">
      <c r="A28" s="1"/>
      <c r="B28" s="13"/>
      <c r="C28" s="17"/>
      <c r="D28" s="24"/>
      <c r="E28" s="25"/>
      <c r="F28" s="19"/>
      <c r="G28" s="6"/>
      <c r="H28" s="10"/>
      <c r="I28" s="26"/>
      <c r="J28" s="26"/>
      <c r="K28" s="19"/>
      <c r="L28" s="18"/>
      <c r="M28" s="19"/>
      <c r="N28" s="1"/>
      <c r="O28" s="2"/>
      <c r="P28" s="2"/>
      <c r="Q28" s="2"/>
      <c r="R28" s="2"/>
      <c r="S28" s="2"/>
      <c r="T28" s="2"/>
      <c r="U28" s="2"/>
      <c r="V28" s="2"/>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row>
    <row r="29" spans="1:100" ht="22" customHeight="1" x14ac:dyDescent="0.2">
      <c r="A29" s="1"/>
      <c r="B29" s="13"/>
      <c r="C29" s="17"/>
      <c r="D29" s="24"/>
      <c r="E29" s="25"/>
      <c r="F29" s="19"/>
      <c r="G29" s="6"/>
      <c r="H29" s="10"/>
      <c r="I29" s="26"/>
      <c r="J29" s="26"/>
      <c r="K29" s="19"/>
      <c r="L29" s="18"/>
      <c r="M29" s="19"/>
      <c r="N29" s="1"/>
      <c r="O29" s="2"/>
      <c r="P29" s="2"/>
      <c r="Q29" s="2"/>
      <c r="R29" s="2"/>
      <c r="S29" s="2"/>
      <c r="T29" s="2"/>
      <c r="U29" s="2"/>
      <c r="V29" s="2"/>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row>
    <row r="30" spans="1:100" ht="22" customHeight="1" x14ac:dyDescent="0.2">
      <c r="A30" s="1"/>
      <c r="B30" s="13"/>
      <c r="C30" s="17"/>
      <c r="D30" s="24"/>
      <c r="E30" s="25"/>
      <c r="F30" s="19"/>
      <c r="G30" s="6"/>
      <c r="H30" s="10"/>
      <c r="I30" s="26"/>
      <c r="J30" s="26"/>
      <c r="K30" s="19"/>
      <c r="L30" s="18"/>
      <c r="M30" s="19"/>
      <c r="N30" s="1"/>
      <c r="O30" s="2"/>
      <c r="P30" s="2"/>
      <c r="Q30" s="2"/>
      <c r="R30" s="2"/>
      <c r="S30" s="2"/>
      <c r="T30" s="2"/>
      <c r="U30" s="2"/>
      <c r="V30" s="2"/>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row>
    <row r="31" spans="1:100" ht="22" customHeight="1" x14ac:dyDescent="0.2">
      <c r="A31" s="1"/>
      <c r="B31" s="13"/>
      <c r="C31" s="17"/>
      <c r="D31" s="24"/>
      <c r="E31" s="25"/>
      <c r="F31" s="19"/>
      <c r="G31" s="6"/>
      <c r="H31" s="10"/>
      <c r="I31" s="26"/>
      <c r="J31" s="26"/>
      <c r="K31" s="19"/>
      <c r="L31" s="18"/>
      <c r="M31" s="19"/>
      <c r="N31" s="1"/>
      <c r="O31" s="2"/>
      <c r="P31" s="2"/>
      <c r="Q31" s="2"/>
      <c r="R31" s="2"/>
      <c r="S31" s="2"/>
      <c r="T31" s="2"/>
      <c r="U31" s="2"/>
      <c r="V31" s="2"/>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row>
    <row r="32" spans="1:100" ht="22" customHeight="1" x14ac:dyDescent="0.2">
      <c r="A32" s="1"/>
      <c r="B32" s="13"/>
      <c r="C32" s="17"/>
      <c r="D32" s="24"/>
      <c r="E32" s="25"/>
      <c r="F32" s="19"/>
      <c r="G32" s="6"/>
      <c r="H32" s="10"/>
      <c r="I32" s="26"/>
      <c r="J32" s="26"/>
      <c r="K32" s="19"/>
      <c r="L32" s="18"/>
      <c r="M32" s="19"/>
      <c r="N32" s="1"/>
      <c r="O32" s="2"/>
      <c r="P32" s="2"/>
      <c r="Q32" s="2"/>
      <c r="R32" s="2"/>
      <c r="S32" s="2"/>
      <c r="T32" s="2"/>
      <c r="U32" s="2"/>
      <c r="V32" s="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row>
    <row r="33" spans="1:100" ht="22" customHeight="1" x14ac:dyDescent="0.2">
      <c r="A33" s="1"/>
      <c r="B33" s="13"/>
      <c r="C33" s="17"/>
      <c r="D33" s="24"/>
      <c r="E33" s="25"/>
      <c r="F33" s="19"/>
      <c r="G33" s="6"/>
      <c r="H33" s="10"/>
      <c r="I33" s="26"/>
      <c r="J33" s="26"/>
      <c r="K33" s="19"/>
      <c r="L33" s="18"/>
      <c r="M33" s="19"/>
      <c r="N33" s="1"/>
      <c r="O33" s="2"/>
      <c r="P33" s="2"/>
      <c r="Q33" s="2"/>
      <c r="R33" s="2"/>
      <c r="S33" s="2"/>
      <c r="T33" s="2"/>
      <c r="U33" s="2"/>
      <c r="V33" s="2"/>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row>
    <row r="34" spans="1:100" ht="6" customHeight="1" x14ac:dyDescent="0.2">
      <c r="A34" s="1"/>
      <c r="B34" s="1"/>
      <c r="C34" s="1"/>
      <c r="D34" s="1"/>
      <c r="E34" s="1"/>
      <c r="F34" s="1"/>
      <c r="G34" s="1"/>
      <c r="H34" s="1"/>
      <c r="I34" s="1"/>
      <c r="J34" s="1"/>
      <c r="K34" s="1"/>
      <c r="L34" s="1"/>
      <c r="M34" s="1"/>
      <c r="N34" s="1"/>
      <c r="O34" s="2"/>
      <c r="P34" s="2"/>
      <c r="Q34" s="2"/>
      <c r="R34" s="2"/>
      <c r="S34" s="2"/>
      <c r="T34" s="2"/>
      <c r="U34" s="2"/>
      <c r="V34" s="2"/>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row>
    <row r="35" spans="1:100" ht="22" customHeight="1" x14ac:dyDescent="0.2">
      <c r="A35" s="1"/>
      <c r="B35" s="5" t="s">
        <v>265</v>
      </c>
      <c r="C35" s="1"/>
      <c r="D35" s="1"/>
      <c r="E35" s="1"/>
      <c r="F35" s="1"/>
      <c r="G35" s="1"/>
      <c r="H35" s="1"/>
      <c r="I35" s="1"/>
      <c r="J35" s="1"/>
      <c r="K35" s="1"/>
      <c r="L35" s="1"/>
      <c r="M35" s="1"/>
      <c r="N35" s="1"/>
      <c r="O35" s="2"/>
      <c r="P35" s="2"/>
      <c r="Q35" s="2"/>
      <c r="R35" s="2"/>
      <c r="S35" s="2"/>
      <c r="T35" s="2"/>
      <c r="U35" s="2"/>
      <c r="V35" s="2"/>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row>
    <row r="36" spans="1:100" ht="22" customHeight="1" x14ac:dyDescent="0.2">
      <c r="A36" s="1"/>
      <c r="B36" s="27" t="s">
        <v>62</v>
      </c>
      <c r="C36" s="103" t="s">
        <v>266</v>
      </c>
      <c r="D36" s="100"/>
      <c r="E36" s="100"/>
      <c r="F36" s="8" t="s">
        <v>267</v>
      </c>
      <c r="G36" s="8" t="s">
        <v>268</v>
      </c>
      <c r="H36" s="8" t="s">
        <v>269</v>
      </c>
      <c r="I36" s="123" t="s">
        <v>270</v>
      </c>
      <c r="J36" s="100"/>
      <c r="K36" s="100"/>
      <c r="L36" s="103" t="s">
        <v>271</v>
      </c>
      <c r="M36" s="100"/>
      <c r="N36" s="1"/>
      <c r="O36" s="2"/>
      <c r="P36" s="2"/>
      <c r="Q36" s="2"/>
      <c r="R36" s="2"/>
      <c r="S36" s="2"/>
      <c r="T36" s="2"/>
      <c r="U36" s="2"/>
      <c r="V36" s="2"/>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row>
    <row r="37" spans="1:100" ht="22" customHeight="1" x14ac:dyDescent="0.2">
      <c r="A37" s="1"/>
      <c r="B37" s="12">
        <v>1</v>
      </c>
      <c r="C37" s="120"/>
      <c r="D37" s="126"/>
      <c r="E37" s="121"/>
      <c r="F37" s="19"/>
      <c r="G37" s="6">
        <f>IFERROR(F37/inp_biz_revenue,0)</f>
        <v>0</v>
      </c>
      <c r="H37" s="20"/>
      <c r="I37" s="127" t="str">
        <f>IF(OR(F37=0,H37=0),"-",IF(H37&gt;G37*1.3,"UNDERWATER",IF(H37&gt;G37*1.1,"LEAN",IF(H37&lt;G37*0.85,"PREMIUM","BALANCED"))))</f>
        <v>-</v>
      </c>
      <c r="J37" s="88"/>
      <c r="K37" s="88"/>
      <c r="L37" s="119" t="s">
        <v>272</v>
      </c>
      <c r="M37" s="88"/>
      <c r="N37" s="1"/>
      <c r="O37" s="2"/>
      <c r="P37" s="2"/>
      <c r="Q37" s="2"/>
      <c r="R37" s="2"/>
      <c r="S37" s="2"/>
      <c r="T37" s="2"/>
      <c r="U37" s="2"/>
      <c r="V37" s="2"/>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row>
    <row r="38" spans="1:100" ht="22" customHeight="1" x14ac:dyDescent="0.2">
      <c r="A38" s="1"/>
      <c r="B38" s="12">
        <v>2</v>
      </c>
      <c r="C38" s="120"/>
      <c r="D38" s="126"/>
      <c r="E38" s="121"/>
      <c r="F38" s="19"/>
      <c r="G38" s="6">
        <f>IFERROR(F38/inp_biz_revenue,0)</f>
        <v>0</v>
      </c>
      <c r="H38" s="20"/>
      <c r="I38" s="127" t="str">
        <f>IF(OR(F38=0,H38=0),"-",IF(H38&gt;G38*1.3,"UNDERWATER",IF(H38&gt;G38*1.1,"LEAN",IF(H38&lt;G38*0.85,"PREMIUM","BALANCED"))))</f>
        <v>-</v>
      </c>
      <c r="J38" s="88"/>
      <c r="K38" s="88"/>
      <c r="L38" s="119" t="s">
        <v>272</v>
      </c>
      <c r="M38" s="88"/>
      <c r="N38" s="1"/>
      <c r="O38" s="2"/>
      <c r="P38" s="2"/>
      <c r="Q38" s="2"/>
      <c r="R38" s="2"/>
      <c r="S38" s="2"/>
      <c r="T38" s="2"/>
      <c r="U38" s="2"/>
      <c r="V38" s="2"/>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row>
    <row r="39" spans="1:100" ht="22" customHeight="1" x14ac:dyDescent="0.2">
      <c r="A39" s="1"/>
      <c r="B39" s="12">
        <v>3</v>
      </c>
      <c r="C39" s="120"/>
      <c r="D39" s="126"/>
      <c r="E39" s="121"/>
      <c r="F39" s="19"/>
      <c r="G39" s="6">
        <f>IFERROR(F39/inp_biz_revenue,0)</f>
        <v>0</v>
      </c>
      <c r="H39" s="20"/>
      <c r="I39" s="127" t="str">
        <f>IF(OR(F39=0,H39=0),"-",IF(H39&gt;G39*1.3,"UNDERWATER",IF(H39&gt;G39*1.1,"LEAN",IF(H39&lt;G39*0.85,"PREMIUM","BALANCED"))))</f>
        <v>-</v>
      </c>
      <c r="J39" s="88"/>
      <c r="K39" s="88"/>
      <c r="L39" s="119" t="s">
        <v>272</v>
      </c>
      <c r="M39" s="88"/>
      <c r="N39" s="1"/>
      <c r="O39" s="2"/>
      <c r="P39" s="2"/>
      <c r="Q39" s="2"/>
      <c r="R39" s="2"/>
      <c r="S39" s="2"/>
      <c r="T39" s="2"/>
      <c r="U39" s="2"/>
      <c r="V39" s="2"/>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row>
    <row r="40" spans="1:100" ht="6" customHeight="1" x14ac:dyDescent="0.2">
      <c r="A40" s="1"/>
      <c r="B40" s="1"/>
      <c r="C40" s="1"/>
      <c r="D40" s="1"/>
      <c r="E40" s="1"/>
      <c r="F40" s="1"/>
      <c r="G40" s="1"/>
      <c r="H40" s="1"/>
      <c r="I40" s="1"/>
      <c r="J40" s="1"/>
      <c r="K40" s="1"/>
      <c r="L40" s="1"/>
      <c r="M40" s="1"/>
      <c r="N40" s="1"/>
      <c r="O40" s="2"/>
      <c r="P40" s="2"/>
      <c r="Q40" s="2"/>
      <c r="R40" s="2"/>
      <c r="S40" s="2"/>
      <c r="T40" s="2"/>
      <c r="U40" s="2"/>
      <c r="V40" s="2"/>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row>
    <row r="41" spans="1:100" x14ac:dyDescent="0.2">
      <c r="A41" s="1"/>
      <c r="B41" s="1"/>
      <c r="C41" s="1"/>
      <c r="D41" s="1"/>
      <c r="E41" s="1"/>
      <c r="F41" s="1"/>
      <c r="G41" s="1"/>
      <c r="H41" s="1"/>
      <c r="I41" s="1"/>
      <c r="J41" s="1"/>
      <c r="K41" s="1"/>
      <c r="L41" s="1"/>
      <c r="M41" s="1"/>
      <c r="N41" s="1"/>
      <c r="O41" s="2"/>
      <c r="P41" s="2"/>
      <c r="Q41" s="2"/>
      <c r="R41" s="2"/>
      <c r="S41" s="2"/>
      <c r="T41" s="2"/>
      <c r="U41" s="2"/>
      <c r="V41" s="2"/>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row>
    <row r="42" spans="1:100" x14ac:dyDescent="0.2">
      <c r="A42" s="1"/>
      <c r="B42" s="1"/>
      <c r="C42" s="1"/>
      <c r="D42" s="1"/>
      <c r="E42" s="1"/>
      <c r="F42" s="1"/>
      <c r="G42" s="1"/>
      <c r="H42" s="1"/>
      <c r="I42" s="1"/>
      <c r="J42" s="1"/>
      <c r="K42" s="1"/>
      <c r="L42" s="1"/>
      <c r="M42" s="1"/>
      <c r="N42" s="1"/>
      <c r="O42" s="2"/>
      <c r="P42" s="2"/>
      <c r="Q42" s="2"/>
      <c r="R42" s="2"/>
      <c r="S42" s="2"/>
      <c r="T42" s="2"/>
      <c r="U42" s="2"/>
      <c r="V42" s="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row>
    <row r="43" spans="1:100" x14ac:dyDescent="0.2">
      <c r="A43" s="1"/>
      <c r="B43" s="1"/>
      <c r="C43" s="1"/>
      <c r="D43" s="1"/>
      <c r="E43" s="1"/>
      <c r="F43" s="1"/>
      <c r="G43" s="1"/>
      <c r="H43" s="1"/>
      <c r="I43" s="1"/>
      <c r="J43" s="1"/>
      <c r="K43" s="1"/>
      <c r="L43" s="1"/>
      <c r="M43" s="1"/>
      <c r="N43" s="1"/>
      <c r="O43" s="2"/>
      <c r="P43" s="2"/>
      <c r="Q43" s="2"/>
      <c r="R43" s="2"/>
      <c r="S43" s="2"/>
      <c r="T43" s="2"/>
      <c r="U43" s="2"/>
      <c r="V43" s="2"/>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row>
    <row r="44" spans="1:100" ht="22" customHeight="1" x14ac:dyDescent="0.2">
      <c r="A44" s="1"/>
      <c r="B44" s="5" t="s">
        <v>273</v>
      </c>
      <c r="C44" s="1"/>
      <c r="D44" s="1"/>
      <c r="E44" s="1"/>
      <c r="F44" s="1"/>
      <c r="G44" s="1"/>
      <c r="H44" s="1"/>
      <c r="I44" s="1"/>
      <c r="J44" s="1"/>
      <c r="K44" s="1"/>
      <c r="L44" s="1"/>
      <c r="M44" s="1"/>
      <c r="N44" s="1"/>
      <c r="O44" s="2"/>
      <c r="P44" s="2"/>
      <c r="Q44" s="2"/>
      <c r="R44" s="2"/>
      <c r="S44" s="2"/>
      <c r="T44" s="2"/>
      <c r="U44" s="2"/>
      <c r="V44" s="2"/>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row>
    <row r="45" spans="1:100" ht="22" customHeight="1" x14ac:dyDescent="0.2">
      <c r="A45" s="1"/>
      <c r="B45" s="7" t="s">
        <v>210</v>
      </c>
      <c r="C45" s="7" t="s">
        <v>274</v>
      </c>
      <c r="D45" s="8" t="s">
        <v>253</v>
      </c>
      <c r="E45" s="8" t="s">
        <v>275</v>
      </c>
      <c r="F45" s="8" t="s">
        <v>276</v>
      </c>
      <c r="G45" s="7" t="s">
        <v>277</v>
      </c>
      <c r="H45" s="103" t="s">
        <v>271</v>
      </c>
      <c r="I45" s="100"/>
      <c r="J45" s="100"/>
      <c r="K45" s="100"/>
      <c r="L45" s="100"/>
      <c r="M45" s="100"/>
      <c r="N45" s="1"/>
      <c r="O45" s="2"/>
      <c r="P45" s="2"/>
      <c r="Q45" s="2"/>
      <c r="R45" s="2"/>
      <c r="S45" s="2"/>
      <c r="T45" s="2"/>
      <c r="U45" s="2"/>
      <c r="V45" s="2"/>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row>
    <row r="46" spans="1:100" ht="26" customHeight="1" x14ac:dyDescent="0.2">
      <c r="A46" s="1"/>
      <c r="B46" s="9" t="s">
        <v>214</v>
      </c>
      <c r="C46" s="12" t="s">
        <v>278</v>
      </c>
      <c r="D46" s="6">
        <v>0.185</v>
      </c>
      <c r="E46" s="10">
        <v>100</v>
      </c>
      <c r="F46" s="11">
        <v>1880</v>
      </c>
      <c r="G46" s="12" t="s">
        <v>215</v>
      </c>
      <c r="H46" s="119" t="s">
        <v>216</v>
      </c>
      <c r="I46" s="88"/>
      <c r="J46" s="88"/>
      <c r="K46" s="88"/>
      <c r="L46" s="88"/>
      <c r="M46" s="88"/>
      <c r="N46" s="1"/>
      <c r="O46" s="2"/>
      <c r="P46" s="2"/>
      <c r="Q46" s="2"/>
      <c r="R46" s="2"/>
      <c r="S46" s="2"/>
      <c r="T46" s="2"/>
      <c r="U46" s="2"/>
      <c r="V46" s="2"/>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row>
    <row r="47" spans="1:100" ht="26" customHeight="1" x14ac:dyDescent="0.2">
      <c r="A47" s="1"/>
      <c r="B47" s="9" t="s">
        <v>217</v>
      </c>
      <c r="C47" s="12" t="s">
        <v>218</v>
      </c>
      <c r="D47" s="6">
        <v>4.4999999999999998E-2</v>
      </c>
      <c r="E47" s="10">
        <v>80</v>
      </c>
      <c r="F47" s="11">
        <v>1880</v>
      </c>
      <c r="G47" s="12" t="s">
        <v>219</v>
      </c>
      <c r="H47" s="119" t="s">
        <v>220</v>
      </c>
      <c r="I47" s="88"/>
      <c r="J47" s="88"/>
      <c r="K47" s="88"/>
      <c r="L47" s="88"/>
      <c r="M47" s="88"/>
      <c r="N47" s="1"/>
      <c r="O47" s="2"/>
      <c r="P47" s="2"/>
      <c r="Q47" s="2"/>
      <c r="R47" s="2"/>
      <c r="S47" s="2"/>
      <c r="T47" s="2"/>
      <c r="U47" s="2"/>
      <c r="V47" s="2"/>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row>
    <row r="48" spans="1:100" ht="26" customHeight="1" x14ac:dyDescent="0.2">
      <c r="A48" s="1"/>
      <c r="B48" s="9" t="s">
        <v>206</v>
      </c>
      <c r="C48" s="12" t="s">
        <v>221</v>
      </c>
      <c r="D48" s="6">
        <v>0.105</v>
      </c>
      <c r="E48" s="10">
        <v>700</v>
      </c>
      <c r="F48" s="11">
        <v>1880</v>
      </c>
      <c r="G48" s="12" t="s">
        <v>222</v>
      </c>
      <c r="H48" s="119" t="s">
        <v>223</v>
      </c>
      <c r="I48" s="88"/>
      <c r="J48" s="88"/>
      <c r="K48" s="88"/>
      <c r="L48" s="88"/>
      <c r="M48" s="88"/>
      <c r="N48" s="1"/>
      <c r="O48" s="2"/>
      <c r="P48" s="2"/>
      <c r="Q48" s="2"/>
      <c r="R48" s="2"/>
      <c r="S48" s="2"/>
      <c r="T48" s="2"/>
      <c r="U48" s="2"/>
      <c r="V48" s="2"/>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row>
    <row r="49" spans="1:100" x14ac:dyDescent="0.2">
      <c r="A49" s="1"/>
      <c r="B49" s="1"/>
      <c r="C49" s="1"/>
      <c r="D49" s="1"/>
      <c r="E49" s="1"/>
      <c r="F49" s="1"/>
      <c r="G49" s="1"/>
      <c r="H49" s="1"/>
      <c r="I49" s="1"/>
      <c r="J49" s="1"/>
      <c r="K49" s="1"/>
      <c r="L49" s="1"/>
      <c r="M49" s="1"/>
      <c r="N49" s="1"/>
      <c r="O49" s="2"/>
      <c r="P49" s="2"/>
      <c r="Q49" s="2"/>
      <c r="R49" s="2"/>
      <c r="S49" s="2"/>
      <c r="T49" s="2"/>
      <c r="U49" s="2"/>
      <c r="V49" s="2"/>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row>
    <row r="50" spans="1:100" ht="22" customHeight="1" x14ac:dyDescent="0.2">
      <c r="A50" s="1"/>
      <c r="B50" s="5" t="s">
        <v>279</v>
      </c>
      <c r="C50" s="1"/>
      <c r="D50" s="1"/>
      <c r="E50" s="1"/>
      <c r="F50" s="1"/>
      <c r="G50" s="1"/>
      <c r="H50" s="1"/>
      <c r="I50" s="1"/>
      <c r="J50" s="1"/>
      <c r="K50" s="1"/>
      <c r="L50" s="1"/>
      <c r="M50" s="1"/>
      <c r="N50" s="1"/>
      <c r="O50" s="2"/>
      <c r="P50" s="2"/>
      <c r="Q50" s="2"/>
      <c r="R50" s="2"/>
      <c r="S50" s="2"/>
      <c r="T50" s="2"/>
      <c r="U50" s="2"/>
      <c r="V50" s="2"/>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row>
    <row r="51" spans="1:100" ht="22" customHeight="1" x14ac:dyDescent="0.2">
      <c r="A51" s="1"/>
      <c r="B51" s="103" t="s">
        <v>280</v>
      </c>
      <c r="C51" s="100"/>
      <c r="D51" s="100"/>
      <c r="E51" s="8" t="s">
        <v>276</v>
      </c>
      <c r="F51" s="7" t="s">
        <v>230</v>
      </c>
      <c r="G51" s="103" t="s">
        <v>281</v>
      </c>
      <c r="H51" s="100"/>
      <c r="I51" s="100"/>
      <c r="J51" s="100"/>
      <c r="K51" s="100"/>
      <c r="L51" s="100"/>
      <c r="M51" s="100"/>
      <c r="N51" s="1"/>
      <c r="O51" s="2"/>
      <c r="P51" s="2"/>
      <c r="Q51" s="2"/>
      <c r="R51" s="2"/>
      <c r="S51" s="2"/>
      <c r="T51" s="2"/>
      <c r="U51" s="2"/>
      <c r="V51" s="2"/>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row>
    <row r="52" spans="1:100" ht="22" customHeight="1" x14ac:dyDescent="0.2">
      <c r="A52" s="1"/>
      <c r="B52" s="118" t="s">
        <v>233</v>
      </c>
      <c r="C52" s="88"/>
      <c r="D52" s="88"/>
      <c r="E52" s="11">
        <v>1880</v>
      </c>
      <c r="F52" s="12" t="s">
        <v>234</v>
      </c>
      <c r="G52" s="119" t="s">
        <v>282</v>
      </c>
      <c r="H52" s="88"/>
      <c r="I52" s="88"/>
      <c r="J52" s="88"/>
      <c r="K52" s="88"/>
      <c r="L52" s="88"/>
      <c r="M52" s="88"/>
      <c r="N52" s="1"/>
      <c r="O52" s="2"/>
      <c r="P52" s="2"/>
      <c r="Q52" s="2"/>
      <c r="R52" s="2"/>
      <c r="S52" s="2"/>
      <c r="T52" s="2"/>
      <c r="U52" s="2"/>
      <c r="V52" s="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row>
    <row r="53" spans="1:100" ht="22" customHeight="1" x14ac:dyDescent="0.2">
      <c r="A53" s="1"/>
      <c r="B53" s="118" t="s">
        <v>207</v>
      </c>
      <c r="C53" s="88"/>
      <c r="D53" s="88"/>
      <c r="E53" s="11">
        <v>1900</v>
      </c>
      <c r="F53" s="12" t="s">
        <v>234</v>
      </c>
      <c r="G53" s="119" t="s">
        <v>283</v>
      </c>
      <c r="H53" s="88"/>
      <c r="I53" s="88"/>
      <c r="J53" s="88"/>
      <c r="K53" s="88"/>
      <c r="L53" s="88"/>
      <c r="M53" s="88"/>
      <c r="N53" s="1"/>
      <c r="O53" s="2"/>
      <c r="P53" s="2"/>
      <c r="Q53" s="2"/>
      <c r="R53" s="2"/>
      <c r="S53" s="2"/>
      <c r="T53" s="2"/>
      <c r="U53" s="2"/>
      <c r="V53" s="2"/>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row>
    <row r="54" spans="1:100" ht="22" customHeight="1" x14ac:dyDescent="0.2">
      <c r="A54" s="1"/>
      <c r="B54" s="118" t="s">
        <v>239</v>
      </c>
      <c r="C54" s="88"/>
      <c r="D54" s="88"/>
      <c r="E54" s="11">
        <v>1880</v>
      </c>
      <c r="F54" s="12" t="s">
        <v>240</v>
      </c>
      <c r="G54" s="119" t="s">
        <v>284</v>
      </c>
      <c r="H54" s="88"/>
      <c r="I54" s="88"/>
      <c r="J54" s="88"/>
      <c r="K54" s="88"/>
      <c r="L54" s="88"/>
      <c r="M54" s="88"/>
      <c r="N54" s="1"/>
      <c r="O54" s="2"/>
      <c r="P54" s="2"/>
      <c r="Q54" s="2"/>
      <c r="R54" s="2"/>
      <c r="S54" s="2"/>
      <c r="T54" s="2"/>
      <c r="U54" s="2"/>
      <c r="V54" s="2"/>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row>
    <row r="55" spans="1:100" ht="22" customHeight="1" x14ac:dyDescent="0.2">
      <c r="A55" s="1"/>
      <c r="B55" s="118" t="s">
        <v>243</v>
      </c>
      <c r="C55" s="88"/>
      <c r="D55" s="88"/>
      <c r="E55" s="11">
        <v>1880</v>
      </c>
      <c r="F55" s="12" t="s">
        <v>234</v>
      </c>
      <c r="G55" s="119" t="s">
        <v>285</v>
      </c>
      <c r="H55" s="88"/>
      <c r="I55" s="88"/>
      <c r="J55" s="88"/>
      <c r="K55" s="88"/>
      <c r="L55" s="88"/>
      <c r="M55" s="88"/>
      <c r="N55" s="1"/>
      <c r="O55" s="2"/>
      <c r="P55" s="2"/>
      <c r="Q55" s="2"/>
      <c r="R55" s="2"/>
      <c r="S55" s="2"/>
      <c r="T55" s="2"/>
      <c r="U55" s="2"/>
      <c r="V55" s="2"/>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row>
    <row r="56" spans="1:100" ht="22" customHeight="1" x14ac:dyDescent="0.2">
      <c r="A56" s="1"/>
      <c r="B56" s="118" t="s">
        <v>244</v>
      </c>
      <c r="C56" s="88"/>
      <c r="D56" s="88"/>
      <c r="E56" s="11">
        <v>1750</v>
      </c>
      <c r="F56" s="12" t="s">
        <v>240</v>
      </c>
      <c r="G56" s="119" t="s">
        <v>286</v>
      </c>
      <c r="H56" s="88"/>
      <c r="I56" s="88"/>
      <c r="J56" s="88"/>
      <c r="K56" s="88"/>
      <c r="L56" s="88"/>
      <c r="M56" s="88"/>
      <c r="N56" s="1"/>
      <c r="O56" s="2"/>
      <c r="P56" s="2"/>
      <c r="Q56" s="2"/>
      <c r="R56" s="2"/>
      <c r="S56" s="2"/>
      <c r="T56" s="2"/>
      <c r="U56" s="2"/>
      <c r="V56" s="2"/>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row>
    <row r="57" spans="1:100" ht="22" customHeight="1" x14ac:dyDescent="0.2">
      <c r="A57" s="1"/>
      <c r="B57" s="118" t="s">
        <v>245</v>
      </c>
      <c r="C57" s="88"/>
      <c r="D57" s="88"/>
      <c r="E57" s="11">
        <v>1880</v>
      </c>
      <c r="F57" s="12" t="s">
        <v>234</v>
      </c>
      <c r="G57" s="119" t="s">
        <v>287</v>
      </c>
      <c r="H57" s="88"/>
      <c r="I57" s="88"/>
      <c r="J57" s="88"/>
      <c r="K57" s="88"/>
      <c r="L57" s="88"/>
      <c r="M57" s="88"/>
      <c r="N57" s="1"/>
      <c r="O57" s="2"/>
      <c r="P57" s="2"/>
      <c r="Q57" s="2"/>
      <c r="R57" s="2"/>
      <c r="S57" s="2"/>
      <c r="T57" s="2"/>
      <c r="U57" s="2"/>
      <c r="V57" s="2"/>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row>
    <row r="58" spans="1:100" ht="22" customHeight="1" x14ac:dyDescent="0.2">
      <c r="A58" s="1"/>
      <c r="B58" s="118" t="s">
        <v>246</v>
      </c>
      <c r="C58" s="88"/>
      <c r="D58" s="88"/>
      <c r="E58" s="11">
        <v>1820</v>
      </c>
      <c r="F58" s="12" t="s">
        <v>240</v>
      </c>
      <c r="G58" s="119" t="s">
        <v>288</v>
      </c>
      <c r="H58" s="88"/>
      <c r="I58" s="88"/>
      <c r="J58" s="88"/>
      <c r="K58" s="88"/>
      <c r="L58" s="88"/>
      <c r="M58" s="88"/>
      <c r="N58" s="1"/>
      <c r="O58" s="2"/>
      <c r="P58" s="2"/>
      <c r="Q58" s="2"/>
      <c r="R58" s="2"/>
      <c r="S58" s="2"/>
      <c r="T58" s="2"/>
      <c r="U58" s="2"/>
      <c r="V58" s="2"/>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row>
    <row r="59" spans="1:100" ht="22" customHeight="1" x14ac:dyDescent="0.2">
      <c r="A59" s="1"/>
      <c r="B59" s="118" t="s">
        <v>247</v>
      </c>
      <c r="C59" s="88"/>
      <c r="D59" s="88"/>
      <c r="E59" s="11">
        <v>1880</v>
      </c>
      <c r="F59" s="12" t="s">
        <v>234</v>
      </c>
      <c r="G59" s="119" t="s">
        <v>289</v>
      </c>
      <c r="H59" s="88"/>
      <c r="I59" s="88"/>
      <c r="J59" s="88"/>
      <c r="K59" s="88"/>
      <c r="L59" s="88"/>
      <c r="M59" s="88"/>
      <c r="N59" s="1"/>
      <c r="O59" s="2"/>
      <c r="P59" s="2"/>
      <c r="Q59" s="2"/>
      <c r="R59" s="2"/>
      <c r="S59" s="2"/>
      <c r="T59" s="2"/>
      <c r="U59" s="2"/>
      <c r="V59" s="2"/>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row>
    <row r="60" spans="1:100" x14ac:dyDescent="0.2">
      <c r="A60" s="1"/>
      <c r="B60" s="1"/>
      <c r="C60" s="1"/>
      <c r="D60" s="1"/>
      <c r="E60" s="1"/>
      <c r="F60" s="1"/>
      <c r="G60" s="1"/>
      <c r="H60" s="1"/>
      <c r="I60" s="1"/>
      <c r="J60" s="1"/>
      <c r="K60" s="1"/>
      <c r="L60" s="1"/>
      <c r="M60" s="1"/>
      <c r="N60" s="1"/>
      <c r="O60" s="2"/>
      <c r="P60" s="2"/>
      <c r="Q60" s="2"/>
      <c r="R60" s="2"/>
      <c r="S60" s="2"/>
      <c r="T60" s="2"/>
      <c r="U60" s="2"/>
      <c r="V60" s="2"/>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row>
    <row r="61" spans="1:100" ht="22" customHeight="1" x14ac:dyDescent="0.2">
      <c r="A61" s="1"/>
      <c r="B61" s="5" t="s">
        <v>290</v>
      </c>
      <c r="C61" s="1"/>
      <c r="D61" s="1"/>
      <c r="E61" s="1"/>
      <c r="F61" s="1"/>
      <c r="G61" s="1"/>
      <c r="H61" s="1"/>
      <c r="I61" s="1"/>
      <c r="J61" s="1"/>
      <c r="K61" s="1"/>
      <c r="L61" s="1"/>
      <c r="M61" s="1"/>
      <c r="N61" s="1"/>
      <c r="O61" s="2"/>
      <c r="P61" s="2"/>
      <c r="Q61" s="2"/>
      <c r="R61" s="2"/>
      <c r="S61" s="2"/>
      <c r="T61" s="2"/>
      <c r="U61" s="2"/>
      <c r="V61" s="2"/>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row>
    <row r="62" spans="1:100" ht="22" customHeight="1" x14ac:dyDescent="0.2">
      <c r="A62" s="1"/>
      <c r="B62" s="118" t="s">
        <v>291</v>
      </c>
      <c r="C62" s="88"/>
      <c r="D62" s="88"/>
      <c r="E62" s="6">
        <v>0.5</v>
      </c>
      <c r="F62" s="119" t="s">
        <v>292</v>
      </c>
      <c r="G62" s="88"/>
      <c r="H62" s="88"/>
      <c r="I62" s="88"/>
      <c r="J62" s="88"/>
      <c r="K62" s="88"/>
      <c r="L62" s="88"/>
      <c r="M62" s="88"/>
      <c r="N62" s="1"/>
      <c r="O62" s="2"/>
      <c r="P62" s="2"/>
      <c r="Q62" s="2"/>
      <c r="R62" s="2"/>
      <c r="S62" s="2"/>
      <c r="T62" s="2"/>
      <c r="U62" s="2"/>
      <c r="V62" s="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row>
    <row r="63" spans="1:100" ht="22" customHeight="1" x14ac:dyDescent="0.2">
      <c r="A63" s="1"/>
      <c r="B63" s="118" t="s">
        <v>293</v>
      </c>
      <c r="C63" s="88"/>
      <c r="D63" s="88"/>
      <c r="E63" s="6">
        <v>0.3</v>
      </c>
      <c r="F63" s="119" t="s">
        <v>294</v>
      </c>
      <c r="G63" s="88"/>
      <c r="H63" s="88"/>
      <c r="I63" s="88"/>
      <c r="J63" s="88"/>
      <c r="K63" s="88"/>
      <c r="L63" s="88"/>
      <c r="M63" s="88"/>
      <c r="N63" s="1"/>
      <c r="O63" s="2"/>
      <c r="P63" s="2"/>
      <c r="Q63" s="2"/>
      <c r="R63" s="2"/>
      <c r="S63" s="2"/>
      <c r="T63" s="2"/>
      <c r="U63" s="2"/>
      <c r="V63" s="2"/>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row>
    <row r="64" spans="1:100" ht="22" customHeight="1" x14ac:dyDescent="0.2">
      <c r="A64" s="1"/>
      <c r="B64" s="118" t="s">
        <v>295</v>
      </c>
      <c r="C64" s="88"/>
      <c r="D64" s="88"/>
      <c r="E64" s="6">
        <v>0.65</v>
      </c>
      <c r="F64" s="119" t="s">
        <v>296</v>
      </c>
      <c r="G64" s="88"/>
      <c r="H64" s="88"/>
      <c r="I64" s="88"/>
      <c r="J64" s="88"/>
      <c r="K64" s="88"/>
      <c r="L64" s="88"/>
      <c r="M64" s="88"/>
      <c r="N64" s="1"/>
      <c r="O64" s="2"/>
      <c r="P64" s="2"/>
      <c r="Q64" s="2"/>
      <c r="R64" s="2"/>
      <c r="S64" s="2"/>
      <c r="T64" s="2"/>
      <c r="U64" s="2"/>
      <c r="V64" s="2"/>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row>
    <row r="65" spans="1:100" ht="22" customHeight="1" x14ac:dyDescent="0.2">
      <c r="A65" s="1"/>
      <c r="B65" s="118" t="s">
        <v>297</v>
      </c>
      <c r="C65" s="88"/>
      <c r="D65" s="88"/>
      <c r="E65" s="6">
        <v>0.9</v>
      </c>
      <c r="F65" s="119" t="s">
        <v>298</v>
      </c>
      <c r="G65" s="88"/>
      <c r="H65" s="88"/>
      <c r="I65" s="88"/>
      <c r="J65" s="88"/>
      <c r="K65" s="88"/>
      <c r="L65" s="88"/>
      <c r="M65" s="88"/>
      <c r="N65" s="1"/>
      <c r="O65" s="2"/>
      <c r="P65" s="2"/>
      <c r="Q65" s="2"/>
      <c r="R65" s="2"/>
      <c r="S65" s="2"/>
      <c r="T65" s="2"/>
      <c r="U65" s="2"/>
      <c r="V65" s="2"/>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row>
    <row r="66" spans="1:100" x14ac:dyDescent="0.2">
      <c r="A66" s="1"/>
      <c r="B66" s="1"/>
      <c r="C66" s="1"/>
      <c r="D66" s="1"/>
      <c r="E66" s="1"/>
      <c r="F66" s="1"/>
      <c r="G66" s="1"/>
      <c r="H66" s="1"/>
      <c r="I66" s="1"/>
      <c r="J66" s="1"/>
      <c r="K66" s="1"/>
      <c r="L66" s="1"/>
      <c r="M66" s="1"/>
      <c r="N66" s="1"/>
      <c r="O66" s="2"/>
      <c r="P66" s="2"/>
      <c r="Q66" s="2"/>
      <c r="R66" s="2"/>
      <c r="S66" s="2"/>
      <c r="T66" s="2"/>
      <c r="U66" s="2"/>
      <c r="V66" s="2"/>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row>
    <row r="67" spans="1:100" ht="22" customHeight="1" x14ac:dyDescent="0.2">
      <c r="A67" s="1"/>
      <c r="B67" s="3" t="s">
        <v>204</v>
      </c>
      <c r="C67" s="1"/>
      <c r="D67" s="1"/>
      <c r="E67" s="1"/>
      <c r="F67" s="1"/>
      <c r="G67" s="1"/>
      <c r="H67" s="1"/>
      <c r="I67" s="1"/>
      <c r="J67" s="1"/>
      <c r="K67" s="1"/>
      <c r="L67" s="1"/>
      <c r="M67" s="4" t="s">
        <v>205</v>
      </c>
      <c r="N67" s="1"/>
      <c r="O67" s="2"/>
      <c r="P67" s="2"/>
      <c r="Q67" s="2"/>
      <c r="R67" s="2"/>
      <c r="S67" s="2"/>
      <c r="T67" s="2"/>
      <c r="U67" s="2"/>
      <c r="V67" s="2"/>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row>
    <row r="68" spans="1:100" x14ac:dyDescent="0.2">
      <c r="A68" s="1"/>
      <c r="B68" s="1"/>
      <c r="C68" s="1"/>
      <c r="D68" s="1"/>
      <c r="E68" s="1"/>
      <c r="F68" s="1"/>
      <c r="G68" s="1"/>
      <c r="H68" s="1"/>
      <c r="I68" s="1"/>
      <c r="J68" s="1"/>
      <c r="K68" s="1"/>
      <c r="L68" s="1"/>
      <c r="M68" s="1"/>
      <c r="N68" s="1"/>
      <c r="O68" s="2"/>
      <c r="P68" s="2"/>
      <c r="Q68" s="2"/>
      <c r="R68" s="2"/>
      <c r="S68" s="2"/>
      <c r="T68" s="2"/>
      <c r="U68" s="2"/>
      <c r="V68" s="2"/>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row>
    <row r="69" spans="1:100" x14ac:dyDescent="0.2">
      <c r="A69" s="49"/>
      <c r="B69" s="49"/>
      <c r="C69" s="49"/>
      <c r="D69" s="49"/>
      <c r="E69" s="49"/>
      <c r="F69" s="49"/>
      <c r="G69" s="49"/>
      <c r="H69" s="49"/>
      <c r="I69" s="49"/>
      <c r="J69" s="49"/>
      <c r="K69" s="49"/>
      <c r="L69" s="49"/>
      <c r="M69" s="49"/>
      <c r="N69" s="49"/>
      <c r="O69" s="2"/>
      <c r="P69" s="2"/>
      <c r="Q69" s="2"/>
      <c r="R69" s="2"/>
      <c r="S69" s="2"/>
      <c r="T69" s="2"/>
      <c r="U69" s="2"/>
      <c r="V69" s="2"/>
    </row>
    <row r="70" spans="1:100" x14ac:dyDescent="0.2">
      <c r="A70" s="49"/>
      <c r="B70" s="49"/>
      <c r="C70" s="49"/>
      <c r="D70" s="49"/>
      <c r="E70" s="49"/>
      <c r="F70" s="49"/>
      <c r="G70" s="49"/>
      <c r="H70" s="49"/>
      <c r="I70" s="49"/>
      <c r="J70" s="49"/>
      <c r="K70" s="49"/>
      <c r="L70" s="49"/>
      <c r="M70" s="49"/>
      <c r="N70" s="49"/>
      <c r="O70" s="2"/>
      <c r="P70" s="2"/>
      <c r="Q70" s="2"/>
      <c r="R70" s="2"/>
      <c r="S70" s="2"/>
      <c r="T70" s="2"/>
      <c r="U70" s="2"/>
      <c r="V70" s="2"/>
    </row>
  </sheetData>
  <mergeCells count="63">
    <mergeCell ref="B14:C14"/>
    <mergeCell ref="D10:E10"/>
    <mergeCell ref="G55:M55"/>
    <mergeCell ref="H46:M46"/>
    <mergeCell ref="F11:M11"/>
    <mergeCell ref="C37:E37"/>
    <mergeCell ref="L38:M38"/>
    <mergeCell ref="F14:M14"/>
    <mergeCell ref="L36:M36"/>
    <mergeCell ref="I37:K37"/>
    <mergeCell ref="G56:M56"/>
    <mergeCell ref="C39:E39"/>
    <mergeCell ref="I39:K39"/>
    <mergeCell ref="L18:M18"/>
    <mergeCell ref="G52:M52"/>
    <mergeCell ref="F10:M10"/>
    <mergeCell ref="B3:I3"/>
    <mergeCell ref="G51:M51"/>
    <mergeCell ref="B53:D53"/>
    <mergeCell ref="L37:M37"/>
    <mergeCell ref="B12:C12"/>
    <mergeCell ref="H45:M45"/>
    <mergeCell ref="C36:E36"/>
    <mergeCell ref="F12:M12"/>
    <mergeCell ref="B11:C11"/>
    <mergeCell ref="D11:E11"/>
    <mergeCell ref="D13:E13"/>
    <mergeCell ref="C38:E38"/>
    <mergeCell ref="B13:C13"/>
    <mergeCell ref="I38:K38"/>
    <mergeCell ref="J3:M3"/>
    <mergeCell ref="B65:D65"/>
    <mergeCell ref="L39:M39"/>
    <mergeCell ref="B55:D55"/>
    <mergeCell ref="B51:D51"/>
    <mergeCell ref="B64:D64"/>
    <mergeCell ref="B63:D63"/>
    <mergeCell ref="F65:M65"/>
    <mergeCell ref="F63:M63"/>
    <mergeCell ref="G54:M54"/>
    <mergeCell ref="H48:M48"/>
    <mergeCell ref="F62:M62"/>
    <mergeCell ref="F64:M64"/>
    <mergeCell ref="G59:M59"/>
    <mergeCell ref="G58:M58"/>
    <mergeCell ref="H47:M47"/>
    <mergeCell ref="B57:D57"/>
    <mergeCell ref="B10:C10"/>
    <mergeCell ref="B62:D62"/>
    <mergeCell ref="B9:C9"/>
    <mergeCell ref="F13:M13"/>
    <mergeCell ref="D9:E9"/>
    <mergeCell ref="B54:D54"/>
    <mergeCell ref="D12:E12"/>
    <mergeCell ref="G57:M57"/>
    <mergeCell ref="G53:M53"/>
    <mergeCell ref="B59:D59"/>
    <mergeCell ref="F9:M9"/>
    <mergeCell ref="I36:K36"/>
    <mergeCell ref="B56:D56"/>
    <mergeCell ref="D14:E14"/>
    <mergeCell ref="B58:D58"/>
    <mergeCell ref="B52:D52"/>
  </mergeCells>
  <conditionalFormatting sqref="G20:H33">
    <cfRule type="expression" dxfId="39" priority="1">
      <formula>NOT(_xludf.ISFORMULA(G20))</formula>
    </cfRule>
  </conditionalFormatting>
  <conditionalFormatting sqref="I37:I39">
    <cfRule type="expression" dxfId="38" priority="43">
      <formula>EXACT(I37,"UNDERWATER")</formula>
    </cfRule>
    <cfRule type="expression" dxfId="37" priority="44">
      <formula>EXACT(I37,"LEAN")</formula>
    </cfRule>
    <cfRule type="expression" dxfId="36" priority="45">
      <formula>EXACT(I37,"PREMIUM")</formula>
    </cfRule>
  </conditionalFormatting>
  <dataValidations count="3">
    <dataValidation type="list" error="Region must be AU, NZ, or US." promptTitle="Region" prompt="Switches on-cost defaults and currency." sqref="M2" xr:uid="{00000000-0002-0000-0100-000000000000}">
      <formula1>"AU,NZ,US"</formula1>
    </dataValidation>
    <dataValidation type="list" promptTitle="Active" prompt="TRUE includes this role in the diagnostic." sqref="B20 B21 B22 B23 B24 B25 B26 B27 B28 B29 B30 B31 B32 B33" xr:uid="{00000000-0002-0000-0100-000002000000}">
      <formula1>"TRUE,FALSE"</formula1>
    </dataValidation>
    <dataValidation type="list" promptTitle="Category" prompt="Delivery roles drive the blended margin. Overhead and leadership are tracked separately." sqref="D20 D21 D22 D23 D24 D25 D26 D27 D28 D29 D30 D31 D32 D33" xr:uid="{00000000-0002-0000-0100-000003000000}">
      <formula1>"Delivery,Overhead,Leadership"</formula1>
    </dataValidation>
  </dataValidations>
  <printOptions horizontalCentered="1"/>
  <pageMargins left="0.4" right="0.4" top="0.5" bottom="0.5" header="0.3" footer="0.3"/>
  <pageSetup fitToHeight="0" orientation="landscape"/>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E50FF"/>
    <pageSetUpPr fitToPage="1"/>
  </sheetPr>
  <dimension ref="A1:FF163"/>
  <sheetViews>
    <sheetView showGridLines="0" zoomScale="140" zoomScaleNormal="140" workbookViewId="0">
      <pane xSplit="1" ySplit="4" topLeftCell="B5" activePane="bottomRight" state="frozen"/>
      <selection pane="topRight"/>
      <selection pane="bottomLeft"/>
      <selection pane="bottomRight" activeCell="FI8" sqref="FI8"/>
    </sheetView>
  </sheetViews>
  <sheetFormatPr baseColWidth="10" defaultColWidth="8.83203125" defaultRowHeight="15" outlineLevelCol="1" x14ac:dyDescent="0.2"/>
  <cols>
    <col min="1" max="1" width="2" style="48" customWidth="1"/>
    <col min="2" max="2" width="8" style="48" customWidth="1"/>
    <col min="3" max="3" width="29" style="48" customWidth="1"/>
    <col min="4" max="4" width="12" style="48" customWidth="1"/>
    <col min="5" max="5" width="9" style="48" customWidth="1"/>
    <col min="6" max="6" width="12" style="48" customWidth="1"/>
    <col min="7" max="7" width="10" style="48" customWidth="1"/>
    <col min="8" max="9" width="11" style="48" customWidth="1"/>
    <col min="10" max="11" width="13" style="48" customWidth="1"/>
    <col min="12" max="12" width="12" style="48" customWidth="1"/>
    <col min="13" max="13" width="11" style="48" customWidth="1"/>
    <col min="14" max="14" width="2" style="48" customWidth="1"/>
    <col min="15" max="15" width="1.5" style="48" hidden="1" customWidth="1"/>
    <col min="16" max="100" width="14" style="48" hidden="1" customWidth="1" outlineLevel="1"/>
    <col min="101" max="132" width="8.83203125" style="48" hidden="1" customWidth="1" outlineLevel="1"/>
    <col min="133" max="135" width="8.83203125" style="57" hidden="1" customWidth="1" outlineLevel="1"/>
    <col min="136" max="161" width="8.83203125" style="48" hidden="1" customWidth="1" outlineLevel="1"/>
    <col min="162" max="162" width="8.83203125" style="48" collapsed="1"/>
    <col min="163" max="16384" width="8.83203125" style="48"/>
  </cols>
  <sheetData>
    <row r="1" spans="1:158" ht="8" customHeight="1" x14ac:dyDescent="0.2">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56"/>
      <c r="ED1" s="56"/>
      <c r="EE1" s="56"/>
      <c r="EF1" s="2"/>
      <c r="EG1" s="2"/>
      <c r="EH1" s="2"/>
      <c r="EI1" s="2"/>
      <c r="EJ1" s="2"/>
      <c r="EK1" s="2"/>
      <c r="EL1" s="2"/>
      <c r="EM1" s="2"/>
      <c r="EN1" s="2"/>
      <c r="EO1" s="2"/>
      <c r="EP1" s="2"/>
      <c r="EQ1" s="2"/>
      <c r="ER1" s="29" t="s">
        <v>0</v>
      </c>
      <c r="ES1" s="29">
        <f>_xlfn.AGGREGATE(5,6,DJ70:DJ83)</f>
        <v>0</v>
      </c>
      <c r="ET1" s="2"/>
      <c r="EU1" s="2"/>
      <c r="EV1" s="2"/>
      <c r="EW1" s="2"/>
      <c r="EX1" s="2"/>
      <c r="EY1" s="2"/>
      <c r="EZ1" s="2"/>
      <c r="FA1" s="2"/>
      <c r="FB1" s="2"/>
    </row>
    <row r="2" spans="1:158" ht="30" customHeight="1" x14ac:dyDescent="0.3">
      <c r="A2" s="1"/>
      <c r="B2" s="1"/>
      <c r="C2" s="83"/>
      <c r="D2" s="82" t="s">
        <v>361</v>
      </c>
      <c r="E2" s="84"/>
      <c r="F2" s="84"/>
      <c r="G2" s="84"/>
      <c r="H2" s="84"/>
      <c r="I2" s="84"/>
      <c r="J2" s="89"/>
      <c r="K2" s="90"/>
      <c r="L2" s="90"/>
      <c r="M2" s="90"/>
      <c r="N2" s="1"/>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56"/>
      <c r="ED2" s="56"/>
      <c r="EE2" s="56"/>
      <c r="EF2" s="2"/>
      <c r="EG2" s="2"/>
      <c r="EH2" s="2"/>
      <c r="EI2" s="2"/>
      <c r="EJ2" s="2"/>
      <c r="EK2" s="2"/>
      <c r="EL2" s="2"/>
      <c r="EM2" s="2"/>
      <c r="EN2" s="2"/>
      <c r="EO2" s="2"/>
      <c r="EP2" s="2"/>
      <c r="EQ2" s="2"/>
      <c r="ER2" s="29" t="s">
        <v>2</v>
      </c>
      <c r="ES2" s="29">
        <f>_xlfn.AGGREGATE(4,6,DJ70:DJ83)</f>
        <v>0</v>
      </c>
      <c r="ET2" s="2"/>
      <c r="EU2" s="2"/>
      <c r="EV2" s="2"/>
      <c r="EW2" s="2"/>
      <c r="EX2" s="2"/>
      <c r="EY2" s="2"/>
      <c r="EZ2" s="2"/>
      <c r="FA2" s="2"/>
      <c r="FB2" s="2"/>
    </row>
    <row r="3" spans="1:158" ht="22" customHeight="1" x14ac:dyDescent="0.2">
      <c r="A3" s="1"/>
      <c r="B3" s="92" t="s">
        <v>354</v>
      </c>
      <c r="C3" s="90"/>
      <c r="D3" s="90"/>
      <c r="E3" s="90"/>
      <c r="F3" s="90"/>
      <c r="G3" s="90"/>
      <c r="H3" s="90"/>
      <c r="I3" s="90"/>
      <c r="J3" s="89"/>
      <c r="K3" s="90"/>
      <c r="L3" s="90"/>
      <c r="M3" s="90"/>
      <c r="N3" s="1"/>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56"/>
      <c r="ED3" s="56"/>
      <c r="EE3" s="56"/>
      <c r="EF3" s="2"/>
      <c r="EG3" s="2"/>
      <c r="EH3" s="2"/>
      <c r="EI3" s="2"/>
      <c r="EJ3" s="2"/>
      <c r="EK3" s="2"/>
      <c r="EL3" s="2"/>
      <c r="EM3" s="2"/>
      <c r="EN3" s="2"/>
      <c r="EO3" s="2"/>
      <c r="EP3" s="2"/>
      <c r="EQ3" s="2"/>
      <c r="ER3" s="29" t="s">
        <v>4</v>
      </c>
      <c r="ES3" s="29">
        <f>_xlfn.AGGREGATE(5,6,DK70:DK83)</f>
        <v>0</v>
      </c>
      <c r="ET3" s="2"/>
      <c r="EU3" s="2"/>
      <c r="EV3" s="2"/>
      <c r="EW3" s="2"/>
      <c r="EX3" s="2"/>
      <c r="EY3" s="2"/>
      <c r="EZ3" s="2"/>
      <c r="FA3" s="2"/>
      <c r="FB3" s="2"/>
    </row>
    <row r="4" spans="1:158" x14ac:dyDescent="0.2">
      <c r="A4" s="1"/>
      <c r="B4" s="30" t="str">
        <f t="array" ref="B4">IF(AND(SUMPRODUCT(--(Q70:Q83=1))=0,inp_biz_name=""),"→ Open Team Roster (tab 2) to enter your business, then return here. Sample (tab 4) shows a worked example.",IF(AND(AD87=0,AF87=0),"→ No delivery roles detected yet. On Team Roster, set at least one Active = TRUE and fill Salary / Billable hrs / Revenue for it.",""))</f>
        <v>→ Open Team Roster (tab 2) to enter your business, then return here. Sample (tab 4) shows a worked example.</v>
      </c>
      <c r="C4" s="1"/>
      <c r="D4" s="1"/>
      <c r="E4" s="1"/>
      <c r="F4" s="1"/>
      <c r="G4" s="1"/>
      <c r="H4" s="1"/>
      <c r="I4" s="1"/>
      <c r="J4" s="1"/>
      <c r="K4" s="1"/>
      <c r="L4" s="1"/>
      <c r="M4" s="1"/>
      <c r="N4" s="1"/>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56"/>
      <c r="ED4" s="56"/>
      <c r="EE4" s="56"/>
      <c r="EF4" s="2"/>
      <c r="EG4" s="2"/>
      <c r="EH4" s="2"/>
      <c r="EI4" s="2"/>
      <c r="EJ4" s="2"/>
      <c r="EK4" s="2"/>
      <c r="EL4" s="2"/>
      <c r="EM4" s="2"/>
      <c r="EN4" s="2"/>
      <c r="EO4" s="2"/>
      <c r="EP4" s="2"/>
      <c r="EQ4" s="2"/>
      <c r="ER4" s="29" t="s">
        <v>5</v>
      </c>
      <c r="ES4" s="29">
        <f>_xlfn.AGGREGATE(4,6,DK70:DK83)</f>
        <v>0</v>
      </c>
      <c r="ET4" s="2"/>
      <c r="EU4" s="2"/>
      <c r="EV4" s="2"/>
      <c r="EW4" s="2"/>
      <c r="EX4" s="2"/>
      <c r="EY4" s="2"/>
      <c r="EZ4" s="2"/>
      <c r="FA4" s="2"/>
      <c r="FB4" s="2"/>
    </row>
    <row r="5" spans="1:158" x14ac:dyDescent="0.2">
      <c r="A5" s="1"/>
      <c r="B5" s="1"/>
      <c r="C5" s="1"/>
      <c r="D5" s="1"/>
      <c r="E5" s="1"/>
      <c r="F5" s="1"/>
      <c r="G5" s="1"/>
      <c r="H5" s="1"/>
      <c r="I5" s="1"/>
      <c r="J5" s="1"/>
      <c r="K5" s="1"/>
      <c r="L5" s="1"/>
      <c r="M5" s="1"/>
      <c r="N5" s="1"/>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56"/>
      <c r="ED5" s="56"/>
      <c r="EE5" s="56"/>
      <c r="EF5" s="2"/>
      <c r="EG5" s="2"/>
      <c r="EH5" s="2"/>
      <c r="EI5" s="2"/>
      <c r="EJ5" s="2"/>
      <c r="EK5" s="2"/>
      <c r="EL5" s="2"/>
      <c r="EM5" s="2"/>
      <c r="EN5" s="2"/>
      <c r="EO5" s="2"/>
      <c r="EP5" s="2"/>
      <c r="EQ5" s="2"/>
      <c r="ER5" s="29" t="s">
        <v>6</v>
      </c>
      <c r="ES5" s="29">
        <f>MAX(0,FLOOR(ES1-(ES2-ES1)*0.1,0.05))</f>
        <v>0</v>
      </c>
      <c r="ET5" s="2"/>
      <c r="EU5" s="2"/>
      <c r="EV5" s="2"/>
      <c r="EW5" s="2"/>
      <c r="EX5" s="2"/>
      <c r="EY5" s="2"/>
      <c r="EZ5" s="2"/>
      <c r="FA5" s="2"/>
      <c r="FB5" s="2"/>
    </row>
    <row r="6" spans="1:158" ht="22" customHeight="1" x14ac:dyDescent="0.2">
      <c r="A6" s="1"/>
      <c r="B6" s="3" t="s">
        <v>7</v>
      </c>
      <c r="C6" s="13" t="s">
        <v>8</v>
      </c>
      <c r="D6" s="3" t="s">
        <v>9</v>
      </c>
      <c r="E6" s="14" t="s">
        <v>8</v>
      </c>
      <c r="F6" s="3" t="s">
        <v>10</v>
      </c>
      <c r="G6" s="15" t="s">
        <v>8</v>
      </c>
      <c r="H6" s="3" t="s">
        <v>11</v>
      </c>
      <c r="I6" s="16" t="s">
        <v>8</v>
      </c>
      <c r="J6" s="3" t="s">
        <v>12</v>
      </c>
      <c r="K6" s="15" t="s">
        <v>13</v>
      </c>
      <c r="L6" s="3" t="s">
        <v>14</v>
      </c>
      <c r="M6" s="1"/>
      <c r="N6" s="1"/>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56"/>
      <c r="ED6" s="56"/>
      <c r="EE6" s="56"/>
      <c r="EF6" s="2"/>
      <c r="EG6" s="2"/>
      <c r="EH6" s="2"/>
      <c r="EI6" s="2"/>
      <c r="EJ6" s="2"/>
      <c r="EK6" s="2"/>
      <c r="EL6" s="2"/>
      <c r="EM6" s="2"/>
      <c r="EN6" s="2"/>
      <c r="EO6" s="2"/>
      <c r="EP6" s="2"/>
      <c r="EQ6" s="2"/>
      <c r="ER6" s="29" t="s">
        <v>15</v>
      </c>
      <c r="ES6" s="29">
        <f>CEILING(ES2+(ES2-ES1)*0.1,0.05)</f>
        <v>0</v>
      </c>
      <c r="ET6" s="2"/>
      <c r="EU6" s="2"/>
      <c r="EV6" s="2"/>
      <c r="EW6" s="2"/>
      <c r="EX6" s="2"/>
      <c r="EY6" s="2"/>
      <c r="EZ6" s="2"/>
      <c r="FA6" s="2"/>
      <c r="FB6" s="2"/>
    </row>
    <row r="7" spans="1:158" ht="4" customHeight="1" x14ac:dyDescent="0.2">
      <c r="A7" s="1"/>
      <c r="B7" s="1"/>
      <c r="C7" s="1"/>
      <c r="D7" s="1"/>
      <c r="E7" s="1"/>
      <c r="F7" s="1"/>
      <c r="G7" s="1"/>
      <c r="H7" s="1"/>
      <c r="I7" s="1"/>
      <c r="J7" s="1"/>
      <c r="K7" s="1"/>
      <c r="L7" s="1"/>
      <c r="M7" s="1"/>
      <c r="N7" s="1"/>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56"/>
      <c r="ED7" s="56"/>
      <c r="EE7" s="56"/>
      <c r="EF7" s="2"/>
      <c r="EG7" s="2"/>
      <c r="EH7" s="2"/>
      <c r="EI7" s="2"/>
      <c r="EJ7" s="2"/>
      <c r="EK7" s="2"/>
      <c r="EL7" s="2"/>
      <c r="EM7" s="2"/>
      <c r="EN7" s="2"/>
      <c r="EO7" s="2"/>
      <c r="EP7" s="2"/>
      <c r="EQ7" s="2"/>
      <c r="ER7" s="29" t="s">
        <v>16</v>
      </c>
      <c r="ES7" s="29">
        <f>MAX(0,FLOOR(ES3-(ES4-ES3)*0.1,0.05))</f>
        <v>0</v>
      </c>
      <c r="ET7" s="2"/>
      <c r="EU7" s="2"/>
      <c r="EV7" s="2"/>
      <c r="EW7" s="2"/>
      <c r="EX7" s="2"/>
      <c r="EY7" s="2"/>
      <c r="EZ7" s="2"/>
      <c r="FA7" s="2"/>
      <c r="FB7" s="2"/>
    </row>
    <row r="8" spans="1:158" ht="22" customHeight="1" x14ac:dyDescent="0.2">
      <c r="A8" s="1"/>
      <c r="B8" s="5" t="s">
        <v>17</v>
      </c>
      <c r="C8" s="1"/>
      <c r="D8" s="1"/>
      <c r="E8" s="1"/>
      <c r="F8" s="1"/>
      <c r="G8" s="1"/>
      <c r="H8" s="1"/>
      <c r="I8" s="1"/>
      <c r="J8" s="1"/>
      <c r="K8" s="4" t="s">
        <v>18</v>
      </c>
      <c r="L8" s="109" t="str">
        <f>IF(inp_biz_name="","your business",inp_biz_name)</f>
        <v>your business</v>
      </c>
      <c r="M8" s="88"/>
      <c r="N8" s="1"/>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56"/>
      <c r="ED8" s="56"/>
      <c r="EE8" s="56"/>
      <c r="EF8" s="2"/>
      <c r="EG8" s="2"/>
      <c r="EH8" s="2"/>
      <c r="EI8" s="2"/>
      <c r="EJ8" s="2"/>
      <c r="EK8" s="2"/>
      <c r="EL8" s="2"/>
      <c r="EM8" s="2"/>
      <c r="EN8" s="2"/>
      <c r="EO8" s="2"/>
      <c r="EP8" s="2"/>
      <c r="EQ8" s="2"/>
      <c r="ER8" s="29" t="s">
        <v>19</v>
      </c>
      <c r="ES8" s="29">
        <f>CEILING(ES4+(ES4-ES3)*0.1,0.05)</f>
        <v>0</v>
      </c>
      <c r="ET8" s="2"/>
      <c r="EU8" s="2"/>
      <c r="EV8" s="2"/>
      <c r="EW8" s="2"/>
      <c r="EX8" s="2"/>
      <c r="EY8" s="2"/>
      <c r="EZ8" s="2"/>
      <c r="FA8" s="2"/>
      <c r="FB8" s="2"/>
    </row>
    <row r="9" spans="1:158" ht="14" customHeight="1" x14ac:dyDescent="0.2">
      <c r="A9" s="1"/>
      <c r="B9" s="102" t="s">
        <v>20</v>
      </c>
      <c r="C9" s="88"/>
      <c r="D9" s="88"/>
      <c r="E9" s="88"/>
      <c r="F9" s="102" t="s">
        <v>21</v>
      </c>
      <c r="G9" s="88"/>
      <c r="H9" s="102" t="s">
        <v>22</v>
      </c>
      <c r="I9" s="88"/>
      <c r="J9" s="102" t="s">
        <v>23</v>
      </c>
      <c r="K9" s="88"/>
      <c r="L9" s="102" t="s">
        <v>24</v>
      </c>
      <c r="M9" s="88"/>
      <c r="N9" s="1"/>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56"/>
      <c r="ED9" s="56"/>
      <c r="EE9" s="56"/>
      <c r="EF9" s="2"/>
      <c r="EG9" s="2"/>
      <c r="EH9" s="2"/>
      <c r="EI9" s="2"/>
      <c r="EJ9" s="2"/>
      <c r="EK9" s="2"/>
      <c r="EL9" s="2"/>
      <c r="EM9" s="2"/>
      <c r="EN9" s="2"/>
      <c r="EO9" s="2"/>
      <c r="EP9" s="2"/>
      <c r="EQ9" s="2"/>
      <c r="ER9" s="29" t="s">
        <v>25</v>
      </c>
      <c r="ES9" s="29">
        <f>IF(ES6-ES5&lt;=0.5,0.05,IF(ES6-ES5&lt;=1.5,0.1,IF(ES6-ES5&lt;=3,0.25,0.5)))</f>
        <v>0.05</v>
      </c>
      <c r="ET9" s="2"/>
      <c r="EU9" s="2"/>
      <c r="EV9" s="2"/>
      <c r="EW9" s="2"/>
      <c r="EX9" s="2"/>
      <c r="EY9" s="2"/>
      <c r="EZ9" s="2"/>
      <c r="FA9" s="2"/>
      <c r="FB9" s="2"/>
    </row>
    <row r="10" spans="1:158" ht="36" customHeight="1" x14ac:dyDescent="0.2">
      <c r="A10" s="1"/>
      <c r="B10" s="107">
        <f>AL87</f>
        <v>0</v>
      </c>
      <c r="C10" s="88"/>
      <c r="D10" s="88"/>
      <c r="E10" s="88"/>
      <c r="F10" s="110">
        <f>AH87</f>
        <v>0</v>
      </c>
      <c r="G10" s="88"/>
      <c r="H10" s="110">
        <f>AJ87</f>
        <v>0</v>
      </c>
      <c r="I10" s="88"/>
      <c r="J10" s="111">
        <f>AM87</f>
        <v>0</v>
      </c>
      <c r="K10" s="88"/>
      <c r="L10" s="114">
        <f>AO87</f>
        <v>0</v>
      </c>
      <c r="M10" s="88"/>
      <c r="N10" s="1"/>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9" t="s">
        <v>26</v>
      </c>
      <c r="EC10" s="56"/>
      <c r="ED10" s="56"/>
      <c r="EE10" s="56"/>
      <c r="EF10" s="2"/>
      <c r="EG10" s="2"/>
      <c r="EH10" s="2"/>
      <c r="EI10" s="2"/>
      <c r="EJ10" s="2"/>
      <c r="EK10" s="2"/>
      <c r="EL10" s="2"/>
      <c r="EM10" s="2"/>
      <c r="EN10" s="2"/>
      <c r="EO10" s="2"/>
      <c r="EP10" s="2"/>
      <c r="EQ10" s="2"/>
      <c r="ER10" s="29" t="s">
        <v>27</v>
      </c>
      <c r="ES10" s="29">
        <f>IF(ES8-ES7&lt;=0.5,0.05,IF(ES8-ES7&lt;=1.5,0.1,IF(ES8-ES7&lt;=3,0.25,IF(ES8-ES7&lt;=6,0.5,1))))</f>
        <v>0.05</v>
      </c>
      <c r="ET10" s="2"/>
      <c r="EU10" s="2"/>
      <c r="EV10" s="2"/>
      <c r="EW10" s="2"/>
      <c r="EX10" s="2"/>
      <c r="EY10" s="2"/>
      <c r="EZ10" s="2"/>
      <c r="FA10" s="2"/>
      <c r="FB10" s="2"/>
    </row>
    <row r="11" spans="1:158" ht="16" customHeight="1" x14ac:dyDescent="0.2">
      <c r="A11" s="1"/>
      <c r="B11" s="104" t="str">
        <f>"vs benchmark "&amp;TEXT(ref_bench_margin_target,"0%")&amp;"  ·  "&amp;IF(AL87&gt;=ref_bench_margin_target,"above by "&amp;TEXT((AL87-ref_bench_margin_target)*100,"0.0")&amp;" pts","below by "&amp;TEXT((ref_bench_margin_target-AL87)*100,"0.0")&amp;" pts")</f>
        <v>vs benchmark 50%  ·  below by 50.0 pts</v>
      </c>
      <c r="C11" s="88"/>
      <c r="D11" s="88"/>
      <c r="E11" s="88"/>
      <c r="F11" s="94" t="s">
        <v>28</v>
      </c>
      <c r="G11" s="88"/>
      <c r="H11" s="94" t="s">
        <v>29</v>
      </c>
      <c r="I11" s="88"/>
      <c r="J11" s="94" t="s">
        <v>30</v>
      </c>
      <c r="K11" s="88"/>
      <c r="L11" s="94" t="s">
        <v>31</v>
      </c>
      <c r="M11" s="88"/>
      <c r="N11" s="1"/>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9" t="s">
        <v>32</v>
      </c>
      <c r="EB11" s="29">
        <v>0.1</v>
      </c>
      <c r="EC11" s="56"/>
      <c r="ED11" s="56"/>
      <c r="EE11" s="56"/>
      <c r="EF11" s="2"/>
      <c r="EG11" s="2"/>
      <c r="EH11" s="2"/>
      <c r="EI11" s="2"/>
      <c r="EJ11" s="2"/>
      <c r="EK11" s="2"/>
      <c r="EL11" s="2"/>
      <c r="EM11" s="2"/>
      <c r="EN11" s="2"/>
      <c r="EO11" s="2"/>
      <c r="EP11" s="2"/>
      <c r="EQ11" s="2"/>
      <c r="ER11" s="2"/>
      <c r="ES11" s="2"/>
      <c r="ET11" s="2"/>
      <c r="EU11" s="2"/>
      <c r="EV11" s="2"/>
      <c r="EW11" s="2"/>
      <c r="EX11" s="2"/>
      <c r="EY11" s="2"/>
      <c r="EZ11" s="2"/>
      <c r="FA11" s="2"/>
      <c r="FB11" s="2"/>
    </row>
    <row r="12" spans="1:158" ht="14" customHeight="1" x14ac:dyDescent="0.2">
      <c r="A12" s="1"/>
      <c r="B12" s="102" t="s">
        <v>33</v>
      </c>
      <c r="C12" s="88"/>
      <c r="D12" s="88"/>
      <c r="E12" s="88"/>
      <c r="F12" s="88"/>
      <c r="G12" s="88"/>
      <c r="H12" s="88"/>
      <c r="I12" s="88"/>
      <c r="J12" s="88"/>
      <c r="K12" s="88"/>
      <c r="L12" s="88"/>
      <c r="M12" s="88"/>
      <c r="N12" s="1"/>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9" t="s">
        <v>34</v>
      </c>
      <c r="EB12" s="29">
        <v>0.15</v>
      </c>
      <c r="EC12" s="56"/>
      <c r="ED12" s="56"/>
      <c r="EE12" s="56"/>
      <c r="EF12" s="2"/>
      <c r="EG12" s="2"/>
      <c r="EH12" s="2"/>
      <c r="EI12" s="2"/>
      <c r="EJ12" s="2"/>
      <c r="EK12" s="2"/>
      <c r="EL12" s="2"/>
      <c r="EM12" s="2"/>
      <c r="EN12" s="2"/>
      <c r="EO12" s="2"/>
      <c r="EP12" s="2"/>
      <c r="EQ12" s="2"/>
      <c r="ER12" s="2"/>
      <c r="ES12" s="2"/>
      <c r="ET12" s="2"/>
      <c r="EU12" s="2"/>
      <c r="EV12" s="2"/>
      <c r="EW12" s="2"/>
      <c r="EX12" s="2"/>
      <c r="EY12" s="2"/>
      <c r="EZ12" s="2"/>
      <c r="FA12" s="2"/>
      <c r="FB12" s="2"/>
    </row>
    <row r="13" spans="1:158" ht="28" customHeight="1" x14ac:dyDescent="0.2">
      <c r="A13" s="1"/>
      <c r="B13" s="105">
        <f>AD87</f>
        <v>0</v>
      </c>
      <c r="C13" s="88"/>
      <c r="D13" s="88"/>
      <c r="E13" s="105">
        <f>AK87</f>
        <v>0</v>
      </c>
      <c r="F13" s="88"/>
      <c r="G13" s="88"/>
      <c r="H13" s="108">
        <f>AP87</f>
        <v>0</v>
      </c>
      <c r="I13" s="88"/>
      <c r="J13" s="88"/>
      <c r="K13" s="113">
        <f>IFERROR((AK87-AD87-AK89)/AK87,0)</f>
        <v>0</v>
      </c>
      <c r="L13" s="88"/>
      <c r="M13" s="88"/>
      <c r="N13" s="1"/>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9" t="s">
        <v>35</v>
      </c>
      <c r="EB13" s="29">
        <v>0.2</v>
      </c>
      <c r="EC13" s="56"/>
      <c r="ED13" s="56"/>
      <c r="EE13" s="56"/>
      <c r="EF13" s="2"/>
      <c r="EG13" s="2"/>
      <c r="EH13" s="2"/>
      <c r="EI13" s="2"/>
      <c r="EJ13" s="2"/>
      <c r="EK13" s="2"/>
      <c r="EL13" s="2"/>
      <c r="EM13" s="2"/>
      <c r="EN13" s="2"/>
      <c r="EO13" s="2"/>
      <c r="EP13" s="2"/>
      <c r="EQ13" s="2"/>
      <c r="ER13" s="2"/>
      <c r="ES13" s="2"/>
      <c r="ET13" s="2"/>
      <c r="EU13" s="2"/>
      <c r="EV13" s="2"/>
      <c r="EW13" s="2"/>
      <c r="EX13" s="2"/>
      <c r="EY13" s="2"/>
      <c r="EZ13" s="2"/>
      <c r="FA13" s="2"/>
      <c r="FB13" s="2"/>
    </row>
    <row r="14" spans="1:158" ht="20" customHeight="1" x14ac:dyDescent="0.2">
      <c r="A14" s="1"/>
      <c r="B14" s="93" t="s">
        <v>36</v>
      </c>
      <c r="C14" s="88"/>
      <c r="D14" s="88"/>
      <c r="E14" s="93" t="s">
        <v>37</v>
      </c>
      <c r="F14" s="88"/>
      <c r="G14" s="88"/>
      <c r="H14" s="93" t="s">
        <v>38</v>
      </c>
      <c r="I14" s="88"/>
      <c r="J14" s="88"/>
      <c r="K14" s="93" t="s">
        <v>39</v>
      </c>
      <c r="L14" s="88"/>
      <c r="M14" s="88"/>
      <c r="N14" s="1"/>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56"/>
      <c r="ED14" s="56"/>
      <c r="EE14" s="56"/>
      <c r="EF14" s="2"/>
      <c r="EG14" s="2"/>
      <c r="EH14" s="2"/>
      <c r="EI14" s="2"/>
      <c r="EJ14" s="2"/>
      <c r="EK14" s="2"/>
      <c r="EL14" s="2"/>
      <c r="EM14" s="2"/>
      <c r="EN14" s="2"/>
      <c r="EO14" s="2"/>
      <c r="EP14" s="2"/>
      <c r="EQ14" s="2"/>
      <c r="ER14" s="2"/>
      <c r="ES14" s="2"/>
      <c r="ET14" s="2"/>
      <c r="EU14" s="2"/>
      <c r="EV14" s="2"/>
      <c r="EW14" s="2"/>
      <c r="EX14" s="2"/>
      <c r="EY14" s="2"/>
      <c r="EZ14" s="2"/>
      <c r="FA14" s="2"/>
      <c r="FB14" s="2"/>
    </row>
    <row r="15" spans="1:158" x14ac:dyDescent="0.2">
      <c r="A15" s="1"/>
      <c r="B15" s="1"/>
      <c r="C15" s="1"/>
      <c r="D15" s="1"/>
      <c r="E15" s="1"/>
      <c r="F15" s="1"/>
      <c r="G15" s="1"/>
      <c r="H15" s="1"/>
      <c r="I15" s="1"/>
      <c r="J15" s="1"/>
      <c r="K15" s="1"/>
      <c r="L15" s="1"/>
      <c r="M15" s="1"/>
      <c r="N15" s="1"/>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56"/>
      <c r="ED15" s="56"/>
      <c r="EE15" s="56"/>
      <c r="EF15" s="2"/>
      <c r="EG15" s="2"/>
      <c r="EH15" s="2"/>
      <c r="EI15" s="2"/>
      <c r="EJ15" s="2"/>
      <c r="EK15" s="2"/>
      <c r="EL15" s="2"/>
      <c r="EM15" s="2"/>
      <c r="EN15" s="2"/>
      <c r="EO15" s="2"/>
      <c r="EP15" s="2"/>
      <c r="EQ15" s="2"/>
      <c r="ER15" s="2"/>
      <c r="ES15" s="2"/>
      <c r="ET15" s="2"/>
      <c r="EU15" s="2"/>
      <c r="EV15" s="2"/>
      <c r="EW15" s="2"/>
      <c r="EX15" s="2"/>
      <c r="EY15" s="2"/>
      <c r="EZ15" s="2"/>
      <c r="FA15" s="2"/>
      <c r="FB15" s="2"/>
    </row>
    <row r="16" spans="1:158" ht="22" customHeight="1" x14ac:dyDescent="0.2">
      <c r="A16" s="1"/>
      <c r="B16" s="5" t="s">
        <v>40</v>
      </c>
      <c r="C16" s="1"/>
      <c r="D16" s="1"/>
      <c r="E16" s="1"/>
      <c r="F16" s="1"/>
      <c r="G16" s="1"/>
      <c r="H16" s="1"/>
      <c r="I16" s="1"/>
      <c r="J16" s="1"/>
      <c r="K16" s="1"/>
      <c r="L16" s="1"/>
      <c r="M16" s="1"/>
      <c r="N16" s="1"/>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56"/>
      <c r="ED16" s="56"/>
      <c r="EE16" s="56"/>
      <c r="EF16" s="2"/>
      <c r="EG16" s="2"/>
      <c r="EH16" s="2"/>
      <c r="EI16" s="2"/>
      <c r="EJ16" s="2"/>
      <c r="EK16" s="2"/>
      <c r="EL16" s="2"/>
      <c r="EM16" s="2"/>
      <c r="EN16" s="2"/>
      <c r="EO16" s="2"/>
      <c r="EP16" s="2"/>
      <c r="EQ16" s="2"/>
      <c r="ER16" s="2"/>
      <c r="ES16" s="2"/>
      <c r="ET16" s="2"/>
      <c r="EU16" s="2"/>
      <c r="EV16" s="2"/>
      <c r="EW16" s="2"/>
      <c r="EX16" s="2"/>
      <c r="EY16" s="2"/>
      <c r="EZ16" s="2"/>
      <c r="FA16" s="2"/>
      <c r="FB16" s="2"/>
    </row>
    <row r="17" spans="1:158" ht="32" customHeight="1" x14ac:dyDescent="0.2">
      <c r="A17" s="1"/>
      <c r="B17" s="106" t="str">
        <f>IF(MIN(AS70:AS83)&gt;=99,"01  ·  Add your team on Team Roster to surface your biggest margin opportunities.","01  ·  Blended delivery margin is "&amp;TEXT(AL87,"0.0%")&amp;" against the "&amp;TEXT(ref_bench_margin_target,"0%")&amp;" benchmark — "&amp;IF(AL87&gt;=ref_bench_margin_target,"a healthy position. Hold rates and watch utilisation drift.","a gap of "&amp;TEXT((ref_bench_margin_target-AL87)*100,"0.0")&amp;" pts. Closing it via rate, mix, or utilisation is worth roughly "&amp;TEXT(AK87*(ref_bench_margin_target-AL87),"$#,##0")&amp;" per year."))</f>
        <v>01  ·  Add your team on Team Roster to surface your biggest margin opportunities.</v>
      </c>
      <c r="C17" s="88"/>
      <c r="D17" s="88"/>
      <c r="E17" s="88"/>
      <c r="F17" s="88"/>
      <c r="G17" s="88"/>
      <c r="H17" s="88"/>
      <c r="I17" s="88"/>
      <c r="J17" s="88"/>
      <c r="K17" s="88"/>
      <c r="L17" s="88"/>
      <c r="M17" s="88"/>
      <c r="N17" s="1"/>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56"/>
      <c r="ED17" s="56"/>
      <c r="EE17" s="56"/>
      <c r="EF17" s="2"/>
      <c r="EG17" s="2"/>
      <c r="EH17" s="2"/>
      <c r="EI17" s="2"/>
      <c r="EJ17" s="2"/>
      <c r="EK17" s="2"/>
      <c r="EL17" s="2"/>
      <c r="EM17" s="2"/>
      <c r="EN17" s="2"/>
      <c r="EO17" s="2"/>
      <c r="EP17" s="2"/>
      <c r="EQ17" s="2"/>
      <c r="ER17" s="2"/>
      <c r="ES17" s="2"/>
      <c r="ET17" s="2"/>
      <c r="EU17" s="2"/>
      <c r="EV17" s="2"/>
      <c r="EW17" s="2"/>
      <c r="EX17" s="2"/>
      <c r="EY17" s="2"/>
      <c r="EZ17" s="2"/>
      <c r="FA17" s="2"/>
      <c r="FB17" s="2"/>
    </row>
    <row r="18" spans="1:158" ht="32" customHeight="1" x14ac:dyDescent="0.2">
      <c r="A18" s="1"/>
      <c r="B18" s="106" t="str">
        <f>"02  ·  "&amp;IF(MIN(AS70:AS83)&gt;=99,"No active delivery role detected. Toggle delivery roles on in Team Roster.","Lowest-margin delivery role is "&amp;INDEX(R70:R83,MATCH(MIN(AS70:AS83),AS70:AS83,0))&amp;" at "&amp;TEXT(MIN(AS70:AS83),"0.0%")&amp;" delivery margin — "&amp;IF(MIN(AS70:AS83)&lt;ref_bench_margin_warn,"FAIL: operationally underwater. Re-rate, raise utilisation, or restructure scope.",IF(MIN(AS70:AS83)&lt;ref_bench_margin_target,"WARN: below the 50% benchmark. Check billed rate, pricing leak, and idle capacity.","tracking healthy.")))</f>
        <v>02  ·  No active delivery role detected. Toggle delivery roles on in Team Roster.</v>
      </c>
      <c r="C18" s="88"/>
      <c r="D18" s="88"/>
      <c r="E18" s="88"/>
      <c r="F18" s="88"/>
      <c r="G18" s="88"/>
      <c r="H18" s="88"/>
      <c r="I18" s="88"/>
      <c r="J18" s="88"/>
      <c r="K18" s="88"/>
      <c r="L18" s="88"/>
      <c r="M18" s="88"/>
      <c r="N18" s="1"/>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56"/>
      <c r="ED18" s="56"/>
      <c r="EE18" s="56"/>
      <c r="EF18" s="2"/>
      <c r="EG18" s="2"/>
      <c r="EH18" s="2"/>
      <c r="EI18" s="2"/>
      <c r="EJ18" s="2"/>
      <c r="EK18" s="2"/>
      <c r="EL18" s="2"/>
      <c r="EM18" s="2"/>
      <c r="EN18" s="2"/>
      <c r="EO18" s="2"/>
      <c r="EP18" s="2"/>
      <c r="EQ18" s="2"/>
      <c r="ER18" s="2"/>
      <c r="ES18" s="2"/>
      <c r="ET18" s="2"/>
      <c r="EU18" s="2"/>
      <c r="EV18" s="2"/>
      <c r="EW18" s="2"/>
      <c r="EX18" s="2"/>
      <c r="EY18" s="2"/>
      <c r="EZ18" s="2"/>
      <c r="FA18" s="2"/>
      <c r="FB18" s="2"/>
    </row>
    <row r="19" spans="1:158" ht="32" customHeight="1" x14ac:dyDescent="0.2">
      <c r="A19" s="1"/>
      <c r="B19" s="106" t="str">
        <f>IF(MIN(AS70:AS83)&gt;=99,"03  ·  Once your roster is in, this names the single biggest lever — pricing, leakage, or utilisation — in dollars per year.","03  ·  "&amp;IF(AN87&gt;=AP87,"Realisation is the larger lever — closing the gap from "&amp;TEXT(1-AM87,"0%")&amp;" to 100% realisation is worth "&amp;TEXT(AN87,"$#,##0")&amp;" per year. Pricing discipline, scope control, or write-off process — pick whichever is leaking the most.","Utilisation is the larger lever — lifting blended utilisation by "&amp;TEXT(AO87,"0.0%")&amp;" toward target is worth "&amp;TEXT(AP87,"$#,##0")&amp;" per year, assuming work exists to fill the capacity."))</f>
        <v>03  ·  Once your roster is in, this names the single biggest lever — pricing, leakage, or utilisation — in dollars per year.</v>
      </c>
      <c r="C19" s="88"/>
      <c r="D19" s="88"/>
      <c r="E19" s="88"/>
      <c r="F19" s="88"/>
      <c r="G19" s="88"/>
      <c r="H19" s="88"/>
      <c r="I19" s="88"/>
      <c r="J19" s="88"/>
      <c r="K19" s="88"/>
      <c r="L19" s="88"/>
      <c r="M19" s="88"/>
      <c r="N19" s="1"/>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56"/>
      <c r="ED19" s="56"/>
      <c r="EE19" s="56"/>
      <c r="EF19" s="2"/>
      <c r="EG19" s="2"/>
      <c r="EH19" s="2"/>
      <c r="EI19" s="2"/>
      <c r="EJ19" s="2"/>
      <c r="EK19" s="2"/>
      <c r="EL19" s="2"/>
      <c r="EM19" s="2"/>
      <c r="EN19" s="2"/>
      <c r="EO19" s="2"/>
      <c r="EP19" s="2"/>
      <c r="EQ19" s="2"/>
      <c r="ER19" s="2"/>
      <c r="ES19" s="2"/>
      <c r="ET19" s="2"/>
      <c r="EU19" s="2"/>
      <c r="EV19" s="2"/>
      <c r="EW19" s="2"/>
      <c r="EX19" s="2"/>
      <c r="EY19" s="2"/>
      <c r="EZ19" s="2"/>
      <c r="FA19" s="2"/>
      <c r="FB19" s="2"/>
    </row>
    <row r="20" spans="1:158" ht="18" customHeight="1" x14ac:dyDescent="0.2">
      <c r="A20" s="1"/>
      <c r="B20" s="5" t="s">
        <v>41</v>
      </c>
      <c r="C20" s="1"/>
      <c r="D20" s="1"/>
      <c r="E20" s="1"/>
      <c r="F20" s="1"/>
      <c r="G20" s="1"/>
      <c r="H20" s="1"/>
      <c r="I20" s="1"/>
      <c r="J20" s="1"/>
      <c r="K20" s="1"/>
      <c r="L20" s="1"/>
      <c r="M20" s="1"/>
      <c r="N20" s="1"/>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56"/>
      <c r="ED20" s="56"/>
      <c r="EE20" s="56"/>
      <c r="EF20" s="2"/>
      <c r="EG20" s="2"/>
      <c r="EH20" s="2"/>
      <c r="EI20" s="2"/>
      <c r="EJ20" s="2"/>
      <c r="EK20" s="2"/>
      <c r="EL20" s="2"/>
      <c r="EM20" s="2"/>
      <c r="EN20" s="2"/>
      <c r="EO20" s="2"/>
      <c r="EP20" s="2"/>
      <c r="EQ20" s="2"/>
      <c r="ER20" s="2"/>
      <c r="ES20" s="2"/>
      <c r="ET20" s="2"/>
      <c r="EU20" s="2"/>
      <c r="EV20" s="2"/>
      <c r="EW20" s="2"/>
      <c r="EX20" s="2"/>
      <c r="EY20" s="2"/>
      <c r="EZ20" s="2"/>
      <c r="FA20" s="2"/>
      <c r="FB20" s="2"/>
    </row>
    <row r="21" spans="1:158" ht="30" customHeight="1" x14ac:dyDescent="0.2">
      <c r="A21" s="1"/>
      <c r="B21" s="101">
        <f>AP87</f>
        <v>0</v>
      </c>
      <c r="C21" s="88"/>
      <c r="D21" s="88"/>
      <c r="E21" s="2"/>
      <c r="F21" s="101">
        <f>AN87</f>
        <v>0</v>
      </c>
      <c r="G21" s="88"/>
      <c r="H21" s="88"/>
      <c r="I21" s="1"/>
      <c r="J21" s="1"/>
      <c r="K21" s="1"/>
      <c r="L21" s="1"/>
      <c r="M21" s="1"/>
      <c r="N21" s="1"/>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56"/>
      <c r="ED21" s="56"/>
      <c r="EE21" s="56"/>
      <c r="EF21" s="2"/>
      <c r="EG21" s="2"/>
      <c r="EH21" s="2"/>
      <c r="EI21" s="2"/>
      <c r="EJ21" s="2"/>
      <c r="EK21" s="2"/>
      <c r="EL21" s="2"/>
      <c r="EM21" s="2"/>
      <c r="EN21" s="2"/>
      <c r="EO21" s="2"/>
      <c r="EP21" s="2"/>
      <c r="EQ21" s="2"/>
      <c r="ER21" s="2"/>
      <c r="ES21" s="2"/>
      <c r="ET21" s="2"/>
      <c r="EU21" s="2"/>
      <c r="EV21" s="2"/>
      <c r="EW21" s="2"/>
      <c r="EX21" s="2"/>
      <c r="EY21" s="2"/>
      <c r="EZ21" s="2"/>
      <c r="FA21" s="2"/>
      <c r="FB21" s="2"/>
    </row>
    <row r="22" spans="1:158" ht="16" customHeight="1" x14ac:dyDescent="0.2">
      <c r="A22" s="1"/>
      <c r="B22" s="94" t="s">
        <v>42</v>
      </c>
      <c r="C22" s="88"/>
      <c r="D22" s="88"/>
      <c r="E22" s="2"/>
      <c r="F22" s="94" t="s">
        <v>43</v>
      </c>
      <c r="G22" s="88"/>
      <c r="H22" s="88"/>
      <c r="I22" s="1"/>
      <c r="J22" s="1"/>
      <c r="K22" s="1"/>
      <c r="L22" s="1"/>
      <c r="M22" s="1"/>
      <c r="N22" s="1"/>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56"/>
      <c r="ED22" s="56"/>
      <c r="EE22" s="56"/>
      <c r="EF22" s="2"/>
      <c r="EG22" s="2"/>
      <c r="EH22" s="2"/>
      <c r="EI22" s="2"/>
      <c r="EJ22" s="2"/>
      <c r="EK22" s="2"/>
      <c r="EL22" s="2"/>
      <c r="EM22" s="2"/>
      <c r="EN22" s="2"/>
      <c r="EO22" s="2"/>
      <c r="EP22" s="2"/>
      <c r="EQ22" s="2"/>
      <c r="ER22" s="2"/>
      <c r="ES22" s="2"/>
      <c r="ET22" s="2"/>
      <c r="EU22" s="2"/>
      <c r="EV22" s="2"/>
      <c r="EW22" s="2"/>
      <c r="EX22" s="2"/>
      <c r="EY22" s="2"/>
      <c r="EZ22" s="2"/>
      <c r="FA22" s="2"/>
      <c r="FB22" s="2"/>
    </row>
    <row r="23" spans="1:158" x14ac:dyDescent="0.2">
      <c r="A23" s="1"/>
      <c r="B23" s="1"/>
      <c r="C23" s="1"/>
      <c r="D23" s="1"/>
      <c r="E23" s="1"/>
      <c r="F23" s="1"/>
      <c r="G23" s="1"/>
      <c r="H23" s="1"/>
      <c r="I23" s="1"/>
      <c r="J23" s="1"/>
      <c r="K23" s="1"/>
      <c r="L23" s="1"/>
      <c r="M23" s="1"/>
      <c r="N23" s="1"/>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56"/>
      <c r="ED23" s="56"/>
      <c r="EE23" s="56"/>
      <c r="EF23" s="2"/>
      <c r="EG23" s="2"/>
      <c r="EH23" s="2"/>
      <c r="EI23" s="2"/>
      <c r="EJ23" s="2"/>
      <c r="EK23" s="2"/>
      <c r="EL23" s="2"/>
      <c r="EM23" s="2"/>
      <c r="EN23" s="2"/>
      <c r="EO23" s="2"/>
      <c r="EP23" s="2"/>
      <c r="EQ23" s="2"/>
      <c r="ER23" s="2"/>
      <c r="ES23" s="2"/>
      <c r="ET23" s="2"/>
      <c r="EU23" s="2"/>
      <c r="EV23" s="2"/>
      <c r="EW23" s="2"/>
      <c r="EX23" s="2"/>
      <c r="EY23" s="2"/>
      <c r="EZ23" s="2"/>
      <c r="FA23" s="2"/>
      <c r="FB23" s="2"/>
    </row>
    <row r="24" spans="1:158" x14ac:dyDescent="0.2">
      <c r="A24" s="1"/>
      <c r="B24" s="86" t="s">
        <v>362</v>
      </c>
      <c r="C24" s="86"/>
      <c r="D24" s="86"/>
      <c r="E24" s="86"/>
      <c r="F24" s="86"/>
      <c r="G24" s="86"/>
      <c r="H24" s="86"/>
      <c r="I24" s="86"/>
      <c r="J24" s="1"/>
      <c r="K24" s="1"/>
      <c r="L24" s="1"/>
      <c r="M24" s="1"/>
      <c r="N24" s="1"/>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56"/>
      <c r="ED24" s="56"/>
      <c r="EE24" s="56"/>
      <c r="EF24" s="2"/>
      <c r="EG24" s="2"/>
      <c r="EH24" s="2"/>
      <c r="EI24" s="2"/>
      <c r="EJ24" s="2"/>
      <c r="EK24" s="2"/>
      <c r="EL24" s="2"/>
      <c r="EM24" s="2"/>
      <c r="EN24" s="2"/>
      <c r="EO24" s="2"/>
      <c r="EP24" s="2"/>
      <c r="EQ24" s="2"/>
      <c r="ER24" s="2"/>
      <c r="ES24" s="2"/>
      <c r="ET24" s="2"/>
      <c r="EU24" s="2"/>
      <c r="EV24" s="2"/>
      <c r="EW24" s="2"/>
      <c r="EX24" s="2"/>
      <c r="EY24" s="2"/>
      <c r="EZ24" s="2"/>
      <c r="FA24" s="2"/>
      <c r="FB24" s="2"/>
    </row>
    <row r="25" spans="1:158" ht="20" customHeight="1" x14ac:dyDescent="0.2">
      <c r="A25" s="1"/>
      <c r="B25" s="1"/>
      <c r="C25" s="1"/>
      <c r="D25" s="1"/>
      <c r="E25" s="1"/>
      <c r="F25" s="1"/>
      <c r="G25" s="1"/>
      <c r="H25" s="1"/>
      <c r="I25" s="1"/>
      <c r="J25" s="1"/>
      <c r="K25" s="1"/>
      <c r="L25" s="1"/>
      <c r="M25" s="1"/>
      <c r="N25" s="1"/>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56"/>
      <c r="ED25" s="56"/>
      <c r="EE25" s="56"/>
      <c r="EF25" s="2"/>
      <c r="EG25" s="2"/>
      <c r="EH25" s="2"/>
      <c r="EI25" s="2"/>
      <c r="EJ25" s="2"/>
      <c r="EK25" s="2"/>
      <c r="EL25" s="2"/>
      <c r="EM25" s="2"/>
      <c r="EN25" s="2"/>
      <c r="EO25" s="2"/>
      <c r="EP25" s="2"/>
      <c r="EQ25" s="2"/>
      <c r="ER25" s="2"/>
      <c r="ES25" s="2"/>
      <c r="ET25" s="2"/>
      <c r="EU25" s="2"/>
      <c r="EV25" s="2"/>
      <c r="EW25" s="2"/>
      <c r="EX25" s="2"/>
      <c r="EY25" s="2"/>
      <c r="EZ25" s="2"/>
      <c r="FA25" s="2"/>
      <c r="FB25" s="2"/>
    </row>
    <row r="26" spans="1:158" x14ac:dyDescent="0.2">
      <c r="A26" s="1"/>
      <c r="B26" s="5" t="s">
        <v>44</v>
      </c>
      <c r="C26" s="1"/>
      <c r="D26" s="1"/>
      <c r="E26" s="1"/>
      <c r="F26" s="1"/>
      <c r="G26" s="1"/>
      <c r="H26" s="1"/>
      <c r="I26" s="1"/>
      <c r="J26" s="1"/>
      <c r="K26" s="1"/>
      <c r="L26" s="1"/>
      <c r="M26" s="1"/>
      <c r="N26" s="1"/>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56"/>
      <c r="ED26" s="56"/>
      <c r="EE26" s="56"/>
      <c r="EF26" s="2"/>
      <c r="EG26" s="2"/>
      <c r="EH26" s="2"/>
      <c r="EI26" s="2"/>
      <c r="EJ26" s="2"/>
      <c r="EK26" s="2"/>
      <c r="EL26" s="2"/>
      <c r="EM26" s="2"/>
      <c r="EN26" s="2"/>
      <c r="EO26" s="2"/>
      <c r="EP26" s="2"/>
      <c r="EQ26" s="2"/>
      <c r="ER26" s="2"/>
      <c r="ES26" s="2"/>
      <c r="ET26" s="2"/>
      <c r="EU26" s="2"/>
      <c r="EV26" s="2"/>
      <c r="EW26" s="2"/>
      <c r="EX26" s="2"/>
      <c r="EY26" s="2"/>
      <c r="EZ26" s="2"/>
      <c r="FA26" s="2"/>
      <c r="FB26" s="2"/>
    </row>
    <row r="27" spans="1:158" x14ac:dyDescent="0.2">
      <c r="A27" s="1"/>
      <c r="B27" s="1"/>
      <c r="C27" s="1"/>
      <c r="D27" s="1"/>
      <c r="E27" s="1"/>
      <c r="F27" s="1"/>
      <c r="G27" s="1"/>
      <c r="H27" s="1"/>
      <c r="I27" s="1"/>
      <c r="J27" s="1"/>
      <c r="K27" s="1"/>
      <c r="L27" s="1"/>
      <c r="M27" s="1"/>
      <c r="N27" s="1"/>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56"/>
      <c r="ED27" s="56"/>
      <c r="EE27" s="56"/>
      <c r="EF27" s="2"/>
      <c r="EG27" s="2"/>
      <c r="EH27" s="2"/>
      <c r="EI27" s="2"/>
      <c r="EJ27" s="2"/>
      <c r="EK27" s="2"/>
      <c r="EL27" s="2"/>
      <c r="EM27" s="2"/>
      <c r="EN27" s="2"/>
      <c r="EO27" s="2"/>
      <c r="EP27" s="2"/>
      <c r="EQ27" s="2"/>
      <c r="ER27" s="2"/>
      <c r="ES27" s="2"/>
      <c r="ET27" s="2"/>
      <c r="EU27" s="2"/>
      <c r="EV27" s="2"/>
      <c r="EW27" s="2"/>
      <c r="EX27" s="2"/>
      <c r="EY27" s="2"/>
      <c r="EZ27" s="2"/>
      <c r="FA27" s="2"/>
      <c r="FB27" s="2"/>
    </row>
    <row r="28" spans="1:158" x14ac:dyDescent="0.2">
      <c r="A28" s="1"/>
      <c r="B28" s="1"/>
      <c r="C28" s="1"/>
      <c r="D28" s="1"/>
      <c r="E28" s="1"/>
      <c r="F28" s="1"/>
      <c r="G28" s="1"/>
      <c r="H28" s="1"/>
      <c r="I28" s="1"/>
      <c r="J28" s="1"/>
      <c r="K28" s="1"/>
      <c r="L28" s="1"/>
      <c r="M28" s="1"/>
      <c r="N28" s="1"/>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56"/>
      <c r="ED28" s="56"/>
      <c r="EE28" s="56"/>
      <c r="EF28" s="2"/>
      <c r="EG28" s="2"/>
      <c r="EH28" s="2"/>
      <c r="EI28" s="2"/>
      <c r="EJ28" s="2"/>
      <c r="EK28" s="2"/>
      <c r="EL28" s="2"/>
      <c r="EM28" s="2"/>
      <c r="EN28" s="2"/>
      <c r="EO28" s="2"/>
      <c r="EP28" s="2"/>
      <c r="EQ28" s="2"/>
      <c r="ER28" s="2"/>
      <c r="ES28" s="2"/>
      <c r="ET28" s="2"/>
      <c r="EU28" s="2"/>
      <c r="EV28" s="2"/>
      <c r="EW28" s="2"/>
      <c r="EX28" s="2"/>
      <c r="EY28" s="2"/>
      <c r="EZ28" s="2"/>
      <c r="FA28" s="2"/>
      <c r="FB28" s="2"/>
    </row>
    <row r="29" spans="1:158" x14ac:dyDescent="0.2">
      <c r="A29" s="1"/>
      <c r="B29" s="1"/>
      <c r="C29" s="1"/>
      <c r="D29" s="1"/>
      <c r="E29" s="1"/>
      <c r="F29" s="1"/>
      <c r="G29" s="1"/>
      <c r="H29" s="1"/>
      <c r="I29" s="1"/>
      <c r="J29" s="1"/>
      <c r="K29" s="1"/>
      <c r="L29" s="1"/>
      <c r="M29" s="1"/>
      <c r="N29" s="1"/>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56"/>
      <c r="ED29" s="56"/>
      <c r="EE29" s="56"/>
      <c r="EF29" s="2"/>
      <c r="EG29" s="2"/>
      <c r="EH29" s="2"/>
      <c r="EI29" s="2"/>
      <c r="EJ29" s="2"/>
      <c r="EK29" s="2"/>
      <c r="EL29" s="2"/>
      <c r="EM29" s="2"/>
      <c r="EN29" s="2"/>
      <c r="EO29" s="2"/>
      <c r="EP29" s="2"/>
      <c r="EQ29" s="2"/>
      <c r="ER29" s="2"/>
      <c r="ES29" s="2"/>
      <c r="ET29" s="2"/>
      <c r="EU29" s="2"/>
      <c r="EV29" s="2"/>
      <c r="EW29" s="2"/>
      <c r="EX29" s="2"/>
      <c r="EY29" s="2"/>
      <c r="EZ29" s="2"/>
      <c r="FA29" s="2"/>
      <c r="FB29" s="2"/>
    </row>
    <row r="30" spans="1:158" x14ac:dyDescent="0.2">
      <c r="A30" s="1"/>
      <c r="B30" s="1"/>
      <c r="C30" s="1"/>
      <c r="D30" s="1"/>
      <c r="E30" s="1"/>
      <c r="F30" s="1"/>
      <c r="G30" s="1"/>
      <c r="H30" s="1"/>
      <c r="I30" s="1"/>
      <c r="J30" s="1"/>
      <c r="K30" s="1"/>
      <c r="L30" s="1"/>
      <c r="M30" s="1"/>
      <c r="N30" s="1"/>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56"/>
      <c r="ED30" s="56"/>
      <c r="EE30" s="56"/>
      <c r="EF30" s="2"/>
      <c r="EG30" s="2"/>
      <c r="EH30" s="2"/>
      <c r="EI30" s="2"/>
      <c r="EJ30" s="2"/>
      <c r="EK30" s="2"/>
      <c r="EL30" s="2"/>
      <c r="EM30" s="2"/>
      <c r="EN30" s="2"/>
      <c r="EO30" s="2"/>
      <c r="EP30" s="2"/>
      <c r="EQ30" s="2"/>
      <c r="ER30" s="2"/>
      <c r="ES30" s="2"/>
      <c r="ET30" s="2"/>
      <c r="EU30" s="2"/>
      <c r="EV30" s="2"/>
      <c r="EW30" s="2"/>
      <c r="EX30" s="2"/>
      <c r="EY30" s="2"/>
      <c r="EZ30" s="2"/>
      <c r="FA30" s="2"/>
      <c r="FB30" s="2"/>
    </row>
    <row r="31" spans="1:158" x14ac:dyDescent="0.2">
      <c r="A31" s="1"/>
      <c r="B31" s="1"/>
      <c r="C31" s="1"/>
      <c r="D31" s="1"/>
      <c r="E31" s="1"/>
      <c r="F31" s="1"/>
      <c r="G31" s="1"/>
      <c r="H31" s="1"/>
      <c r="I31" s="1"/>
      <c r="J31" s="1"/>
      <c r="K31" s="1"/>
      <c r="L31" s="1"/>
      <c r="M31" s="1"/>
      <c r="N31" s="1"/>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56"/>
      <c r="ED31" s="56"/>
      <c r="EE31" s="56"/>
      <c r="EF31" s="2"/>
      <c r="EG31" s="2"/>
      <c r="EH31" s="2"/>
      <c r="EI31" s="2"/>
      <c r="EJ31" s="2"/>
      <c r="EK31" s="2"/>
      <c r="EL31" s="2"/>
      <c r="EM31" s="2"/>
      <c r="EN31" s="2"/>
      <c r="EO31" s="2"/>
      <c r="EP31" s="2"/>
      <c r="EQ31" s="2"/>
      <c r="ER31" s="2"/>
      <c r="ES31" s="2"/>
      <c r="ET31" s="2"/>
      <c r="EU31" s="2"/>
      <c r="EV31" s="2"/>
      <c r="EW31" s="2"/>
      <c r="EX31" s="2"/>
      <c r="EY31" s="2"/>
      <c r="EZ31" s="2"/>
      <c r="FA31" s="2"/>
      <c r="FB31" s="2"/>
    </row>
    <row r="32" spans="1:158" x14ac:dyDescent="0.2">
      <c r="A32" s="1"/>
      <c r="B32" s="1"/>
      <c r="C32" s="1"/>
      <c r="D32" s="1"/>
      <c r="E32" s="1"/>
      <c r="F32" s="1"/>
      <c r="G32" s="1"/>
      <c r="H32" s="1"/>
      <c r="I32" s="1"/>
      <c r="J32" s="1"/>
      <c r="K32" s="1"/>
      <c r="L32" s="1"/>
      <c r="M32" s="1"/>
      <c r="N32" s="1"/>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56"/>
      <c r="ED32" s="56"/>
      <c r="EE32" s="56"/>
      <c r="EF32" s="2"/>
      <c r="EG32" s="2"/>
      <c r="EH32" s="2"/>
      <c r="EI32" s="2"/>
      <c r="EJ32" s="2"/>
      <c r="EK32" s="2"/>
      <c r="EL32" s="2"/>
      <c r="EM32" s="2"/>
      <c r="EN32" s="2"/>
      <c r="EO32" s="2"/>
      <c r="EP32" s="2"/>
      <c r="EQ32" s="2"/>
      <c r="ER32" s="2"/>
      <c r="ES32" s="2"/>
      <c r="ET32" s="2"/>
      <c r="EU32" s="2"/>
      <c r="EV32" s="2"/>
      <c r="EW32" s="2"/>
      <c r="EX32" s="2"/>
      <c r="EY32" s="2"/>
      <c r="EZ32" s="2"/>
      <c r="FA32" s="2"/>
      <c r="FB32" s="2"/>
    </row>
    <row r="33" spans="1:158" x14ac:dyDescent="0.2">
      <c r="A33" s="1"/>
      <c r="B33" s="1"/>
      <c r="C33" s="1"/>
      <c r="D33" s="1"/>
      <c r="E33" s="1"/>
      <c r="F33" s="1"/>
      <c r="G33" s="1"/>
      <c r="H33" s="1"/>
      <c r="I33" s="1"/>
      <c r="J33" s="1"/>
      <c r="K33" s="1"/>
      <c r="L33" s="1"/>
      <c r="M33" s="1"/>
      <c r="N33" s="1"/>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56"/>
      <c r="ED33" s="56"/>
      <c r="EE33" s="56"/>
      <c r="EF33" s="2"/>
      <c r="EG33" s="2"/>
      <c r="EH33" s="2"/>
      <c r="EI33" s="2"/>
      <c r="EJ33" s="2"/>
      <c r="EK33" s="2"/>
      <c r="EL33" s="2"/>
      <c r="EM33" s="2"/>
      <c r="EN33" s="2"/>
      <c r="EO33" s="2"/>
      <c r="EP33" s="2"/>
      <c r="EQ33" s="2"/>
      <c r="ER33" s="2"/>
      <c r="ES33" s="2"/>
      <c r="ET33" s="2"/>
      <c r="EU33" s="2"/>
      <c r="EV33" s="2"/>
      <c r="EW33" s="2"/>
      <c r="EX33" s="2"/>
      <c r="EY33" s="2"/>
      <c r="EZ33" s="2"/>
      <c r="FA33" s="2"/>
      <c r="FB33" s="2"/>
    </row>
    <row r="34" spans="1:158" x14ac:dyDescent="0.2">
      <c r="A34" s="1"/>
      <c r="B34" s="1"/>
      <c r="C34" s="1"/>
      <c r="D34" s="1"/>
      <c r="E34" s="1"/>
      <c r="F34" s="1"/>
      <c r="G34" s="1"/>
      <c r="H34" s="1"/>
      <c r="I34" s="1"/>
      <c r="J34" s="1"/>
      <c r="K34" s="1"/>
      <c r="L34" s="1"/>
      <c r="M34" s="1"/>
      <c r="N34" s="1"/>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56"/>
      <c r="ED34" s="56"/>
      <c r="EE34" s="56"/>
      <c r="EF34" s="2"/>
      <c r="EG34" s="2"/>
      <c r="EH34" s="2"/>
      <c r="EI34" s="2"/>
      <c r="EJ34" s="2"/>
      <c r="EK34" s="2"/>
      <c r="EL34" s="2"/>
      <c r="EM34" s="2"/>
      <c r="EN34" s="2"/>
      <c r="EO34" s="2"/>
      <c r="EP34" s="2"/>
      <c r="EQ34" s="2"/>
      <c r="ER34" s="2"/>
      <c r="ES34" s="2"/>
      <c r="ET34" s="2"/>
      <c r="EU34" s="2"/>
      <c r="EV34" s="2"/>
      <c r="EW34" s="2"/>
      <c r="EX34" s="2"/>
      <c r="EY34" s="2"/>
      <c r="EZ34" s="2"/>
      <c r="FA34" s="2"/>
      <c r="FB34" s="2"/>
    </row>
    <row r="35" spans="1:158" x14ac:dyDescent="0.2">
      <c r="A35" s="1"/>
      <c r="B35" s="1"/>
      <c r="C35" s="1"/>
      <c r="D35" s="1"/>
      <c r="E35" s="1"/>
      <c r="F35" s="1"/>
      <c r="G35" s="1"/>
      <c r="H35" s="1"/>
      <c r="I35" s="1"/>
      <c r="J35" s="1"/>
      <c r="K35" s="1"/>
      <c r="L35" s="1"/>
      <c r="M35" s="1"/>
      <c r="N35" s="1"/>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56"/>
      <c r="ED35" s="56"/>
      <c r="EE35" s="56"/>
      <c r="EF35" s="2"/>
      <c r="EG35" s="2"/>
      <c r="EH35" s="2"/>
      <c r="EI35" s="2"/>
      <c r="EJ35" s="2"/>
      <c r="EK35" s="2"/>
      <c r="EL35" s="2"/>
      <c r="EM35" s="2"/>
      <c r="EN35" s="2"/>
      <c r="EO35" s="2"/>
      <c r="EP35" s="2"/>
      <c r="EQ35" s="2"/>
      <c r="ER35" s="2"/>
      <c r="ES35" s="2"/>
      <c r="ET35" s="2"/>
      <c r="EU35" s="2"/>
      <c r="EV35" s="2"/>
      <c r="EW35" s="2"/>
      <c r="EX35" s="2"/>
      <c r="EY35" s="2"/>
      <c r="EZ35" s="2"/>
      <c r="FA35" s="2"/>
      <c r="FB35" s="2"/>
    </row>
    <row r="36" spans="1:158" x14ac:dyDescent="0.2">
      <c r="A36" s="1"/>
      <c r="B36" s="1"/>
      <c r="C36" s="1"/>
      <c r="D36" s="1"/>
      <c r="E36" s="1"/>
      <c r="F36" s="1"/>
      <c r="G36" s="1"/>
      <c r="H36" s="1"/>
      <c r="I36" s="1"/>
      <c r="J36" s="1"/>
      <c r="K36" s="1"/>
      <c r="L36" s="1"/>
      <c r="M36" s="1"/>
      <c r="N36" s="1"/>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56"/>
      <c r="ED36" s="56"/>
      <c r="EE36" s="56"/>
      <c r="EF36" s="2"/>
      <c r="EG36" s="2"/>
      <c r="EH36" s="2"/>
      <c r="EI36" s="2"/>
      <c r="EJ36" s="2"/>
      <c r="EK36" s="2"/>
      <c r="EL36" s="2"/>
      <c r="EM36" s="2"/>
      <c r="EN36" s="2"/>
      <c r="EO36" s="2"/>
      <c r="EP36" s="2"/>
      <c r="EQ36" s="2"/>
      <c r="ER36" s="2"/>
      <c r="ES36" s="2"/>
      <c r="ET36" s="2"/>
      <c r="EU36" s="2"/>
      <c r="EV36" s="2"/>
      <c r="EW36" s="2"/>
      <c r="EX36" s="2"/>
      <c r="EY36" s="2"/>
      <c r="EZ36" s="2"/>
      <c r="FA36" s="2"/>
      <c r="FB36" s="2"/>
    </row>
    <row r="37" spans="1:158" x14ac:dyDescent="0.2">
      <c r="A37" s="1"/>
      <c r="B37" s="1"/>
      <c r="C37" s="1"/>
      <c r="D37" s="1"/>
      <c r="E37" s="1"/>
      <c r="F37" s="1"/>
      <c r="G37" s="1"/>
      <c r="H37" s="1"/>
      <c r="I37" s="1"/>
      <c r="J37" s="1"/>
      <c r="K37" s="1"/>
      <c r="L37" s="1"/>
      <c r="M37" s="1"/>
      <c r="N37" s="1"/>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56"/>
      <c r="ED37" s="56"/>
      <c r="EE37" s="56"/>
      <c r="EF37" s="2"/>
      <c r="EG37" s="2"/>
      <c r="EH37" s="2"/>
      <c r="EI37" s="2"/>
      <c r="EJ37" s="2"/>
      <c r="EK37" s="2"/>
      <c r="EL37" s="2"/>
      <c r="EM37" s="2"/>
      <c r="EN37" s="2"/>
      <c r="EO37" s="2"/>
      <c r="EP37" s="2"/>
      <c r="EQ37" s="2"/>
      <c r="ER37" s="2"/>
      <c r="ES37" s="2"/>
      <c r="ET37" s="2"/>
      <c r="EU37" s="2"/>
      <c r="EV37" s="2"/>
      <c r="EW37" s="2"/>
      <c r="EX37" s="2"/>
      <c r="EY37" s="2"/>
      <c r="EZ37" s="2"/>
      <c r="FA37" s="2"/>
      <c r="FB37" s="2"/>
    </row>
    <row r="38" spans="1:158" x14ac:dyDescent="0.2">
      <c r="A38" s="1"/>
      <c r="B38" s="1"/>
      <c r="C38" s="1"/>
      <c r="D38" s="1"/>
      <c r="E38" s="1"/>
      <c r="F38" s="1"/>
      <c r="G38" s="1"/>
      <c r="H38" s="1"/>
      <c r="I38" s="1"/>
      <c r="J38" s="1"/>
      <c r="K38" s="1"/>
      <c r="L38" s="1"/>
      <c r="M38" s="1"/>
      <c r="N38" s="1"/>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56"/>
      <c r="ED38" s="56"/>
      <c r="EE38" s="56"/>
      <c r="EF38" s="2"/>
      <c r="EG38" s="2"/>
      <c r="EH38" s="2"/>
      <c r="EI38" s="2"/>
      <c r="EJ38" s="2"/>
      <c r="EK38" s="2"/>
      <c r="EL38" s="2"/>
      <c r="EM38" s="2"/>
      <c r="EN38" s="2"/>
      <c r="EO38" s="2"/>
      <c r="EP38" s="2"/>
      <c r="EQ38" s="2"/>
      <c r="ER38" s="2"/>
      <c r="ES38" s="2"/>
      <c r="ET38" s="2"/>
      <c r="EU38" s="2"/>
      <c r="EV38" s="2"/>
      <c r="EW38" s="2"/>
      <c r="EX38" s="2"/>
      <c r="EY38" s="2"/>
      <c r="EZ38" s="2"/>
      <c r="FA38" s="2"/>
      <c r="FB38" s="2"/>
    </row>
    <row r="39" spans="1:158" x14ac:dyDescent="0.2">
      <c r="A39" s="1"/>
      <c r="B39" s="1"/>
      <c r="C39" s="1"/>
      <c r="D39" s="1"/>
      <c r="E39" s="1"/>
      <c r="F39" s="1"/>
      <c r="G39" s="1"/>
      <c r="H39" s="1"/>
      <c r="I39" s="1"/>
      <c r="J39" s="1"/>
      <c r="K39" s="1"/>
      <c r="L39" s="1"/>
      <c r="M39" s="1"/>
      <c r="N39" s="1"/>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9" t="s">
        <v>45</v>
      </c>
      <c r="DF39" s="29" t="s">
        <v>46</v>
      </c>
      <c r="DG39" s="29" t="s">
        <v>47</v>
      </c>
      <c r="DH39" s="29" t="s">
        <v>48</v>
      </c>
      <c r="DI39" s="29" t="s">
        <v>49</v>
      </c>
      <c r="DJ39" s="29" t="s">
        <v>50</v>
      </c>
      <c r="DK39" s="29" t="s">
        <v>51</v>
      </c>
      <c r="DL39" s="29" t="s">
        <v>52</v>
      </c>
      <c r="DM39" s="29" t="s">
        <v>53</v>
      </c>
      <c r="DN39" s="29" t="s">
        <v>54</v>
      </c>
      <c r="DO39" s="29" t="s">
        <v>55</v>
      </c>
      <c r="DP39" s="29" t="s">
        <v>56</v>
      </c>
      <c r="DQ39" s="2"/>
      <c r="DR39" s="2"/>
      <c r="DS39" s="2"/>
      <c r="DT39" s="2"/>
      <c r="DU39" s="2"/>
      <c r="DV39" s="2"/>
      <c r="DW39" s="2"/>
      <c r="DX39" s="2"/>
      <c r="DY39" s="2"/>
      <c r="DZ39" s="2"/>
      <c r="EA39" s="2"/>
      <c r="EB39" s="2"/>
      <c r="EC39" s="56"/>
      <c r="ED39" s="56"/>
      <c r="EE39" s="56"/>
      <c r="EF39" s="2"/>
      <c r="EG39" s="2"/>
      <c r="EH39" s="2"/>
      <c r="EI39" s="2"/>
      <c r="EJ39" s="2"/>
      <c r="EK39" s="2"/>
      <c r="EL39" s="2"/>
      <c r="EM39" s="2"/>
      <c r="EN39" s="2"/>
      <c r="EO39" s="2"/>
      <c r="EP39" s="2"/>
      <c r="EQ39" s="2"/>
      <c r="ER39" s="2"/>
      <c r="ES39" s="2"/>
      <c r="ET39" s="29" t="s">
        <v>45</v>
      </c>
      <c r="EU39" s="29" t="s">
        <v>46</v>
      </c>
      <c r="EV39" s="29" t="s">
        <v>47</v>
      </c>
      <c r="EW39" s="29" t="s">
        <v>49</v>
      </c>
      <c r="EX39" s="29" t="s">
        <v>50</v>
      </c>
      <c r="EY39" s="29" t="s">
        <v>51</v>
      </c>
      <c r="EZ39" s="29" t="s">
        <v>53</v>
      </c>
      <c r="FA39" s="29" t="s">
        <v>54</v>
      </c>
      <c r="FB39" s="29" t="s">
        <v>55</v>
      </c>
    </row>
    <row r="40" spans="1:158" x14ac:dyDescent="0.2">
      <c r="A40" s="1"/>
      <c r="B40" s="1"/>
      <c r="C40" s="1"/>
      <c r="D40" s="1"/>
      <c r="E40" s="1"/>
      <c r="F40" s="1"/>
      <c r="G40" s="1"/>
      <c r="H40" s="1"/>
      <c r="I40" s="1"/>
      <c r="J40" s="1"/>
      <c r="K40" s="1"/>
      <c r="L40" s="1"/>
      <c r="M40" s="1"/>
      <c r="N40" s="1"/>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9">
        <f>IFERROR(INDEX($Z$70:$Z$83,MATCH(1,$DB$70:$DB$83,0)),0)</f>
        <v>0</v>
      </c>
      <c r="DF40" s="29" t="str">
        <f>IFERROR(INDEX($AB$70:$AB$83,MATCH(1,$DB$70:$DB$83,0)),"")</f>
        <v/>
      </c>
      <c r="DG40" s="29" t="str">
        <f>IFERROR(SQRT(INDEX($AK$70:$AK$83,MATCH(1,$DB$70:$DB$83,0)))/80,"")</f>
        <v/>
      </c>
      <c r="DH40" s="29" t="str">
        <f>IFERROR(INDEX($R$70:$R$83,MATCH(1,$DB$70:$DB$83,0)),"")</f>
        <v/>
      </c>
      <c r="DI40" s="29">
        <f>IFERROR(INDEX($Z$70:$Z$83,MATCH(1,$DC$70:$DC$83,0)),0)</f>
        <v>0</v>
      </c>
      <c r="DJ40" s="29" t="str">
        <f>IFERROR(INDEX($AB$70:$AB$83,MATCH(1,$DC$70:$DC$83,0)),"")</f>
        <v/>
      </c>
      <c r="DK40" s="29" t="str">
        <f>IFERROR(SQRT(INDEX($AK$70:$AK$83,MATCH(1,$DC$70:$DC$83,0)))/80,"")</f>
        <v/>
      </c>
      <c r="DL40" s="29" t="str">
        <f>IFERROR(INDEX($R$70:$R$83,MATCH(1,$DC$70:$DC$83,0)),"")</f>
        <v/>
      </c>
      <c r="DM40" s="29">
        <f>IFERROR(INDEX($Z$70:$Z$83,MATCH(1,$DD$70:$DD$83,0)),0)</f>
        <v>0</v>
      </c>
      <c r="DN40" s="29" t="str">
        <f>IFERROR(INDEX($AB$70:$AB$83,MATCH(1,$DD$70:$DD$83,0)),"")</f>
        <v/>
      </c>
      <c r="DO40" s="29" t="str">
        <f>IFERROR(SQRT(INDEX($AK$70:$AK$83,MATCH(1,$DD$70:$DD$83,0)))/80,"")</f>
        <v/>
      </c>
      <c r="DP40" s="29" t="str">
        <f>IFERROR(INDEX($R$70:$R$83,MATCH(1,$DD$70:$DD$83,0)),"")</f>
        <v/>
      </c>
      <c r="DQ40" s="2"/>
      <c r="DR40" s="2"/>
      <c r="DS40" s="2"/>
      <c r="DT40" s="2"/>
      <c r="DU40" s="2"/>
      <c r="DV40" s="2"/>
      <c r="DW40" s="2"/>
      <c r="DX40" s="2"/>
      <c r="DY40" s="2"/>
      <c r="DZ40" s="2"/>
      <c r="EA40" s="2"/>
      <c r="EB40" s="2"/>
      <c r="EC40" s="56"/>
      <c r="ED40" s="56"/>
      <c r="EE40" s="56"/>
      <c r="EF40" s="2"/>
      <c r="EG40" s="2"/>
      <c r="EH40" s="2"/>
      <c r="EI40" s="2"/>
      <c r="EJ40" s="2"/>
      <c r="EK40" s="2"/>
      <c r="EL40" s="2"/>
      <c r="EM40" s="2"/>
      <c r="EN40" s="2"/>
      <c r="EO40" s="2"/>
      <c r="EP40" s="2"/>
      <c r="EQ40" s="2"/>
      <c r="ER40" s="2"/>
      <c r="ES40" s="2"/>
      <c r="ET40" s="29">
        <f t="shared" ref="ET40:ET53" si="0">DE40</f>
        <v>0</v>
      </c>
      <c r="EU40" s="29" t="str">
        <f t="shared" ref="EU40:EU53" si="1">DF40</f>
        <v/>
      </c>
      <c r="EV40" s="29" t="str">
        <f t="shared" ref="EV40:EV53" si="2">DG40</f>
        <v/>
      </c>
      <c r="EW40" s="29">
        <f t="shared" ref="EW40:EW53" si="3">DI40</f>
        <v>0</v>
      </c>
      <c r="EX40" s="29" t="str">
        <f t="shared" ref="EX40:EX53" si="4">DJ40</f>
        <v/>
      </c>
      <c r="EY40" s="29" t="str">
        <f t="shared" ref="EY40:EY53" si="5">DK40</f>
        <v/>
      </c>
      <c r="EZ40" s="29">
        <f t="shared" ref="EZ40:EZ53" si="6">DM40</f>
        <v>0</v>
      </c>
      <c r="FA40" s="29" t="str">
        <f t="shared" ref="FA40:FA53" si="7">DN40</f>
        <v/>
      </c>
      <c r="FB40" s="29" t="str">
        <f t="shared" ref="FB40:FB53" si="8">DO40</f>
        <v/>
      </c>
    </row>
    <row r="41" spans="1:158" x14ac:dyDescent="0.2">
      <c r="A41" s="1"/>
      <c r="B41" s="1"/>
      <c r="C41" s="1"/>
      <c r="D41" s="1"/>
      <c r="E41" s="1"/>
      <c r="F41" s="1"/>
      <c r="G41" s="1"/>
      <c r="H41" s="1"/>
      <c r="I41" s="1"/>
      <c r="J41" s="1"/>
      <c r="K41" s="1"/>
      <c r="L41" s="1"/>
      <c r="M41" s="1"/>
      <c r="N41" s="1"/>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9">
        <f>IFERROR(INDEX($Z$70:$Z$83,MATCH(2,$DB$70:$DB$83,0)),DE40)</f>
        <v>0</v>
      </c>
      <c r="DF41" s="29" t="str">
        <f>IFERROR(INDEX($AB$70:$AB$83,MATCH(2,$DB$70:$DB$83,0)),"")</f>
        <v/>
      </c>
      <c r="DG41" s="29" t="str">
        <f>IFERROR(SQRT(INDEX($AK$70:$AK$83,MATCH(2,$DB$70:$DB$83,0)))/80,"")</f>
        <v/>
      </c>
      <c r="DH41" s="29" t="str">
        <f>IFERROR(INDEX($R$70:$R$83,MATCH(2,$DB$70:$DB$83,0)),"")</f>
        <v/>
      </c>
      <c r="DI41" s="29">
        <f>IFERROR(INDEX($Z$70:$Z$83,MATCH(2,$DC$70:$DC$83,0)),DI40)</f>
        <v>0</v>
      </c>
      <c r="DJ41" s="29" t="str">
        <f>IFERROR(INDEX($AB$70:$AB$83,MATCH(2,$DC$70:$DC$83,0)),"")</f>
        <v/>
      </c>
      <c r="DK41" s="29" t="str">
        <f>IFERROR(SQRT(INDEX($AK$70:$AK$83,MATCH(2,$DC$70:$DC$83,0)))/80,"")</f>
        <v/>
      </c>
      <c r="DL41" s="29" t="str">
        <f>IFERROR(INDEX($R$70:$R$83,MATCH(2,$DC$70:$DC$83,0)),"")</f>
        <v/>
      </c>
      <c r="DM41" s="29">
        <f>IFERROR(INDEX($Z$70:$Z$83,MATCH(2,$DD$70:$DD$83,0)),DM40)</f>
        <v>0</v>
      </c>
      <c r="DN41" s="29" t="str">
        <f>IFERROR(INDEX($AB$70:$AB$83,MATCH(2,$DD$70:$DD$83,0)),"")</f>
        <v/>
      </c>
      <c r="DO41" s="29" t="str">
        <f>IFERROR(SQRT(INDEX($AK$70:$AK$83,MATCH(2,$DD$70:$DD$83,0)))/80,"")</f>
        <v/>
      </c>
      <c r="DP41" s="29" t="str">
        <f>IFERROR(INDEX($R$70:$R$83,MATCH(2,$DD$70:$DD$83,0)),"")</f>
        <v/>
      </c>
      <c r="DQ41" s="2"/>
      <c r="DR41" s="2"/>
      <c r="DS41" s="2"/>
      <c r="DT41" s="2"/>
      <c r="DU41" s="2"/>
      <c r="DV41" s="2"/>
      <c r="DW41" s="2"/>
      <c r="DX41" s="2"/>
      <c r="DY41" s="2"/>
      <c r="DZ41" s="2"/>
      <c r="EA41" s="2"/>
      <c r="EB41" s="2"/>
      <c r="EC41" s="56"/>
      <c r="ED41" s="56"/>
      <c r="EE41" s="56"/>
      <c r="EF41" s="2"/>
      <c r="EG41" s="2"/>
      <c r="EH41" s="2"/>
      <c r="EI41" s="2"/>
      <c r="EJ41" s="2"/>
      <c r="EK41" s="2"/>
      <c r="EL41" s="2"/>
      <c r="EM41" s="2"/>
      <c r="EN41" s="2"/>
      <c r="EO41" s="2"/>
      <c r="EP41" s="2"/>
      <c r="EQ41" s="2"/>
      <c r="ER41" s="2"/>
      <c r="ES41" s="2"/>
      <c r="ET41" s="29">
        <f t="shared" si="0"/>
        <v>0</v>
      </c>
      <c r="EU41" s="29" t="str">
        <f t="shared" si="1"/>
        <v/>
      </c>
      <c r="EV41" s="29" t="str">
        <f t="shared" si="2"/>
        <v/>
      </c>
      <c r="EW41" s="29">
        <f t="shared" si="3"/>
        <v>0</v>
      </c>
      <c r="EX41" s="29" t="str">
        <f t="shared" si="4"/>
        <v/>
      </c>
      <c r="EY41" s="29" t="str">
        <f t="shared" si="5"/>
        <v/>
      </c>
      <c r="EZ41" s="29">
        <f t="shared" si="6"/>
        <v>0</v>
      </c>
      <c r="FA41" s="29" t="str">
        <f t="shared" si="7"/>
        <v/>
      </c>
      <c r="FB41" s="29" t="str">
        <f t="shared" si="8"/>
        <v/>
      </c>
    </row>
    <row r="42" spans="1:158" x14ac:dyDescent="0.2">
      <c r="A42" s="1"/>
      <c r="B42" s="1"/>
      <c r="C42" s="1"/>
      <c r="D42" s="1"/>
      <c r="E42" s="1"/>
      <c r="F42" s="1"/>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9">
        <f>IFERROR(INDEX($Z$70:$Z$83,MATCH(3,$DB$70:$DB$83,0)),DE41)</f>
        <v>0</v>
      </c>
      <c r="DF42" s="29" t="str">
        <f>IFERROR(INDEX($AB$70:$AB$83,MATCH(3,$DB$70:$DB$83,0)),"")</f>
        <v/>
      </c>
      <c r="DG42" s="29" t="str">
        <f>IFERROR(SQRT(INDEX($AK$70:$AK$83,MATCH(3,$DB$70:$DB$83,0)))/80,"")</f>
        <v/>
      </c>
      <c r="DH42" s="29" t="str">
        <f>IFERROR(INDEX($R$70:$R$83,MATCH(3,$DB$70:$DB$83,0)),"")</f>
        <v/>
      </c>
      <c r="DI42" s="29">
        <f>IFERROR(INDEX($Z$70:$Z$83,MATCH(3,$DC$70:$DC$83,0)),DI41)</f>
        <v>0</v>
      </c>
      <c r="DJ42" s="29" t="str">
        <f>IFERROR(INDEX($AB$70:$AB$83,MATCH(3,$DC$70:$DC$83,0)),"")</f>
        <v/>
      </c>
      <c r="DK42" s="29" t="str">
        <f>IFERROR(SQRT(INDEX($AK$70:$AK$83,MATCH(3,$DC$70:$DC$83,0)))/80,"")</f>
        <v/>
      </c>
      <c r="DL42" s="29" t="str">
        <f>IFERROR(INDEX($R$70:$R$83,MATCH(3,$DC$70:$DC$83,0)),"")</f>
        <v/>
      </c>
      <c r="DM42" s="29">
        <f>IFERROR(INDEX($Z$70:$Z$83,MATCH(3,$DD$70:$DD$83,0)),DM41)</f>
        <v>0</v>
      </c>
      <c r="DN42" s="29" t="str">
        <f>IFERROR(INDEX($AB$70:$AB$83,MATCH(3,$DD$70:$DD$83,0)),"")</f>
        <v/>
      </c>
      <c r="DO42" s="29" t="str">
        <f>IFERROR(SQRT(INDEX($AK$70:$AK$83,MATCH(3,$DD$70:$DD$83,0)))/80,"")</f>
        <v/>
      </c>
      <c r="DP42" s="29" t="str">
        <f>IFERROR(INDEX($R$70:$R$83,MATCH(3,$DD$70:$DD$83,0)),"")</f>
        <v/>
      </c>
      <c r="DQ42" s="2"/>
      <c r="DR42" s="2"/>
      <c r="DS42" s="2"/>
      <c r="DT42" s="2"/>
      <c r="DU42" s="2"/>
      <c r="DV42" s="2"/>
      <c r="DW42" s="2"/>
      <c r="DX42" s="2"/>
      <c r="DY42" s="2"/>
      <c r="DZ42" s="2"/>
      <c r="EA42" s="2"/>
      <c r="EB42" s="2"/>
      <c r="EC42" s="56"/>
      <c r="ED42" s="56"/>
      <c r="EE42" s="56"/>
      <c r="EF42" s="2"/>
      <c r="EG42" s="2"/>
      <c r="EH42" s="2"/>
      <c r="EI42" s="2"/>
      <c r="EJ42" s="2"/>
      <c r="EK42" s="2"/>
      <c r="EL42" s="2"/>
      <c r="EM42" s="2"/>
      <c r="EN42" s="2"/>
      <c r="EO42" s="2"/>
      <c r="EP42" s="2"/>
      <c r="EQ42" s="2"/>
      <c r="ER42" s="2"/>
      <c r="ES42" s="2"/>
      <c r="ET42" s="29">
        <f t="shared" si="0"/>
        <v>0</v>
      </c>
      <c r="EU42" s="29" t="str">
        <f t="shared" si="1"/>
        <v/>
      </c>
      <c r="EV42" s="29" t="str">
        <f t="shared" si="2"/>
        <v/>
      </c>
      <c r="EW42" s="29">
        <f t="shared" si="3"/>
        <v>0</v>
      </c>
      <c r="EX42" s="29" t="str">
        <f t="shared" si="4"/>
        <v/>
      </c>
      <c r="EY42" s="29" t="str">
        <f t="shared" si="5"/>
        <v/>
      </c>
      <c r="EZ42" s="29">
        <f t="shared" si="6"/>
        <v>0</v>
      </c>
      <c r="FA42" s="29" t="str">
        <f t="shared" si="7"/>
        <v/>
      </c>
      <c r="FB42" s="29" t="str">
        <f t="shared" si="8"/>
        <v/>
      </c>
    </row>
    <row r="43" spans="1:158" x14ac:dyDescent="0.2">
      <c r="A43" s="1"/>
      <c r="B43" s="1"/>
      <c r="C43" s="1"/>
      <c r="D43" s="1"/>
      <c r="E43" s="1"/>
      <c r="F43" s="1"/>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9">
        <f>IFERROR(INDEX($Z$70:$Z$83,MATCH(4,$DB$70:$DB$83,0)),DE42)</f>
        <v>0</v>
      </c>
      <c r="DF43" s="29" t="str">
        <f>IFERROR(INDEX($AB$70:$AB$83,MATCH(4,$DB$70:$DB$83,0)),"")</f>
        <v/>
      </c>
      <c r="DG43" s="29" t="str">
        <f>IFERROR(SQRT(INDEX($AK$70:$AK$83,MATCH(4,$DB$70:$DB$83,0)))/80,"")</f>
        <v/>
      </c>
      <c r="DH43" s="29" t="str">
        <f>IFERROR(INDEX($R$70:$R$83,MATCH(4,$DB$70:$DB$83,0)),"")</f>
        <v/>
      </c>
      <c r="DI43" s="29">
        <f>IFERROR(INDEX($Z$70:$Z$83,MATCH(4,$DC$70:$DC$83,0)),DI42)</f>
        <v>0</v>
      </c>
      <c r="DJ43" s="29" t="str">
        <f>IFERROR(INDEX($AB$70:$AB$83,MATCH(4,$DC$70:$DC$83,0)),"")</f>
        <v/>
      </c>
      <c r="DK43" s="29" t="str">
        <f>IFERROR(SQRT(INDEX($AK$70:$AK$83,MATCH(4,$DC$70:$DC$83,0)))/80,"")</f>
        <v/>
      </c>
      <c r="DL43" s="29" t="str">
        <f>IFERROR(INDEX($R$70:$R$83,MATCH(4,$DC$70:$DC$83,0)),"")</f>
        <v/>
      </c>
      <c r="DM43" s="29">
        <f>IFERROR(INDEX($Z$70:$Z$83,MATCH(4,$DD$70:$DD$83,0)),DM42)</f>
        <v>0</v>
      </c>
      <c r="DN43" s="29" t="str">
        <f>IFERROR(INDEX($AB$70:$AB$83,MATCH(4,$DD$70:$DD$83,0)),"")</f>
        <v/>
      </c>
      <c r="DO43" s="29" t="str">
        <f>IFERROR(SQRT(INDEX($AK$70:$AK$83,MATCH(4,$DD$70:$DD$83,0)))/80,"")</f>
        <v/>
      </c>
      <c r="DP43" s="29" t="str">
        <f>IFERROR(INDEX($R$70:$R$83,MATCH(4,$DD$70:$DD$83,0)),"")</f>
        <v/>
      </c>
      <c r="DQ43" s="2"/>
      <c r="DR43" s="2"/>
      <c r="DS43" s="2"/>
      <c r="DT43" s="2"/>
      <c r="DU43" s="2"/>
      <c r="DV43" s="2"/>
      <c r="DW43" s="2"/>
      <c r="DX43" s="2"/>
      <c r="DY43" s="2"/>
      <c r="DZ43" s="2"/>
      <c r="EA43" s="2"/>
      <c r="EB43" s="2"/>
      <c r="EC43" s="56"/>
      <c r="ED43" s="56"/>
      <c r="EE43" s="56"/>
      <c r="EF43" s="2"/>
      <c r="EG43" s="2"/>
      <c r="EH43" s="2"/>
      <c r="EI43" s="2"/>
      <c r="EJ43" s="2"/>
      <c r="EK43" s="2"/>
      <c r="EL43" s="2"/>
      <c r="EM43" s="2"/>
      <c r="EN43" s="2"/>
      <c r="EO43" s="2"/>
      <c r="EP43" s="2"/>
      <c r="EQ43" s="2"/>
      <c r="ER43" s="2"/>
      <c r="ES43" s="2"/>
      <c r="ET43" s="29">
        <f t="shared" si="0"/>
        <v>0</v>
      </c>
      <c r="EU43" s="29" t="str">
        <f t="shared" si="1"/>
        <v/>
      </c>
      <c r="EV43" s="29" t="str">
        <f t="shared" si="2"/>
        <v/>
      </c>
      <c r="EW43" s="29">
        <f t="shared" si="3"/>
        <v>0</v>
      </c>
      <c r="EX43" s="29" t="str">
        <f t="shared" si="4"/>
        <v/>
      </c>
      <c r="EY43" s="29" t="str">
        <f t="shared" si="5"/>
        <v/>
      </c>
      <c r="EZ43" s="29">
        <f t="shared" si="6"/>
        <v>0</v>
      </c>
      <c r="FA43" s="29" t="str">
        <f t="shared" si="7"/>
        <v/>
      </c>
      <c r="FB43" s="29" t="str">
        <f t="shared" si="8"/>
        <v/>
      </c>
    </row>
    <row r="44" spans="1:158" x14ac:dyDescent="0.2">
      <c r="A44" s="1"/>
      <c r="B44" s="1"/>
      <c r="C44" s="1"/>
      <c r="D44" s="1"/>
      <c r="E44" s="1"/>
      <c r="F44" s="1"/>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9">
        <f>IFERROR(INDEX($Z$70:$Z$83,MATCH(5,$DB$70:$DB$83,0)),DE43)</f>
        <v>0</v>
      </c>
      <c r="DF44" s="29" t="str">
        <f>IFERROR(INDEX($AB$70:$AB$83,MATCH(5,$DB$70:$DB$83,0)),"")</f>
        <v/>
      </c>
      <c r="DG44" s="29" t="str">
        <f>IFERROR(SQRT(INDEX($AK$70:$AK$83,MATCH(5,$DB$70:$DB$83,0)))/80,"")</f>
        <v/>
      </c>
      <c r="DH44" s="29" t="str">
        <f>IFERROR(INDEX($R$70:$R$83,MATCH(5,$DB$70:$DB$83,0)),"")</f>
        <v/>
      </c>
      <c r="DI44" s="29">
        <f>IFERROR(INDEX($Z$70:$Z$83,MATCH(5,$DC$70:$DC$83,0)),DI43)</f>
        <v>0</v>
      </c>
      <c r="DJ44" s="29" t="str">
        <f>IFERROR(INDEX($AB$70:$AB$83,MATCH(5,$DC$70:$DC$83,0)),"")</f>
        <v/>
      </c>
      <c r="DK44" s="29" t="str">
        <f>IFERROR(SQRT(INDEX($AK$70:$AK$83,MATCH(5,$DC$70:$DC$83,0)))/80,"")</f>
        <v/>
      </c>
      <c r="DL44" s="29" t="str">
        <f>IFERROR(INDEX($R$70:$R$83,MATCH(5,$DC$70:$DC$83,0)),"")</f>
        <v/>
      </c>
      <c r="DM44" s="29">
        <f>IFERROR(INDEX($Z$70:$Z$83,MATCH(5,$DD$70:$DD$83,0)),DM43)</f>
        <v>0</v>
      </c>
      <c r="DN44" s="29" t="str">
        <f>IFERROR(INDEX($AB$70:$AB$83,MATCH(5,$DD$70:$DD$83,0)),"")</f>
        <v/>
      </c>
      <c r="DO44" s="29" t="str">
        <f>IFERROR(SQRT(INDEX($AK$70:$AK$83,MATCH(5,$DD$70:$DD$83,0)))/80,"")</f>
        <v/>
      </c>
      <c r="DP44" s="29" t="str">
        <f>IFERROR(INDEX($R$70:$R$83,MATCH(5,$DD$70:$DD$83,0)),"")</f>
        <v/>
      </c>
      <c r="DQ44" s="2"/>
      <c r="DR44" s="2"/>
      <c r="DS44" s="2"/>
      <c r="DT44" s="2"/>
      <c r="DU44" s="2"/>
      <c r="DV44" s="2"/>
      <c r="DW44" s="2"/>
      <c r="DX44" s="2"/>
      <c r="DY44" s="2"/>
      <c r="DZ44" s="2"/>
      <c r="EA44" s="2"/>
      <c r="EB44" s="2"/>
      <c r="EC44" s="56"/>
      <c r="ED44" s="56"/>
      <c r="EE44" s="56"/>
      <c r="EF44" s="2"/>
      <c r="EG44" s="2"/>
      <c r="EH44" s="2"/>
      <c r="EI44" s="2"/>
      <c r="EJ44" s="2"/>
      <c r="EK44" s="2"/>
      <c r="EL44" s="2"/>
      <c r="EM44" s="2"/>
      <c r="EN44" s="2"/>
      <c r="EO44" s="2"/>
      <c r="EP44" s="2"/>
      <c r="EQ44" s="2"/>
      <c r="ER44" s="2"/>
      <c r="ES44" s="2"/>
      <c r="ET44" s="29">
        <f t="shared" si="0"/>
        <v>0</v>
      </c>
      <c r="EU44" s="29" t="str">
        <f t="shared" si="1"/>
        <v/>
      </c>
      <c r="EV44" s="29" t="str">
        <f t="shared" si="2"/>
        <v/>
      </c>
      <c r="EW44" s="29">
        <f t="shared" si="3"/>
        <v>0</v>
      </c>
      <c r="EX44" s="29" t="str">
        <f t="shared" si="4"/>
        <v/>
      </c>
      <c r="EY44" s="29" t="str">
        <f t="shared" si="5"/>
        <v/>
      </c>
      <c r="EZ44" s="29">
        <f t="shared" si="6"/>
        <v>0</v>
      </c>
      <c r="FA44" s="29" t="str">
        <f t="shared" si="7"/>
        <v/>
      </c>
      <c r="FB44" s="29" t="str">
        <f t="shared" si="8"/>
        <v/>
      </c>
    </row>
    <row r="45" spans="1:158" x14ac:dyDescent="0.2">
      <c r="A45" s="1"/>
      <c r="B45" s="1"/>
      <c r="C45" s="1"/>
      <c r="D45" s="1"/>
      <c r="E45" s="1"/>
      <c r="F45" s="1"/>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9">
        <f>IFERROR(INDEX($Z$70:$Z$83,MATCH(6,$DB$70:$DB$83,0)),DE44)</f>
        <v>0</v>
      </c>
      <c r="DF45" s="29" t="str">
        <f>IFERROR(INDEX($AB$70:$AB$83,MATCH(6,$DB$70:$DB$83,0)),"")</f>
        <v/>
      </c>
      <c r="DG45" s="29" t="str">
        <f>IFERROR(SQRT(INDEX($AK$70:$AK$83,MATCH(6,$DB$70:$DB$83,0)))/80,"")</f>
        <v/>
      </c>
      <c r="DH45" s="29" t="str">
        <f>IFERROR(INDEX($R$70:$R$83,MATCH(6,$DB$70:$DB$83,0)),"")</f>
        <v/>
      </c>
      <c r="DI45" s="29">
        <f>IFERROR(INDEX($Z$70:$Z$83,MATCH(6,$DC$70:$DC$83,0)),DI44)</f>
        <v>0</v>
      </c>
      <c r="DJ45" s="29" t="str">
        <f>IFERROR(INDEX($AB$70:$AB$83,MATCH(6,$DC$70:$DC$83,0)),"")</f>
        <v/>
      </c>
      <c r="DK45" s="29" t="str">
        <f>IFERROR(SQRT(INDEX($AK$70:$AK$83,MATCH(6,$DC$70:$DC$83,0)))/80,"")</f>
        <v/>
      </c>
      <c r="DL45" s="29" t="str">
        <f>IFERROR(INDEX($R$70:$R$83,MATCH(6,$DC$70:$DC$83,0)),"")</f>
        <v/>
      </c>
      <c r="DM45" s="29">
        <f>IFERROR(INDEX($Z$70:$Z$83,MATCH(6,$DD$70:$DD$83,0)),DM44)</f>
        <v>0</v>
      </c>
      <c r="DN45" s="29" t="str">
        <f>IFERROR(INDEX($AB$70:$AB$83,MATCH(6,$DD$70:$DD$83,0)),"")</f>
        <v/>
      </c>
      <c r="DO45" s="29" t="str">
        <f>IFERROR(SQRT(INDEX($AK$70:$AK$83,MATCH(6,$DD$70:$DD$83,0)))/80,"")</f>
        <v/>
      </c>
      <c r="DP45" s="29" t="str">
        <f>IFERROR(INDEX($R$70:$R$83,MATCH(6,$DD$70:$DD$83,0)),"")</f>
        <v/>
      </c>
      <c r="DQ45" s="2"/>
      <c r="DR45" s="2"/>
      <c r="DS45" s="2"/>
      <c r="DT45" s="2"/>
      <c r="DU45" s="2"/>
      <c r="DV45" s="2"/>
      <c r="DW45" s="2"/>
      <c r="DX45" s="2"/>
      <c r="DY45" s="2"/>
      <c r="DZ45" s="2"/>
      <c r="EA45" s="2"/>
      <c r="EB45" s="2"/>
      <c r="EC45" s="56"/>
      <c r="ED45" s="56"/>
      <c r="EE45" s="56"/>
      <c r="EF45" s="2"/>
      <c r="EG45" s="2"/>
      <c r="EH45" s="2"/>
      <c r="EI45" s="2"/>
      <c r="EJ45" s="2"/>
      <c r="EK45" s="2"/>
      <c r="EL45" s="2"/>
      <c r="EM45" s="2"/>
      <c r="EN45" s="2"/>
      <c r="EO45" s="2"/>
      <c r="EP45" s="2"/>
      <c r="EQ45" s="2"/>
      <c r="ER45" s="2"/>
      <c r="ES45" s="2"/>
      <c r="ET45" s="29">
        <f t="shared" si="0"/>
        <v>0</v>
      </c>
      <c r="EU45" s="29" t="str">
        <f t="shared" si="1"/>
        <v/>
      </c>
      <c r="EV45" s="29" t="str">
        <f t="shared" si="2"/>
        <v/>
      </c>
      <c r="EW45" s="29">
        <f t="shared" si="3"/>
        <v>0</v>
      </c>
      <c r="EX45" s="29" t="str">
        <f t="shared" si="4"/>
        <v/>
      </c>
      <c r="EY45" s="29" t="str">
        <f t="shared" si="5"/>
        <v/>
      </c>
      <c r="EZ45" s="29">
        <f t="shared" si="6"/>
        <v>0</v>
      </c>
      <c r="FA45" s="29" t="str">
        <f t="shared" si="7"/>
        <v/>
      </c>
      <c r="FB45" s="29" t="str">
        <f t="shared" si="8"/>
        <v/>
      </c>
    </row>
    <row r="46" spans="1:158" x14ac:dyDescent="0.2">
      <c r="A46" s="1"/>
      <c r="B46" s="1"/>
      <c r="C46" s="1"/>
      <c r="D46" s="1"/>
      <c r="E46" s="1"/>
      <c r="F46" s="1"/>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9">
        <f>IFERROR(INDEX($Z$70:$Z$83,MATCH(7,$DB$70:$DB$83,0)),DE45)</f>
        <v>0</v>
      </c>
      <c r="DF46" s="29" t="str">
        <f>IFERROR(INDEX($AB$70:$AB$83,MATCH(7,$DB$70:$DB$83,0)),"")</f>
        <v/>
      </c>
      <c r="DG46" s="29" t="str">
        <f>IFERROR(SQRT(INDEX($AK$70:$AK$83,MATCH(7,$DB$70:$DB$83,0)))/80,"")</f>
        <v/>
      </c>
      <c r="DH46" s="29" t="str">
        <f>IFERROR(INDEX($R$70:$R$83,MATCH(7,$DB$70:$DB$83,0)),"")</f>
        <v/>
      </c>
      <c r="DI46" s="29">
        <f>IFERROR(INDEX($Z$70:$Z$83,MATCH(7,$DC$70:$DC$83,0)),DI45)</f>
        <v>0</v>
      </c>
      <c r="DJ46" s="29" t="str">
        <f>IFERROR(INDEX($AB$70:$AB$83,MATCH(7,$DC$70:$DC$83,0)),"")</f>
        <v/>
      </c>
      <c r="DK46" s="29" t="str">
        <f>IFERROR(SQRT(INDEX($AK$70:$AK$83,MATCH(7,$DC$70:$DC$83,0)))/80,"")</f>
        <v/>
      </c>
      <c r="DL46" s="29" t="str">
        <f>IFERROR(INDEX($R$70:$R$83,MATCH(7,$DC$70:$DC$83,0)),"")</f>
        <v/>
      </c>
      <c r="DM46" s="29">
        <f>IFERROR(INDEX($Z$70:$Z$83,MATCH(7,$DD$70:$DD$83,0)),DM45)</f>
        <v>0</v>
      </c>
      <c r="DN46" s="29" t="str">
        <f>IFERROR(INDEX($AB$70:$AB$83,MATCH(7,$DD$70:$DD$83,0)),"")</f>
        <v/>
      </c>
      <c r="DO46" s="29" t="str">
        <f>IFERROR(SQRT(INDEX($AK$70:$AK$83,MATCH(7,$DD$70:$DD$83,0)))/80,"")</f>
        <v/>
      </c>
      <c r="DP46" s="29" t="str">
        <f>IFERROR(INDEX($R$70:$R$83,MATCH(7,$DD$70:$DD$83,0)),"")</f>
        <v/>
      </c>
      <c r="DQ46" s="2"/>
      <c r="DR46" s="2"/>
      <c r="DS46" s="2"/>
      <c r="DT46" s="2"/>
      <c r="DU46" s="2"/>
      <c r="DV46" s="2"/>
      <c r="DW46" s="2"/>
      <c r="DX46" s="2"/>
      <c r="DY46" s="2"/>
      <c r="DZ46" s="2"/>
      <c r="EA46" s="2"/>
      <c r="EB46" s="2"/>
      <c r="EC46" s="56"/>
      <c r="ED46" s="56"/>
      <c r="EE46" s="56"/>
      <c r="EF46" s="2"/>
      <c r="EG46" s="2"/>
      <c r="EH46" s="2"/>
      <c r="EI46" s="2"/>
      <c r="EJ46" s="2"/>
      <c r="EK46" s="2"/>
      <c r="EL46" s="2"/>
      <c r="EM46" s="2"/>
      <c r="EN46" s="2"/>
      <c r="EO46" s="2"/>
      <c r="EP46" s="2"/>
      <c r="EQ46" s="2"/>
      <c r="ER46" s="2"/>
      <c r="ES46" s="2"/>
      <c r="ET46" s="29">
        <f t="shared" si="0"/>
        <v>0</v>
      </c>
      <c r="EU46" s="29" t="str">
        <f t="shared" si="1"/>
        <v/>
      </c>
      <c r="EV46" s="29" t="str">
        <f t="shared" si="2"/>
        <v/>
      </c>
      <c r="EW46" s="29">
        <f t="shared" si="3"/>
        <v>0</v>
      </c>
      <c r="EX46" s="29" t="str">
        <f t="shared" si="4"/>
        <v/>
      </c>
      <c r="EY46" s="29" t="str">
        <f t="shared" si="5"/>
        <v/>
      </c>
      <c r="EZ46" s="29">
        <f t="shared" si="6"/>
        <v>0</v>
      </c>
      <c r="FA46" s="29" t="str">
        <f t="shared" si="7"/>
        <v/>
      </c>
      <c r="FB46" s="29" t="str">
        <f t="shared" si="8"/>
        <v/>
      </c>
    </row>
    <row r="47" spans="1:158" x14ac:dyDescent="0.2">
      <c r="A47" s="1"/>
      <c r="B47" s="1"/>
      <c r="C47" s="1"/>
      <c r="D47" s="1"/>
      <c r="E47" s="1"/>
      <c r="F47" s="1"/>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9">
        <f>IFERROR(INDEX($Z$70:$Z$83,MATCH(8,$DB$70:$DB$83,0)),DE46)</f>
        <v>0</v>
      </c>
      <c r="DF47" s="29" t="str">
        <f>IFERROR(INDEX($AB$70:$AB$83,MATCH(8,$DB$70:$DB$83,0)),"")</f>
        <v/>
      </c>
      <c r="DG47" s="29" t="str">
        <f>IFERROR(SQRT(INDEX($AK$70:$AK$83,MATCH(8,$DB$70:$DB$83,0)))/80,"")</f>
        <v/>
      </c>
      <c r="DH47" s="29" t="str">
        <f>IFERROR(INDEX($R$70:$R$83,MATCH(8,$DB$70:$DB$83,0)),"")</f>
        <v/>
      </c>
      <c r="DI47" s="29">
        <f>IFERROR(INDEX($Z$70:$Z$83,MATCH(8,$DC$70:$DC$83,0)),DI46)</f>
        <v>0</v>
      </c>
      <c r="DJ47" s="29" t="str">
        <f>IFERROR(INDEX($AB$70:$AB$83,MATCH(8,$DC$70:$DC$83,0)),"")</f>
        <v/>
      </c>
      <c r="DK47" s="29" t="str">
        <f>IFERROR(SQRT(INDEX($AK$70:$AK$83,MATCH(8,$DC$70:$DC$83,0)))/80,"")</f>
        <v/>
      </c>
      <c r="DL47" s="29" t="str">
        <f>IFERROR(INDEX($R$70:$R$83,MATCH(8,$DC$70:$DC$83,0)),"")</f>
        <v/>
      </c>
      <c r="DM47" s="29">
        <f>IFERROR(INDEX($Z$70:$Z$83,MATCH(8,$DD$70:$DD$83,0)),DM46)</f>
        <v>0</v>
      </c>
      <c r="DN47" s="29" t="str">
        <f>IFERROR(INDEX($AB$70:$AB$83,MATCH(8,$DD$70:$DD$83,0)),"")</f>
        <v/>
      </c>
      <c r="DO47" s="29" t="str">
        <f>IFERROR(SQRT(INDEX($AK$70:$AK$83,MATCH(8,$DD$70:$DD$83,0)))/80,"")</f>
        <v/>
      </c>
      <c r="DP47" s="29" t="str">
        <f>IFERROR(INDEX($R$70:$R$83,MATCH(8,$DD$70:$DD$83,0)),"")</f>
        <v/>
      </c>
      <c r="DQ47" s="2"/>
      <c r="DR47" s="2"/>
      <c r="DS47" s="2"/>
      <c r="DT47" s="2"/>
      <c r="DU47" s="2"/>
      <c r="DV47" s="2"/>
      <c r="DW47" s="2"/>
      <c r="DX47" s="2"/>
      <c r="DY47" s="2"/>
      <c r="DZ47" s="2"/>
      <c r="EA47" s="2"/>
      <c r="EB47" s="2"/>
      <c r="EC47" s="56"/>
      <c r="ED47" s="56"/>
      <c r="EE47" s="56"/>
      <c r="EF47" s="2"/>
      <c r="EG47" s="2"/>
      <c r="EH47" s="2"/>
      <c r="EI47" s="2"/>
      <c r="EJ47" s="2"/>
      <c r="EK47" s="2"/>
      <c r="EL47" s="2"/>
      <c r="EM47" s="2"/>
      <c r="EN47" s="2"/>
      <c r="EO47" s="2"/>
      <c r="EP47" s="2"/>
      <c r="EQ47" s="2"/>
      <c r="ER47" s="2"/>
      <c r="ES47" s="2"/>
      <c r="ET47" s="29">
        <f t="shared" si="0"/>
        <v>0</v>
      </c>
      <c r="EU47" s="29" t="str">
        <f t="shared" si="1"/>
        <v/>
      </c>
      <c r="EV47" s="29" t="str">
        <f t="shared" si="2"/>
        <v/>
      </c>
      <c r="EW47" s="29">
        <f t="shared" si="3"/>
        <v>0</v>
      </c>
      <c r="EX47" s="29" t="str">
        <f t="shared" si="4"/>
        <v/>
      </c>
      <c r="EY47" s="29" t="str">
        <f t="shared" si="5"/>
        <v/>
      </c>
      <c r="EZ47" s="29">
        <f t="shared" si="6"/>
        <v>0</v>
      </c>
      <c r="FA47" s="29" t="str">
        <f t="shared" si="7"/>
        <v/>
      </c>
      <c r="FB47" s="29" t="str">
        <f t="shared" si="8"/>
        <v/>
      </c>
    </row>
    <row r="48" spans="1:158" ht="16" customHeight="1" x14ac:dyDescent="0.2">
      <c r="A48" s="1"/>
      <c r="B48" s="1"/>
      <c r="C48" s="1"/>
      <c r="D48" s="1"/>
      <c r="E48" s="1"/>
      <c r="F48" s="1"/>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9">
        <f>IFERROR(INDEX($Z$70:$Z$83,MATCH(9,$DB$70:$DB$83,0)),DE47)</f>
        <v>0</v>
      </c>
      <c r="DF48" s="29" t="str">
        <f>IFERROR(INDEX($AB$70:$AB$83,MATCH(9,$DB$70:$DB$83,0)),"")</f>
        <v/>
      </c>
      <c r="DG48" s="29" t="str">
        <f>IFERROR(SQRT(INDEX($AK$70:$AK$83,MATCH(9,$DB$70:$DB$83,0)))/80,"")</f>
        <v/>
      </c>
      <c r="DH48" s="29" t="str">
        <f>IFERROR(INDEX($R$70:$R$83,MATCH(9,$DB$70:$DB$83,0)),"")</f>
        <v/>
      </c>
      <c r="DI48" s="29">
        <f>IFERROR(INDEX($Z$70:$Z$83,MATCH(9,$DC$70:$DC$83,0)),DI47)</f>
        <v>0</v>
      </c>
      <c r="DJ48" s="29" t="str">
        <f>IFERROR(INDEX($AB$70:$AB$83,MATCH(9,$DC$70:$DC$83,0)),"")</f>
        <v/>
      </c>
      <c r="DK48" s="29" t="str">
        <f>IFERROR(SQRT(INDEX($AK$70:$AK$83,MATCH(9,$DC$70:$DC$83,0)))/80,"")</f>
        <v/>
      </c>
      <c r="DL48" s="29" t="str">
        <f>IFERROR(INDEX($R$70:$R$83,MATCH(9,$DC$70:$DC$83,0)),"")</f>
        <v/>
      </c>
      <c r="DM48" s="29">
        <f>IFERROR(INDEX($Z$70:$Z$83,MATCH(9,$DD$70:$DD$83,0)),DM47)</f>
        <v>0</v>
      </c>
      <c r="DN48" s="29" t="str">
        <f>IFERROR(INDEX($AB$70:$AB$83,MATCH(9,$DD$70:$DD$83,0)),"")</f>
        <v/>
      </c>
      <c r="DO48" s="29" t="str">
        <f>IFERROR(SQRT(INDEX($AK$70:$AK$83,MATCH(9,$DD$70:$DD$83,0)))/80,"")</f>
        <v/>
      </c>
      <c r="DP48" s="29" t="str">
        <f>IFERROR(INDEX($R$70:$R$83,MATCH(9,$DD$70:$DD$83,0)),"")</f>
        <v/>
      </c>
      <c r="DQ48" s="2"/>
      <c r="DR48" s="2"/>
      <c r="DS48" s="2"/>
      <c r="DT48" s="2"/>
      <c r="DU48" s="2"/>
      <c r="DV48" s="2"/>
      <c r="DW48" s="2"/>
      <c r="DX48" s="2"/>
      <c r="DY48" s="2"/>
      <c r="DZ48" s="2"/>
      <c r="EA48" s="2"/>
      <c r="EB48" s="2"/>
      <c r="EC48" s="56"/>
      <c r="ED48" s="56"/>
      <c r="EE48" s="56"/>
      <c r="EF48" s="2"/>
      <c r="EG48" s="2"/>
      <c r="EH48" s="2"/>
      <c r="EI48" s="2"/>
      <c r="EJ48" s="2"/>
      <c r="EK48" s="2"/>
      <c r="EL48" s="2"/>
      <c r="EM48" s="2"/>
      <c r="EN48" s="2"/>
      <c r="EO48" s="2"/>
      <c r="EP48" s="2"/>
      <c r="EQ48" s="2"/>
      <c r="ER48" s="2"/>
      <c r="ES48" s="2"/>
      <c r="ET48" s="29">
        <f t="shared" si="0"/>
        <v>0</v>
      </c>
      <c r="EU48" s="29" t="str">
        <f t="shared" si="1"/>
        <v/>
      </c>
      <c r="EV48" s="29" t="str">
        <f t="shared" si="2"/>
        <v/>
      </c>
      <c r="EW48" s="29">
        <f t="shared" si="3"/>
        <v>0</v>
      </c>
      <c r="EX48" s="29" t="str">
        <f t="shared" si="4"/>
        <v/>
      </c>
      <c r="EY48" s="29" t="str">
        <f t="shared" si="5"/>
        <v/>
      </c>
      <c r="EZ48" s="29">
        <f t="shared" si="6"/>
        <v>0</v>
      </c>
      <c r="FA48" s="29" t="str">
        <f t="shared" si="7"/>
        <v/>
      </c>
      <c r="FB48" s="29" t="str">
        <f t="shared" si="8"/>
        <v/>
      </c>
    </row>
    <row r="49" spans="1:158" ht="20" customHeight="1" x14ac:dyDescent="0.2">
      <c r="A49" s="1"/>
      <c r="B49" s="1"/>
      <c r="C49" s="1"/>
      <c r="D49" s="1"/>
      <c r="E49" s="1"/>
      <c r="F49" s="1"/>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9">
        <f>IFERROR(INDEX($Z$70:$Z$83,MATCH(10,$DB$70:$DB$83,0)),DE48)</f>
        <v>0</v>
      </c>
      <c r="DF49" s="29" t="str">
        <f>IFERROR(INDEX($AB$70:$AB$83,MATCH(10,$DB$70:$DB$83,0)),"")</f>
        <v/>
      </c>
      <c r="DG49" s="29" t="str">
        <f>IFERROR(SQRT(INDEX($AK$70:$AK$83,MATCH(10,$DB$70:$DB$83,0)))/80,"")</f>
        <v/>
      </c>
      <c r="DH49" s="29" t="str">
        <f>IFERROR(INDEX($R$70:$R$83,MATCH(10,$DB$70:$DB$83,0)),"")</f>
        <v/>
      </c>
      <c r="DI49" s="29">
        <f>IFERROR(INDEX($Z$70:$Z$83,MATCH(10,$DC$70:$DC$83,0)),DI48)</f>
        <v>0</v>
      </c>
      <c r="DJ49" s="29" t="str">
        <f>IFERROR(INDEX($AB$70:$AB$83,MATCH(10,$DC$70:$DC$83,0)),"")</f>
        <v/>
      </c>
      <c r="DK49" s="29" t="str">
        <f>IFERROR(SQRT(INDEX($AK$70:$AK$83,MATCH(10,$DC$70:$DC$83,0)))/80,"")</f>
        <v/>
      </c>
      <c r="DL49" s="29" t="str">
        <f>IFERROR(INDEX($R$70:$R$83,MATCH(10,$DC$70:$DC$83,0)),"")</f>
        <v/>
      </c>
      <c r="DM49" s="29">
        <f>IFERROR(INDEX($Z$70:$Z$83,MATCH(10,$DD$70:$DD$83,0)),DM48)</f>
        <v>0</v>
      </c>
      <c r="DN49" s="29" t="str">
        <f>IFERROR(INDEX($AB$70:$AB$83,MATCH(10,$DD$70:$DD$83,0)),"")</f>
        <v/>
      </c>
      <c r="DO49" s="29" t="str">
        <f>IFERROR(SQRT(INDEX($AK$70:$AK$83,MATCH(10,$DD$70:$DD$83,0)))/80,"")</f>
        <v/>
      </c>
      <c r="DP49" s="29" t="str">
        <f>IFERROR(INDEX($R$70:$R$83,MATCH(10,$DD$70:$DD$83,0)),"")</f>
        <v/>
      </c>
      <c r="DQ49" s="2"/>
      <c r="DR49" s="2"/>
      <c r="DS49" s="2"/>
      <c r="DT49" s="2"/>
      <c r="DU49" s="2"/>
      <c r="DV49" s="2"/>
      <c r="DW49" s="2"/>
      <c r="DX49" s="2"/>
      <c r="DY49" s="2"/>
      <c r="DZ49" s="2"/>
      <c r="EA49" s="2"/>
      <c r="EB49" s="2"/>
      <c r="EC49" s="56"/>
      <c r="ED49" s="56"/>
      <c r="EE49" s="56"/>
      <c r="EF49" s="2"/>
      <c r="EG49" s="2"/>
      <c r="EH49" s="2"/>
      <c r="EI49" s="2"/>
      <c r="EJ49" s="2"/>
      <c r="EK49" s="2"/>
      <c r="EL49" s="2"/>
      <c r="EM49" s="2"/>
      <c r="EN49" s="2"/>
      <c r="EO49" s="2"/>
      <c r="EP49" s="2"/>
      <c r="EQ49" s="2"/>
      <c r="ER49" s="2"/>
      <c r="ES49" s="2"/>
      <c r="ET49" s="29">
        <f t="shared" si="0"/>
        <v>0</v>
      </c>
      <c r="EU49" s="29" t="str">
        <f t="shared" si="1"/>
        <v/>
      </c>
      <c r="EV49" s="29" t="str">
        <f t="shared" si="2"/>
        <v/>
      </c>
      <c r="EW49" s="29">
        <f t="shared" si="3"/>
        <v>0</v>
      </c>
      <c r="EX49" s="29" t="str">
        <f t="shared" si="4"/>
        <v/>
      </c>
      <c r="EY49" s="29" t="str">
        <f t="shared" si="5"/>
        <v/>
      </c>
      <c r="EZ49" s="29">
        <f t="shared" si="6"/>
        <v>0</v>
      </c>
      <c r="FA49" s="29" t="str">
        <f t="shared" si="7"/>
        <v/>
      </c>
      <c r="FB49" s="29" t="str">
        <f t="shared" si="8"/>
        <v/>
      </c>
    </row>
    <row r="50" spans="1:158" x14ac:dyDescent="0.2">
      <c r="A50" s="1"/>
      <c r="B50" s="1"/>
      <c r="C50" s="1"/>
      <c r="D50" s="1"/>
      <c r="E50" s="1"/>
      <c r="F50" s="1"/>
      <c r="G50" s="1"/>
      <c r="H50" s="1"/>
      <c r="I50" s="1"/>
      <c r="J50" s="1"/>
      <c r="K50" s="1"/>
      <c r="L50" s="1"/>
      <c r="M50" s="1"/>
      <c r="N50" s="1"/>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9">
        <f>IFERROR(INDEX($Z$70:$Z$83,MATCH(11,$DB$70:$DB$83,0)),DE49)</f>
        <v>0</v>
      </c>
      <c r="DF50" s="29" t="str">
        <f>IFERROR(INDEX($AB$70:$AB$83,MATCH(11,$DB$70:$DB$83,0)),"")</f>
        <v/>
      </c>
      <c r="DG50" s="29" t="str">
        <f>IFERROR(SQRT(INDEX($AK$70:$AK$83,MATCH(11,$DB$70:$DB$83,0)))/80,"")</f>
        <v/>
      </c>
      <c r="DH50" s="29" t="str">
        <f>IFERROR(INDEX($R$70:$R$83,MATCH(11,$DB$70:$DB$83,0)),"")</f>
        <v/>
      </c>
      <c r="DI50" s="29">
        <f>IFERROR(INDEX($Z$70:$Z$83,MATCH(11,$DC$70:$DC$83,0)),DI49)</f>
        <v>0</v>
      </c>
      <c r="DJ50" s="29" t="str">
        <f>IFERROR(INDEX($AB$70:$AB$83,MATCH(11,$DC$70:$DC$83,0)),"")</f>
        <v/>
      </c>
      <c r="DK50" s="29" t="str">
        <f>IFERROR(SQRT(INDEX($AK$70:$AK$83,MATCH(11,$DC$70:$DC$83,0)))/80,"")</f>
        <v/>
      </c>
      <c r="DL50" s="29" t="str">
        <f>IFERROR(INDEX($R$70:$R$83,MATCH(11,$DC$70:$DC$83,0)),"")</f>
        <v/>
      </c>
      <c r="DM50" s="29">
        <f>IFERROR(INDEX($Z$70:$Z$83,MATCH(11,$DD$70:$DD$83,0)),DM49)</f>
        <v>0</v>
      </c>
      <c r="DN50" s="29" t="str">
        <f>IFERROR(INDEX($AB$70:$AB$83,MATCH(11,$DD$70:$DD$83,0)),"")</f>
        <v/>
      </c>
      <c r="DO50" s="29" t="str">
        <f>IFERROR(SQRT(INDEX($AK$70:$AK$83,MATCH(11,$DD$70:$DD$83,0)))/80,"")</f>
        <v/>
      </c>
      <c r="DP50" s="29" t="str">
        <f>IFERROR(INDEX($R$70:$R$83,MATCH(11,$DD$70:$DD$83,0)),"")</f>
        <v/>
      </c>
      <c r="DQ50" s="2"/>
      <c r="DR50" s="2"/>
      <c r="DS50" s="2"/>
      <c r="DT50" s="2"/>
      <c r="DU50" s="2"/>
      <c r="DV50" s="2"/>
      <c r="DW50" s="2"/>
      <c r="DX50" s="2"/>
      <c r="DY50" s="2"/>
      <c r="DZ50" s="2"/>
      <c r="EA50" s="2"/>
      <c r="EB50" s="2"/>
      <c r="EC50" s="56"/>
      <c r="ED50" s="56"/>
      <c r="EE50" s="56"/>
      <c r="EF50" s="2"/>
      <c r="EG50" s="2"/>
      <c r="EH50" s="2"/>
      <c r="EI50" s="2"/>
      <c r="EJ50" s="2"/>
      <c r="EK50" s="2"/>
      <c r="EL50" s="2"/>
      <c r="EM50" s="2"/>
      <c r="EN50" s="2"/>
      <c r="EO50" s="2"/>
      <c r="EP50" s="2"/>
      <c r="EQ50" s="2"/>
      <c r="ER50" s="2"/>
      <c r="ES50" s="2"/>
      <c r="ET50" s="29">
        <f t="shared" si="0"/>
        <v>0</v>
      </c>
      <c r="EU50" s="29" t="str">
        <f t="shared" si="1"/>
        <v/>
      </c>
      <c r="EV50" s="29" t="str">
        <f t="shared" si="2"/>
        <v/>
      </c>
      <c r="EW50" s="29">
        <f t="shared" si="3"/>
        <v>0</v>
      </c>
      <c r="EX50" s="29" t="str">
        <f t="shared" si="4"/>
        <v/>
      </c>
      <c r="EY50" s="29" t="str">
        <f t="shared" si="5"/>
        <v/>
      </c>
      <c r="EZ50" s="29">
        <f t="shared" si="6"/>
        <v>0</v>
      </c>
      <c r="FA50" s="29" t="str">
        <f t="shared" si="7"/>
        <v/>
      </c>
      <c r="FB50" s="29" t="str">
        <f t="shared" si="8"/>
        <v/>
      </c>
    </row>
    <row r="51" spans="1:158" x14ac:dyDescent="0.2">
      <c r="A51" s="1"/>
      <c r="B51" s="1"/>
      <c r="C51" s="1"/>
      <c r="D51" s="1"/>
      <c r="E51" s="1"/>
      <c r="F51" s="1"/>
      <c r="G51" s="1"/>
      <c r="H51" s="1"/>
      <c r="I51" s="1"/>
      <c r="J51" s="1"/>
      <c r="K51" s="1"/>
      <c r="L51" s="1"/>
      <c r="M51" s="1"/>
      <c r="N51" s="1"/>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9">
        <f>IFERROR(INDEX($Z$70:$Z$83,MATCH(12,$DB$70:$DB$83,0)),DE50)</f>
        <v>0</v>
      </c>
      <c r="DF51" s="29" t="str">
        <f>IFERROR(INDEX($AB$70:$AB$83,MATCH(12,$DB$70:$DB$83,0)),"")</f>
        <v/>
      </c>
      <c r="DG51" s="29" t="str">
        <f>IFERROR(SQRT(INDEX($AK$70:$AK$83,MATCH(12,$DB$70:$DB$83,0)))/80,"")</f>
        <v/>
      </c>
      <c r="DH51" s="29" t="str">
        <f>IFERROR(INDEX($R$70:$R$83,MATCH(12,$DB$70:$DB$83,0)),"")</f>
        <v/>
      </c>
      <c r="DI51" s="29">
        <f>IFERROR(INDEX($Z$70:$Z$83,MATCH(12,$DC$70:$DC$83,0)),DI50)</f>
        <v>0</v>
      </c>
      <c r="DJ51" s="29" t="str">
        <f>IFERROR(INDEX($AB$70:$AB$83,MATCH(12,$DC$70:$DC$83,0)),"")</f>
        <v/>
      </c>
      <c r="DK51" s="29" t="str">
        <f>IFERROR(SQRT(INDEX($AK$70:$AK$83,MATCH(12,$DC$70:$DC$83,0)))/80,"")</f>
        <v/>
      </c>
      <c r="DL51" s="29" t="str">
        <f>IFERROR(INDEX($R$70:$R$83,MATCH(12,$DC$70:$DC$83,0)),"")</f>
        <v/>
      </c>
      <c r="DM51" s="29">
        <f>IFERROR(INDEX($Z$70:$Z$83,MATCH(12,$DD$70:$DD$83,0)),DM50)</f>
        <v>0</v>
      </c>
      <c r="DN51" s="29" t="str">
        <f>IFERROR(INDEX($AB$70:$AB$83,MATCH(12,$DD$70:$DD$83,0)),"")</f>
        <v/>
      </c>
      <c r="DO51" s="29" t="str">
        <f>IFERROR(SQRT(INDEX($AK$70:$AK$83,MATCH(12,$DD$70:$DD$83,0)))/80,"")</f>
        <v/>
      </c>
      <c r="DP51" s="29" t="str">
        <f>IFERROR(INDEX($R$70:$R$83,MATCH(12,$DD$70:$DD$83,0)),"")</f>
        <v/>
      </c>
      <c r="DQ51" s="2"/>
      <c r="DR51" s="2"/>
      <c r="DS51" s="2"/>
      <c r="DT51" s="2"/>
      <c r="DU51" s="2"/>
      <c r="DV51" s="2"/>
      <c r="DW51" s="2"/>
      <c r="DX51" s="2"/>
      <c r="DY51" s="2"/>
      <c r="DZ51" s="2"/>
      <c r="EA51" s="2"/>
      <c r="EB51" s="2"/>
      <c r="EC51" s="56"/>
      <c r="ED51" s="56"/>
      <c r="EE51" s="56"/>
      <c r="EF51" s="2"/>
      <c r="EG51" s="2"/>
      <c r="EH51" s="2"/>
      <c r="EI51" s="2"/>
      <c r="EJ51" s="2"/>
      <c r="EK51" s="2"/>
      <c r="EL51" s="2"/>
      <c r="EM51" s="2"/>
      <c r="EN51" s="2"/>
      <c r="EO51" s="2"/>
      <c r="EP51" s="2"/>
      <c r="EQ51" s="2"/>
      <c r="ER51" s="2"/>
      <c r="ES51" s="2"/>
      <c r="ET51" s="29">
        <f t="shared" si="0"/>
        <v>0</v>
      </c>
      <c r="EU51" s="29" t="str">
        <f t="shared" si="1"/>
        <v/>
      </c>
      <c r="EV51" s="29" t="str">
        <f t="shared" si="2"/>
        <v/>
      </c>
      <c r="EW51" s="29">
        <f t="shared" si="3"/>
        <v>0</v>
      </c>
      <c r="EX51" s="29" t="str">
        <f t="shared" si="4"/>
        <v/>
      </c>
      <c r="EY51" s="29" t="str">
        <f t="shared" si="5"/>
        <v/>
      </c>
      <c r="EZ51" s="29">
        <f t="shared" si="6"/>
        <v>0</v>
      </c>
      <c r="FA51" s="29" t="str">
        <f t="shared" si="7"/>
        <v/>
      </c>
      <c r="FB51" s="29" t="str">
        <f t="shared" si="8"/>
        <v/>
      </c>
    </row>
    <row r="52" spans="1:158" x14ac:dyDescent="0.2">
      <c r="A52" s="1"/>
      <c r="B52" s="1"/>
      <c r="C52" s="1"/>
      <c r="D52" s="1"/>
      <c r="E52" s="1"/>
      <c r="F52" s="1"/>
      <c r="G52" s="1"/>
      <c r="H52" s="1"/>
      <c r="I52" s="1"/>
      <c r="J52" s="1"/>
      <c r="K52" s="1"/>
      <c r="L52" s="1"/>
      <c r="M52" s="1"/>
      <c r="N52" s="1"/>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9">
        <f>IFERROR(INDEX($Z$70:$Z$83,MATCH(13,$DB$70:$DB$83,0)),DE51)</f>
        <v>0</v>
      </c>
      <c r="DF52" s="29" t="str">
        <f>IFERROR(INDEX($AB$70:$AB$83,MATCH(13,$DB$70:$DB$83,0)),"")</f>
        <v/>
      </c>
      <c r="DG52" s="29" t="str">
        <f>IFERROR(SQRT(INDEX($AK$70:$AK$83,MATCH(13,$DB$70:$DB$83,0)))/80,"")</f>
        <v/>
      </c>
      <c r="DH52" s="29" t="str">
        <f>IFERROR(INDEX($R$70:$R$83,MATCH(13,$DB$70:$DB$83,0)),"")</f>
        <v/>
      </c>
      <c r="DI52" s="29">
        <f>IFERROR(INDEX($Z$70:$Z$83,MATCH(13,$DC$70:$DC$83,0)),DI51)</f>
        <v>0</v>
      </c>
      <c r="DJ52" s="29" t="str">
        <f>IFERROR(INDEX($AB$70:$AB$83,MATCH(13,$DC$70:$DC$83,0)),"")</f>
        <v/>
      </c>
      <c r="DK52" s="29" t="str">
        <f>IFERROR(SQRT(INDEX($AK$70:$AK$83,MATCH(13,$DC$70:$DC$83,0)))/80,"")</f>
        <v/>
      </c>
      <c r="DL52" s="29" t="str">
        <f>IFERROR(INDEX($R$70:$R$83,MATCH(13,$DC$70:$DC$83,0)),"")</f>
        <v/>
      </c>
      <c r="DM52" s="29">
        <f>IFERROR(INDEX($Z$70:$Z$83,MATCH(13,$DD$70:$DD$83,0)),DM51)</f>
        <v>0</v>
      </c>
      <c r="DN52" s="29" t="str">
        <f>IFERROR(INDEX($AB$70:$AB$83,MATCH(13,$DD$70:$DD$83,0)),"")</f>
        <v/>
      </c>
      <c r="DO52" s="29" t="str">
        <f>IFERROR(SQRT(INDEX($AK$70:$AK$83,MATCH(13,$DD$70:$DD$83,0)))/80,"")</f>
        <v/>
      </c>
      <c r="DP52" s="29" t="str">
        <f>IFERROR(INDEX($R$70:$R$83,MATCH(13,$DD$70:$DD$83,0)),"")</f>
        <v/>
      </c>
      <c r="DQ52" s="2"/>
      <c r="DR52" s="2"/>
      <c r="DS52" s="2"/>
      <c r="DT52" s="2"/>
      <c r="DU52" s="2"/>
      <c r="DV52" s="2"/>
      <c r="DW52" s="2"/>
      <c r="DX52" s="2"/>
      <c r="DY52" s="2"/>
      <c r="DZ52" s="2"/>
      <c r="EA52" s="2"/>
      <c r="EB52" s="2"/>
      <c r="EC52" s="56"/>
      <c r="ED52" s="56"/>
      <c r="EE52" s="56"/>
      <c r="EF52" s="2"/>
      <c r="EG52" s="2"/>
      <c r="EH52" s="2"/>
      <c r="EI52" s="2"/>
      <c r="EJ52" s="2"/>
      <c r="EK52" s="2"/>
      <c r="EL52" s="2"/>
      <c r="EM52" s="2"/>
      <c r="EN52" s="2"/>
      <c r="EO52" s="2"/>
      <c r="EP52" s="2"/>
      <c r="EQ52" s="2"/>
      <c r="ER52" s="2"/>
      <c r="ES52" s="2"/>
      <c r="ET52" s="29">
        <f t="shared" si="0"/>
        <v>0</v>
      </c>
      <c r="EU52" s="29" t="str">
        <f t="shared" si="1"/>
        <v/>
      </c>
      <c r="EV52" s="29" t="str">
        <f t="shared" si="2"/>
        <v/>
      </c>
      <c r="EW52" s="29">
        <f t="shared" si="3"/>
        <v>0</v>
      </c>
      <c r="EX52" s="29" t="str">
        <f t="shared" si="4"/>
        <v/>
      </c>
      <c r="EY52" s="29" t="str">
        <f t="shared" si="5"/>
        <v/>
      </c>
      <c r="EZ52" s="29">
        <f t="shared" si="6"/>
        <v>0</v>
      </c>
      <c r="FA52" s="29" t="str">
        <f t="shared" si="7"/>
        <v/>
      </c>
      <c r="FB52" s="29" t="str">
        <f t="shared" si="8"/>
        <v/>
      </c>
    </row>
    <row r="53" spans="1:158" x14ac:dyDescent="0.2">
      <c r="A53" s="1"/>
      <c r="B53" s="1"/>
      <c r="C53" s="1"/>
      <c r="D53" s="1"/>
      <c r="E53" s="1"/>
      <c r="F53" s="1"/>
      <c r="G53" s="1"/>
      <c r="H53" s="1"/>
      <c r="I53" s="1"/>
      <c r="J53" s="1"/>
      <c r="K53" s="1"/>
      <c r="L53" s="1"/>
      <c r="M53" s="1"/>
      <c r="N53" s="1"/>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9">
        <f>IFERROR(INDEX($Z$70:$Z$83,MATCH(14,$DB$70:$DB$83,0)),DE52)</f>
        <v>0</v>
      </c>
      <c r="DF53" s="29" t="str">
        <f>IFERROR(INDEX($AB$70:$AB$83,MATCH(14,$DB$70:$DB$83,0)),"")</f>
        <v/>
      </c>
      <c r="DG53" s="29" t="str">
        <f>IFERROR(SQRT(INDEX($AK$70:$AK$83,MATCH(14,$DB$70:$DB$83,0)))/80,"")</f>
        <v/>
      </c>
      <c r="DH53" s="29" t="str">
        <f>IFERROR(INDEX($R$70:$R$83,MATCH(14,$DB$70:$DB$83,0)),"")</f>
        <v/>
      </c>
      <c r="DI53" s="29">
        <f>IFERROR(INDEX($Z$70:$Z$83,MATCH(14,$DC$70:$DC$83,0)),DI52)</f>
        <v>0</v>
      </c>
      <c r="DJ53" s="29" t="str">
        <f>IFERROR(INDEX($AB$70:$AB$83,MATCH(14,$DC$70:$DC$83,0)),"")</f>
        <v/>
      </c>
      <c r="DK53" s="29" t="str">
        <f>IFERROR(SQRT(INDEX($AK$70:$AK$83,MATCH(14,$DC$70:$DC$83,0)))/80,"")</f>
        <v/>
      </c>
      <c r="DL53" s="29" t="str">
        <f>IFERROR(INDEX($R$70:$R$83,MATCH(14,$DC$70:$DC$83,0)),"")</f>
        <v/>
      </c>
      <c r="DM53" s="29">
        <f>IFERROR(INDEX($Z$70:$Z$83,MATCH(14,$DD$70:$DD$83,0)),DM52)</f>
        <v>0</v>
      </c>
      <c r="DN53" s="29" t="str">
        <f>IFERROR(INDEX($AB$70:$AB$83,MATCH(14,$DD$70:$DD$83,0)),"")</f>
        <v/>
      </c>
      <c r="DO53" s="29" t="str">
        <f>IFERROR(SQRT(INDEX($AK$70:$AK$83,MATCH(14,$DD$70:$DD$83,0)))/80,"")</f>
        <v/>
      </c>
      <c r="DP53" s="29" t="str">
        <f>IFERROR(INDEX($R$70:$R$83,MATCH(14,$DD$70:$DD$83,0)),"")</f>
        <v/>
      </c>
      <c r="DQ53" s="2"/>
      <c r="DR53" s="2"/>
      <c r="DS53" s="2"/>
      <c r="DT53" s="2"/>
      <c r="DU53" s="2"/>
      <c r="DV53" s="2"/>
      <c r="DW53" s="2"/>
      <c r="DX53" s="2"/>
      <c r="DY53" s="2"/>
      <c r="DZ53" s="2"/>
      <c r="EA53" s="2"/>
      <c r="EB53" s="2"/>
      <c r="EC53" s="56"/>
      <c r="ED53" s="56"/>
      <c r="EE53" s="56"/>
      <c r="EF53" s="2"/>
      <c r="EG53" s="2"/>
      <c r="EH53" s="2"/>
      <c r="EI53" s="2"/>
      <c r="EJ53" s="2"/>
      <c r="EK53" s="2"/>
      <c r="EL53" s="2"/>
      <c r="EM53" s="2"/>
      <c r="EN53" s="2"/>
      <c r="EO53" s="2"/>
      <c r="EP53" s="2"/>
      <c r="EQ53" s="2"/>
      <c r="ER53" s="2"/>
      <c r="ES53" s="2"/>
      <c r="ET53" s="29">
        <f t="shared" si="0"/>
        <v>0</v>
      </c>
      <c r="EU53" s="29" t="str">
        <f t="shared" si="1"/>
        <v/>
      </c>
      <c r="EV53" s="29" t="str">
        <f t="shared" si="2"/>
        <v/>
      </c>
      <c r="EW53" s="29">
        <f t="shared" si="3"/>
        <v>0</v>
      </c>
      <c r="EX53" s="29" t="str">
        <f t="shared" si="4"/>
        <v/>
      </c>
      <c r="EY53" s="29" t="str">
        <f t="shared" si="5"/>
        <v/>
      </c>
      <c r="EZ53" s="29">
        <f t="shared" si="6"/>
        <v>0</v>
      </c>
      <c r="FA53" s="29" t="str">
        <f t="shared" si="7"/>
        <v/>
      </c>
      <c r="FB53" s="29" t="str">
        <f t="shared" si="8"/>
        <v/>
      </c>
    </row>
    <row r="54" spans="1:158" x14ac:dyDescent="0.2">
      <c r="A54" s="1"/>
      <c r="B54" s="1"/>
      <c r="C54" s="1"/>
      <c r="D54" s="1"/>
      <c r="E54" s="1"/>
      <c r="F54" s="1"/>
      <c r="G54" s="1"/>
      <c r="H54" s="1"/>
      <c r="I54" s="1"/>
      <c r="J54" s="1"/>
      <c r="K54" s="1"/>
      <c r="L54" s="1"/>
      <c r="M54" s="1"/>
      <c r="N54" s="1"/>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56"/>
      <c r="ED54" s="56"/>
      <c r="EE54" s="56"/>
      <c r="EF54" s="2"/>
      <c r="EG54" s="2"/>
      <c r="EH54" s="2"/>
      <c r="EI54" s="2"/>
      <c r="EJ54" s="2"/>
      <c r="EK54" s="2"/>
      <c r="EL54" s="2"/>
      <c r="EM54" s="2"/>
      <c r="EN54" s="2"/>
      <c r="EO54" s="2"/>
      <c r="EP54" s="2"/>
      <c r="EQ54" s="2"/>
      <c r="ER54" s="2"/>
      <c r="ES54" s="2"/>
      <c r="ET54" s="2"/>
      <c r="EU54" s="2"/>
      <c r="EV54" s="2"/>
      <c r="EW54" s="2"/>
      <c r="EX54" s="2"/>
      <c r="EY54" s="2"/>
      <c r="EZ54" s="2"/>
      <c r="FA54" s="2"/>
      <c r="FB54" s="2"/>
    </row>
    <row r="55" spans="1:158" x14ac:dyDescent="0.2">
      <c r="A55" s="1"/>
      <c r="B55" s="1"/>
      <c r="C55" s="1"/>
      <c r="D55" s="1"/>
      <c r="E55" s="1"/>
      <c r="F55" s="1"/>
      <c r="G55" s="1"/>
      <c r="H55" s="1"/>
      <c r="I55" s="1"/>
      <c r="J55" s="1"/>
      <c r="K55" s="1"/>
      <c r="L55" s="1"/>
      <c r="M55" s="1"/>
      <c r="N55" s="1"/>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56"/>
      <c r="ED55" s="56"/>
      <c r="EE55" s="56"/>
      <c r="EF55" s="2"/>
      <c r="EG55" s="2"/>
      <c r="EH55" s="2"/>
      <c r="EI55" s="2"/>
      <c r="EJ55" s="2"/>
      <c r="EK55" s="2"/>
      <c r="EL55" s="2"/>
      <c r="EM55" s="2"/>
      <c r="EN55" s="2"/>
      <c r="EO55" s="2"/>
      <c r="EP55" s="2"/>
      <c r="EQ55" s="2"/>
      <c r="ER55" s="2"/>
      <c r="ES55" s="2"/>
      <c r="ET55" s="2"/>
      <c r="EU55" s="2"/>
      <c r="EV55" s="2"/>
      <c r="EW55" s="2"/>
      <c r="EX55" s="2"/>
      <c r="EY55" s="2"/>
      <c r="EZ55" s="2"/>
      <c r="FA55" s="2"/>
      <c r="FB55" s="2"/>
    </row>
    <row r="56" spans="1:158" x14ac:dyDescent="0.2">
      <c r="A56" s="1"/>
      <c r="B56" s="112" t="s">
        <v>57</v>
      </c>
      <c r="C56" s="88"/>
      <c r="D56" s="88"/>
      <c r="E56" s="88"/>
      <c r="F56" s="88"/>
      <c r="G56" s="88"/>
      <c r="H56" s="88"/>
      <c r="I56" s="88"/>
      <c r="J56" s="88"/>
      <c r="K56" s="88"/>
      <c r="L56" s="88"/>
      <c r="M56" s="88"/>
      <c r="N56" s="1"/>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56"/>
      <c r="ED56" s="56"/>
      <c r="EE56" s="56"/>
      <c r="EF56" s="2"/>
      <c r="EG56" s="2"/>
      <c r="EH56" s="2"/>
      <c r="EI56" s="2"/>
      <c r="EJ56" s="2"/>
      <c r="EK56" s="2"/>
      <c r="EL56" s="2"/>
      <c r="EM56" s="2"/>
      <c r="EN56" s="2"/>
      <c r="EO56" s="2"/>
      <c r="EP56" s="2"/>
      <c r="EQ56" s="2"/>
      <c r="ER56" s="2"/>
      <c r="ES56" s="2"/>
      <c r="ET56" s="2"/>
      <c r="EU56" s="2"/>
      <c r="EV56" s="2"/>
      <c r="EW56" s="2"/>
      <c r="EX56" s="2"/>
      <c r="EY56" s="2"/>
      <c r="EZ56" s="2"/>
      <c r="FA56" s="2"/>
      <c r="FB56" s="2"/>
    </row>
    <row r="57" spans="1:158" x14ac:dyDescent="0.2">
      <c r="A57" s="1"/>
      <c r="B57" s="32" t="s">
        <v>58</v>
      </c>
      <c r="C57" s="1"/>
      <c r="D57" s="1"/>
      <c r="E57" s="1"/>
      <c r="F57" s="1"/>
      <c r="G57" s="1"/>
      <c r="H57" s="1"/>
      <c r="I57" s="1"/>
      <c r="J57" s="1"/>
      <c r="K57" s="1"/>
      <c r="L57" s="1"/>
      <c r="M57" s="1"/>
      <c r="N57" s="1"/>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56"/>
      <c r="ED57" s="56"/>
      <c r="EE57" s="56"/>
      <c r="EF57" s="2"/>
      <c r="EG57" s="2"/>
      <c r="EH57" s="2"/>
      <c r="EI57" s="2"/>
      <c r="EJ57" s="2"/>
      <c r="EK57" s="2"/>
      <c r="EL57" s="2"/>
      <c r="EM57" s="2"/>
      <c r="EN57" s="2"/>
      <c r="EO57" s="2"/>
      <c r="EP57" s="2"/>
      <c r="EQ57" s="2"/>
      <c r="ER57" s="2"/>
      <c r="ES57" s="2"/>
      <c r="ET57" s="2"/>
      <c r="EU57" s="2"/>
      <c r="EV57" s="2"/>
      <c r="EW57" s="2"/>
      <c r="EX57" s="2"/>
      <c r="EY57" s="2"/>
      <c r="EZ57" s="2"/>
      <c r="FA57" s="2"/>
      <c r="FB57" s="2"/>
    </row>
    <row r="58" spans="1:158" x14ac:dyDescent="0.2">
      <c r="A58" s="1"/>
      <c r="B58" s="1"/>
      <c r="C58" s="1"/>
      <c r="D58" s="1"/>
      <c r="E58" s="1"/>
      <c r="F58" s="1"/>
      <c r="G58" s="1"/>
      <c r="H58" s="1"/>
      <c r="I58" s="1"/>
      <c r="J58" s="1"/>
      <c r="K58" s="1"/>
      <c r="L58" s="1"/>
      <c r="M58" s="1"/>
      <c r="N58" s="1"/>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56"/>
      <c r="ED58" s="56"/>
      <c r="EE58" s="56"/>
      <c r="EF58" s="2"/>
      <c r="EG58" s="2"/>
      <c r="EH58" s="2"/>
      <c r="EI58" s="2"/>
      <c r="EJ58" s="2"/>
      <c r="EK58" s="2"/>
      <c r="EL58" s="2"/>
      <c r="EM58" s="2"/>
      <c r="EN58" s="2"/>
      <c r="EO58" s="2"/>
      <c r="EP58" s="2"/>
      <c r="EQ58" s="2"/>
      <c r="ER58" s="2"/>
      <c r="ES58" s="2"/>
      <c r="ET58" s="2"/>
      <c r="EU58" s="2"/>
      <c r="EV58" s="2"/>
      <c r="EW58" s="2"/>
      <c r="EX58" s="2"/>
      <c r="EY58" s="2"/>
      <c r="EZ58" s="2"/>
      <c r="FA58" s="2"/>
      <c r="FB58" s="2"/>
    </row>
    <row r="59" spans="1:158" x14ac:dyDescent="0.2">
      <c r="A59" s="1"/>
      <c r="B59" s="55"/>
      <c r="C59" s="55"/>
      <c r="D59" s="55"/>
      <c r="E59" s="55"/>
      <c r="F59" s="55"/>
      <c r="G59" s="55"/>
      <c r="H59" s="55"/>
      <c r="I59" s="55"/>
      <c r="J59" s="55"/>
      <c r="K59" s="55"/>
      <c r="L59" s="55"/>
      <c r="M59" s="1"/>
      <c r="N59" s="1"/>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56"/>
      <c r="ED59" s="56"/>
      <c r="EE59" s="56"/>
      <c r="EF59" s="2"/>
      <c r="EG59" s="2"/>
      <c r="EH59" s="2"/>
      <c r="EI59" s="2"/>
      <c r="EJ59" s="2"/>
      <c r="EK59" s="2"/>
      <c r="EL59" s="2"/>
      <c r="EM59" s="2"/>
      <c r="EN59" s="2"/>
      <c r="EO59" s="2"/>
      <c r="EP59" s="2"/>
      <c r="EQ59" s="2"/>
      <c r="ER59" s="2"/>
      <c r="ES59" s="2"/>
      <c r="ET59" s="2"/>
      <c r="EU59" s="2"/>
      <c r="EV59" s="2"/>
      <c r="EW59" s="2"/>
      <c r="EX59" s="2"/>
      <c r="EY59" s="2"/>
      <c r="EZ59" s="2"/>
      <c r="FA59" s="2"/>
      <c r="FB59" s="2"/>
    </row>
    <row r="60" spans="1:158" x14ac:dyDescent="0.2">
      <c r="A60" s="1"/>
      <c r="B60" s="55"/>
      <c r="C60" s="55"/>
      <c r="D60" s="55"/>
      <c r="E60" s="55"/>
      <c r="F60" s="55"/>
      <c r="G60" s="55"/>
      <c r="H60" s="55"/>
      <c r="I60" s="55"/>
      <c r="J60" s="55"/>
      <c r="K60" s="55"/>
      <c r="L60" s="55"/>
      <c r="M60" s="1"/>
      <c r="N60" s="1"/>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56"/>
      <c r="ED60" s="56"/>
      <c r="EE60" s="56"/>
      <c r="EF60" s="2"/>
      <c r="EG60" s="2"/>
      <c r="EH60" s="2"/>
      <c r="EI60" s="2"/>
      <c r="EJ60" s="2"/>
      <c r="EK60" s="2"/>
      <c r="EL60" s="2"/>
      <c r="EM60" s="2"/>
      <c r="EN60" s="2"/>
      <c r="EO60" s="2"/>
      <c r="EP60" s="2"/>
      <c r="EQ60" s="2"/>
      <c r="ER60" s="2"/>
      <c r="ES60" s="2"/>
      <c r="ET60" s="2"/>
      <c r="EU60" s="2"/>
      <c r="EV60" s="2"/>
      <c r="EW60" s="2"/>
      <c r="EX60" s="2"/>
      <c r="EY60" s="2"/>
      <c r="EZ60" s="2"/>
      <c r="FA60" s="2"/>
      <c r="FB60" s="2"/>
    </row>
    <row r="61" spans="1:158" x14ac:dyDescent="0.2">
      <c r="A61" s="1"/>
      <c r="B61" s="55"/>
      <c r="C61" s="55"/>
      <c r="D61" s="55"/>
      <c r="E61" s="55"/>
      <c r="F61" s="55"/>
      <c r="G61" s="55"/>
      <c r="H61" s="55"/>
      <c r="I61" s="55"/>
      <c r="J61" s="55"/>
      <c r="K61" s="55"/>
      <c r="L61" s="55"/>
      <c r="M61" s="1"/>
      <c r="N61" s="1"/>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56"/>
      <c r="ED61" s="56"/>
      <c r="EE61" s="56"/>
      <c r="EF61" s="2"/>
      <c r="EG61" s="2"/>
      <c r="EH61" s="2"/>
      <c r="EI61" s="2"/>
      <c r="EJ61" s="2"/>
      <c r="EK61" s="2"/>
      <c r="EL61" s="2"/>
      <c r="EM61" s="2"/>
      <c r="EN61" s="2"/>
      <c r="EO61" s="2"/>
      <c r="EP61" s="2"/>
      <c r="EQ61" s="2"/>
      <c r="ER61" s="2"/>
      <c r="ES61" s="2"/>
      <c r="ET61" s="2"/>
      <c r="EU61" s="2"/>
      <c r="EV61" s="2"/>
      <c r="EW61" s="2"/>
      <c r="EX61" s="2"/>
      <c r="EY61" s="2"/>
      <c r="EZ61" s="2"/>
      <c r="FA61" s="2"/>
      <c r="FB61" s="2"/>
    </row>
    <row r="62" spans="1:158" x14ac:dyDescent="0.2">
      <c r="A62" s="1"/>
      <c r="B62" s="55"/>
      <c r="C62" s="55"/>
      <c r="D62" s="55"/>
      <c r="E62" s="55"/>
      <c r="F62" s="55"/>
      <c r="G62" s="55"/>
      <c r="H62" s="55"/>
      <c r="I62" s="55"/>
      <c r="J62" s="55"/>
      <c r="K62" s="55"/>
      <c r="L62" s="55"/>
      <c r="M62" s="1"/>
      <c r="N62" s="1"/>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56"/>
      <c r="ED62" s="56"/>
      <c r="EE62" s="56"/>
      <c r="EF62" s="2"/>
      <c r="EG62" s="2"/>
      <c r="EH62" s="2"/>
      <c r="EI62" s="2"/>
      <c r="EJ62" s="2"/>
      <c r="EK62" s="2"/>
      <c r="EL62" s="2"/>
      <c r="EM62" s="2"/>
      <c r="EN62" s="2"/>
      <c r="EO62" s="2"/>
      <c r="EP62" s="2"/>
      <c r="EQ62" s="2"/>
      <c r="ER62" s="2"/>
      <c r="ES62" s="2"/>
      <c r="ET62" s="2"/>
      <c r="EU62" s="2"/>
      <c r="EV62" s="2"/>
      <c r="EW62" s="2"/>
      <c r="EX62" s="2"/>
      <c r="EY62" s="2"/>
      <c r="EZ62" s="2"/>
      <c r="FA62" s="2"/>
      <c r="FB62" s="2"/>
    </row>
    <row r="63" spans="1:158" x14ac:dyDescent="0.2">
      <c r="A63" s="1"/>
      <c r="B63" s="55"/>
      <c r="C63" s="55"/>
      <c r="D63" s="55"/>
      <c r="E63" s="55"/>
      <c r="F63" s="55"/>
      <c r="G63" s="55"/>
      <c r="H63" s="55"/>
      <c r="I63" s="55"/>
      <c r="J63" s="55"/>
      <c r="K63" s="55"/>
      <c r="L63" s="55"/>
      <c r="M63" s="1"/>
      <c r="N63" s="1"/>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56"/>
      <c r="ED63" s="56"/>
      <c r="EE63" s="56"/>
      <c r="EF63" s="2"/>
      <c r="EG63" s="2"/>
      <c r="EH63" s="2"/>
      <c r="EI63" s="2"/>
      <c r="EJ63" s="2"/>
      <c r="EK63" s="2"/>
      <c r="EL63" s="2"/>
      <c r="EM63" s="2"/>
      <c r="EN63" s="2"/>
      <c r="EO63" s="2"/>
      <c r="EP63" s="2"/>
      <c r="EQ63" s="2"/>
      <c r="ER63" s="2"/>
      <c r="ES63" s="2"/>
      <c r="ET63" s="2"/>
      <c r="EU63" s="2"/>
      <c r="EV63" s="2"/>
      <c r="EW63" s="2"/>
      <c r="EX63" s="2"/>
      <c r="EY63" s="2"/>
      <c r="EZ63" s="2"/>
      <c r="FA63" s="2"/>
      <c r="FB63" s="2"/>
    </row>
    <row r="64" spans="1:158" x14ac:dyDescent="0.2">
      <c r="A64" s="1"/>
      <c r="B64" s="55"/>
      <c r="C64" s="55"/>
      <c r="D64" s="55"/>
      <c r="E64" s="55"/>
      <c r="F64" s="55"/>
      <c r="G64" s="55"/>
      <c r="H64" s="55"/>
      <c r="I64" s="55"/>
      <c r="J64" s="55"/>
      <c r="K64" s="55"/>
      <c r="L64" s="55"/>
      <c r="M64" s="1"/>
      <c r="N64" s="1"/>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56"/>
      <c r="ED64" s="56"/>
      <c r="EE64" s="56"/>
      <c r="EF64" s="2"/>
      <c r="EG64" s="2"/>
      <c r="EH64" s="2"/>
      <c r="EI64" s="2"/>
      <c r="EJ64" s="2"/>
      <c r="EK64" s="2"/>
      <c r="EL64" s="2"/>
      <c r="EM64" s="2"/>
      <c r="EN64" s="2"/>
      <c r="EO64" s="2"/>
      <c r="EP64" s="2"/>
      <c r="EQ64" s="2"/>
      <c r="ER64" s="2"/>
      <c r="ES64" s="2"/>
      <c r="ET64" s="2"/>
      <c r="EU64" s="2"/>
      <c r="EV64" s="2"/>
      <c r="EW64" s="2"/>
      <c r="EX64" s="2"/>
      <c r="EY64" s="2"/>
      <c r="EZ64" s="2"/>
      <c r="FA64" s="2"/>
      <c r="FB64" s="2"/>
    </row>
    <row r="65" spans="1:161" x14ac:dyDescent="0.2">
      <c r="A65" s="1"/>
      <c r="B65" s="55"/>
      <c r="C65" s="55"/>
      <c r="D65" s="55"/>
      <c r="E65" s="55"/>
      <c r="F65" s="55"/>
      <c r="G65" s="55"/>
      <c r="H65" s="55"/>
      <c r="I65" s="55"/>
      <c r="J65" s="55"/>
      <c r="K65" s="55"/>
      <c r="L65" s="55"/>
      <c r="M65" s="1"/>
      <c r="N65" s="1"/>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56"/>
      <c r="ED65" s="56"/>
      <c r="EE65" s="56"/>
      <c r="EF65" s="2"/>
      <c r="EG65" s="2"/>
      <c r="EH65" s="2"/>
      <c r="EI65" s="2"/>
      <c r="EJ65" s="2"/>
      <c r="EK65" s="2"/>
      <c r="EL65" s="2"/>
      <c r="EM65" s="2"/>
      <c r="EN65" s="2"/>
      <c r="EO65" s="2"/>
      <c r="EP65" s="2"/>
      <c r="EQ65" s="2"/>
      <c r="ER65" s="2"/>
      <c r="ES65" s="2"/>
      <c r="ET65" s="2"/>
      <c r="EU65" s="2"/>
      <c r="EV65" s="2"/>
      <c r="EW65" s="2"/>
      <c r="EX65" s="2"/>
      <c r="EY65" s="2"/>
      <c r="EZ65" s="2"/>
      <c r="FA65" s="2"/>
      <c r="FB65" s="2"/>
    </row>
    <row r="66" spans="1:161" x14ac:dyDescent="0.2">
      <c r="A66" s="1"/>
      <c r="B66" s="55"/>
      <c r="C66" s="55"/>
      <c r="D66" s="55"/>
      <c r="E66" s="55"/>
      <c r="F66" s="55"/>
      <c r="G66" s="55"/>
      <c r="H66" s="55"/>
      <c r="I66" s="55"/>
      <c r="J66" s="55"/>
      <c r="K66" s="55"/>
      <c r="L66" s="55"/>
      <c r="M66" s="1"/>
      <c r="N66" s="1"/>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56"/>
      <c r="ED66" s="56"/>
      <c r="EE66" s="56"/>
      <c r="EF66" s="2"/>
      <c r="EG66" s="2"/>
      <c r="EH66" s="2"/>
      <c r="EI66" s="2"/>
      <c r="EJ66" s="2"/>
      <c r="EK66" s="2"/>
      <c r="EL66" s="2"/>
      <c r="EM66" s="2"/>
      <c r="EN66" s="2"/>
      <c r="EO66" s="2"/>
      <c r="EP66" s="2"/>
      <c r="EQ66" s="2"/>
      <c r="ER66" s="2"/>
      <c r="ES66" s="2"/>
      <c r="ET66" s="2"/>
      <c r="EU66" s="2"/>
      <c r="EV66" s="2"/>
      <c r="EW66" s="2"/>
      <c r="EX66" s="2"/>
      <c r="EY66" s="2"/>
      <c r="EZ66" s="2"/>
      <c r="FA66" s="2"/>
      <c r="FB66" s="2"/>
    </row>
    <row r="67" spans="1:161" x14ac:dyDescent="0.2">
      <c r="A67" s="1"/>
      <c r="B67" s="55"/>
      <c r="C67" s="55"/>
      <c r="D67" s="55"/>
      <c r="E67" s="55"/>
      <c r="F67" s="55"/>
      <c r="G67" s="55"/>
      <c r="H67" s="55"/>
      <c r="I67" s="55"/>
      <c r="J67" s="55"/>
      <c r="K67" s="55"/>
      <c r="L67" s="55"/>
      <c r="M67" s="1"/>
      <c r="N67" s="1"/>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56"/>
      <c r="ED67" s="56"/>
      <c r="EE67" s="56"/>
      <c r="EF67" s="2"/>
      <c r="EG67" s="2"/>
      <c r="EH67" s="2"/>
      <c r="EI67" s="2"/>
      <c r="EJ67" s="2"/>
      <c r="EK67" s="2"/>
      <c r="EL67" s="2"/>
      <c r="EM67" s="2"/>
      <c r="EN67" s="2"/>
      <c r="EO67" s="2"/>
      <c r="EP67" s="2"/>
      <c r="EQ67" s="2"/>
      <c r="ER67" s="2"/>
      <c r="ES67" s="2"/>
      <c r="ET67" s="2"/>
      <c r="EU67" s="2"/>
      <c r="EV67" s="2"/>
      <c r="EW67" s="2"/>
      <c r="EX67" s="2"/>
      <c r="EY67" s="2"/>
      <c r="EZ67" s="2"/>
      <c r="FA67" s="2"/>
      <c r="FB67" s="2"/>
    </row>
    <row r="68" spans="1:161" ht="22" customHeight="1" x14ac:dyDescent="0.2">
      <c r="A68" s="1"/>
      <c r="B68" s="55"/>
      <c r="C68" s="55"/>
      <c r="D68" s="55"/>
      <c r="E68" s="55"/>
      <c r="F68" s="55"/>
      <c r="G68" s="55"/>
      <c r="H68" s="55"/>
      <c r="I68" s="55"/>
      <c r="J68" s="55"/>
      <c r="K68" s="55"/>
      <c r="L68" s="55"/>
      <c r="M68" s="1"/>
      <c r="N68" s="1"/>
      <c r="O68" s="2"/>
      <c r="P68" s="5" t="s">
        <v>61</v>
      </c>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f>COUNTIF(BG70:BG83,"?*")</f>
        <v>0</v>
      </c>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56"/>
      <c r="ED68" s="56"/>
      <c r="EE68" s="56"/>
      <c r="EF68" s="2"/>
      <c r="EG68" s="2"/>
      <c r="EH68" s="2"/>
      <c r="EI68" s="2"/>
      <c r="EJ68" s="2"/>
      <c r="EK68" s="2"/>
      <c r="EL68" s="2"/>
      <c r="EM68" s="2"/>
      <c r="EN68" s="2"/>
      <c r="EO68" s="2"/>
      <c r="EP68" s="2"/>
      <c r="EQ68" s="2"/>
      <c r="ER68" s="2"/>
      <c r="ES68" s="2"/>
      <c r="ET68" s="2"/>
      <c r="EU68" s="2"/>
      <c r="EV68" s="2"/>
      <c r="EW68" s="2"/>
      <c r="EX68" s="2"/>
      <c r="EY68" s="2"/>
      <c r="EZ68" s="2"/>
      <c r="FA68" s="2"/>
      <c r="FB68" s="2"/>
      <c r="FC68" s="48" t="s">
        <v>63</v>
      </c>
      <c r="FD68" s="48" t="s">
        <v>26</v>
      </c>
      <c r="FE68" s="48" t="s">
        <v>318</v>
      </c>
    </row>
    <row r="69" spans="1:161" ht="28" customHeight="1" x14ac:dyDescent="0.2">
      <c r="A69" s="1"/>
      <c r="B69" s="55"/>
      <c r="C69" s="55"/>
      <c r="D69" s="55"/>
      <c r="E69" s="55"/>
      <c r="F69" s="55"/>
      <c r="G69" s="55"/>
      <c r="H69" s="55"/>
      <c r="I69" s="55"/>
      <c r="J69" s="55"/>
      <c r="K69" s="55"/>
      <c r="L69" s="55"/>
      <c r="M69" s="1"/>
      <c r="N69" s="1"/>
      <c r="O69" s="2"/>
      <c r="P69" s="8" t="s">
        <v>62</v>
      </c>
      <c r="Q69" s="8" t="s">
        <v>70</v>
      </c>
      <c r="R69" s="7" t="s">
        <v>71</v>
      </c>
      <c r="S69" s="7" t="s">
        <v>72</v>
      </c>
      <c r="T69" s="8" t="s">
        <v>73</v>
      </c>
      <c r="U69" s="8" t="s">
        <v>74</v>
      </c>
      <c r="V69" s="8" t="s">
        <v>75</v>
      </c>
      <c r="W69" s="8" t="s">
        <v>76</v>
      </c>
      <c r="X69" s="8" t="s">
        <v>77</v>
      </c>
      <c r="Y69" s="8" t="s">
        <v>78</v>
      </c>
      <c r="Z69" s="8" t="s">
        <v>79</v>
      </c>
      <c r="AA69" s="8" t="s">
        <v>80</v>
      </c>
      <c r="AB69" s="8" t="s">
        <v>81</v>
      </c>
      <c r="AC69" s="8" t="s">
        <v>82</v>
      </c>
      <c r="AD69" s="8" t="s">
        <v>83</v>
      </c>
      <c r="AE69" s="8" t="s">
        <v>84</v>
      </c>
      <c r="AF69" s="8" t="s">
        <v>85</v>
      </c>
      <c r="AG69" s="8" t="s">
        <v>86</v>
      </c>
      <c r="AH69" s="8" t="s">
        <v>87</v>
      </c>
      <c r="AI69" s="8" t="s">
        <v>88</v>
      </c>
      <c r="AJ69" s="8" t="s">
        <v>89</v>
      </c>
      <c r="AK69" s="8" t="s">
        <v>90</v>
      </c>
      <c r="AL69" s="8" t="s">
        <v>91</v>
      </c>
      <c r="AM69" s="8" t="s">
        <v>92</v>
      </c>
      <c r="AN69" s="8" t="s">
        <v>93</v>
      </c>
      <c r="AO69" s="8" t="s">
        <v>94</v>
      </c>
      <c r="AP69" s="8" t="s">
        <v>95</v>
      </c>
      <c r="AQ69" s="7" t="s">
        <v>69</v>
      </c>
      <c r="AR69" s="2"/>
      <c r="AS69" s="2"/>
      <c r="AT69" s="2"/>
      <c r="AU69" s="2"/>
      <c r="AV69" s="2"/>
      <c r="AW69" s="2"/>
      <c r="AX69" s="2"/>
      <c r="AY69" s="2"/>
      <c r="AZ69" s="2"/>
      <c r="BA69" s="2"/>
      <c r="BB69" s="2"/>
      <c r="BC69" s="2"/>
      <c r="BD69" s="2"/>
      <c r="BE69" s="2"/>
      <c r="BF69" s="2"/>
      <c r="BG69" s="2" t="s">
        <v>63</v>
      </c>
      <c r="BH69" s="2" t="s">
        <v>26</v>
      </c>
      <c r="BI69" s="2" t="s">
        <v>318</v>
      </c>
      <c r="BJ69" s="2"/>
      <c r="BK69" s="2"/>
      <c r="BL69" s="2"/>
      <c r="BM69" s="2"/>
      <c r="BN69" s="2"/>
      <c r="BO69" s="2"/>
      <c r="BP69" s="2"/>
      <c r="BQ69" s="2"/>
      <c r="BR69" s="2" t="s">
        <v>63</v>
      </c>
      <c r="BS69" s="2" t="s">
        <v>26</v>
      </c>
      <c r="BT69" s="2" t="s">
        <v>117</v>
      </c>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9" t="s">
        <v>96</v>
      </c>
      <c r="DB69" s="29" t="s">
        <v>97</v>
      </c>
      <c r="DC69" s="29" t="s">
        <v>98</v>
      </c>
      <c r="DD69" s="2"/>
      <c r="DE69" s="29" t="s">
        <v>99</v>
      </c>
      <c r="DF69" s="29" t="s">
        <v>100</v>
      </c>
      <c r="DG69" s="29" t="s">
        <v>101</v>
      </c>
      <c r="DH69" s="29" t="s">
        <v>102</v>
      </c>
      <c r="DI69" s="2"/>
      <c r="DJ69" s="29" t="s">
        <v>103</v>
      </c>
      <c r="DK69" s="29" t="s">
        <v>104</v>
      </c>
      <c r="DL69" s="29" t="s">
        <v>105</v>
      </c>
      <c r="DM69" s="29" t="s">
        <v>106</v>
      </c>
      <c r="DN69" s="29" t="s">
        <v>91</v>
      </c>
      <c r="DO69" s="2"/>
      <c r="DP69" s="29" t="s">
        <v>107</v>
      </c>
      <c r="DQ69" s="29" t="s">
        <v>108</v>
      </c>
      <c r="DR69" s="29" t="s">
        <v>109</v>
      </c>
      <c r="DS69" s="29" t="s">
        <v>110</v>
      </c>
      <c r="DT69" s="29" t="s">
        <v>111</v>
      </c>
      <c r="DU69" s="29" t="s">
        <v>112</v>
      </c>
      <c r="DV69" s="29" t="s">
        <v>113</v>
      </c>
      <c r="DW69" s="29" t="s">
        <v>114</v>
      </c>
      <c r="DX69" s="29" t="s">
        <v>115</v>
      </c>
      <c r="DY69" s="29" t="s">
        <v>116</v>
      </c>
      <c r="DZ69" s="29" t="s">
        <v>26</v>
      </c>
      <c r="EA69" s="29" t="s">
        <v>117</v>
      </c>
      <c r="EB69" s="2"/>
      <c r="EC69" s="56" t="s">
        <v>309</v>
      </c>
      <c r="ED69" s="56" t="s">
        <v>310</v>
      </c>
      <c r="EE69" s="56" t="s">
        <v>311</v>
      </c>
      <c r="EF69" s="2" t="s">
        <v>312</v>
      </c>
      <c r="EG69" s="2" t="s">
        <v>313</v>
      </c>
      <c r="EH69" s="2" t="s">
        <v>314</v>
      </c>
      <c r="EI69" s="2"/>
      <c r="EJ69" s="2"/>
      <c r="EK69" s="2"/>
      <c r="EL69" s="2"/>
      <c r="EM69" s="2"/>
      <c r="EN69" s="2"/>
      <c r="EO69" s="2"/>
      <c r="EP69" s="2"/>
      <c r="EQ69" s="2"/>
      <c r="ER69" s="2"/>
      <c r="ES69" s="2"/>
      <c r="ET69" s="2"/>
      <c r="EU69" s="2"/>
      <c r="EV69" s="2"/>
      <c r="EW69" s="2"/>
      <c r="EX69" s="2"/>
      <c r="EY69" s="2"/>
      <c r="EZ69" s="2"/>
      <c r="FA69" s="2"/>
      <c r="FB69" s="2"/>
      <c r="FC69" s="48" t="str" cm="1">
        <f t="array" ref="FC69">IFERROR(_xlfn._xlws.FILTER(_xlfn.SORTBY($R$70:$R$83,$BF$70:$BF$83,-1),_xlfn.SORTBY($BF$70:$BF$83,$BF$70:$BF$83,-1)&gt;-1000000000),"")</f>
        <v/>
      </c>
      <c r="FD69" s="48" t="str" cm="1">
        <f t="array" ref="FD69">IFERROR(_xlfn._xlws.FILTER(_xlfn.SORTBY($AL$70:$AL$83,$BF$70:$BF$83,-1),_xlfn.SORTBY($BF$70:$BF$83,$BF$70:$BF$83,-1)&gt;-1000000000),"")</f>
        <v/>
      </c>
      <c r="FE69" s="48" t="str" cm="1">
        <f t="array" ref="FE69">IFERROR(_xlfn._xlws.FILTER(_xlfn.SORTBY($BD$70:$BD$83,$BF$70:$BF$83,-1),_xlfn.SORTBY($BF$70:$BF$83,$BF$70:$BF$83,-1)&gt;-1000000000),"")</f>
        <v/>
      </c>
    </row>
    <row r="70" spans="1:161" ht="22" customHeight="1" x14ac:dyDescent="0.2">
      <c r="A70" s="1"/>
      <c r="B70" s="55"/>
      <c r="C70" s="55"/>
      <c r="D70" s="55"/>
      <c r="E70" s="55"/>
      <c r="F70" s="55"/>
      <c r="G70" s="55"/>
      <c r="H70" s="55"/>
      <c r="I70" s="55"/>
      <c r="J70" s="55"/>
      <c r="K70" s="55"/>
      <c r="L70" s="55"/>
      <c r="M70" s="1"/>
      <c r="N70" s="1"/>
      <c r="O70" s="2"/>
      <c r="P70" s="11">
        <v>1</v>
      </c>
      <c r="Q70" s="11">
        <f>N(inp_role_active_1)</f>
        <v>0</v>
      </c>
      <c r="R70" s="9" t="str">
        <f>inp_role_title_1&amp;""</f>
        <v/>
      </c>
      <c r="S70" s="12" t="str">
        <f>inp_role_cat_1&amp;""</f>
        <v/>
      </c>
      <c r="T70" s="35">
        <f>IFERROR(N(inp_role_hc_1),0)</f>
        <v>0</v>
      </c>
      <c r="U70" s="10">
        <f>IFERROR(N(inp_role_salary_1),0)</f>
        <v>0</v>
      </c>
      <c r="V70" s="6">
        <f>IFERROR(N(inp_role_oncost_1),0)</f>
        <v>0</v>
      </c>
      <c r="W70" s="10">
        <f>IFERROR(N(inp_role_benefits_1),0)</f>
        <v>0</v>
      </c>
      <c r="X70" s="11">
        <f>IFERROR(N(inp_role_cap_1),0)</f>
        <v>0</v>
      </c>
      <c r="Y70" s="6">
        <f>IFERROR(N(inp_role_tutil_1),0)</f>
        <v>0</v>
      </c>
      <c r="Z70" s="6">
        <f>IFERROR(IF(inp_biz_period_m=0,0,(N(inp_role_billhours_1)*12/inp_biz_period_m)/(X70*T70)),0)</f>
        <v>0</v>
      </c>
      <c r="AA70" s="10">
        <f>IFERROR(N(inp_role_rate_1),0)</f>
        <v>0</v>
      </c>
      <c r="AB70" s="6">
        <f>IFERROR(IF(OR(N(inp_role_billhours_1)=0,AA70=0),0,(N(inp_role_revenue_1)/N(inp_role_billhours_1))/AA70),0)</f>
        <v>0</v>
      </c>
      <c r="AC70" s="10">
        <f t="shared" ref="AC70:AC83" si="9">U70*(1+V70)+W70*12</f>
        <v>0</v>
      </c>
      <c r="AD70" s="10">
        <f t="shared" ref="AD70:AD83" si="10">IF(Q70=1,AC70*T70,0)</f>
        <v>0</v>
      </c>
      <c r="AE70" s="11">
        <f t="shared" ref="AE70:AE83" si="11">IF(Q70=1,X70*T70,0)</f>
        <v>0</v>
      </c>
      <c r="AF70" s="11">
        <f t="shared" ref="AF70:AF83" si="12">IF(Q70=1,X70*T70*Z70,0)</f>
        <v>0</v>
      </c>
      <c r="AG70" s="11">
        <f t="shared" ref="AG70:AG83" si="13">IF(Q70=1,X70*T70*Y70,0)</f>
        <v>0</v>
      </c>
      <c r="AH70" s="10">
        <f t="shared" ref="AH70:AH83" si="14">IF(Q70=0,0,IF(AF70&gt;0,AD70/AF70,IF(AG70&gt;0,AD70/AG70,0)))</f>
        <v>0</v>
      </c>
      <c r="AI70" s="10">
        <f t="shared" ref="AI70:AI83" si="15">AA70</f>
        <v>0</v>
      </c>
      <c r="AJ70" s="10">
        <f t="shared" ref="AJ70:AJ83" si="16">AA70*AB70</f>
        <v>0</v>
      </c>
      <c r="AK70" s="10">
        <f t="shared" ref="AK70:AK83" si="17">AJ70*AF70</f>
        <v>0</v>
      </c>
      <c r="AL70" s="6">
        <f t="shared" ref="AL70:AL83" si="18">IF(Q70=0,0,IF(AJ70=0,0,(AJ70-AH70)/AJ70))</f>
        <v>0</v>
      </c>
      <c r="AM70" s="6">
        <f t="shared" ref="AM70:AM83" si="19">IF(Q70=0,0,1-AB70)</f>
        <v>0</v>
      </c>
      <c r="AN70" s="10">
        <f t="shared" ref="AN70:AN83" si="20">IF(Q70=0,0,(AA70-AJ70)*AF70)</f>
        <v>0</v>
      </c>
      <c r="AO70" s="6">
        <f t="shared" ref="AO70:AO83" si="21">IF(Q70=0,0,Y70-Z70)</f>
        <v>0</v>
      </c>
      <c r="AP70" s="10">
        <f t="shared" ref="AP70:AP83" si="22">IF(Q70=0,0,AJ70*X70*T70*MAX(Y70-Z70,0))</f>
        <v>0</v>
      </c>
      <c r="AQ70" s="28" t="str">
        <f t="shared" ref="AQ70:AQ83" si="23">IF(Q70=0,"INACTIVE",IF(OR(S70="Overhead",S70="Leadership"),"OVERHEAD",IF(AJ70=0,"NO RATE",IF(AL70&gt;=ref_bench_margin_target,"PASS",IF(AL70&gt;=ref_bench_margin_warn,"WARN","FAIL")))))</f>
        <v>INACTIVE</v>
      </c>
      <c r="AR70" s="6">
        <f t="shared" ref="AR70:AR83" si="24">ref_bench_margin_target</f>
        <v>0.5</v>
      </c>
      <c r="AS70" s="6">
        <f t="shared" ref="AS70:AS83" si="25">IF(AND(Q70=1,S70="Delivery",AJ70&gt;0),AL70,99)</f>
        <v>99</v>
      </c>
      <c r="AT70" s="2"/>
      <c r="AU70" s="6" t="e">
        <f t="shared" ref="AU70:AU83" si="26">IF(AND(AND(Q70=1,S70="Delivery",AJ70&gt;0),AL70&gt;=ref_bench_margin_target),Z70,NA())</f>
        <v>#N/A</v>
      </c>
      <c r="AV70" s="6" t="e">
        <f t="shared" ref="AV70:AV83" si="27">IF(AND(AND(Q70=1,S70="Delivery",AJ70&gt;0),AL70&gt;=ref_bench_margin_target),AB70,NA())</f>
        <v>#N/A</v>
      </c>
      <c r="AW70" s="11" t="e">
        <f t="shared" ref="AW70:AW83" si="28">IF(AND(AND(Q70=1,S70="Delivery",AJ70&gt;0),AL70&gt;=ref_bench_margin_target),AK70/1000,NA())</f>
        <v>#N/A</v>
      </c>
      <c r="AX70" s="6" t="e">
        <f t="shared" ref="AX70:AX83" si="29">IF(AND(AND(Q70=1,S70="Delivery",AJ70&gt;0),AND(AL70&gt;=0.3,AL70&lt;ref_bench_margin_target)),Z70,NA())</f>
        <v>#N/A</v>
      </c>
      <c r="AY70" s="6" t="e">
        <f t="shared" ref="AY70:AY83" si="30">IF(AND(AND(Q70=1,S70="Delivery",AJ70&gt;0),AND(AL70&gt;=0.3,AL70&lt;ref_bench_margin_target)),AB70,NA())</f>
        <v>#N/A</v>
      </c>
      <c r="AZ70" s="11" t="e">
        <f t="shared" ref="AZ70:AZ83" si="31">IF(AND(AND(Q70=1,S70="Delivery",AJ70&gt;0),AND(AL70&gt;=0.3,AL70&lt;ref_bench_margin_target)),AK70/1000,NA())</f>
        <v>#N/A</v>
      </c>
      <c r="BA70" s="6" t="e">
        <f t="shared" ref="BA70:BA83" si="32">IF(AND(AND(Q70=1,S70="Delivery",AJ70&gt;0),AL70&lt;0.3),Z70,NA())</f>
        <v>#N/A</v>
      </c>
      <c r="BB70" s="6" t="e">
        <f t="shared" ref="BB70:BB83" si="33">IF(AND(AND(Q70=1,S70="Delivery",AJ70&gt;0),AL70&lt;0.3),AB70,NA())</f>
        <v>#N/A</v>
      </c>
      <c r="BC70" s="11" t="e">
        <f t="shared" ref="BC70:BC83" si="34">IF(AND(AND(Q70=1,S70="Delivery",AJ70&gt;0),AL70&lt;0.3),AK70/1000,NA())</f>
        <v>#N/A</v>
      </c>
      <c r="BD70" s="6" t="str">
        <f t="shared" ref="BD70:BD83" si="35">IFERROR(IF(AND(AND(Q70=1,S70="Delivery",AJ70&gt;0),AA70&gt;0,X70*T70&gt;0),(AA70*ref_bench_realisation-AD70/(X70*T70*ref_bench_util_avg))/(AA70*ref_bench_realisation),""),"")</f>
        <v/>
      </c>
      <c r="BE70" s="11">
        <f>IF(AND(Q70=1,S70="Delivery",AJ70&gt;0),AP70+AN70+0*0.001,-1000000000)</f>
        <v>-1000000000</v>
      </c>
      <c r="BF70" s="2">
        <f>IF(AND(Q70=1,S70="Delivery",AJ70&gt;0),AL70+(70-70)*0.00001,-1000000000)</f>
        <v>-1000000000</v>
      </c>
      <c r="BG70" s="9" t="str">
        <f>IF(LARGE($BF$70:$BF$83,1)&gt;-1000000000,INDEX($R$70:$R$83,MATCH(LARGE($BF$70:$BF$83,1),$BF$70:$BF$83,0)),"")</f>
        <v/>
      </c>
      <c r="BH70" s="6" t="e">
        <f>IF(LARGE($BF$70:$BF$83,1)&gt;-1000000000,INDEX($AL$70:$AL$83,MATCH(LARGE($BF$70:$BF$83,1),$BF$70:$BF$83,0)),NA())</f>
        <v>#N/A</v>
      </c>
      <c r="BI70" s="6" t="e">
        <f>IF(LARGE($BF$70:$BF$83,1)&gt;-1000000000,INDEX($BD$70:$BD$83,MATCH(LARGE($BF$70:$BF$83,1),$BF$70:$BF$83,0)),NA())</f>
        <v>#N/A</v>
      </c>
      <c r="BJ70" s="11" t="str">
        <f>IF(LARGE(BE70:BE83,1)&gt;=0,INDEX(BE70:BE83,MATCH(LARGE(BE70:BE83,1),BE70:BE83,0)),"")</f>
        <v/>
      </c>
      <c r="BK70" s="2"/>
      <c r="BL70" s="6"/>
      <c r="BM70" s="6"/>
      <c r="BN70" s="11">
        <v>1</v>
      </c>
      <c r="BO70" s="2"/>
      <c r="BP70" s="6" t="str">
        <f>IFERROR(INDEX($AU$70:$AU$83,MATCH(1,$BY$70:$BY$83,0)),"")</f>
        <v/>
      </c>
      <c r="BQ70" s="6" t="str">
        <f>IFERROR(INDEX($AV$70:$AV$83,MATCH(1,$BY$70:$BY$83,0)),"")</f>
        <v/>
      </c>
      <c r="BR70" s="11" t="s">
        <v>316</v>
      </c>
      <c r="BS70" s="6">
        <v>0.61839999999999995</v>
      </c>
      <c r="BT70" s="6">
        <v>0.39601139601139601</v>
      </c>
      <c r="BU70" s="11" t="str">
        <f>IFERROR(INDEX($AZ$70:$AZ$83,MATCH(1,$BZ$70:$BZ$83,0)),"")</f>
        <v/>
      </c>
      <c r="BV70" s="6"/>
      <c r="BW70" s="6" t="str">
        <f>IFERROR(INDEX($BB$70:$BB$83,MATCH(1,$CA$70:$CA$83,0)),"")</f>
        <v/>
      </c>
      <c r="BX70" s="11" t="str">
        <f>IFERROR(INDEX($BC$70:$BC$83,MATCH(1,$CA$70:$CA$83,0)),"")</f>
        <v/>
      </c>
      <c r="BY70" s="11" t="str">
        <f>IF(ISNUMBER(AU70),COUNT($AU$70:$AU70),"")</f>
        <v/>
      </c>
      <c r="BZ70" s="11" t="str">
        <f>IF(ISNUMBER(AX70),COUNT($AX$70:$AX70),"")</f>
        <v/>
      </c>
      <c r="CA70" s="11" t="str">
        <f>IF(ISNUMBER(BA70),COUNT($BA$70:$BA70),"")</f>
        <v/>
      </c>
      <c r="CB70" s="2"/>
      <c r="CC70" s="2"/>
      <c r="CD70" s="2"/>
      <c r="CE70" s="2"/>
      <c r="CF70" s="2"/>
      <c r="CG70" s="2"/>
      <c r="CH70" s="2"/>
      <c r="CI70" s="2"/>
      <c r="CJ70" s="2"/>
      <c r="CK70" s="2"/>
      <c r="CL70" s="2"/>
      <c r="CM70" s="2"/>
      <c r="CN70" s="2"/>
      <c r="CO70" s="2"/>
      <c r="CP70" s="2"/>
      <c r="CQ70" s="2"/>
      <c r="CR70" s="2"/>
      <c r="CS70" s="2"/>
      <c r="CT70" s="2"/>
      <c r="CU70" s="2"/>
      <c r="CV70" s="2"/>
      <c r="CW70" s="2"/>
      <c r="CX70" s="2"/>
      <c r="CY70" s="29">
        <f t="shared" ref="CY70:CY83" si="36">IF(AND(AND(Q70=1,S70="Delivery",AJ70&gt;0),AL70&gt;=0.5),1,0)</f>
        <v>0</v>
      </c>
      <c r="CZ70" s="29">
        <f t="shared" ref="CZ70:CZ83" si="37">IF(AND(AND(Q70=1,S70="Delivery",AJ70&gt;0),AL70&gt;=0.3,AL70&lt;0.5),1,0)</f>
        <v>0</v>
      </c>
      <c r="DA70" s="29">
        <f t="shared" ref="DA70:DA83" si="38">IF(AND(AND(Q70=1,S70="Delivery",AJ70&gt;0),AL70&lt;0.3),1,0)</f>
        <v>0</v>
      </c>
      <c r="DB70" s="29" t="str">
        <f>IF(CY70=1,SUM($CY$70:CY70),"")</f>
        <v/>
      </c>
      <c r="DC70" s="29" t="str">
        <f>IF(CZ70=1,SUM($CZ$70:CZ70),"")</f>
        <v/>
      </c>
      <c r="DD70" s="29" t="str">
        <f>IF(DA70=1,SUM($DA$70:DA70),"")</f>
        <v/>
      </c>
      <c r="DE70" s="29">
        <f>ref_bench_util_avg</f>
        <v>0.65</v>
      </c>
      <c r="DF70" s="29">
        <v>0</v>
      </c>
      <c r="DG70" s="29">
        <v>0</v>
      </c>
      <c r="DH70" s="29">
        <f>ref_bench_realisation</f>
        <v>0.9</v>
      </c>
      <c r="DI70" s="2"/>
      <c r="DJ70" s="29" t="e">
        <f t="shared" ref="DJ70:DJ83" si="39">IF(AND(Q70=1,S70="Delivery",AJ70&gt;0),Z70,NA())</f>
        <v>#N/A</v>
      </c>
      <c r="DK70" s="29" t="e">
        <f t="shared" ref="DK70:DK83" si="40">IF(AND(Q70=1,S70="Delivery",AJ70&gt;0),AB70,NA())</f>
        <v>#N/A</v>
      </c>
      <c r="DL70" s="29" t="e">
        <f t="shared" ref="DL70:DL83" si="41">IF(AND(Q70=1,S70="Delivery",AJ70&gt;0),SQRT(AK70)/80,NA())</f>
        <v>#N/A</v>
      </c>
      <c r="DM70" s="29" t="str">
        <f t="shared" ref="DM70:DM83" si="42">IF(AND(Q70=1,S70="Delivery",AJ70&gt;0),R70,"")</f>
        <v/>
      </c>
      <c r="DN70" s="29" t="e">
        <f t="shared" ref="DN70:DN83" si="43">IF(AND(Q70=1,S70="Delivery",AJ70&gt;0),AL70,NA())</f>
        <v>#N/A</v>
      </c>
      <c r="DO70" s="2"/>
      <c r="DP70" s="29" t="e" cm="1">
        <f t="array" ref="DP70">IFERROR(INDEX($Z$70:$Z$83,SMALL($EF$70:$EF$83,ROW()-69)),NA())</f>
        <v>#N/A</v>
      </c>
      <c r="DQ70" s="29" t="e" cm="1">
        <f t="array" ref="DQ70">IFERROR(INDEX($AB$70:$AB$83,SMALL($EF$70:$EF$83,ROW()-69)),NA())</f>
        <v>#N/A</v>
      </c>
      <c r="DR70" s="29" t="e" cm="1">
        <f t="array" ref="DR70">IFERROR(INDEX($AK$70:$AK$83,SMALL($EF$70:$EF$83,ROW()-69))^0.5/80,NA())</f>
        <v>#N/A</v>
      </c>
      <c r="DS70" s="29" t="e" cm="1">
        <f t="array" ref="DS70">IFERROR(INDEX($Z$70:$Z$83,SMALL($EG$70:$EG$83,ROW()-69)),NA())</f>
        <v>#N/A</v>
      </c>
      <c r="DT70" s="29" t="e" cm="1">
        <f t="array" ref="DT70">IFERROR(INDEX($AB$70:$AB$83,SMALL($EG$70:$EG$83,ROW()-69)),NA())</f>
        <v>#N/A</v>
      </c>
      <c r="DU70" s="29" t="e" cm="1">
        <f t="array" ref="DU70">IFERROR(INDEX($AK$70:$AK$83,SMALL($EG$70:$EG$83,ROW()-69))^0.5/80,NA())</f>
        <v>#N/A</v>
      </c>
      <c r="DV70" s="29" t="e" cm="1">
        <f t="array" ref="DV70">IFERROR(INDEX($Z$70:$Z$83,SMALL($EH$70:$EH$83,ROW()-69)),NA())</f>
        <v>#N/A</v>
      </c>
      <c r="DW70" s="29" t="e" cm="1">
        <f t="array" ref="DW70">IFERROR(INDEX($AB$70:$AB$83,SMALL($EH$70:$EH$83,ROW()-69)),NA())</f>
        <v>#N/A</v>
      </c>
      <c r="DX70" s="29" t="e" cm="1">
        <f t="array" ref="DX70">IFERROR(INDEX($AK$70:$AK$83,SMALL($EH$70:$EH$83,ROW()-69))^0.5/80,NA())</f>
        <v>#N/A</v>
      </c>
      <c r="DY70" s="29" t="str">
        <f t="shared" ref="DY70:DY83" si="44">IF(OR(BG70="",ISBLANK(BG70)),"",BG70)</f>
        <v/>
      </c>
      <c r="DZ70" s="29" t="e">
        <f t="shared" ref="DZ70:DZ83" si="45">IF(OR(BG70="",ISBLANK(BG70)),NA(),BH70)</f>
        <v>#N/A</v>
      </c>
      <c r="EA70" s="29" t="e">
        <f t="shared" ref="EA70:EA83" si="46">IF(OR(BG70="",ISBLANK(BG70)),NA(),BI70)</f>
        <v>#N/A</v>
      </c>
      <c r="EB70" s="2" t="str">
        <f>IF(LARGE($BF$70:$BF$83,1)&gt;-1000000000,TEXT(INDEX($AL$70:$AL$83,MATCH(LARGE($BF$70:$BF$83,1),$BF$70:$BF$83,0)),"0.0%"),"")</f>
        <v/>
      </c>
      <c r="EC70" s="56" t="str" cm="1">
        <f t="array" ref="EC70">IFERROR(INDEX($R$70:$R$83,SMALL($EF$70:$EF$83,ROW()-69)),"")</f>
        <v/>
      </c>
      <c r="ED70" s="56" t="str" cm="1">
        <f t="array" ref="ED70">IFERROR(INDEX($R$70:$R$83,SMALL($EG$70:$EG$83,ROW()-69)),"")</f>
        <v/>
      </c>
      <c r="EE70" s="56" t="str" cm="1">
        <f t="array" ref="EE70">IFERROR(INDEX($R$70:$R$83,SMALL($EH$70:$EH$83,ROW()-69)),"")</f>
        <v/>
      </c>
      <c r="EF70" s="2" t="str">
        <f>IF(AND(Q70=1,S70="Delivery",AJ70&gt;0,AL70&gt;=0.5),ROW()-69,"")</f>
        <v/>
      </c>
      <c r="EG70" s="2" t="str">
        <f>IF(AND(Q70=1,S70="Delivery",AJ70&gt;0,AL70&gt;=0.3,AL70&lt;0.5),ROW()-69,"")</f>
        <v/>
      </c>
      <c r="EH70" s="2" t="str">
        <f>IF(AND(Q70=1,S70="Delivery",AJ70&gt;0,AL70&lt;0.3),ROW()-69,"")</f>
        <v/>
      </c>
      <c r="EI70" s="2"/>
      <c r="EJ70" s="2"/>
      <c r="EK70" s="2"/>
      <c r="EL70" s="2"/>
      <c r="EM70" s="2"/>
      <c r="EN70" s="2"/>
      <c r="EO70" s="2"/>
      <c r="EP70" s="2"/>
      <c r="EQ70" s="2"/>
      <c r="ER70" s="2"/>
      <c r="ES70" s="2"/>
      <c r="ET70" s="2"/>
      <c r="EU70" s="2"/>
      <c r="EV70" s="2"/>
      <c r="EW70" s="2"/>
      <c r="EX70" s="2"/>
      <c r="EY70" s="2"/>
      <c r="EZ70" s="2"/>
      <c r="FA70" s="2"/>
      <c r="FB70" s="2"/>
    </row>
    <row r="71" spans="1:161" ht="22" customHeight="1" x14ac:dyDescent="0.2">
      <c r="A71" s="1"/>
      <c r="B71" s="55"/>
      <c r="C71" s="55"/>
      <c r="D71" s="55"/>
      <c r="E71" s="55"/>
      <c r="F71" s="55"/>
      <c r="G71" s="55"/>
      <c r="H71" s="55"/>
      <c r="I71" s="55"/>
      <c r="J71" s="55"/>
      <c r="K71" s="55"/>
      <c r="L71" s="55"/>
      <c r="M71" s="1"/>
      <c r="N71" s="1"/>
      <c r="O71" s="2"/>
      <c r="P71" s="11">
        <v>2</v>
      </c>
      <c r="Q71" s="11">
        <f>N(inp_role_active_2)</f>
        <v>0</v>
      </c>
      <c r="R71" s="9" t="str">
        <f>inp_role_title_2&amp;""</f>
        <v/>
      </c>
      <c r="S71" s="12" t="str">
        <f>inp_role_cat_2&amp;""</f>
        <v/>
      </c>
      <c r="T71" s="35">
        <f>IFERROR(N(inp_role_hc_2),0)</f>
        <v>0</v>
      </c>
      <c r="U71" s="10">
        <f>IFERROR(N(inp_role_salary_2),0)</f>
        <v>0</v>
      </c>
      <c r="V71" s="6">
        <f>IFERROR(N(inp_role_oncost_2),0)</f>
        <v>0</v>
      </c>
      <c r="W71" s="10">
        <f>IFERROR(N(inp_role_benefits_2),0)</f>
        <v>0</v>
      </c>
      <c r="X71" s="11">
        <f>IFERROR(N(inp_role_cap_2),0)</f>
        <v>0</v>
      </c>
      <c r="Y71" s="6">
        <f>IFERROR(N(inp_role_tutil_2),0)</f>
        <v>0</v>
      </c>
      <c r="Z71" s="6">
        <f>IFERROR(IF(inp_biz_period_m=0,0,(N(inp_role_billhours_2)*12/inp_biz_period_m)/(X71*T71)),0)</f>
        <v>0</v>
      </c>
      <c r="AA71" s="10">
        <f>IFERROR(N(inp_role_rate_2),0)</f>
        <v>0</v>
      </c>
      <c r="AB71" s="6">
        <f>IFERROR(IF(OR(N(inp_role_billhours_2)=0,AA71=0),0,(N(inp_role_revenue_2)/N(inp_role_billhours_2))/AA71),0)</f>
        <v>0</v>
      </c>
      <c r="AC71" s="10">
        <f t="shared" si="9"/>
        <v>0</v>
      </c>
      <c r="AD71" s="10">
        <f t="shared" si="10"/>
        <v>0</v>
      </c>
      <c r="AE71" s="11">
        <f t="shared" si="11"/>
        <v>0</v>
      </c>
      <c r="AF71" s="11">
        <f t="shared" si="12"/>
        <v>0</v>
      </c>
      <c r="AG71" s="11">
        <f t="shared" si="13"/>
        <v>0</v>
      </c>
      <c r="AH71" s="10">
        <f t="shared" si="14"/>
        <v>0</v>
      </c>
      <c r="AI71" s="10">
        <f t="shared" si="15"/>
        <v>0</v>
      </c>
      <c r="AJ71" s="10">
        <f t="shared" si="16"/>
        <v>0</v>
      </c>
      <c r="AK71" s="10">
        <f t="shared" si="17"/>
        <v>0</v>
      </c>
      <c r="AL71" s="6">
        <f t="shared" si="18"/>
        <v>0</v>
      </c>
      <c r="AM71" s="6">
        <f t="shared" si="19"/>
        <v>0</v>
      </c>
      <c r="AN71" s="10">
        <f t="shared" si="20"/>
        <v>0</v>
      </c>
      <c r="AO71" s="6">
        <f t="shared" si="21"/>
        <v>0</v>
      </c>
      <c r="AP71" s="10">
        <f t="shared" si="22"/>
        <v>0</v>
      </c>
      <c r="AQ71" s="28" t="str">
        <f t="shared" si="23"/>
        <v>INACTIVE</v>
      </c>
      <c r="AR71" s="6">
        <f t="shared" si="24"/>
        <v>0.5</v>
      </c>
      <c r="AS71" s="6">
        <f t="shared" si="25"/>
        <v>99</v>
      </c>
      <c r="AT71" s="2"/>
      <c r="AU71" s="6" t="e">
        <f t="shared" si="26"/>
        <v>#N/A</v>
      </c>
      <c r="AV71" s="6" t="e">
        <f t="shared" si="27"/>
        <v>#N/A</v>
      </c>
      <c r="AW71" s="11" t="e">
        <f t="shared" si="28"/>
        <v>#N/A</v>
      </c>
      <c r="AX71" s="6" t="e">
        <f t="shared" si="29"/>
        <v>#N/A</v>
      </c>
      <c r="AY71" s="6" t="e">
        <f t="shared" si="30"/>
        <v>#N/A</v>
      </c>
      <c r="AZ71" s="11" t="e">
        <f t="shared" si="31"/>
        <v>#N/A</v>
      </c>
      <c r="BA71" s="6" t="e">
        <f t="shared" si="32"/>
        <v>#N/A</v>
      </c>
      <c r="BB71" s="6" t="e">
        <f t="shared" si="33"/>
        <v>#N/A</v>
      </c>
      <c r="BC71" s="11" t="e">
        <f t="shared" si="34"/>
        <v>#N/A</v>
      </c>
      <c r="BD71" s="6" t="str">
        <f t="shared" si="35"/>
        <v/>
      </c>
      <c r="BE71" s="11">
        <f>IF(AND(Q71=1,S71="Delivery",AJ71&gt;0),AP71+AN71+1*0.001,-1000000000)</f>
        <v>-1000000000</v>
      </c>
      <c r="BF71" s="2">
        <f>IF(AND(Q71=1,S71="Delivery",AJ71&gt;0),AL71+(71-70)*0.00001,-1000000000)</f>
        <v>-1000000000</v>
      </c>
      <c r="BG71" s="9" t="str">
        <f>IF(LARGE($BF$70:$BF$83,2)&gt;-1000000000,INDEX($R$70:$R$83,MATCH(LARGE($BF$70:$BF$83,2),$BF$70:$BF$83,0)),"")</f>
        <v/>
      </c>
      <c r="BH71" s="6" t="e">
        <f>IF(LARGE($BF$70:$BF$83,2)&gt;-1000000000,INDEX($AL$70:$AL$83,MATCH(LARGE($BF$70:$BF$83,2),$BF$70:$BF$83,0)),NA())</f>
        <v>#N/A</v>
      </c>
      <c r="BI71" s="6" t="e">
        <f>IF(LARGE($BF$70:$BF$83,2)&gt;-1000000000,INDEX($BD$70:$BD$83,MATCH(LARGE($BF$70:$BF$83,2),$BF$70:$BF$83,0)),NA())</f>
        <v>#N/A</v>
      </c>
      <c r="BJ71" s="11" t="str">
        <f>IF(LARGE(BE70:BE83,2)&gt;=0,INDEX(BE70:BE83,MATCH(LARGE(BE70:BE83,2),BE70:BE83,0)),"")</f>
        <v/>
      </c>
      <c r="BK71" s="2"/>
      <c r="BL71" s="6"/>
      <c r="BM71" s="6"/>
      <c r="BN71" s="11">
        <v>1</v>
      </c>
      <c r="BO71" s="2"/>
      <c r="BP71" s="6" t="str">
        <f>IFERROR(INDEX($AU$70:$AU$83,MATCH(2,$BY$70:$BY$83,0)),"")</f>
        <v/>
      </c>
      <c r="BQ71" s="6" t="str">
        <f>IFERROR(INDEX($AV$70:$AV$83,MATCH(2,$BY$70:$BY$83,0)),"")</f>
        <v/>
      </c>
      <c r="BR71" s="11" t="s">
        <v>315</v>
      </c>
      <c r="BS71" s="6">
        <v>0.43322010869565197</v>
      </c>
      <c r="BT71" s="6">
        <v>0.31697612732095498</v>
      </c>
      <c r="BU71" s="11" t="str">
        <f>IFERROR(INDEX($AZ$70:$AZ$83,MATCH(2,$BZ$70:$BZ$83,0)),"")</f>
        <v/>
      </c>
      <c r="BV71" s="6"/>
      <c r="BW71" s="6" t="str">
        <f>IFERROR(INDEX($BB$70:$BB$83,MATCH(2,$CA$70:$CA$83,0)),"")</f>
        <v/>
      </c>
      <c r="BX71" s="11" t="str">
        <f>IFERROR(INDEX($BC$70:$BC$83,MATCH(2,$CA$70:$CA$83,0)),"")</f>
        <v/>
      </c>
      <c r="BY71" s="11" t="str">
        <f>IF(ISNUMBER(AU71),COUNT($AU$70:$AU71),"")</f>
        <v/>
      </c>
      <c r="BZ71" s="11" t="str">
        <f>IF(ISNUMBER(AX71),COUNT($AX$70:$AX71),"")</f>
        <v/>
      </c>
      <c r="CA71" s="11" t="str">
        <f>IF(ISNUMBER(BA71),COUNT($BA$70:$BA71),"")</f>
        <v/>
      </c>
      <c r="CB71" s="2"/>
      <c r="CC71" s="2"/>
      <c r="CD71" s="2"/>
      <c r="CE71" s="2"/>
      <c r="CF71" s="2"/>
      <c r="CG71" s="2"/>
      <c r="CH71" s="2"/>
      <c r="CI71" s="2"/>
      <c r="CJ71" s="2"/>
      <c r="CK71" s="2"/>
      <c r="CL71" s="2"/>
      <c r="CM71" s="2"/>
      <c r="CN71" s="2"/>
      <c r="CO71" s="2"/>
      <c r="CP71" s="2"/>
      <c r="CQ71" s="2"/>
      <c r="CR71" s="2"/>
      <c r="CS71" s="2"/>
      <c r="CT71" s="2"/>
      <c r="CU71" s="2"/>
      <c r="CV71" s="2"/>
      <c r="CW71" s="2"/>
      <c r="CX71" s="2"/>
      <c r="CY71" s="29">
        <f t="shared" si="36"/>
        <v>0</v>
      </c>
      <c r="CZ71" s="29">
        <f t="shared" si="37"/>
        <v>0</v>
      </c>
      <c r="DA71" s="29">
        <f t="shared" si="38"/>
        <v>0</v>
      </c>
      <c r="DB71" s="29" t="str">
        <f>IF(CY71=1,SUM($CY$70:CY71),"")</f>
        <v/>
      </c>
      <c r="DC71" s="29" t="str">
        <f>IF(CZ71=1,SUM($CZ$70:CZ71),"")</f>
        <v/>
      </c>
      <c r="DD71" s="29" t="str">
        <f>IF(DA71=1,SUM($DA$70:DA71),"")</f>
        <v/>
      </c>
      <c r="DE71" s="29">
        <f>ref_bench_util_avg</f>
        <v>0.65</v>
      </c>
      <c r="DF71" s="29">
        <v>1.2</v>
      </c>
      <c r="DG71" s="29">
        <v>1</v>
      </c>
      <c r="DH71" s="29">
        <f>ref_bench_realisation</f>
        <v>0.9</v>
      </c>
      <c r="DI71" s="2"/>
      <c r="DJ71" s="29" t="e">
        <f t="shared" si="39"/>
        <v>#N/A</v>
      </c>
      <c r="DK71" s="29" t="e">
        <f t="shared" si="40"/>
        <v>#N/A</v>
      </c>
      <c r="DL71" s="29" t="e">
        <f t="shared" si="41"/>
        <v>#N/A</v>
      </c>
      <c r="DM71" s="29" t="str">
        <f t="shared" si="42"/>
        <v/>
      </c>
      <c r="DN71" s="29" t="e">
        <f t="shared" si="43"/>
        <v>#N/A</v>
      </c>
      <c r="DO71" s="2"/>
      <c r="DP71" s="29" t="e" cm="1">
        <f t="array" ref="DP71">IFERROR(INDEX($Z$70:$Z$83,SMALL($EF$70:$EF$83,ROW()-69)),NA())</f>
        <v>#N/A</v>
      </c>
      <c r="DQ71" s="29" t="e" cm="1">
        <f t="array" ref="DQ71">IFERROR(INDEX($AB$70:$AB$83,SMALL($EF$70:$EF$83,ROW()-69)),NA())</f>
        <v>#N/A</v>
      </c>
      <c r="DR71" s="29" t="e" cm="1">
        <f t="array" ref="DR71">IFERROR(INDEX($AK$70:$AK$83,SMALL($EF$70:$EF$83,ROW()-69))^0.5/80,NA())</f>
        <v>#N/A</v>
      </c>
      <c r="DS71" s="29" t="e" cm="1">
        <f t="array" ref="DS71">IFERROR(INDEX($Z$70:$Z$83,SMALL($EG$70:$EG$83,ROW()-69)),NA())</f>
        <v>#N/A</v>
      </c>
      <c r="DT71" s="29" t="e" cm="1">
        <f t="array" ref="DT71">IFERROR(INDEX($AB$70:$AB$83,SMALL($EG$70:$EG$83,ROW()-69)),NA())</f>
        <v>#N/A</v>
      </c>
      <c r="DU71" s="29" t="e" cm="1">
        <f t="array" ref="DU71">IFERROR(INDEX($AK$70:$AK$83,SMALL($EG$70:$EG$83,ROW()-69))^0.5/80,NA())</f>
        <v>#N/A</v>
      </c>
      <c r="DV71" s="29" t="e" cm="1">
        <f t="array" ref="DV71">IFERROR(INDEX($Z$70:$Z$83,SMALL($EH$70:$EH$83,ROW()-69)),NA())</f>
        <v>#N/A</v>
      </c>
      <c r="DW71" s="29" t="e" cm="1">
        <f t="array" ref="DW71">IFERROR(INDEX($AB$70:$AB$83,SMALL($EH$70:$EH$83,ROW()-69)),NA())</f>
        <v>#N/A</v>
      </c>
      <c r="DX71" s="29" t="e" cm="1">
        <f t="array" ref="DX71">IFERROR(INDEX($AK$70:$AK$83,SMALL($EH$70:$EH$83,ROW()-69))^0.5/80,NA())</f>
        <v>#N/A</v>
      </c>
      <c r="DY71" s="29" t="str">
        <f t="shared" si="44"/>
        <v/>
      </c>
      <c r="DZ71" s="29" t="e">
        <f t="shared" si="45"/>
        <v>#N/A</v>
      </c>
      <c r="EA71" s="29" t="e">
        <f t="shared" si="46"/>
        <v>#N/A</v>
      </c>
      <c r="EB71" s="2" t="str">
        <f>IF(LARGE($BF$70:$BF$83,2)&gt;-1000000000,TEXT(INDEX($AL$70:$AL$83,MATCH(LARGE($BF$70:$BF$83,2),$BF$70:$BF$83,0)),"0.0%"),"")</f>
        <v/>
      </c>
      <c r="EC71" s="56" t="str" cm="1">
        <f t="array" ref="EC71">IFERROR(INDEX($R$70:$R$83,SMALL($EF$70:$EF$83,ROW()-69)),"")</f>
        <v/>
      </c>
      <c r="ED71" s="56" t="str" cm="1">
        <f t="array" ref="ED71">IFERROR(INDEX($R$70:$R$83,SMALL($EG$70:$EG$83,ROW()-69)),"")</f>
        <v/>
      </c>
      <c r="EE71" s="56" t="str" cm="1">
        <f t="array" ref="EE71">IFERROR(INDEX($R$70:$R$83,SMALL($EH$70:$EH$83,ROW()-69)),"")</f>
        <v/>
      </c>
      <c r="EF71" s="2" t="str">
        <f t="shared" ref="EF71:EF83" si="47">IF(AND(Q71=1,S71="Delivery",AJ71&gt;0,AL71&gt;=0.5),ROW()-69,"")</f>
        <v/>
      </c>
      <c r="EG71" s="2" t="str">
        <f t="shared" ref="EG71:EG83" si="48">IF(AND(Q71=1,S71="Delivery",AJ71&gt;0,AL71&gt;=0.3,AL71&lt;0.5),ROW()-69,"")</f>
        <v/>
      </c>
      <c r="EH71" s="2" t="str">
        <f t="shared" ref="EH71:EH83" si="49">IF(AND(Q71=1,S71="Delivery",AJ71&gt;0,AL71&lt;0.3),ROW()-69,"")</f>
        <v/>
      </c>
      <c r="EI71" s="2"/>
      <c r="EJ71" s="2"/>
      <c r="EK71" s="2"/>
      <c r="EL71" s="2"/>
      <c r="EM71" s="2"/>
      <c r="EN71" s="2"/>
      <c r="EO71" s="2"/>
      <c r="EP71" s="2"/>
      <c r="EQ71" s="2"/>
      <c r="ER71" s="2"/>
      <c r="ES71" s="2"/>
      <c r="ET71" s="2"/>
      <c r="EU71" s="2"/>
      <c r="EV71" s="2"/>
      <c r="EW71" s="2"/>
      <c r="EX71" s="2"/>
      <c r="EY71" s="2"/>
      <c r="EZ71" s="2"/>
      <c r="FA71" s="2"/>
      <c r="FB71" s="2"/>
    </row>
    <row r="72" spans="1:161" ht="22" customHeight="1" x14ac:dyDescent="0.2">
      <c r="A72" s="1"/>
      <c r="B72" s="55"/>
      <c r="C72" s="55"/>
      <c r="D72" s="55"/>
      <c r="E72" s="55"/>
      <c r="F72" s="55"/>
      <c r="G72" s="55"/>
      <c r="H72" s="55"/>
      <c r="I72" s="55"/>
      <c r="J72" s="55"/>
      <c r="K72" s="55"/>
      <c r="L72" s="55"/>
      <c r="M72" s="1"/>
      <c r="N72" s="1"/>
      <c r="O72" s="2"/>
      <c r="P72" s="11">
        <v>3</v>
      </c>
      <c r="Q72" s="11">
        <f>N(inp_role_active_3)</f>
        <v>0</v>
      </c>
      <c r="R72" s="9" t="str">
        <f>inp_role_title_3&amp;""</f>
        <v/>
      </c>
      <c r="S72" s="12" t="str">
        <f>inp_role_cat_3&amp;""</f>
        <v/>
      </c>
      <c r="T72" s="35">
        <f>IFERROR(N(inp_role_hc_3),0)</f>
        <v>0</v>
      </c>
      <c r="U72" s="10">
        <f>IFERROR(N(inp_role_salary_3),0)</f>
        <v>0</v>
      </c>
      <c r="V72" s="6">
        <f>IFERROR(N(inp_role_oncost_3),0)</f>
        <v>0</v>
      </c>
      <c r="W72" s="10">
        <f>IFERROR(N(inp_role_benefits_3),0)</f>
        <v>0</v>
      </c>
      <c r="X72" s="11">
        <f>IFERROR(N(inp_role_cap_3),0)</f>
        <v>0</v>
      </c>
      <c r="Y72" s="6">
        <f>IFERROR(N(inp_role_tutil_3),0)</f>
        <v>0</v>
      </c>
      <c r="Z72" s="6">
        <f>IFERROR(IF(inp_biz_period_m=0,0,(N(inp_role_billhours_3)*12/inp_biz_period_m)/(X72*T72)),0)</f>
        <v>0</v>
      </c>
      <c r="AA72" s="10">
        <f>IFERROR(N(inp_role_rate_3),0)</f>
        <v>0</v>
      </c>
      <c r="AB72" s="6">
        <f>IFERROR(IF(OR(N(inp_role_billhours_3)=0,AA72=0),0,(N(inp_role_revenue_3)/N(inp_role_billhours_3))/AA72),0)</f>
        <v>0</v>
      </c>
      <c r="AC72" s="10">
        <f t="shared" si="9"/>
        <v>0</v>
      </c>
      <c r="AD72" s="10">
        <f t="shared" si="10"/>
        <v>0</v>
      </c>
      <c r="AE72" s="11">
        <f t="shared" si="11"/>
        <v>0</v>
      </c>
      <c r="AF72" s="11">
        <f t="shared" si="12"/>
        <v>0</v>
      </c>
      <c r="AG72" s="11">
        <f t="shared" si="13"/>
        <v>0</v>
      </c>
      <c r="AH72" s="10">
        <f t="shared" si="14"/>
        <v>0</v>
      </c>
      <c r="AI72" s="10">
        <f t="shared" si="15"/>
        <v>0</v>
      </c>
      <c r="AJ72" s="10">
        <f t="shared" si="16"/>
        <v>0</v>
      </c>
      <c r="AK72" s="10">
        <f t="shared" si="17"/>
        <v>0</v>
      </c>
      <c r="AL72" s="6">
        <f t="shared" si="18"/>
        <v>0</v>
      </c>
      <c r="AM72" s="6">
        <f t="shared" si="19"/>
        <v>0</v>
      </c>
      <c r="AN72" s="10">
        <f t="shared" si="20"/>
        <v>0</v>
      </c>
      <c r="AO72" s="6">
        <f t="shared" si="21"/>
        <v>0</v>
      </c>
      <c r="AP72" s="10">
        <f t="shared" si="22"/>
        <v>0</v>
      </c>
      <c r="AQ72" s="28" t="str">
        <f t="shared" si="23"/>
        <v>INACTIVE</v>
      </c>
      <c r="AR72" s="6">
        <f t="shared" si="24"/>
        <v>0.5</v>
      </c>
      <c r="AS72" s="6">
        <f t="shared" si="25"/>
        <v>99</v>
      </c>
      <c r="AT72" s="2"/>
      <c r="AU72" s="6" t="e">
        <f t="shared" si="26"/>
        <v>#N/A</v>
      </c>
      <c r="AV72" s="6" t="e">
        <f t="shared" si="27"/>
        <v>#N/A</v>
      </c>
      <c r="AW72" s="11" t="e">
        <f t="shared" si="28"/>
        <v>#N/A</v>
      </c>
      <c r="AX72" s="6" t="e">
        <f t="shared" si="29"/>
        <v>#N/A</v>
      </c>
      <c r="AY72" s="6" t="e">
        <f t="shared" si="30"/>
        <v>#N/A</v>
      </c>
      <c r="AZ72" s="11" t="e">
        <f t="shared" si="31"/>
        <v>#N/A</v>
      </c>
      <c r="BA72" s="6" t="e">
        <f t="shared" si="32"/>
        <v>#N/A</v>
      </c>
      <c r="BB72" s="6" t="e">
        <f t="shared" si="33"/>
        <v>#N/A</v>
      </c>
      <c r="BC72" s="11" t="e">
        <f t="shared" si="34"/>
        <v>#N/A</v>
      </c>
      <c r="BD72" s="6" t="str">
        <f t="shared" si="35"/>
        <v/>
      </c>
      <c r="BE72" s="11">
        <f>IF(AND(Q72=1,S72="Delivery",AJ72&gt;0),AP72+AN72+2*0.001,-1000000000)</f>
        <v>-1000000000</v>
      </c>
      <c r="BF72" s="2">
        <f>IF(AND(Q72=1,S72="Delivery",AJ72&gt;0),AL72+(72-70)*0.00001,-1000000000)</f>
        <v>-1000000000</v>
      </c>
      <c r="BG72" s="9" t="str">
        <f>IF(LARGE($BF$70:$BF$83,3)&gt;-1000000000,INDEX($R$70:$R$83,MATCH(LARGE($BF$70:$BF$83,3),$BF$70:$BF$83,0)),"")</f>
        <v/>
      </c>
      <c r="BH72" s="6" t="e">
        <f>IF(LARGE($BF$70:$BF$83,3)&gt;-1000000000,INDEX($AL$70:$AL$83,MATCH(LARGE($BF$70:$BF$83,3),$BF$70:$BF$83,0)),NA())</f>
        <v>#N/A</v>
      </c>
      <c r="BI72" s="6" t="e">
        <f>IF(LARGE($BF$70:$BF$83,3)&gt;-1000000000,INDEX($BD$70:$BD$83,MATCH(LARGE($BF$70:$BF$83,3),$BF$70:$BF$83,0)),NA())</f>
        <v>#N/A</v>
      </c>
      <c r="BJ72" s="11" t="str">
        <f>IF(LARGE(BE70:BE83,3)&gt;=0,INDEX(BE70:BE83,MATCH(LARGE(BE70:BE83,3),BE70:BE83,0)),"")</f>
        <v/>
      </c>
      <c r="BK72" s="2"/>
      <c r="BL72" s="6"/>
      <c r="BM72" s="6"/>
      <c r="BN72" s="11">
        <v>1</v>
      </c>
      <c r="BO72" s="2"/>
      <c r="BP72" s="6" t="str">
        <f>IFERROR(INDEX($AU$70:$AU$83,MATCH(3,$BY$70:$BY$83,0)),"")</f>
        <v/>
      </c>
      <c r="BQ72" s="6" t="str">
        <f>IFERROR(INDEX($AV$70:$AV$83,MATCH(3,$BY$70:$BY$83,0)),"")</f>
        <v/>
      </c>
      <c r="BR72" s="11" t="s">
        <v>301</v>
      </c>
      <c r="BS72" s="6">
        <v>0.41603260869565201</v>
      </c>
      <c r="BT72" s="6">
        <v>0.30426055426055398</v>
      </c>
      <c r="BU72" s="11" t="str">
        <f>IFERROR(INDEX($AZ$70:$AZ$83,MATCH(3,$BZ$70:$BZ$83,0)),"")</f>
        <v/>
      </c>
      <c r="BV72" s="6"/>
      <c r="BW72" s="6" t="str">
        <f>IFERROR(INDEX($BB$70:$BB$83,MATCH(3,$CA$70:$CA$83,0)),"")</f>
        <v/>
      </c>
      <c r="BX72" s="11" t="str">
        <f>IFERROR(INDEX($BC$70:$BC$83,MATCH(3,$CA$70:$CA$83,0)),"")</f>
        <v/>
      </c>
      <c r="BY72" s="11" t="str">
        <f>IF(ISNUMBER(AU72),COUNT($AU$70:$AU72),"")</f>
        <v/>
      </c>
      <c r="BZ72" s="11" t="str">
        <f>IF(ISNUMBER(AX72),COUNT($AX$70:$AX72),"")</f>
        <v/>
      </c>
      <c r="CA72" s="11" t="str">
        <f>IF(ISNUMBER(BA72),COUNT($BA$70:$BA72),"")</f>
        <v/>
      </c>
      <c r="CB72" s="2"/>
      <c r="CC72" s="2"/>
      <c r="CD72" s="2"/>
      <c r="CE72" s="2"/>
      <c r="CF72" s="2"/>
      <c r="CG72" s="2"/>
      <c r="CH72" s="2"/>
      <c r="CI72" s="2"/>
      <c r="CJ72" s="2"/>
      <c r="CK72" s="2"/>
      <c r="CL72" s="2"/>
      <c r="CM72" s="2"/>
      <c r="CN72" s="2"/>
      <c r="CO72" s="2"/>
      <c r="CP72" s="2"/>
      <c r="CQ72" s="2"/>
      <c r="CR72" s="2"/>
      <c r="CS72" s="2"/>
      <c r="CT72" s="2"/>
      <c r="CU72" s="2"/>
      <c r="CV72" s="2"/>
      <c r="CW72" s="2"/>
      <c r="CX72" s="2"/>
      <c r="CY72" s="29">
        <f t="shared" si="36"/>
        <v>0</v>
      </c>
      <c r="CZ72" s="29">
        <f t="shared" si="37"/>
        <v>0</v>
      </c>
      <c r="DA72" s="29">
        <f t="shared" si="38"/>
        <v>0</v>
      </c>
      <c r="DB72" s="29" t="str">
        <f>IF(CY72=1,SUM($CY$70:CY72),"")</f>
        <v/>
      </c>
      <c r="DC72" s="29" t="str">
        <f>IF(CZ72=1,SUM($CZ$70:CZ72),"")</f>
        <v/>
      </c>
      <c r="DD72" s="29" t="str">
        <f>IF(DA72=1,SUM($DA$70:DA72),"")</f>
        <v/>
      </c>
      <c r="DE72" s="2"/>
      <c r="DF72" s="2"/>
      <c r="DG72" s="2"/>
      <c r="DH72" s="2"/>
      <c r="DI72" s="2"/>
      <c r="DJ72" s="29" t="e">
        <f t="shared" si="39"/>
        <v>#N/A</v>
      </c>
      <c r="DK72" s="29" t="e">
        <f t="shared" si="40"/>
        <v>#N/A</v>
      </c>
      <c r="DL72" s="29" t="e">
        <f t="shared" si="41"/>
        <v>#N/A</v>
      </c>
      <c r="DM72" s="29" t="str">
        <f t="shared" si="42"/>
        <v/>
      </c>
      <c r="DN72" s="29" t="e">
        <f t="shared" si="43"/>
        <v>#N/A</v>
      </c>
      <c r="DO72" s="2"/>
      <c r="DP72" s="29" t="e" cm="1">
        <f t="array" ref="DP72">IFERROR(INDEX($Z$70:$Z$83,SMALL($EF$70:$EF$83,ROW()-69)),NA())</f>
        <v>#N/A</v>
      </c>
      <c r="DQ72" s="29" t="e" cm="1">
        <f t="array" ref="DQ72">IFERROR(INDEX($AB$70:$AB$83,SMALL($EF$70:$EF$83,ROW()-69)),NA())</f>
        <v>#N/A</v>
      </c>
      <c r="DR72" s="29" t="e" cm="1">
        <f t="array" ref="DR72">IFERROR(INDEX($AK$70:$AK$83,SMALL($EF$70:$EF$83,ROW()-69))^0.5/80,NA())</f>
        <v>#N/A</v>
      </c>
      <c r="DS72" s="29" t="e" cm="1">
        <f t="array" ref="DS72">IFERROR(INDEX($Z$70:$Z$83,SMALL($EG$70:$EG$83,ROW()-69)),NA())</f>
        <v>#N/A</v>
      </c>
      <c r="DT72" s="29" t="e" cm="1">
        <f t="array" ref="DT72">IFERROR(INDEX($AB$70:$AB$83,SMALL($EG$70:$EG$83,ROW()-69)),NA())</f>
        <v>#N/A</v>
      </c>
      <c r="DU72" s="29" t="e" cm="1">
        <f t="array" ref="DU72">IFERROR(INDEX($AK$70:$AK$83,SMALL($EG$70:$EG$83,ROW()-69))^0.5/80,NA())</f>
        <v>#N/A</v>
      </c>
      <c r="DV72" s="29" t="e" cm="1">
        <f t="array" ref="DV72">IFERROR(INDEX($Z$70:$Z$83,SMALL($EH$70:$EH$83,ROW()-69)),NA())</f>
        <v>#N/A</v>
      </c>
      <c r="DW72" s="29" t="e" cm="1">
        <f t="array" ref="DW72">IFERROR(INDEX($AB$70:$AB$83,SMALL($EH$70:$EH$83,ROW()-69)),NA())</f>
        <v>#N/A</v>
      </c>
      <c r="DX72" s="29" t="e" cm="1">
        <f t="array" ref="DX72">IFERROR(INDEX($AK$70:$AK$83,SMALL($EH$70:$EH$83,ROW()-69))^0.5/80,NA())</f>
        <v>#N/A</v>
      </c>
      <c r="DY72" s="29" t="str">
        <f t="shared" si="44"/>
        <v/>
      </c>
      <c r="DZ72" s="29" t="e">
        <f t="shared" si="45"/>
        <v>#N/A</v>
      </c>
      <c r="EA72" s="29" t="e">
        <f t="shared" si="46"/>
        <v>#N/A</v>
      </c>
      <c r="EB72" s="2" t="str">
        <f>IF(LARGE($BF$70:$BF$83,3)&gt;-1000000000,TEXT(INDEX($AL$70:$AL$83,MATCH(LARGE($BF$70:$BF$83,3),$BF$70:$BF$83,0)),"0.0%"),"")</f>
        <v/>
      </c>
      <c r="EC72" s="56" t="str" cm="1">
        <f t="array" ref="EC72">IFERROR(INDEX($R$70:$R$83,SMALL($EF$70:$EF$83,ROW()-69)),"")</f>
        <v/>
      </c>
      <c r="ED72" s="56" t="str" cm="1">
        <f t="array" ref="ED72">IFERROR(INDEX($R$70:$R$83,SMALL($EG$70:$EG$83,ROW()-69)),"")</f>
        <v/>
      </c>
      <c r="EE72" s="56" t="str" cm="1">
        <f t="array" ref="EE72">IFERROR(INDEX($R$70:$R$83,SMALL($EH$70:$EH$83,ROW()-69)),"")</f>
        <v/>
      </c>
      <c r="EF72" s="2" t="str">
        <f t="shared" si="47"/>
        <v/>
      </c>
      <c r="EG72" s="2" t="str">
        <f t="shared" si="48"/>
        <v/>
      </c>
      <c r="EH72" s="2" t="str">
        <f t="shared" si="49"/>
        <v/>
      </c>
      <c r="EI72" s="2"/>
      <c r="EJ72" s="2"/>
      <c r="EK72" s="2"/>
      <c r="EL72" s="2"/>
      <c r="EM72" s="2"/>
      <c r="EN72" s="2"/>
      <c r="EO72" s="2"/>
      <c r="EP72" s="2"/>
      <c r="EQ72" s="2"/>
      <c r="ER72" s="2"/>
      <c r="ES72" s="2"/>
      <c r="ET72" s="2"/>
      <c r="EU72" s="2"/>
      <c r="EV72" s="2"/>
      <c r="EW72" s="2"/>
      <c r="EX72" s="2"/>
      <c r="EY72" s="2"/>
      <c r="EZ72" s="2"/>
      <c r="FA72" s="2"/>
      <c r="FB72" s="2"/>
    </row>
    <row r="73" spans="1:161" ht="22" customHeight="1" x14ac:dyDescent="0.2">
      <c r="A73" s="1"/>
      <c r="B73" s="55"/>
      <c r="C73" s="55"/>
      <c r="D73" s="55"/>
      <c r="E73" s="55"/>
      <c r="F73" s="55"/>
      <c r="G73" s="55"/>
      <c r="H73" s="55"/>
      <c r="I73" s="55"/>
      <c r="J73" s="55"/>
      <c r="K73" s="55"/>
      <c r="L73" s="55"/>
      <c r="M73" s="1"/>
      <c r="N73" s="1"/>
      <c r="O73" s="2"/>
      <c r="P73" s="11">
        <v>4</v>
      </c>
      <c r="Q73" s="11">
        <f>N(inp_role_active_4)</f>
        <v>0</v>
      </c>
      <c r="R73" s="9" t="str">
        <f>inp_role_title_4&amp;""</f>
        <v/>
      </c>
      <c r="S73" s="12" t="str">
        <f>inp_role_cat_4&amp;""</f>
        <v/>
      </c>
      <c r="T73" s="35">
        <f>IFERROR(N(inp_role_hc_4),0)</f>
        <v>0</v>
      </c>
      <c r="U73" s="10">
        <f>IFERROR(N(inp_role_salary_4),0)</f>
        <v>0</v>
      </c>
      <c r="V73" s="6">
        <f>IFERROR(N(inp_role_oncost_4),0)</f>
        <v>0</v>
      </c>
      <c r="W73" s="10">
        <f>IFERROR(N(inp_role_benefits_4),0)</f>
        <v>0</v>
      </c>
      <c r="X73" s="11">
        <f>IFERROR(N(inp_role_cap_4),0)</f>
        <v>0</v>
      </c>
      <c r="Y73" s="6">
        <f>IFERROR(N(inp_role_tutil_4),0)</f>
        <v>0</v>
      </c>
      <c r="Z73" s="6">
        <f>IFERROR(IF(inp_biz_period_m=0,0,(N(inp_role_billhours_4)*12/inp_biz_period_m)/(X73*T73)),0)</f>
        <v>0</v>
      </c>
      <c r="AA73" s="10">
        <f>IFERROR(N(inp_role_rate_4),0)</f>
        <v>0</v>
      </c>
      <c r="AB73" s="6">
        <f>IFERROR(IF(OR(N(inp_role_billhours_4)=0,AA73=0),0,(N(inp_role_revenue_4)/N(inp_role_billhours_4))/AA73),0)</f>
        <v>0</v>
      </c>
      <c r="AC73" s="10">
        <f t="shared" si="9"/>
        <v>0</v>
      </c>
      <c r="AD73" s="10">
        <f t="shared" si="10"/>
        <v>0</v>
      </c>
      <c r="AE73" s="11">
        <f t="shared" si="11"/>
        <v>0</v>
      </c>
      <c r="AF73" s="11">
        <f t="shared" si="12"/>
        <v>0</v>
      </c>
      <c r="AG73" s="11">
        <f t="shared" si="13"/>
        <v>0</v>
      </c>
      <c r="AH73" s="10">
        <f t="shared" si="14"/>
        <v>0</v>
      </c>
      <c r="AI73" s="10">
        <f t="shared" si="15"/>
        <v>0</v>
      </c>
      <c r="AJ73" s="10">
        <f t="shared" si="16"/>
        <v>0</v>
      </c>
      <c r="AK73" s="10">
        <f t="shared" si="17"/>
        <v>0</v>
      </c>
      <c r="AL73" s="6">
        <f t="shared" si="18"/>
        <v>0</v>
      </c>
      <c r="AM73" s="6">
        <f t="shared" si="19"/>
        <v>0</v>
      </c>
      <c r="AN73" s="10">
        <f t="shared" si="20"/>
        <v>0</v>
      </c>
      <c r="AO73" s="6">
        <f t="shared" si="21"/>
        <v>0</v>
      </c>
      <c r="AP73" s="10">
        <f t="shared" si="22"/>
        <v>0</v>
      </c>
      <c r="AQ73" s="28" t="str">
        <f t="shared" si="23"/>
        <v>INACTIVE</v>
      </c>
      <c r="AR73" s="6">
        <f t="shared" si="24"/>
        <v>0.5</v>
      </c>
      <c r="AS73" s="6">
        <f t="shared" si="25"/>
        <v>99</v>
      </c>
      <c r="AT73" s="2"/>
      <c r="AU73" s="6" t="e">
        <f t="shared" si="26"/>
        <v>#N/A</v>
      </c>
      <c r="AV73" s="6" t="e">
        <f t="shared" si="27"/>
        <v>#N/A</v>
      </c>
      <c r="AW73" s="11" t="e">
        <f t="shared" si="28"/>
        <v>#N/A</v>
      </c>
      <c r="AX73" s="6" t="e">
        <f t="shared" si="29"/>
        <v>#N/A</v>
      </c>
      <c r="AY73" s="6" t="e">
        <f t="shared" si="30"/>
        <v>#N/A</v>
      </c>
      <c r="AZ73" s="11" t="e">
        <f t="shared" si="31"/>
        <v>#N/A</v>
      </c>
      <c r="BA73" s="6" t="e">
        <f t="shared" si="32"/>
        <v>#N/A</v>
      </c>
      <c r="BB73" s="6" t="e">
        <f t="shared" si="33"/>
        <v>#N/A</v>
      </c>
      <c r="BC73" s="11" t="e">
        <f t="shared" si="34"/>
        <v>#N/A</v>
      </c>
      <c r="BD73" s="6" t="str">
        <f t="shared" si="35"/>
        <v/>
      </c>
      <c r="BE73" s="11">
        <f>IF(AND(Q73=1,S73="Delivery",AJ73&gt;0),AP73+AN73+3*0.001,-1000000000)</f>
        <v>-1000000000</v>
      </c>
      <c r="BF73" s="2">
        <f>IF(AND(Q73=1,S73="Delivery",AJ73&gt;0),AL73+(73-70)*0.00001,-1000000000)</f>
        <v>-1000000000</v>
      </c>
      <c r="BG73" s="9" t="str">
        <f>IF(LARGE($BF$70:$BF$83,4)&gt;-1000000000,INDEX($R$70:$R$83,MATCH(LARGE($BF$70:$BF$83,4),$BF$70:$BF$83,0)),"")</f>
        <v/>
      </c>
      <c r="BH73" s="6" t="e">
        <f>IF(LARGE($BF$70:$BF$83,4)&gt;-1000000000,INDEX($AL$70:$AL$83,MATCH(LARGE($BF$70:$BF$83,4),$BF$70:$BF$83,0)),NA())</f>
        <v>#N/A</v>
      </c>
      <c r="BI73" s="6" t="e">
        <f>IF(LARGE($BF$70:$BF$83,4)&gt;-1000000000,INDEX($BD$70:$BD$83,MATCH(LARGE($BF$70:$BF$83,4),$BF$70:$BF$83,0)),NA())</f>
        <v>#N/A</v>
      </c>
      <c r="BJ73" s="11" t="str">
        <f>IF(LARGE(BE70:BE83,4)&gt;=0,INDEX(BE70:BE83,MATCH(LARGE(BE70:BE83,4),BE70:BE83,0)),"")</f>
        <v/>
      </c>
      <c r="BK73" s="2"/>
      <c r="BL73" s="6"/>
      <c r="BM73" s="6"/>
      <c r="BN73" s="11">
        <v>1</v>
      </c>
      <c r="BO73" s="2"/>
      <c r="BP73" s="6" t="str">
        <f>IFERROR(INDEX($AU$70:$AU$83,MATCH(4,$BY$70:$BY$83,0)),"")</f>
        <v/>
      </c>
      <c r="BQ73" s="6" t="str">
        <f>IFERROR(INDEX($AV$70:$AV$83,MATCH(4,$BY$70:$BY$83,0)),"")</f>
        <v/>
      </c>
      <c r="BR73" s="11" t="s">
        <v>317</v>
      </c>
      <c r="BS73" s="6">
        <v>0.39980769230769198</v>
      </c>
      <c r="BT73" s="6">
        <v>0.40721747388414098</v>
      </c>
      <c r="BU73" s="11" t="str">
        <f>IFERROR(INDEX($AZ$70:$AZ$83,MATCH(4,$BZ$70:$BZ$83,0)),"")</f>
        <v/>
      </c>
      <c r="BV73" s="6"/>
      <c r="BW73" s="6" t="str">
        <f>IFERROR(INDEX($BB$70:$BB$83,MATCH(4,$CA$70:$CA$83,0)),"")</f>
        <v/>
      </c>
      <c r="BX73" s="11" t="str">
        <f>IFERROR(INDEX($BC$70:$BC$83,MATCH(4,$CA$70:$CA$83,0)),"")</f>
        <v/>
      </c>
      <c r="BY73" s="11" t="str">
        <f>IF(ISNUMBER(AU73),COUNT($AU$70:$AU73),"")</f>
        <v/>
      </c>
      <c r="BZ73" s="11" t="str">
        <f>IF(ISNUMBER(AX73),COUNT($AX$70:$AX73),"")</f>
        <v/>
      </c>
      <c r="CA73" s="11" t="str">
        <f>IF(ISNUMBER(BA73),COUNT($BA$70:$BA73),"")</f>
        <v/>
      </c>
      <c r="CB73" s="2"/>
      <c r="CC73" s="2"/>
      <c r="CD73" s="2"/>
      <c r="CE73" s="2"/>
      <c r="CF73" s="2"/>
      <c r="CG73" s="2"/>
      <c r="CH73" s="2"/>
      <c r="CI73" s="2"/>
      <c r="CJ73" s="2"/>
      <c r="CK73" s="2"/>
      <c r="CL73" s="2"/>
      <c r="CM73" s="2"/>
      <c r="CN73" s="2"/>
      <c r="CO73" s="2"/>
      <c r="CP73" s="2"/>
      <c r="CQ73" s="2"/>
      <c r="CR73" s="2"/>
      <c r="CS73" s="2"/>
      <c r="CT73" s="2"/>
      <c r="CU73" s="2"/>
      <c r="CV73" s="2"/>
      <c r="CW73" s="2"/>
      <c r="CX73" s="2"/>
      <c r="CY73" s="29">
        <f t="shared" si="36"/>
        <v>0</v>
      </c>
      <c r="CZ73" s="29">
        <f t="shared" si="37"/>
        <v>0</v>
      </c>
      <c r="DA73" s="29">
        <f t="shared" si="38"/>
        <v>0</v>
      </c>
      <c r="DB73" s="29" t="str">
        <f>IF(CY73=1,SUM($CY$70:CY73),"")</f>
        <v/>
      </c>
      <c r="DC73" s="29" t="str">
        <f>IF(CZ73=1,SUM($CZ$70:CZ73),"")</f>
        <v/>
      </c>
      <c r="DD73" s="29" t="str">
        <f>IF(DA73=1,SUM($DA$70:DA73),"")</f>
        <v/>
      </c>
      <c r="DE73" s="2"/>
      <c r="DF73" s="2"/>
      <c r="DG73" s="2"/>
      <c r="DH73" s="2"/>
      <c r="DI73" s="2"/>
      <c r="DJ73" s="29" t="e">
        <f t="shared" si="39"/>
        <v>#N/A</v>
      </c>
      <c r="DK73" s="29" t="e">
        <f t="shared" si="40"/>
        <v>#N/A</v>
      </c>
      <c r="DL73" s="29" t="e">
        <f t="shared" si="41"/>
        <v>#N/A</v>
      </c>
      <c r="DM73" s="29" t="str">
        <f t="shared" si="42"/>
        <v/>
      </c>
      <c r="DN73" s="29" t="e">
        <f t="shared" si="43"/>
        <v>#N/A</v>
      </c>
      <c r="DO73" s="2"/>
      <c r="DP73" s="29" t="e" cm="1">
        <f t="array" ref="DP73">IFERROR(INDEX($Z$70:$Z$83,SMALL($EF$70:$EF$83,ROW()-69)),NA())</f>
        <v>#N/A</v>
      </c>
      <c r="DQ73" s="29" t="e" cm="1">
        <f t="array" ref="DQ73">IFERROR(INDEX($AB$70:$AB$83,SMALL($EF$70:$EF$83,ROW()-69)),NA())</f>
        <v>#N/A</v>
      </c>
      <c r="DR73" s="29" t="e" cm="1">
        <f t="array" ref="DR73">IFERROR(INDEX($AK$70:$AK$83,SMALL($EF$70:$EF$83,ROW()-69))^0.5/80,NA())</f>
        <v>#N/A</v>
      </c>
      <c r="DS73" s="29" t="e" cm="1">
        <f t="array" ref="DS73">IFERROR(INDEX($Z$70:$Z$83,SMALL($EG$70:$EG$83,ROW()-69)),NA())</f>
        <v>#N/A</v>
      </c>
      <c r="DT73" s="29" t="e" cm="1">
        <f t="array" ref="DT73">IFERROR(INDEX($AB$70:$AB$83,SMALL($EG$70:$EG$83,ROW()-69)),NA())</f>
        <v>#N/A</v>
      </c>
      <c r="DU73" s="29" t="e" cm="1">
        <f t="array" ref="DU73">IFERROR(INDEX($AK$70:$AK$83,SMALL($EG$70:$EG$83,ROW()-69))^0.5/80,NA())</f>
        <v>#N/A</v>
      </c>
      <c r="DV73" s="29" t="e" cm="1">
        <f t="array" ref="DV73">IFERROR(INDEX($Z$70:$Z$83,SMALL($EH$70:$EH$83,ROW()-69)),NA())</f>
        <v>#N/A</v>
      </c>
      <c r="DW73" s="29" t="e" cm="1">
        <f t="array" ref="DW73">IFERROR(INDEX($AB$70:$AB$83,SMALL($EH$70:$EH$83,ROW()-69)),NA())</f>
        <v>#N/A</v>
      </c>
      <c r="DX73" s="29" t="e" cm="1">
        <f t="array" ref="DX73">IFERROR(INDEX($AK$70:$AK$83,SMALL($EH$70:$EH$83,ROW()-69))^0.5/80,NA())</f>
        <v>#N/A</v>
      </c>
      <c r="DY73" s="29" t="str">
        <f t="shared" si="44"/>
        <v/>
      </c>
      <c r="DZ73" s="29" t="e">
        <f t="shared" si="45"/>
        <v>#N/A</v>
      </c>
      <c r="EA73" s="29" t="e">
        <f t="shared" si="46"/>
        <v>#N/A</v>
      </c>
      <c r="EB73" s="2" t="str">
        <f>IF(LARGE($BF$70:$BF$83,4)&gt;-1000000000,TEXT(INDEX($AL$70:$AL$83,MATCH(LARGE($BF$70:$BF$83,4),$BF$70:$BF$83,0)),"0.0%"),"")</f>
        <v/>
      </c>
      <c r="EC73" s="56" t="str" cm="1">
        <f t="array" ref="EC73">IFERROR(INDEX($R$70:$R$83,SMALL($EF$70:$EF$83,ROW()-69)),"")</f>
        <v/>
      </c>
      <c r="ED73" s="56" t="str" cm="1">
        <f t="array" ref="ED73">IFERROR(INDEX($R$70:$R$83,SMALL($EG$70:$EG$83,ROW()-69)),"")</f>
        <v/>
      </c>
      <c r="EE73" s="56" t="str" cm="1">
        <f t="array" ref="EE73">IFERROR(INDEX($R$70:$R$83,SMALL($EH$70:$EH$83,ROW()-69)),"")</f>
        <v/>
      </c>
      <c r="EF73" s="2" t="str">
        <f t="shared" si="47"/>
        <v/>
      </c>
      <c r="EG73" s="2" t="str">
        <f t="shared" si="48"/>
        <v/>
      </c>
      <c r="EH73" s="2" t="str">
        <f t="shared" si="49"/>
        <v/>
      </c>
      <c r="EI73" s="2"/>
      <c r="EJ73" s="2"/>
      <c r="EK73" s="2"/>
      <c r="EL73" s="2"/>
      <c r="EM73" s="2"/>
      <c r="EN73" s="2"/>
      <c r="EO73" s="2"/>
      <c r="EP73" s="2"/>
      <c r="EQ73" s="2"/>
      <c r="ER73" s="2"/>
      <c r="ES73" s="2"/>
      <c r="ET73" s="2"/>
      <c r="EU73" s="2"/>
      <c r="EV73" s="2"/>
      <c r="EW73" s="2"/>
      <c r="EX73" s="2"/>
      <c r="EY73" s="2"/>
      <c r="EZ73" s="2"/>
      <c r="FA73" s="2"/>
      <c r="FB73" s="2"/>
    </row>
    <row r="74" spans="1:161" ht="22" customHeight="1" x14ac:dyDescent="0.2">
      <c r="A74" s="1"/>
      <c r="B74" s="55"/>
      <c r="C74" s="55"/>
      <c r="D74" s="55"/>
      <c r="E74" s="55"/>
      <c r="F74" s="55"/>
      <c r="G74" s="55"/>
      <c r="H74" s="55"/>
      <c r="I74" s="55"/>
      <c r="J74" s="55"/>
      <c r="K74" s="55"/>
      <c r="L74" s="55"/>
      <c r="M74" s="1"/>
      <c r="N74" s="1"/>
      <c r="O74" s="2"/>
      <c r="P74" s="11">
        <v>5</v>
      </c>
      <c r="Q74" s="11">
        <f>N(inp_role_active_5)</f>
        <v>0</v>
      </c>
      <c r="R74" s="9" t="str">
        <f>inp_role_title_5&amp;""</f>
        <v/>
      </c>
      <c r="S74" s="12" t="str">
        <f>inp_role_cat_5&amp;""</f>
        <v/>
      </c>
      <c r="T74" s="35">
        <f>IFERROR(N(inp_role_hc_5),0)</f>
        <v>0</v>
      </c>
      <c r="U74" s="10">
        <f>IFERROR(N(inp_role_salary_5),0)</f>
        <v>0</v>
      </c>
      <c r="V74" s="6">
        <f>IFERROR(N(inp_role_oncost_5),0)</f>
        <v>0</v>
      </c>
      <c r="W74" s="10">
        <f>IFERROR(N(inp_role_benefits_5),0)</f>
        <v>0</v>
      </c>
      <c r="X74" s="11">
        <f>IFERROR(N(inp_role_cap_5),0)</f>
        <v>0</v>
      </c>
      <c r="Y74" s="6">
        <f>IFERROR(N(inp_role_tutil_5),0)</f>
        <v>0</v>
      </c>
      <c r="Z74" s="6">
        <f>IFERROR(IF(inp_biz_period_m=0,0,(N(inp_role_billhours_5)*12/inp_biz_period_m)/(X74*T74)),0)</f>
        <v>0</v>
      </c>
      <c r="AA74" s="10">
        <f>IFERROR(N(inp_role_rate_5),0)</f>
        <v>0</v>
      </c>
      <c r="AB74" s="6">
        <f>IFERROR(IF(OR(N(inp_role_billhours_5)=0,AA74=0),0,(N(inp_role_revenue_5)/N(inp_role_billhours_5))/AA74),0)</f>
        <v>0</v>
      </c>
      <c r="AC74" s="10">
        <f t="shared" si="9"/>
        <v>0</v>
      </c>
      <c r="AD74" s="10">
        <f t="shared" si="10"/>
        <v>0</v>
      </c>
      <c r="AE74" s="11">
        <f t="shared" si="11"/>
        <v>0</v>
      </c>
      <c r="AF74" s="11">
        <f t="shared" si="12"/>
        <v>0</v>
      </c>
      <c r="AG74" s="11">
        <f t="shared" si="13"/>
        <v>0</v>
      </c>
      <c r="AH74" s="10">
        <f t="shared" si="14"/>
        <v>0</v>
      </c>
      <c r="AI74" s="10">
        <f t="shared" si="15"/>
        <v>0</v>
      </c>
      <c r="AJ74" s="10">
        <f t="shared" si="16"/>
        <v>0</v>
      </c>
      <c r="AK74" s="10">
        <f t="shared" si="17"/>
        <v>0</v>
      </c>
      <c r="AL74" s="6">
        <f t="shared" si="18"/>
        <v>0</v>
      </c>
      <c r="AM74" s="6">
        <f t="shared" si="19"/>
        <v>0</v>
      </c>
      <c r="AN74" s="10">
        <f t="shared" si="20"/>
        <v>0</v>
      </c>
      <c r="AO74" s="6">
        <f t="shared" si="21"/>
        <v>0</v>
      </c>
      <c r="AP74" s="10">
        <f t="shared" si="22"/>
        <v>0</v>
      </c>
      <c r="AQ74" s="28" t="str">
        <f t="shared" si="23"/>
        <v>INACTIVE</v>
      </c>
      <c r="AR74" s="6">
        <f t="shared" si="24"/>
        <v>0.5</v>
      </c>
      <c r="AS74" s="6">
        <f t="shared" si="25"/>
        <v>99</v>
      </c>
      <c r="AT74" s="2"/>
      <c r="AU74" s="6" t="e">
        <f t="shared" si="26"/>
        <v>#N/A</v>
      </c>
      <c r="AV74" s="6" t="e">
        <f t="shared" si="27"/>
        <v>#N/A</v>
      </c>
      <c r="AW74" s="11" t="e">
        <f t="shared" si="28"/>
        <v>#N/A</v>
      </c>
      <c r="AX74" s="6" t="e">
        <f t="shared" si="29"/>
        <v>#N/A</v>
      </c>
      <c r="AY74" s="6" t="e">
        <f t="shared" si="30"/>
        <v>#N/A</v>
      </c>
      <c r="AZ74" s="11" t="e">
        <f t="shared" si="31"/>
        <v>#N/A</v>
      </c>
      <c r="BA74" s="6" t="e">
        <f t="shared" si="32"/>
        <v>#N/A</v>
      </c>
      <c r="BB74" s="6" t="e">
        <f t="shared" si="33"/>
        <v>#N/A</v>
      </c>
      <c r="BC74" s="11" t="e">
        <f t="shared" si="34"/>
        <v>#N/A</v>
      </c>
      <c r="BD74" s="6" t="str">
        <f t="shared" si="35"/>
        <v/>
      </c>
      <c r="BE74" s="11">
        <f>IF(AND(Q74=1,S74="Delivery",AJ74&gt;0),AP74+AN74+4*0.001,-1000000000)</f>
        <v>-1000000000</v>
      </c>
      <c r="BF74" s="2">
        <f>IF(AND(Q74=1,S74="Delivery",AJ74&gt;0),AL74+(74-70)*0.00001,-1000000000)</f>
        <v>-1000000000</v>
      </c>
      <c r="BG74" s="9" t="str">
        <f>IF(LARGE($BF$70:$BF$83,5)&gt;-1000000000,INDEX($R$70:$R$83,MATCH(LARGE($BF$70:$BF$83,5),$BF$70:$BF$83,0)),"")</f>
        <v/>
      </c>
      <c r="BH74" s="6" t="e">
        <f>IF(LARGE($BF$70:$BF$83,5)&gt;-1000000000,INDEX($AL$70:$AL$83,MATCH(LARGE($BF$70:$BF$83,5),$BF$70:$BF$83,0)),NA())</f>
        <v>#N/A</v>
      </c>
      <c r="BI74" s="6" t="e">
        <f>IF(LARGE($BF$70:$BF$83,5)&gt;-1000000000,INDEX($BD$70:$BD$83,MATCH(LARGE($BF$70:$BF$83,5),$BF$70:$BF$83,0)),NA())</f>
        <v>#N/A</v>
      </c>
      <c r="BJ74" s="11" t="str">
        <f>IF(LARGE(BE70:BE83,5)&gt;=0,INDEX(BE70:BE83,MATCH(LARGE(BE70:BE83,5),BE70:BE83,0)),"")</f>
        <v/>
      </c>
      <c r="BK74" s="2"/>
      <c r="BL74" s="2"/>
      <c r="BM74" s="2"/>
      <c r="BN74" s="2"/>
      <c r="BO74" s="2"/>
      <c r="BP74" s="6" t="str">
        <f>IFERROR(INDEX($AU$70:$AU$83,MATCH(5,$BY$70:$BY$83,0)),"")</f>
        <v/>
      </c>
      <c r="BQ74" s="6" t="str">
        <f>IFERROR(INDEX($AV$70:$AV$83,MATCH(5,$BY$70:$BY$83,0)),"")</f>
        <v/>
      </c>
      <c r="BR74" s="11" t="s">
        <v>302</v>
      </c>
      <c r="BS74" s="6">
        <v>0.28457317073170701</v>
      </c>
      <c r="BT74" s="6">
        <v>0.36328856328856302</v>
      </c>
      <c r="BU74" s="11" t="str">
        <f>IFERROR(INDEX($AZ$70:$AZ$83,MATCH(5,$BZ$70:$BZ$83,0)),"")</f>
        <v/>
      </c>
      <c r="BV74" s="6" t="str">
        <f>IFERROR(INDEX($BA$70:$BA$83,MATCH(5,$CA$70:$CA$83,0)),"")</f>
        <v/>
      </c>
      <c r="BW74" s="6" t="str">
        <f>IFERROR(INDEX($BB$70:$BB$83,MATCH(5,$CA$70:$CA$83,0)),"")</f>
        <v/>
      </c>
      <c r="BX74" s="11" t="str">
        <f>IFERROR(INDEX($BC$70:$BC$83,MATCH(5,$CA$70:$CA$83,0)),"")</f>
        <v/>
      </c>
      <c r="BY74" s="11" t="str">
        <f>IF(ISNUMBER(AU74),COUNT($AU$70:$AU74),"")</f>
        <v/>
      </c>
      <c r="BZ74" s="11" t="str">
        <f>IF(ISNUMBER(AX74),COUNT($AX$70:$AX74),"")</f>
        <v/>
      </c>
      <c r="CA74" s="11" t="str">
        <f>IF(ISNUMBER(BA74),COUNT($BA$70:$BA74),"")</f>
        <v/>
      </c>
      <c r="CB74" s="2"/>
      <c r="CC74" s="2"/>
      <c r="CD74" s="2"/>
      <c r="CE74" s="2"/>
      <c r="CF74" s="2"/>
      <c r="CG74" s="2"/>
      <c r="CH74" s="2"/>
      <c r="CI74" s="2"/>
      <c r="CJ74" s="2"/>
      <c r="CK74" s="2"/>
      <c r="CL74" s="2"/>
      <c r="CM74" s="2"/>
      <c r="CN74" s="2"/>
      <c r="CO74" s="2"/>
      <c r="CP74" s="2"/>
      <c r="CQ74" s="2"/>
      <c r="CR74" s="2"/>
      <c r="CS74" s="2"/>
      <c r="CT74" s="2"/>
      <c r="CU74" s="2"/>
      <c r="CV74" s="2"/>
      <c r="CW74" s="2"/>
      <c r="CX74" s="2"/>
      <c r="CY74" s="29">
        <f t="shared" si="36"/>
        <v>0</v>
      </c>
      <c r="CZ74" s="29">
        <f t="shared" si="37"/>
        <v>0</v>
      </c>
      <c r="DA74" s="29">
        <f t="shared" si="38"/>
        <v>0</v>
      </c>
      <c r="DB74" s="29" t="str">
        <f>IF(CY74=1,SUM($CY$70:CY74),"")</f>
        <v/>
      </c>
      <c r="DC74" s="29" t="str">
        <f>IF(CZ74=1,SUM($CZ$70:CZ74),"")</f>
        <v/>
      </c>
      <c r="DD74" s="29" t="str">
        <f>IF(DA74=1,SUM($DA$70:DA74),"")</f>
        <v/>
      </c>
      <c r="DE74" s="2"/>
      <c r="DF74" s="2"/>
      <c r="DG74" s="2"/>
      <c r="DH74" s="2"/>
      <c r="DI74" s="2"/>
      <c r="DJ74" s="29" t="e">
        <f t="shared" si="39"/>
        <v>#N/A</v>
      </c>
      <c r="DK74" s="29" t="e">
        <f t="shared" si="40"/>
        <v>#N/A</v>
      </c>
      <c r="DL74" s="29" t="e">
        <f t="shared" si="41"/>
        <v>#N/A</v>
      </c>
      <c r="DM74" s="29" t="str">
        <f t="shared" si="42"/>
        <v/>
      </c>
      <c r="DN74" s="29" t="e">
        <f t="shared" si="43"/>
        <v>#N/A</v>
      </c>
      <c r="DO74" s="2"/>
      <c r="DP74" s="29" t="e" cm="1">
        <f t="array" ref="DP74">IFERROR(INDEX($Z$70:$Z$83,SMALL($EF$70:$EF$83,ROW()-69)),NA())</f>
        <v>#N/A</v>
      </c>
      <c r="DQ74" s="29" t="e" cm="1">
        <f t="array" ref="DQ74">IFERROR(INDEX($AB$70:$AB$83,SMALL($EF$70:$EF$83,ROW()-69)),NA())</f>
        <v>#N/A</v>
      </c>
      <c r="DR74" s="29" t="e" cm="1">
        <f t="array" ref="DR74">IFERROR(INDEX($AK$70:$AK$83,SMALL($EF$70:$EF$83,ROW()-69))^0.5/80,NA())</f>
        <v>#N/A</v>
      </c>
      <c r="DS74" s="29" t="e" cm="1">
        <f t="array" ref="DS74">IFERROR(INDEX($Z$70:$Z$83,SMALL($EG$70:$EG$83,ROW()-69)),NA())</f>
        <v>#N/A</v>
      </c>
      <c r="DT74" s="29" t="e" cm="1">
        <f t="array" ref="DT74">IFERROR(INDEX($AB$70:$AB$83,SMALL($EG$70:$EG$83,ROW()-69)),NA())</f>
        <v>#N/A</v>
      </c>
      <c r="DU74" s="29" t="e" cm="1">
        <f t="array" ref="DU74">IFERROR(INDEX($AK$70:$AK$83,SMALL($EG$70:$EG$83,ROW()-69))^0.5/80,NA())</f>
        <v>#N/A</v>
      </c>
      <c r="DV74" s="29" t="e" cm="1">
        <f t="array" ref="DV74">IFERROR(INDEX($Z$70:$Z$83,SMALL($EH$70:$EH$83,ROW()-69)),NA())</f>
        <v>#N/A</v>
      </c>
      <c r="DW74" s="29" t="e" cm="1">
        <f t="array" ref="DW74">IFERROR(INDEX($AB$70:$AB$83,SMALL($EH$70:$EH$83,ROW()-69)),NA())</f>
        <v>#N/A</v>
      </c>
      <c r="DX74" s="29" t="e" cm="1">
        <f t="array" ref="DX74">IFERROR(INDEX($AK$70:$AK$83,SMALL($EH$70:$EH$83,ROW()-69))^0.5/80,NA())</f>
        <v>#N/A</v>
      </c>
      <c r="DY74" s="29" t="str">
        <f t="shared" si="44"/>
        <v/>
      </c>
      <c r="DZ74" s="29" t="e">
        <f t="shared" si="45"/>
        <v>#N/A</v>
      </c>
      <c r="EA74" s="29" t="e">
        <f t="shared" si="46"/>
        <v>#N/A</v>
      </c>
      <c r="EB74" s="2" t="str">
        <f>IF(LARGE($BF$70:$BF$83,5)&gt;-1000000000,TEXT(INDEX($AL$70:$AL$83,MATCH(LARGE($BF$70:$BF$83,5),$BF$70:$BF$83,0)),"0.0%"),"")</f>
        <v/>
      </c>
      <c r="EC74" s="56" t="str" cm="1">
        <f t="array" ref="EC74">IFERROR(INDEX($R$70:$R$83,SMALL($EF$70:$EF$83,ROW()-69)),"")</f>
        <v/>
      </c>
      <c r="ED74" s="56" t="str" cm="1">
        <f t="array" ref="ED74">IFERROR(INDEX($R$70:$R$83,SMALL($EG$70:$EG$83,ROW()-69)),"")</f>
        <v/>
      </c>
      <c r="EE74" s="56" t="str" cm="1">
        <f t="array" ref="EE74">IFERROR(INDEX($R$70:$R$83,SMALL($EH$70:$EH$83,ROW()-69)),"")</f>
        <v/>
      </c>
      <c r="EF74" s="2" t="str">
        <f t="shared" si="47"/>
        <v/>
      </c>
      <c r="EG74" s="2" t="str">
        <f t="shared" si="48"/>
        <v/>
      </c>
      <c r="EH74" s="2" t="str">
        <f t="shared" si="49"/>
        <v/>
      </c>
      <c r="EI74" s="2"/>
      <c r="EJ74" s="2"/>
      <c r="EK74" s="2"/>
      <c r="EL74" s="2"/>
      <c r="EM74" s="2"/>
      <c r="EN74" s="2"/>
      <c r="EO74" s="2"/>
      <c r="EP74" s="2"/>
      <c r="EQ74" s="2"/>
      <c r="ER74" s="2"/>
      <c r="ES74" s="2"/>
      <c r="ET74" s="2"/>
      <c r="EU74" s="2"/>
      <c r="EV74" s="2"/>
      <c r="EW74" s="2"/>
      <c r="EX74" s="2"/>
      <c r="EY74" s="2"/>
      <c r="EZ74" s="2"/>
      <c r="FA74" s="2"/>
      <c r="FB74" s="2"/>
    </row>
    <row r="75" spans="1:161" ht="22" customHeight="1" x14ac:dyDescent="0.2">
      <c r="A75" s="1"/>
      <c r="B75" s="55"/>
      <c r="C75" s="55"/>
      <c r="D75" s="55"/>
      <c r="E75" s="55"/>
      <c r="F75" s="55"/>
      <c r="G75" s="55"/>
      <c r="H75" s="55"/>
      <c r="I75" s="55"/>
      <c r="J75" s="55"/>
      <c r="K75" s="55"/>
      <c r="L75" s="55"/>
      <c r="M75" s="1"/>
      <c r="N75" s="1"/>
      <c r="O75" s="2"/>
      <c r="P75" s="11">
        <v>6</v>
      </c>
      <c r="Q75" s="11">
        <f>N(inp_role_active_6)</f>
        <v>0</v>
      </c>
      <c r="R75" s="9" t="str">
        <f>inp_role_title_6&amp;""</f>
        <v/>
      </c>
      <c r="S75" s="12" t="str">
        <f>inp_role_cat_6&amp;""</f>
        <v/>
      </c>
      <c r="T75" s="35">
        <f>IFERROR(N(inp_role_hc_6),0)</f>
        <v>0</v>
      </c>
      <c r="U75" s="10">
        <f>IFERROR(N(inp_role_salary_6),0)</f>
        <v>0</v>
      </c>
      <c r="V75" s="6">
        <f>IFERROR(N(inp_role_oncost_6),0)</f>
        <v>0</v>
      </c>
      <c r="W75" s="10">
        <f>IFERROR(N(inp_role_benefits_6),0)</f>
        <v>0</v>
      </c>
      <c r="X75" s="11">
        <f>IFERROR(N(inp_role_cap_6),0)</f>
        <v>0</v>
      </c>
      <c r="Y75" s="6">
        <f>IFERROR(N(inp_role_tutil_6),0)</f>
        <v>0</v>
      </c>
      <c r="Z75" s="6">
        <f>IFERROR(IF(inp_biz_period_m=0,0,(N(inp_role_billhours_6)*12/inp_biz_period_m)/(X75*T75)),0)</f>
        <v>0</v>
      </c>
      <c r="AA75" s="10">
        <f>IFERROR(N(inp_role_rate_6),0)</f>
        <v>0</v>
      </c>
      <c r="AB75" s="6">
        <f>IFERROR(IF(OR(N(inp_role_billhours_6)=0,AA75=0),0,(N(inp_role_revenue_6)/N(inp_role_billhours_6))/AA75),0)</f>
        <v>0</v>
      </c>
      <c r="AC75" s="10">
        <f t="shared" si="9"/>
        <v>0</v>
      </c>
      <c r="AD75" s="10">
        <f t="shared" si="10"/>
        <v>0</v>
      </c>
      <c r="AE75" s="11">
        <f t="shared" si="11"/>
        <v>0</v>
      </c>
      <c r="AF75" s="11">
        <f t="shared" si="12"/>
        <v>0</v>
      </c>
      <c r="AG75" s="11">
        <f t="shared" si="13"/>
        <v>0</v>
      </c>
      <c r="AH75" s="10">
        <f t="shared" si="14"/>
        <v>0</v>
      </c>
      <c r="AI75" s="10">
        <f t="shared" si="15"/>
        <v>0</v>
      </c>
      <c r="AJ75" s="10">
        <f t="shared" si="16"/>
        <v>0</v>
      </c>
      <c r="AK75" s="10">
        <f t="shared" si="17"/>
        <v>0</v>
      </c>
      <c r="AL75" s="6">
        <f t="shared" si="18"/>
        <v>0</v>
      </c>
      <c r="AM75" s="6">
        <f t="shared" si="19"/>
        <v>0</v>
      </c>
      <c r="AN75" s="10">
        <f t="shared" si="20"/>
        <v>0</v>
      </c>
      <c r="AO75" s="6">
        <f t="shared" si="21"/>
        <v>0</v>
      </c>
      <c r="AP75" s="10">
        <f t="shared" si="22"/>
        <v>0</v>
      </c>
      <c r="AQ75" s="28" t="str">
        <f t="shared" si="23"/>
        <v>INACTIVE</v>
      </c>
      <c r="AR75" s="6">
        <f t="shared" si="24"/>
        <v>0.5</v>
      </c>
      <c r="AS75" s="6">
        <f t="shared" si="25"/>
        <v>99</v>
      </c>
      <c r="AT75" s="2"/>
      <c r="AU75" s="6" t="e">
        <f t="shared" si="26"/>
        <v>#N/A</v>
      </c>
      <c r="AV75" s="6" t="e">
        <f t="shared" si="27"/>
        <v>#N/A</v>
      </c>
      <c r="AW75" s="11" t="e">
        <f t="shared" si="28"/>
        <v>#N/A</v>
      </c>
      <c r="AX75" s="6" t="e">
        <f t="shared" si="29"/>
        <v>#N/A</v>
      </c>
      <c r="AY75" s="6" t="e">
        <f t="shared" si="30"/>
        <v>#N/A</v>
      </c>
      <c r="AZ75" s="11" t="e">
        <f t="shared" si="31"/>
        <v>#N/A</v>
      </c>
      <c r="BA75" s="6" t="e">
        <f t="shared" si="32"/>
        <v>#N/A</v>
      </c>
      <c r="BB75" s="6" t="e">
        <f t="shared" si="33"/>
        <v>#N/A</v>
      </c>
      <c r="BC75" s="11" t="e">
        <f t="shared" si="34"/>
        <v>#N/A</v>
      </c>
      <c r="BD75" s="6" t="str">
        <f t="shared" si="35"/>
        <v/>
      </c>
      <c r="BE75" s="11">
        <f>IF(AND(Q75=1,S75="Delivery",AJ75&gt;0),AP75+AN75+5*0.001,-1000000000)</f>
        <v>-1000000000</v>
      </c>
      <c r="BF75" s="2">
        <f>IF(AND(Q75=1,S75="Delivery",AJ75&gt;0),AL75+(75-70)*0.00001,-1000000000)</f>
        <v>-1000000000</v>
      </c>
      <c r="BG75" s="9" t="str">
        <f>IF(LARGE($BF$70:$BF$83,6)&gt;-1000000000,INDEX($R$70:$R$83,MATCH(LARGE($BF$70:$BF$83,6),$BF$70:$BF$83,0)),"")</f>
        <v/>
      </c>
      <c r="BH75" s="6" t="e">
        <f>IF(LARGE($BF$70:$BF$83,6)&gt;-1000000000,INDEX($AL$70:$AL$83,MATCH(LARGE($BF$70:$BF$83,6),$BF$70:$BF$83,0)),NA())</f>
        <v>#N/A</v>
      </c>
      <c r="BI75" s="6" t="e">
        <f>IF(LARGE($BF$70:$BF$83,6)&gt;-1000000000,INDEX($BD$70:$BD$83,MATCH(LARGE($BF$70:$BF$83,6),$BF$70:$BF$83,0)),NA())</f>
        <v>#N/A</v>
      </c>
      <c r="BJ75" s="11" t="str">
        <f>IF(LARGE(BE70:BE83,6)&gt;=0,INDEX(BE70:BE83,MATCH(LARGE(BE70:BE83,6),BE70:BE83,0)),"")</f>
        <v/>
      </c>
      <c r="BK75" s="2"/>
      <c r="BL75" s="2"/>
      <c r="BM75" s="2"/>
      <c r="BN75" s="2"/>
      <c r="BO75" s="2"/>
      <c r="BP75" s="6" t="str">
        <f>IFERROR(INDEX($AU$70:$AU$83,MATCH(6,$BY$70:$BY$83,0)),"")</f>
        <v/>
      </c>
      <c r="BQ75" s="6" t="str">
        <f>IFERROR(INDEX($AV$70:$AV$83,MATCH(6,$BY$70:$BY$83,0)),"")</f>
        <v/>
      </c>
      <c r="BR75" s="11" t="s">
        <v>264</v>
      </c>
      <c r="BS75" s="6">
        <v>-0.50267857142857197</v>
      </c>
      <c r="BT75" s="6">
        <v>0.38527284681130802</v>
      </c>
      <c r="BU75" s="11" t="str">
        <f>IFERROR(INDEX($AZ$70:$AZ$83,MATCH(6,$BZ$70:$BZ$83,0)),"")</f>
        <v/>
      </c>
      <c r="BV75" s="6" t="str">
        <f>IFERROR(INDEX($BA$70:$BA$83,MATCH(6,$CA$70:$CA$83,0)),"")</f>
        <v/>
      </c>
      <c r="BW75" s="6" t="str">
        <f>IFERROR(INDEX($BB$70:$BB$83,MATCH(6,$CA$70:$CA$83,0)),"")</f>
        <v/>
      </c>
      <c r="BX75" s="11" t="str">
        <f>IFERROR(INDEX($BC$70:$BC$83,MATCH(6,$CA$70:$CA$83,0)),"")</f>
        <v/>
      </c>
      <c r="BY75" s="11" t="str">
        <f>IF(ISNUMBER(AU75),COUNT($AU$70:$AU75),"")</f>
        <v/>
      </c>
      <c r="BZ75" s="11" t="str">
        <f>IF(ISNUMBER(AX75),COUNT($AX$70:$AX75),"")</f>
        <v/>
      </c>
      <c r="CA75" s="11" t="str">
        <f>IF(ISNUMBER(BA75),COUNT($BA$70:$BA75),"")</f>
        <v/>
      </c>
      <c r="CB75" s="2"/>
      <c r="CC75" s="2"/>
      <c r="CD75" s="2"/>
      <c r="CE75" s="2"/>
      <c r="CF75" s="2"/>
      <c r="CG75" s="2"/>
      <c r="CH75" s="2"/>
      <c r="CI75" s="2"/>
      <c r="CJ75" s="2"/>
      <c r="CK75" s="2"/>
      <c r="CL75" s="2"/>
      <c r="CM75" s="2"/>
      <c r="CN75" s="2"/>
      <c r="CO75" s="2"/>
      <c r="CP75" s="2"/>
      <c r="CQ75" s="2"/>
      <c r="CR75" s="2"/>
      <c r="CS75" s="2"/>
      <c r="CT75" s="2"/>
      <c r="CU75" s="2"/>
      <c r="CV75" s="2"/>
      <c r="CW75" s="2"/>
      <c r="CX75" s="2"/>
      <c r="CY75" s="29">
        <f t="shared" si="36"/>
        <v>0</v>
      </c>
      <c r="CZ75" s="29">
        <f t="shared" si="37"/>
        <v>0</v>
      </c>
      <c r="DA75" s="29">
        <f t="shared" si="38"/>
        <v>0</v>
      </c>
      <c r="DB75" s="29" t="str">
        <f>IF(CY75=1,SUM($CY$70:CY75),"")</f>
        <v/>
      </c>
      <c r="DC75" s="29" t="str">
        <f>IF(CZ75=1,SUM($CZ$70:CZ75),"")</f>
        <v/>
      </c>
      <c r="DD75" s="29" t="str">
        <f>IF(DA75=1,SUM($DA$70:DA75),"")</f>
        <v/>
      </c>
      <c r="DE75" s="2"/>
      <c r="DF75" s="2"/>
      <c r="DG75" s="2"/>
      <c r="DH75" s="2"/>
      <c r="DI75" s="2"/>
      <c r="DJ75" s="29" t="e">
        <f t="shared" si="39"/>
        <v>#N/A</v>
      </c>
      <c r="DK75" s="29" t="e">
        <f t="shared" si="40"/>
        <v>#N/A</v>
      </c>
      <c r="DL75" s="29" t="e">
        <f t="shared" si="41"/>
        <v>#N/A</v>
      </c>
      <c r="DM75" s="29" t="str">
        <f t="shared" si="42"/>
        <v/>
      </c>
      <c r="DN75" s="29" t="e">
        <f t="shared" si="43"/>
        <v>#N/A</v>
      </c>
      <c r="DO75" s="2"/>
      <c r="DP75" s="29" t="e" cm="1">
        <f t="array" ref="DP75">IFERROR(INDEX($Z$70:$Z$83,SMALL($EF$70:$EF$83,ROW()-69)),NA())</f>
        <v>#N/A</v>
      </c>
      <c r="DQ75" s="29" t="e" cm="1">
        <f t="array" ref="DQ75">IFERROR(INDEX($AB$70:$AB$83,SMALL($EF$70:$EF$83,ROW()-69)),NA())</f>
        <v>#N/A</v>
      </c>
      <c r="DR75" s="29" t="e" cm="1">
        <f t="array" ref="DR75">IFERROR(INDEX($AK$70:$AK$83,SMALL($EF$70:$EF$83,ROW()-69))^0.5/80,NA())</f>
        <v>#N/A</v>
      </c>
      <c r="DS75" s="29" t="e" cm="1">
        <f t="array" ref="DS75">IFERROR(INDEX($Z$70:$Z$83,SMALL($EG$70:$EG$83,ROW()-69)),NA())</f>
        <v>#N/A</v>
      </c>
      <c r="DT75" s="29" t="e" cm="1">
        <f t="array" ref="DT75">IFERROR(INDEX($AB$70:$AB$83,SMALL($EG$70:$EG$83,ROW()-69)),NA())</f>
        <v>#N/A</v>
      </c>
      <c r="DU75" s="29" t="e" cm="1">
        <f t="array" ref="DU75">IFERROR(INDEX($AK$70:$AK$83,SMALL($EG$70:$EG$83,ROW()-69))^0.5/80,NA())</f>
        <v>#N/A</v>
      </c>
      <c r="DV75" s="29" t="e" cm="1">
        <f t="array" ref="DV75">IFERROR(INDEX($Z$70:$Z$83,SMALL($EH$70:$EH$83,ROW()-69)),NA())</f>
        <v>#N/A</v>
      </c>
      <c r="DW75" s="29" t="e" cm="1">
        <f t="array" ref="DW75">IFERROR(INDEX($AB$70:$AB$83,SMALL($EH$70:$EH$83,ROW()-69)),NA())</f>
        <v>#N/A</v>
      </c>
      <c r="DX75" s="29" t="e" cm="1">
        <f t="array" ref="DX75">IFERROR(INDEX($AK$70:$AK$83,SMALL($EH$70:$EH$83,ROW()-69))^0.5/80,NA())</f>
        <v>#N/A</v>
      </c>
      <c r="DY75" s="29" t="str">
        <f t="shared" si="44"/>
        <v/>
      </c>
      <c r="DZ75" s="29" t="e">
        <f t="shared" si="45"/>
        <v>#N/A</v>
      </c>
      <c r="EA75" s="29" t="e">
        <f t="shared" si="46"/>
        <v>#N/A</v>
      </c>
      <c r="EB75" s="2" t="str">
        <f>IF(LARGE($BF$70:$BF$83,6)&gt;-1000000000,TEXT(INDEX($AL$70:$AL$83,MATCH(LARGE($BF$70:$BF$83,6),$BF$70:$BF$83,0)),"0.0%"),"")</f>
        <v/>
      </c>
      <c r="EC75" s="56" t="str" cm="1">
        <f t="array" ref="EC75">IFERROR(INDEX($R$70:$R$83,SMALL($EF$70:$EF$83,ROW()-69)),"")</f>
        <v/>
      </c>
      <c r="ED75" s="56" t="str" cm="1">
        <f t="array" ref="ED75">IFERROR(INDEX($R$70:$R$83,SMALL($EG$70:$EG$83,ROW()-69)),"")</f>
        <v/>
      </c>
      <c r="EE75" s="56" t="str" cm="1">
        <f t="array" ref="EE75">IFERROR(INDEX($R$70:$R$83,SMALL($EH$70:$EH$83,ROW()-69)),"")</f>
        <v/>
      </c>
      <c r="EF75" s="2" t="str">
        <f t="shared" si="47"/>
        <v/>
      </c>
      <c r="EG75" s="2" t="str">
        <f t="shared" si="48"/>
        <v/>
      </c>
      <c r="EH75" s="2" t="str">
        <f t="shared" si="49"/>
        <v/>
      </c>
      <c r="EI75" s="2"/>
      <c r="EJ75" s="2"/>
      <c r="EK75" s="2"/>
      <c r="EL75" s="2"/>
      <c r="EM75" s="2"/>
      <c r="EN75" s="2"/>
      <c r="EO75" s="2"/>
      <c r="EP75" s="2"/>
      <c r="EQ75" s="2"/>
      <c r="ER75" s="2"/>
      <c r="ES75" s="2"/>
      <c r="ET75" s="2"/>
      <c r="EU75" s="2"/>
      <c r="EV75" s="2"/>
      <c r="EW75" s="2"/>
      <c r="EX75" s="2"/>
      <c r="EY75" s="2"/>
      <c r="EZ75" s="2"/>
      <c r="FA75" s="2"/>
      <c r="FB75" s="2"/>
    </row>
    <row r="76" spans="1:161" ht="22" customHeight="1" x14ac:dyDescent="0.2">
      <c r="A76" s="1"/>
      <c r="B76" s="55"/>
      <c r="C76" s="55"/>
      <c r="D76" s="55"/>
      <c r="E76" s="55"/>
      <c r="F76" s="55"/>
      <c r="G76" s="55"/>
      <c r="H76" s="55"/>
      <c r="I76" s="55"/>
      <c r="J76" s="55"/>
      <c r="K76" s="55"/>
      <c r="L76" s="55"/>
      <c r="M76" s="1"/>
      <c r="N76" s="1"/>
      <c r="O76" s="2"/>
      <c r="P76" s="11">
        <v>7</v>
      </c>
      <c r="Q76" s="11">
        <f>N(inp_role_active_7)</f>
        <v>0</v>
      </c>
      <c r="R76" s="9" t="str">
        <f>inp_role_title_7&amp;""</f>
        <v/>
      </c>
      <c r="S76" s="12" t="str">
        <f>inp_role_cat_7&amp;""</f>
        <v/>
      </c>
      <c r="T76" s="35">
        <f>IFERROR(N(inp_role_hc_7),0)</f>
        <v>0</v>
      </c>
      <c r="U76" s="10">
        <f>IFERROR(N(inp_role_salary_7),0)</f>
        <v>0</v>
      </c>
      <c r="V76" s="6">
        <f>IFERROR(N(inp_role_oncost_7),0)</f>
        <v>0</v>
      </c>
      <c r="W76" s="10">
        <f>IFERROR(N(inp_role_benefits_7),0)</f>
        <v>0</v>
      </c>
      <c r="X76" s="11">
        <f>IFERROR(N(inp_role_cap_7),0)</f>
        <v>0</v>
      </c>
      <c r="Y76" s="6">
        <f>IFERROR(N(inp_role_tutil_7),0)</f>
        <v>0</v>
      </c>
      <c r="Z76" s="6">
        <f>IFERROR(IF(inp_biz_period_m=0,0,(N(inp_role_billhours_7)*12/inp_biz_period_m)/(X76*T76)),0)</f>
        <v>0</v>
      </c>
      <c r="AA76" s="10">
        <f>IFERROR(N(inp_role_rate_7),0)</f>
        <v>0</v>
      </c>
      <c r="AB76" s="6">
        <f>IFERROR(IF(OR(N(inp_role_billhours_7)=0,AA76=0),0,(N(inp_role_revenue_7)/N(inp_role_billhours_7))/AA76),0)</f>
        <v>0</v>
      </c>
      <c r="AC76" s="10">
        <f t="shared" si="9"/>
        <v>0</v>
      </c>
      <c r="AD76" s="10">
        <f t="shared" si="10"/>
        <v>0</v>
      </c>
      <c r="AE76" s="11">
        <f t="shared" si="11"/>
        <v>0</v>
      </c>
      <c r="AF76" s="11">
        <f t="shared" si="12"/>
        <v>0</v>
      </c>
      <c r="AG76" s="11">
        <f t="shared" si="13"/>
        <v>0</v>
      </c>
      <c r="AH76" s="10">
        <f t="shared" si="14"/>
        <v>0</v>
      </c>
      <c r="AI76" s="10">
        <f t="shared" si="15"/>
        <v>0</v>
      </c>
      <c r="AJ76" s="10">
        <f t="shared" si="16"/>
        <v>0</v>
      </c>
      <c r="AK76" s="10">
        <f t="shared" si="17"/>
        <v>0</v>
      </c>
      <c r="AL76" s="6">
        <f t="shared" si="18"/>
        <v>0</v>
      </c>
      <c r="AM76" s="6">
        <f t="shared" si="19"/>
        <v>0</v>
      </c>
      <c r="AN76" s="10">
        <f t="shared" si="20"/>
        <v>0</v>
      </c>
      <c r="AO76" s="6">
        <f t="shared" si="21"/>
        <v>0</v>
      </c>
      <c r="AP76" s="10">
        <f t="shared" si="22"/>
        <v>0</v>
      </c>
      <c r="AQ76" s="28" t="str">
        <f t="shared" si="23"/>
        <v>INACTIVE</v>
      </c>
      <c r="AR76" s="6">
        <f t="shared" si="24"/>
        <v>0.5</v>
      </c>
      <c r="AS76" s="6">
        <f t="shared" si="25"/>
        <v>99</v>
      </c>
      <c r="AT76" s="2"/>
      <c r="AU76" s="6" t="e">
        <f t="shared" si="26"/>
        <v>#N/A</v>
      </c>
      <c r="AV76" s="6" t="e">
        <f t="shared" si="27"/>
        <v>#N/A</v>
      </c>
      <c r="AW76" s="11" t="e">
        <f t="shared" si="28"/>
        <v>#N/A</v>
      </c>
      <c r="AX76" s="6" t="e">
        <f t="shared" si="29"/>
        <v>#N/A</v>
      </c>
      <c r="AY76" s="6" t="e">
        <f t="shared" si="30"/>
        <v>#N/A</v>
      </c>
      <c r="AZ76" s="11" t="e">
        <f t="shared" si="31"/>
        <v>#N/A</v>
      </c>
      <c r="BA76" s="6" t="e">
        <f t="shared" si="32"/>
        <v>#N/A</v>
      </c>
      <c r="BB76" s="6" t="e">
        <f t="shared" si="33"/>
        <v>#N/A</v>
      </c>
      <c r="BC76" s="11" t="e">
        <f t="shared" si="34"/>
        <v>#N/A</v>
      </c>
      <c r="BD76" s="6" t="str">
        <f t="shared" si="35"/>
        <v/>
      </c>
      <c r="BE76" s="11">
        <f>IF(AND(Q76=1,S76="Delivery",AJ76&gt;0),AP76+AN76+6*0.001,-1000000000)</f>
        <v>-1000000000</v>
      </c>
      <c r="BF76" s="2">
        <f>IF(AND(Q76=1,S76="Delivery",AJ76&gt;0),AL76+(76-70)*0.00001,-1000000000)</f>
        <v>-1000000000</v>
      </c>
      <c r="BG76" s="9" t="str">
        <f>IF(LARGE($BF$70:$BF$83,7)&gt;-1000000000,INDEX($R$70:$R$83,MATCH(LARGE($BF$70:$BF$83,7),$BF$70:$BF$83,0)),"")</f>
        <v/>
      </c>
      <c r="BH76" s="6" t="e">
        <f>IF(LARGE($BF$70:$BF$83,7)&gt;-1000000000,INDEX($AL$70:$AL$83,MATCH(LARGE($BF$70:$BF$83,7),$BF$70:$BF$83,0)),NA())</f>
        <v>#N/A</v>
      </c>
      <c r="BI76" s="6" t="e">
        <f>IF(LARGE($BF$70:$BF$83,7)&gt;-1000000000,INDEX($BD$70:$BD$83,MATCH(LARGE($BF$70:$BF$83,7),$BF$70:$BF$83,0)),NA())</f>
        <v>#N/A</v>
      </c>
      <c r="BJ76" s="11" t="str">
        <f>IF(LARGE(BE70:BE83,7)&gt;=0,INDEX(BE70:BE83,MATCH(LARGE(BE70:BE83,7),BE70:BE83,0)),"")</f>
        <v/>
      </c>
      <c r="BK76" s="2"/>
      <c r="BL76" s="2"/>
      <c r="BM76" s="2"/>
      <c r="BN76" s="2"/>
      <c r="BO76" s="2"/>
      <c r="BP76" s="6" t="str">
        <f>IFERROR(INDEX($AU$70:$AU$83,MATCH(7,$BY$70:$BY$83,0)),"")</f>
        <v/>
      </c>
      <c r="BQ76" s="6" t="str">
        <f>IFERROR(INDEX($AV$70:$AV$83,MATCH(7,$BY$70:$BY$83,0)),"")</f>
        <v/>
      </c>
      <c r="BR76" s="11"/>
      <c r="BS76" s="6"/>
      <c r="BT76" s="6"/>
      <c r="BU76" s="11" t="str">
        <f>IFERROR(INDEX($AZ$70:$AZ$83,MATCH(7,$BZ$70:$BZ$83,0)),"")</f>
        <v/>
      </c>
      <c r="BV76" s="6" t="str">
        <f>IFERROR(INDEX($BA$70:$BA$83,MATCH(7,$CA$70:$CA$83,0)),"")</f>
        <v/>
      </c>
      <c r="BW76" s="6" t="str">
        <f>IFERROR(INDEX($BB$70:$BB$83,MATCH(7,$CA$70:$CA$83,0)),"")</f>
        <v/>
      </c>
      <c r="BX76" s="11" t="str">
        <f>IFERROR(INDEX($BC$70:$BC$83,MATCH(7,$CA$70:$CA$83,0)),"")</f>
        <v/>
      </c>
      <c r="BY76" s="11" t="str">
        <f>IF(ISNUMBER(AU76),COUNT($AU$70:$AU76),"")</f>
        <v/>
      </c>
      <c r="BZ76" s="11" t="str">
        <f>IF(ISNUMBER(AX76),COUNT($AX$70:$AX76),"")</f>
        <v/>
      </c>
      <c r="CA76" s="11" t="str">
        <f>IF(ISNUMBER(BA76),COUNT($BA$70:$BA76),"")</f>
        <v/>
      </c>
      <c r="CB76" s="2"/>
      <c r="CC76" s="2"/>
      <c r="CD76" s="2"/>
      <c r="CE76" s="2"/>
      <c r="CF76" s="2"/>
      <c r="CG76" s="2"/>
      <c r="CH76" s="2"/>
      <c r="CI76" s="2"/>
      <c r="CJ76" s="2"/>
      <c r="CK76" s="2"/>
      <c r="CL76" s="2"/>
      <c r="CM76" s="2"/>
      <c r="CN76" s="2"/>
      <c r="CO76" s="2"/>
      <c r="CP76" s="2"/>
      <c r="CQ76" s="2"/>
      <c r="CR76" s="2"/>
      <c r="CS76" s="2"/>
      <c r="CT76" s="2"/>
      <c r="CU76" s="2"/>
      <c r="CV76" s="2"/>
      <c r="CW76" s="2"/>
      <c r="CX76" s="2"/>
      <c r="CY76" s="29">
        <f t="shared" si="36"/>
        <v>0</v>
      </c>
      <c r="CZ76" s="29">
        <f t="shared" si="37"/>
        <v>0</v>
      </c>
      <c r="DA76" s="29">
        <f t="shared" si="38"/>
        <v>0</v>
      </c>
      <c r="DB76" s="29" t="str">
        <f>IF(CY76=1,SUM($CY$70:CY76),"")</f>
        <v/>
      </c>
      <c r="DC76" s="29" t="str">
        <f>IF(CZ76=1,SUM($CZ$70:CZ76),"")</f>
        <v/>
      </c>
      <c r="DD76" s="29" t="str">
        <f>IF(DA76=1,SUM($DA$70:DA76),"")</f>
        <v/>
      </c>
      <c r="DE76" s="2"/>
      <c r="DF76" s="2"/>
      <c r="DG76" s="2"/>
      <c r="DH76" s="2"/>
      <c r="DI76" s="2"/>
      <c r="DJ76" s="29" t="e">
        <f t="shared" si="39"/>
        <v>#N/A</v>
      </c>
      <c r="DK76" s="29" t="e">
        <f t="shared" si="40"/>
        <v>#N/A</v>
      </c>
      <c r="DL76" s="29" t="e">
        <f t="shared" si="41"/>
        <v>#N/A</v>
      </c>
      <c r="DM76" s="29" t="str">
        <f t="shared" si="42"/>
        <v/>
      </c>
      <c r="DN76" s="29" t="e">
        <f t="shared" si="43"/>
        <v>#N/A</v>
      </c>
      <c r="DO76" s="2"/>
      <c r="DP76" s="29" t="e" cm="1">
        <f t="array" ref="DP76">IFERROR(INDEX($Z$70:$Z$83,SMALL($EF$70:$EF$83,ROW()-69)),NA())</f>
        <v>#N/A</v>
      </c>
      <c r="DQ76" s="29" t="e" cm="1">
        <f t="array" ref="DQ76">IFERROR(INDEX($AB$70:$AB$83,SMALL($EF$70:$EF$83,ROW()-69)),NA())</f>
        <v>#N/A</v>
      </c>
      <c r="DR76" s="29" t="e" cm="1">
        <f t="array" ref="DR76">IFERROR(INDEX($AK$70:$AK$83,SMALL($EF$70:$EF$83,ROW()-69))^0.5/80,NA())</f>
        <v>#N/A</v>
      </c>
      <c r="DS76" s="29" t="e" cm="1">
        <f t="array" ref="DS76">IFERROR(INDEX($Z$70:$Z$83,SMALL($EG$70:$EG$83,ROW()-69)),NA())</f>
        <v>#N/A</v>
      </c>
      <c r="DT76" s="29" t="e" cm="1">
        <f t="array" ref="DT76">IFERROR(INDEX($AB$70:$AB$83,SMALL($EG$70:$EG$83,ROW()-69)),NA())</f>
        <v>#N/A</v>
      </c>
      <c r="DU76" s="29" t="e" cm="1">
        <f t="array" ref="DU76">IFERROR(INDEX($AK$70:$AK$83,SMALL($EG$70:$EG$83,ROW()-69))^0.5/80,NA())</f>
        <v>#N/A</v>
      </c>
      <c r="DV76" s="29" t="e" cm="1">
        <f t="array" ref="DV76">IFERROR(INDEX($Z$70:$Z$83,SMALL($EH$70:$EH$83,ROW()-69)),NA())</f>
        <v>#N/A</v>
      </c>
      <c r="DW76" s="29" t="e" cm="1">
        <f t="array" ref="DW76">IFERROR(INDEX($AB$70:$AB$83,SMALL($EH$70:$EH$83,ROW()-69)),NA())</f>
        <v>#N/A</v>
      </c>
      <c r="DX76" s="29" t="e" cm="1">
        <f t="array" ref="DX76">IFERROR(INDEX($AK$70:$AK$83,SMALL($EH$70:$EH$83,ROW()-69))^0.5/80,NA())</f>
        <v>#N/A</v>
      </c>
      <c r="DY76" s="29" t="str">
        <f t="shared" si="44"/>
        <v/>
      </c>
      <c r="DZ76" s="29" t="e">
        <f t="shared" si="45"/>
        <v>#N/A</v>
      </c>
      <c r="EA76" s="29" t="e">
        <f t="shared" si="46"/>
        <v>#N/A</v>
      </c>
      <c r="EB76" s="2" t="str">
        <f>IF(LARGE($BF$70:$BF$83,7)&gt;-1000000000,TEXT(INDEX($AL$70:$AL$83,MATCH(LARGE($BF$70:$BF$83,7),$BF$70:$BF$83,0)),"0.0%"),"")</f>
        <v/>
      </c>
      <c r="EC76" s="56" t="str" cm="1">
        <f t="array" ref="EC76">IFERROR(INDEX($R$70:$R$83,SMALL($EF$70:$EF$83,ROW()-69)),"")</f>
        <v/>
      </c>
      <c r="ED76" s="56" t="str" cm="1">
        <f t="array" ref="ED76">IFERROR(INDEX($R$70:$R$83,SMALL($EG$70:$EG$83,ROW()-69)),"")</f>
        <v/>
      </c>
      <c r="EE76" s="56" t="str" cm="1">
        <f t="array" ref="EE76">IFERROR(INDEX($R$70:$R$83,SMALL($EH$70:$EH$83,ROW()-69)),"")</f>
        <v/>
      </c>
      <c r="EF76" s="2" t="str">
        <f t="shared" si="47"/>
        <v/>
      </c>
      <c r="EG76" s="2" t="str">
        <f t="shared" si="48"/>
        <v/>
      </c>
      <c r="EH76" s="2" t="str">
        <f t="shared" si="49"/>
        <v/>
      </c>
      <c r="EI76" s="2"/>
      <c r="EJ76" s="2"/>
      <c r="EK76" s="2"/>
      <c r="EL76" s="2"/>
      <c r="EM76" s="2"/>
      <c r="EN76" s="2"/>
      <c r="EO76" s="2"/>
      <c r="EP76" s="2"/>
      <c r="EQ76" s="2"/>
      <c r="ER76" s="2"/>
      <c r="ES76" s="2"/>
      <c r="ET76" s="2"/>
      <c r="EU76" s="2"/>
      <c r="EV76" s="2"/>
      <c r="EW76" s="2"/>
      <c r="EX76" s="2"/>
      <c r="EY76" s="2"/>
      <c r="EZ76" s="2"/>
      <c r="FA76" s="2"/>
      <c r="FB76" s="2"/>
    </row>
    <row r="77" spans="1:161" ht="22" customHeight="1" x14ac:dyDescent="0.2">
      <c r="A77" s="1"/>
      <c r="B77" s="55"/>
      <c r="C77" s="55"/>
      <c r="D77" s="55"/>
      <c r="E77" s="55"/>
      <c r="F77" s="55"/>
      <c r="G77" s="55"/>
      <c r="H77" s="55"/>
      <c r="I77" s="55"/>
      <c r="J77" s="55"/>
      <c r="K77" s="55"/>
      <c r="L77" s="55"/>
      <c r="M77" s="1"/>
      <c r="N77" s="1"/>
      <c r="O77" s="2"/>
      <c r="P77" s="11">
        <v>8</v>
      </c>
      <c r="Q77" s="11">
        <f>N(inp_role_active_8)</f>
        <v>0</v>
      </c>
      <c r="R77" s="9" t="str">
        <f>inp_role_title_8&amp;""</f>
        <v/>
      </c>
      <c r="S77" s="12" t="str">
        <f>inp_role_cat_8&amp;""</f>
        <v/>
      </c>
      <c r="T77" s="35">
        <f>IFERROR(N(inp_role_hc_8),0)</f>
        <v>0</v>
      </c>
      <c r="U77" s="10">
        <f>IFERROR(N(inp_role_salary_8),0)</f>
        <v>0</v>
      </c>
      <c r="V77" s="6">
        <f>IFERROR(N(inp_role_oncost_8),0)</f>
        <v>0</v>
      </c>
      <c r="W77" s="10">
        <f>IFERROR(N(inp_role_benefits_8),0)</f>
        <v>0</v>
      </c>
      <c r="X77" s="11">
        <f>IFERROR(N(inp_role_cap_8),0)</f>
        <v>0</v>
      </c>
      <c r="Y77" s="6">
        <f>IFERROR(N(inp_role_tutil_8),0)</f>
        <v>0</v>
      </c>
      <c r="Z77" s="6">
        <f>IFERROR(IF(inp_biz_period_m=0,0,(N(inp_role_billhours_8)*12/inp_biz_period_m)/(X77*T77)),0)</f>
        <v>0</v>
      </c>
      <c r="AA77" s="10">
        <f>IFERROR(N(inp_role_rate_8),0)</f>
        <v>0</v>
      </c>
      <c r="AB77" s="6">
        <f>IFERROR(IF(OR(N(inp_role_billhours_8)=0,AA77=0),0,(N(inp_role_revenue_8)/N(inp_role_billhours_8))/AA77),0)</f>
        <v>0</v>
      </c>
      <c r="AC77" s="10">
        <f t="shared" si="9"/>
        <v>0</v>
      </c>
      <c r="AD77" s="10">
        <f t="shared" si="10"/>
        <v>0</v>
      </c>
      <c r="AE77" s="11">
        <f t="shared" si="11"/>
        <v>0</v>
      </c>
      <c r="AF77" s="11">
        <f t="shared" si="12"/>
        <v>0</v>
      </c>
      <c r="AG77" s="11">
        <f t="shared" si="13"/>
        <v>0</v>
      </c>
      <c r="AH77" s="10">
        <f t="shared" si="14"/>
        <v>0</v>
      </c>
      <c r="AI77" s="10">
        <f t="shared" si="15"/>
        <v>0</v>
      </c>
      <c r="AJ77" s="10">
        <f t="shared" si="16"/>
        <v>0</v>
      </c>
      <c r="AK77" s="10">
        <f t="shared" si="17"/>
        <v>0</v>
      </c>
      <c r="AL77" s="6">
        <f t="shared" si="18"/>
        <v>0</v>
      </c>
      <c r="AM77" s="6">
        <f t="shared" si="19"/>
        <v>0</v>
      </c>
      <c r="AN77" s="10">
        <f t="shared" si="20"/>
        <v>0</v>
      </c>
      <c r="AO77" s="6">
        <f t="shared" si="21"/>
        <v>0</v>
      </c>
      <c r="AP77" s="10">
        <f t="shared" si="22"/>
        <v>0</v>
      </c>
      <c r="AQ77" s="28" t="str">
        <f t="shared" si="23"/>
        <v>INACTIVE</v>
      </c>
      <c r="AR77" s="6">
        <f t="shared" si="24"/>
        <v>0.5</v>
      </c>
      <c r="AS77" s="6">
        <f t="shared" si="25"/>
        <v>99</v>
      </c>
      <c r="AT77" s="2"/>
      <c r="AU77" s="6" t="e">
        <f t="shared" si="26"/>
        <v>#N/A</v>
      </c>
      <c r="AV77" s="6" t="e">
        <f t="shared" si="27"/>
        <v>#N/A</v>
      </c>
      <c r="AW77" s="11" t="e">
        <f t="shared" si="28"/>
        <v>#N/A</v>
      </c>
      <c r="AX77" s="6" t="e">
        <f t="shared" si="29"/>
        <v>#N/A</v>
      </c>
      <c r="AY77" s="6" t="e">
        <f t="shared" si="30"/>
        <v>#N/A</v>
      </c>
      <c r="AZ77" s="11" t="e">
        <f t="shared" si="31"/>
        <v>#N/A</v>
      </c>
      <c r="BA77" s="6" t="e">
        <f t="shared" si="32"/>
        <v>#N/A</v>
      </c>
      <c r="BB77" s="6" t="e">
        <f t="shared" si="33"/>
        <v>#N/A</v>
      </c>
      <c r="BC77" s="11" t="e">
        <f t="shared" si="34"/>
        <v>#N/A</v>
      </c>
      <c r="BD77" s="6" t="str">
        <f t="shared" si="35"/>
        <v/>
      </c>
      <c r="BE77" s="11">
        <f>IF(AND(Q77=1,S77="Delivery",AJ77&gt;0),AP77+AN77+7*0.001,-1000000000)</f>
        <v>-1000000000</v>
      </c>
      <c r="BF77" s="2">
        <f>IF(AND(Q77=1,S77="Delivery",AJ77&gt;0),AL77+(77-70)*0.00001,-1000000000)</f>
        <v>-1000000000</v>
      </c>
      <c r="BG77" s="9" t="str">
        <f>IF(LARGE($BF$70:$BF$83,8)&gt;-1000000000,INDEX($R$70:$R$83,MATCH(LARGE($BF$70:$BF$83,8),$BF$70:$BF$83,0)),"")</f>
        <v/>
      </c>
      <c r="BH77" s="6" t="e">
        <f>IF(LARGE($BF$70:$BF$83,8)&gt;-1000000000,INDEX($AL$70:$AL$83,MATCH(LARGE($BF$70:$BF$83,8),$BF$70:$BF$83,0)),NA())</f>
        <v>#N/A</v>
      </c>
      <c r="BI77" s="6" t="e">
        <f>IF(LARGE($BF$70:$BF$83,8)&gt;-1000000000,INDEX($BD$70:$BD$83,MATCH(LARGE($BF$70:$BF$83,8),$BF$70:$BF$83,0)),NA())</f>
        <v>#N/A</v>
      </c>
      <c r="BJ77" s="11" t="str">
        <f>IF(LARGE(BE70:BE83,8)&gt;=0,INDEX(BE70:BE83,MATCH(LARGE(BE70:BE83,8),BE70:BE83,0)),"")</f>
        <v/>
      </c>
      <c r="BK77" s="2"/>
      <c r="BL77" s="2"/>
      <c r="BM77" s="2"/>
      <c r="BN77" s="2"/>
      <c r="BO77" s="2"/>
      <c r="BP77" s="6" t="str">
        <f>IFERROR(INDEX($AU$70:$AU$83,MATCH(8,$BY$70:$BY$83,0)),"")</f>
        <v/>
      </c>
      <c r="BQ77" s="6" t="str">
        <f>IFERROR(INDEX($AV$70:$AV$83,MATCH(8,$BY$70:$BY$83,0)),"")</f>
        <v/>
      </c>
      <c r="BR77" s="11"/>
      <c r="BS77" s="6"/>
      <c r="BT77" s="6"/>
      <c r="BU77" s="11" t="str">
        <f>IFERROR(INDEX($AZ$70:$AZ$83,MATCH(8,$BZ$70:$BZ$83,0)),"")</f>
        <v/>
      </c>
      <c r="BV77" s="6" t="str">
        <f>IFERROR(INDEX($BA$70:$BA$83,MATCH(8,$CA$70:$CA$83,0)),"")</f>
        <v/>
      </c>
      <c r="BW77" s="6" t="str">
        <f>IFERROR(INDEX($BB$70:$BB$83,MATCH(8,$CA$70:$CA$83,0)),"")</f>
        <v/>
      </c>
      <c r="BX77" s="11" t="str">
        <f>IFERROR(INDEX($BC$70:$BC$83,MATCH(8,$CA$70:$CA$83,0)),"")</f>
        <v/>
      </c>
      <c r="BY77" s="11" t="str">
        <f>IF(ISNUMBER(AU77),COUNT($AU$70:$AU77),"")</f>
        <v/>
      </c>
      <c r="BZ77" s="11" t="str">
        <f>IF(ISNUMBER(AX77),COUNT($AX$70:$AX77),"")</f>
        <v/>
      </c>
      <c r="CA77" s="11" t="str">
        <f>IF(ISNUMBER(BA77),COUNT($BA$70:$BA77),"")</f>
        <v/>
      </c>
      <c r="CB77" s="2"/>
      <c r="CC77" s="2"/>
      <c r="CD77" s="2"/>
      <c r="CE77" s="2"/>
      <c r="CF77" s="2"/>
      <c r="CG77" s="2"/>
      <c r="CH77" s="2"/>
      <c r="CI77" s="2"/>
      <c r="CJ77" s="2"/>
      <c r="CK77" s="2"/>
      <c r="CL77" s="2"/>
      <c r="CM77" s="2"/>
      <c r="CN77" s="2"/>
      <c r="CO77" s="2"/>
      <c r="CP77" s="2"/>
      <c r="CQ77" s="2"/>
      <c r="CR77" s="2"/>
      <c r="CS77" s="2"/>
      <c r="CT77" s="2"/>
      <c r="CU77" s="2"/>
      <c r="CV77" s="2"/>
      <c r="CW77" s="2"/>
      <c r="CX77" s="2"/>
      <c r="CY77" s="29">
        <f t="shared" si="36"/>
        <v>0</v>
      </c>
      <c r="CZ77" s="29">
        <f t="shared" si="37"/>
        <v>0</v>
      </c>
      <c r="DA77" s="29">
        <f t="shared" si="38"/>
        <v>0</v>
      </c>
      <c r="DB77" s="29" t="str">
        <f>IF(CY77=1,SUM($CY$70:CY77),"")</f>
        <v/>
      </c>
      <c r="DC77" s="29" t="str">
        <f>IF(CZ77=1,SUM($CZ$70:CZ77),"")</f>
        <v/>
      </c>
      <c r="DD77" s="29" t="str">
        <f>IF(DA77=1,SUM($DA$70:DA77),"")</f>
        <v/>
      </c>
      <c r="DE77" s="2"/>
      <c r="DF77" s="2"/>
      <c r="DG77" s="2"/>
      <c r="DH77" s="2"/>
      <c r="DI77" s="2"/>
      <c r="DJ77" s="29" t="e">
        <f t="shared" si="39"/>
        <v>#N/A</v>
      </c>
      <c r="DK77" s="29" t="e">
        <f t="shared" si="40"/>
        <v>#N/A</v>
      </c>
      <c r="DL77" s="29" t="e">
        <f t="shared" si="41"/>
        <v>#N/A</v>
      </c>
      <c r="DM77" s="29" t="str">
        <f t="shared" si="42"/>
        <v/>
      </c>
      <c r="DN77" s="29" t="e">
        <f t="shared" si="43"/>
        <v>#N/A</v>
      </c>
      <c r="DO77" s="2"/>
      <c r="DP77" s="29" t="e" cm="1">
        <f t="array" ref="DP77">IFERROR(INDEX($Z$70:$Z$83,SMALL($EF$70:$EF$83,ROW()-69)),NA())</f>
        <v>#N/A</v>
      </c>
      <c r="DQ77" s="29" t="e" cm="1">
        <f t="array" ref="DQ77">IFERROR(INDEX($AB$70:$AB$83,SMALL($EF$70:$EF$83,ROW()-69)),NA())</f>
        <v>#N/A</v>
      </c>
      <c r="DR77" s="29" t="e" cm="1">
        <f t="array" ref="DR77">IFERROR(INDEX($AK$70:$AK$83,SMALL($EF$70:$EF$83,ROW()-69))^0.5/80,NA())</f>
        <v>#N/A</v>
      </c>
      <c r="DS77" s="29" t="e" cm="1">
        <f t="array" ref="DS77">IFERROR(INDEX($Z$70:$Z$83,SMALL($EG$70:$EG$83,ROW()-69)),NA())</f>
        <v>#N/A</v>
      </c>
      <c r="DT77" s="29" t="e" cm="1">
        <f t="array" ref="DT77">IFERROR(INDEX($AB$70:$AB$83,SMALL($EG$70:$EG$83,ROW()-69)),NA())</f>
        <v>#N/A</v>
      </c>
      <c r="DU77" s="29" t="e" cm="1">
        <f t="array" ref="DU77">IFERROR(INDEX($AK$70:$AK$83,SMALL($EG$70:$EG$83,ROW()-69))^0.5/80,NA())</f>
        <v>#N/A</v>
      </c>
      <c r="DV77" s="29" t="e" cm="1">
        <f t="array" ref="DV77">IFERROR(INDEX($Z$70:$Z$83,SMALL($EH$70:$EH$83,ROW()-69)),NA())</f>
        <v>#N/A</v>
      </c>
      <c r="DW77" s="29" t="e" cm="1">
        <f t="array" ref="DW77">IFERROR(INDEX($AB$70:$AB$83,SMALL($EH$70:$EH$83,ROW()-69)),NA())</f>
        <v>#N/A</v>
      </c>
      <c r="DX77" s="29" t="e" cm="1">
        <f t="array" ref="DX77">IFERROR(INDEX($AK$70:$AK$83,SMALL($EH$70:$EH$83,ROW()-69))^0.5/80,NA())</f>
        <v>#N/A</v>
      </c>
      <c r="DY77" s="29" t="str">
        <f t="shared" si="44"/>
        <v/>
      </c>
      <c r="DZ77" s="29" t="e">
        <f t="shared" si="45"/>
        <v>#N/A</v>
      </c>
      <c r="EA77" s="29" t="e">
        <f t="shared" si="46"/>
        <v>#N/A</v>
      </c>
      <c r="EB77" s="2" t="str">
        <f>IF(LARGE($BF$70:$BF$83,8)&gt;-1000000000,TEXT(INDEX($AL$70:$AL$83,MATCH(LARGE($BF$70:$BF$83,8),$BF$70:$BF$83,0)),"0.0%"),"")</f>
        <v/>
      </c>
      <c r="EC77" s="56" t="str" cm="1">
        <f t="array" ref="EC77">IFERROR(INDEX($R$70:$R$83,SMALL($EF$70:$EF$83,ROW()-69)),"")</f>
        <v/>
      </c>
      <c r="ED77" s="56" t="str" cm="1">
        <f t="array" ref="ED77">IFERROR(INDEX($R$70:$R$83,SMALL($EG$70:$EG$83,ROW()-69)),"")</f>
        <v/>
      </c>
      <c r="EE77" s="56" t="str" cm="1">
        <f t="array" ref="EE77">IFERROR(INDEX($R$70:$R$83,SMALL($EH$70:$EH$83,ROW()-69)),"")</f>
        <v/>
      </c>
      <c r="EF77" s="2" t="str">
        <f t="shared" si="47"/>
        <v/>
      </c>
      <c r="EG77" s="2" t="str">
        <f t="shared" si="48"/>
        <v/>
      </c>
      <c r="EH77" s="2" t="str">
        <f t="shared" si="49"/>
        <v/>
      </c>
      <c r="EI77" s="2"/>
      <c r="EJ77" s="2"/>
      <c r="EK77" s="2"/>
      <c r="EL77" s="2"/>
      <c r="EM77" s="2"/>
      <c r="EN77" s="2"/>
      <c r="EO77" s="2"/>
      <c r="EP77" s="2"/>
      <c r="EQ77" s="2"/>
      <c r="ER77" s="2"/>
      <c r="ES77" s="2"/>
      <c r="ET77" s="2"/>
      <c r="EU77" s="2"/>
      <c r="EV77" s="2"/>
      <c r="EW77" s="2"/>
      <c r="EX77" s="2"/>
      <c r="EY77" s="2"/>
      <c r="EZ77" s="2"/>
      <c r="FA77" s="2"/>
      <c r="FB77" s="2"/>
    </row>
    <row r="78" spans="1:161" ht="22" customHeight="1" x14ac:dyDescent="0.2">
      <c r="A78" s="1"/>
      <c r="B78" s="55"/>
      <c r="C78" s="55"/>
      <c r="D78" s="55"/>
      <c r="E78" s="55"/>
      <c r="F78" s="55"/>
      <c r="G78" s="55"/>
      <c r="H78" s="55"/>
      <c r="I78" s="55"/>
      <c r="J78" s="55"/>
      <c r="K78" s="55"/>
      <c r="L78" s="55"/>
      <c r="M78" s="1"/>
      <c r="N78" s="1"/>
      <c r="O78" s="2"/>
      <c r="P78" s="11">
        <v>9</v>
      </c>
      <c r="Q78" s="11">
        <f>N(inp_role_active_9)</f>
        <v>0</v>
      </c>
      <c r="R78" s="9" t="str">
        <f>inp_role_title_9&amp;""</f>
        <v/>
      </c>
      <c r="S78" s="12" t="str">
        <f>inp_role_cat_9&amp;""</f>
        <v/>
      </c>
      <c r="T78" s="35">
        <f>IFERROR(N(inp_role_hc_9),0)</f>
        <v>0</v>
      </c>
      <c r="U78" s="10">
        <f>IFERROR(N(inp_role_salary_9),0)</f>
        <v>0</v>
      </c>
      <c r="V78" s="6">
        <f>IFERROR(N(inp_role_oncost_9),0)</f>
        <v>0</v>
      </c>
      <c r="W78" s="10">
        <f>IFERROR(N(inp_role_benefits_9),0)</f>
        <v>0</v>
      </c>
      <c r="X78" s="11">
        <f>IFERROR(N(inp_role_cap_9),0)</f>
        <v>0</v>
      </c>
      <c r="Y78" s="6">
        <f>IFERROR(N(inp_role_tutil_9),0)</f>
        <v>0</v>
      </c>
      <c r="Z78" s="6">
        <f>IFERROR(IF(inp_biz_period_m=0,0,(N(inp_role_billhours_9)*12/inp_biz_period_m)/(X78*T78)),0)</f>
        <v>0</v>
      </c>
      <c r="AA78" s="10">
        <f>IFERROR(N(inp_role_rate_9),0)</f>
        <v>0</v>
      </c>
      <c r="AB78" s="6">
        <f>IFERROR(IF(OR(N(inp_role_billhours_9)=0,AA78=0),0,(N(inp_role_revenue_9)/N(inp_role_billhours_9))/AA78),0)</f>
        <v>0</v>
      </c>
      <c r="AC78" s="10">
        <f t="shared" si="9"/>
        <v>0</v>
      </c>
      <c r="AD78" s="10">
        <f t="shared" si="10"/>
        <v>0</v>
      </c>
      <c r="AE78" s="11">
        <f t="shared" si="11"/>
        <v>0</v>
      </c>
      <c r="AF78" s="11">
        <f t="shared" si="12"/>
        <v>0</v>
      </c>
      <c r="AG78" s="11">
        <f t="shared" si="13"/>
        <v>0</v>
      </c>
      <c r="AH78" s="10">
        <f t="shared" si="14"/>
        <v>0</v>
      </c>
      <c r="AI78" s="10">
        <f t="shared" si="15"/>
        <v>0</v>
      </c>
      <c r="AJ78" s="10">
        <f t="shared" si="16"/>
        <v>0</v>
      </c>
      <c r="AK78" s="10">
        <f t="shared" si="17"/>
        <v>0</v>
      </c>
      <c r="AL78" s="6">
        <f t="shared" si="18"/>
        <v>0</v>
      </c>
      <c r="AM78" s="6">
        <f t="shared" si="19"/>
        <v>0</v>
      </c>
      <c r="AN78" s="10">
        <f t="shared" si="20"/>
        <v>0</v>
      </c>
      <c r="AO78" s="6">
        <f t="shared" si="21"/>
        <v>0</v>
      </c>
      <c r="AP78" s="10">
        <f t="shared" si="22"/>
        <v>0</v>
      </c>
      <c r="AQ78" s="28" t="str">
        <f t="shared" si="23"/>
        <v>INACTIVE</v>
      </c>
      <c r="AR78" s="6">
        <f t="shared" si="24"/>
        <v>0.5</v>
      </c>
      <c r="AS78" s="6">
        <f t="shared" si="25"/>
        <v>99</v>
      </c>
      <c r="AT78" s="2"/>
      <c r="AU78" s="6" t="e">
        <f t="shared" si="26"/>
        <v>#N/A</v>
      </c>
      <c r="AV78" s="6" t="e">
        <f t="shared" si="27"/>
        <v>#N/A</v>
      </c>
      <c r="AW78" s="11" t="e">
        <f t="shared" si="28"/>
        <v>#N/A</v>
      </c>
      <c r="AX78" s="6" t="e">
        <f t="shared" si="29"/>
        <v>#N/A</v>
      </c>
      <c r="AY78" s="6" t="e">
        <f t="shared" si="30"/>
        <v>#N/A</v>
      </c>
      <c r="AZ78" s="11" t="e">
        <f t="shared" si="31"/>
        <v>#N/A</v>
      </c>
      <c r="BA78" s="6" t="e">
        <f t="shared" si="32"/>
        <v>#N/A</v>
      </c>
      <c r="BB78" s="6" t="e">
        <f t="shared" si="33"/>
        <v>#N/A</v>
      </c>
      <c r="BC78" s="11" t="e">
        <f t="shared" si="34"/>
        <v>#N/A</v>
      </c>
      <c r="BD78" s="6" t="str">
        <f t="shared" si="35"/>
        <v/>
      </c>
      <c r="BE78" s="11">
        <f>IF(AND(Q78=1,S78="Delivery",AJ78&gt;0),AP78+AN78+8*0.001,-1000000000)</f>
        <v>-1000000000</v>
      </c>
      <c r="BF78" s="2">
        <f>IF(AND(Q78=1,S78="Delivery",AJ78&gt;0),AL78+(78-70)*0.00001,-1000000000)</f>
        <v>-1000000000</v>
      </c>
      <c r="BG78" s="9" t="str">
        <f>IF(LARGE($BF$70:$BF$83,9)&gt;-1000000000,INDEX($R$70:$R$83,MATCH(LARGE($BF$70:$BF$83,9),$BF$70:$BF$83,0)),"")</f>
        <v/>
      </c>
      <c r="BH78" s="6" t="e">
        <f>IF(LARGE($BF$70:$BF$83,9)&gt;-1000000000,INDEX($AL$70:$AL$83,MATCH(LARGE($BF$70:$BF$83,9),$BF$70:$BF$83,0)),NA())</f>
        <v>#N/A</v>
      </c>
      <c r="BI78" s="6" t="e">
        <f>IF(LARGE($BF$70:$BF$83,9)&gt;-1000000000,INDEX($BD$70:$BD$83,MATCH(LARGE($BF$70:$BF$83,9),$BF$70:$BF$83,0)),NA())</f>
        <v>#N/A</v>
      </c>
      <c r="BJ78" s="11" t="str">
        <f>IF(LARGE(BE70:BE83,9)&gt;=0,INDEX(BE70:BE83,MATCH(LARGE(BE70:BE83,9),BE70:BE83,0)),"")</f>
        <v/>
      </c>
      <c r="BK78" s="2"/>
      <c r="BL78" s="2"/>
      <c r="BM78" s="2"/>
      <c r="BN78" s="2"/>
      <c r="BO78" s="2"/>
      <c r="BP78" s="6" t="str">
        <f>IFERROR(INDEX($AU$70:$AU$83,MATCH(9,$BY$70:$BY$83,0)),"")</f>
        <v/>
      </c>
      <c r="BQ78" s="6" t="str">
        <f>IFERROR(INDEX($AV$70:$AV$83,MATCH(9,$BY$70:$BY$83,0)),"")</f>
        <v/>
      </c>
      <c r="BR78" s="11"/>
      <c r="BS78" s="6"/>
      <c r="BT78" s="6"/>
      <c r="BU78" s="11" t="str">
        <f>IFERROR(INDEX($AZ$70:$AZ$83,MATCH(9,$BZ$70:$BZ$83,0)),"")</f>
        <v/>
      </c>
      <c r="BV78" s="6" t="str">
        <f>IFERROR(INDEX($BA$70:$BA$83,MATCH(9,$CA$70:$CA$83,0)),"")</f>
        <v/>
      </c>
      <c r="BW78" s="6" t="str">
        <f>IFERROR(INDEX($BB$70:$BB$83,MATCH(9,$CA$70:$CA$83,0)),"")</f>
        <v/>
      </c>
      <c r="BX78" s="11" t="str">
        <f>IFERROR(INDEX($BC$70:$BC$83,MATCH(9,$CA$70:$CA$83,0)),"")</f>
        <v/>
      </c>
      <c r="BY78" s="11" t="str">
        <f>IF(ISNUMBER(AU78),COUNT($AU$70:$AU78),"")</f>
        <v/>
      </c>
      <c r="BZ78" s="11" t="str">
        <f>IF(ISNUMBER(AX78),COUNT($AX$70:$AX78),"")</f>
        <v/>
      </c>
      <c r="CA78" s="11" t="str">
        <f>IF(ISNUMBER(BA78),COUNT($BA$70:$BA78),"")</f>
        <v/>
      </c>
      <c r="CB78" s="2"/>
      <c r="CC78" s="2"/>
      <c r="CD78" s="2"/>
      <c r="CE78" s="2"/>
      <c r="CF78" s="2"/>
      <c r="CG78" s="2"/>
      <c r="CH78" s="2"/>
      <c r="CI78" s="2"/>
      <c r="CJ78" s="2"/>
      <c r="CK78" s="2"/>
      <c r="CL78" s="2"/>
      <c r="CM78" s="2"/>
      <c r="CN78" s="2"/>
      <c r="CO78" s="2"/>
      <c r="CP78" s="2"/>
      <c r="CQ78" s="2"/>
      <c r="CR78" s="2"/>
      <c r="CS78" s="2"/>
      <c r="CT78" s="2"/>
      <c r="CU78" s="2"/>
      <c r="CV78" s="2"/>
      <c r="CW78" s="2"/>
      <c r="CX78" s="2"/>
      <c r="CY78" s="29">
        <f t="shared" si="36"/>
        <v>0</v>
      </c>
      <c r="CZ78" s="29">
        <f t="shared" si="37"/>
        <v>0</v>
      </c>
      <c r="DA78" s="29">
        <f t="shared" si="38"/>
        <v>0</v>
      </c>
      <c r="DB78" s="29" t="str">
        <f>IF(CY78=1,SUM($CY$70:CY78),"")</f>
        <v/>
      </c>
      <c r="DC78" s="29" t="str">
        <f>IF(CZ78=1,SUM($CZ$70:CZ78),"")</f>
        <v/>
      </c>
      <c r="DD78" s="29" t="str">
        <f>IF(DA78=1,SUM($DA$70:DA78),"")</f>
        <v/>
      </c>
      <c r="DE78" s="2"/>
      <c r="DF78" s="2"/>
      <c r="DG78" s="2"/>
      <c r="DH78" s="2"/>
      <c r="DI78" s="2"/>
      <c r="DJ78" s="29" t="e">
        <f t="shared" si="39"/>
        <v>#N/A</v>
      </c>
      <c r="DK78" s="29" t="e">
        <f t="shared" si="40"/>
        <v>#N/A</v>
      </c>
      <c r="DL78" s="29" t="e">
        <f t="shared" si="41"/>
        <v>#N/A</v>
      </c>
      <c r="DM78" s="29" t="str">
        <f t="shared" si="42"/>
        <v/>
      </c>
      <c r="DN78" s="29" t="e">
        <f t="shared" si="43"/>
        <v>#N/A</v>
      </c>
      <c r="DO78" s="2"/>
      <c r="DP78" s="29" t="e" cm="1">
        <f t="array" ref="DP78">IFERROR(INDEX($Z$70:$Z$83,SMALL($EF$70:$EF$83,ROW()-69)),NA())</f>
        <v>#N/A</v>
      </c>
      <c r="DQ78" s="29" t="e" cm="1">
        <f t="array" ref="DQ78">IFERROR(INDEX($AB$70:$AB$83,SMALL($EF$70:$EF$83,ROW()-69)),NA())</f>
        <v>#N/A</v>
      </c>
      <c r="DR78" s="29" t="e" cm="1">
        <f t="array" ref="DR78">IFERROR(INDEX($AK$70:$AK$83,SMALL($EF$70:$EF$83,ROW()-69))^0.5/80,NA())</f>
        <v>#N/A</v>
      </c>
      <c r="DS78" s="29" t="e" cm="1">
        <f t="array" ref="DS78">IFERROR(INDEX($Z$70:$Z$83,SMALL($EG$70:$EG$83,ROW()-69)),NA())</f>
        <v>#N/A</v>
      </c>
      <c r="DT78" s="29" t="e" cm="1">
        <f t="array" ref="DT78">IFERROR(INDEX($AB$70:$AB$83,SMALL($EG$70:$EG$83,ROW()-69)),NA())</f>
        <v>#N/A</v>
      </c>
      <c r="DU78" s="29" t="e" cm="1">
        <f t="array" ref="DU78">IFERROR(INDEX($AK$70:$AK$83,SMALL($EG$70:$EG$83,ROW()-69))^0.5/80,NA())</f>
        <v>#N/A</v>
      </c>
      <c r="DV78" s="29" t="e" cm="1">
        <f t="array" ref="DV78">IFERROR(INDEX($Z$70:$Z$83,SMALL($EH$70:$EH$83,ROW()-69)),NA())</f>
        <v>#N/A</v>
      </c>
      <c r="DW78" s="29" t="e" cm="1">
        <f t="array" ref="DW78">IFERROR(INDEX($AB$70:$AB$83,SMALL($EH$70:$EH$83,ROW()-69)),NA())</f>
        <v>#N/A</v>
      </c>
      <c r="DX78" s="29" t="e" cm="1">
        <f t="array" ref="DX78">IFERROR(INDEX($AK$70:$AK$83,SMALL($EH$70:$EH$83,ROW()-69))^0.5/80,NA())</f>
        <v>#N/A</v>
      </c>
      <c r="DY78" s="29" t="str">
        <f t="shared" si="44"/>
        <v/>
      </c>
      <c r="DZ78" s="29" t="e">
        <f t="shared" si="45"/>
        <v>#N/A</v>
      </c>
      <c r="EA78" s="29" t="e">
        <f t="shared" si="46"/>
        <v>#N/A</v>
      </c>
      <c r="EB78" s="2" t="str">
        <f>IF(LARGE($BF$70:$BF$83,9)&gt;-1000000000,TEXT(INDEX($AL$70:$AL$83,MATCH(LARGE($BF$70:$BF$83,9),$BF$70:$BF$83,0)),"0.0%"),"")</f>
        <v/>
      </c>
      <c r="EC78" s="56" t="str" cm="1">
        <f t="array" ref="EC78">IFERROR(INDEX($R$70:$R$83,SMALL($EF$70:$EF$83,ROW()-69)),"")</f>
        <v/>
      </c>
      <c r="ED78" s="56" t="str" cm="1">
        <f t="array" ref="ED78">IFERROR(INDEX($R$70:$R$83,SMALL($EG$70:$EG$83,ROW()-69)),"")</f>
        <v/>
      </c>
      <c r="EE78" s="56" t="str" cm="1">
        <f t="array" ref="EE78">IFERROR(INDEX($R$70:$R$83,SMALL($EH$70:$EH$83,ROW()-69)),"")</f>
        <v/>
      </c>
      <c r="EF78" s="2" t="str">
        <f t="shared" si="47"/>
        <v/>
      </c>
      <c r="EG78" s="2" t="str">
        <f t="shared" si="48"/>
        <v/>
      </c>
      <c r="EH78" s="2" t="str">
        <f t="shared" si="49"/>
        <v/>
      </c>
      <c r="EI78" s="2"/>
      <c r="EJ78" s="2"/>
      <c r="EK78" s="2"/>
      <c r="EL78" s="2"/>
      <c r="EM78" s="2"/>
      <c r="EN78" s="2"/>
      <c r="EO78" s="2"/>
      <c r="EP78" s="2"/>
      <c r="EQ78" s="2"/>
      <c r="ER78" s="2"/>
      <c r="ES78" s="2"/>
      <c r="ET78" s="2"/>
      <c r="EU78" s="2"/>
      <c r="EV78" s="2"/>
      <c r="EW78" s="2"/>
      <c r="EX78" s="2"/>
      <c r="EY78" s="2"/>
      <c r="EZ78" s="2"/>
      <c r="FA78" s="2"/>
      <c r="FB78" s="2"/>
    </row>
    <row r="79" spans="1:161" ht="22" customHeight="1" x14ac:dyDescent="0.2">
      <c r="A79" s="1"/>
      <c r="B79" s="55"/>
      <c r="C79" s="55"/>
      <c r="D79" s="55"/>
      <c r="E79" s="55"/>
      <c r="F79" s="55"/>
      <c r="G79" s="55"/>
      <c r="H79" s="55"/>
      <c r="I79" s="55"/>
      <c r="J79" s="55"/>
      <c r="K79" s="55"/>
      <c r="L79" s="55"/>
      <c r="M79" s="1"/>
      <c r="N79" s="1"/>
      <c r="O79" s="2"/>
      <c r="P79" s="11">
        <v>10</v>
      </c>
      <c r="Q79" s="11">
        <f>N(inp_role_active_10)</f>
        <v>0</v>
      </c>
      <c r="R79" s="9" t="str">
        <f>inp_role_title_10&amp;""</f>
        <v/>
      </c>
      <c r="S79" s="12" t="str">
        <f>inp_role_cat_10&amp;""</f>
        <v/>
      </c>
      <c r="T79" s="35">
        <f>IFERROR(N(inp_role_hc_10),0)</f>
        <v>0</v>
      </c>
      <c r="U79" s="10">
        <f>IFERROR(N(inp_role_salary_10),0)</f>
        <v>0</v>
      </c>
      <c r="V79" s="6">
        <f>IFERROR(N(inp_role_oncost_10),0)</f>
        <v>0</v>
      </c>
      <c r="W79" s="10">
        <f>IFERROR(N(inp_role_benefits_10),0)</f>
        <v>0</v>
      </c>
      <c r="X79" s="11">
        <f>IFERROR(N(inp_role_cap_10),0)</f>
        <v>0</v>
      </c>
      <c r="Y79" s="6">
        <f>IFERROR(N(inp_role_tutil_10),0)</f>
        <v>0</v>
      </c>
      <c r="Z79" s="6">
        <f>IFERROR(IF(inp_biz_period_m=0,0,(N(inp_role_billhours_10)*12/inp_biz_period_m)/(X79*T79)),0)</f>
        <v>0</v>
      </c>
      <c r="AA79" s="10">
        <f>IFERROR(N(inp_role_rate_10),0)</f>
        <v>0</v>
      </c>
      <c r="AB79" s="6">
        <f>IFERROR(IF(OR(N(inp_role_billhours_10)=0,AA79=0),0,(N(inp_role_revenue_10)/N(inp_role_billhours_10))/AA79),0)</f>
        <v>0</v>
      </c>
      <c r="AC79" s="10">
        <f t="shared" si="9"/>
        <v>0</v>
      </c>
      <c r="AD79" s="10">
        <f t="shared" si="10"/>
        <v>0</v>
      </c>
      <c r="AE79" s="11">
        <f t="shared" si="11"/>
        <v>0</v>
      </c>
      <c r="AF79" s="11">
        <f t="shared" si="12"/>
        <v>0</v>
      </c>
      <c r="AG79" s="11">
        <f t="shared" si="13"/>
        <v>0</v>
      </c>
      <c r="AH79" s="10">
        <f t="shared" si="14"/>
        <v>0</v>
      </c>
      <c r="AI79" s="10">
        <f t="shared" si="15"/>
        <v>0</v>
      </c>
      <c r="AJ79" s="10">
        <f t="shared" si="16"/>
        <v>0</v>
      </c>
      <c r="AK79" s="10">
        <f t="shared" si="17"/>
        <v>0</v>
      </c>
      <c r="AL79" s="6">
        <f t="shared" si="18"/>
        <v>0</v>
      </c>
      <c r="AM79" s="6">
        <f t="shared" si="19"/>
        <v>0</v>
      </c>
      <c r="AN79" s="10">
        <f t="shared" si="20"/>
        <v>0</v>
      </c>
      <c r="AO79" s="6">
        <f t="shared" si="21"/>
        <v>0</v>
      </c>
      <c r="AP79" s="10">
        <f t="shared" si="22"/>
        <v>0</v>
      </c>
      <c r="AQ79" s="28" t="str">
        <f t="shared" si="23"/>
        <v>INACTIVE</v>
      </c>
      <c r="AR79" s="6">
        <f t="shared" si="24"/>
        <v>0.5</v>
      </c>
      <c r="AS79" s="6">
        <f t="shared" si="25"/>
        <v>99</v>
      </c>
      <c r="AT79" s="2"/>
      <c r="AU79" s="6" t="e">
        <f t="shared" si="26"/>
        <v>#N/A</v>
      </c>
      <c r="AV79" s="6" t="e">
        <f t="shared" si="27"/>
        <v>#N/A</v>
      </c>
      <c r="AW79" s="11" t="e">
        <f t="shared" si="28"/>
        <v>#N/A</v>
      </c>
      <c r="AX79" s="6" t="e">
        <f t="shared" si="29"/>
        <v>#N/A</v>
      </c>
      <c r="AY79" s="6" t="e">
        <f t="shared" si="30"/>
        <v>#N/A</v>
      </c>
      <c r="AZ79" s="11" t="e">
        <f t="shared" si="31"/>
        <v>#N/A</v>
      </c>
      <c r="BA79" s="6" t="e">
        <f t="shared" si="32"/>
        <v>#N/A</v>
      </c>
      <c r="BB79" s="6" t="e">
        <f t="shared" si="33"/>
        <v>#N/A</v>
      </c>
      <c r="BC79" s="11" t="e">
        <f t="shared" si="34"/>
        <v>#N/A</v>
      </c>
      <c r="BD79" s="6" t="str">
        <f t="shared" si="35"/>
        <v/>
      </c>
      <c r="BE79" s="11">
        <f>IF(AND(Q79=1,S79="Delivery",AJ79&gt;0),AP79+AN79+9*0.001,-1000000000)</f>
        <v>-1000000000</v>
      </c>
      <c r="BF79" s="2">
        <f>IF(AND(Q79=1,S79="Delivery",AJ79&gt;0),AL79+(79-70)*0.00001,-1000000000)</f>
        <v>-1000000000</v>
      </c>
      <c r="BG79" s="9" t="str">
        <f>IF(LARGE($BF$70:$BF$83,10)&gt;-1000000000,INDEX($R$70:$R$83,MATCH(LARGE($BF$70:$BF$83,10),$BF$70:$BF$83,0)),"")</f>
        <v/>
      </c>
      <c r="BH79" s="6" t="e">
        <f>IF(LARGE($BF$70:$BF$83,10)&gt;-1000000000,INDEX($AL$70:$AL$83,MATCH(LARGE($BF$70:$BF$83,10),$BF$70:$BF$83,0)),NA())</f>
        <v>#N/A</v>
      </c>
      <c r="BI79" s="6" t="e">
        <f>IF(LARGE($BF$70:$BF$83,10)&gt;-1000000000,INDEX($BD$70:$BD$83,MATCH(LARGE($BF$70:$BF$83,10),$BF$70:$BF$83,0)),NA())</f>
        <v>#N/A</v>
      </c>
      <c r="BJ79" s="11" t="str">
        <f>IF(LARGE(BE70:BE83,10)&gt;=0,INDEX(BE70:BE83,MATCH(LARGE(BE70:BE83,10),BE70:BE83,0)),"")</f>
        <v/>
      </c>
      <c r="BK79" s="2"/>
      <c r="BL79" s="2"/>
      <c r="BM79" s="2"/>
      <c r="BN79" s="2"/>
      <c r="BO79" s="2"/>
      <c r="BP79" s="6" t="str">
        <f>IFERROR(INDEX($AU$70:$AU$83,MATCH(10,$BY$70:$BY$83,0)),"")</f>
        <v/>
      </c>
      <c r="BQ79" s="6" t="str">
        <f>IFERROR(INDEX($AV$70:$AV$83,MATCH(10,$BY$70:$BY$83,0)),"")</f>
        <v/>
      </c>
      <c r="BR79" s="11"/>
      <c r="BS79" s="6"/>
      <c r="BT79" s="6"/>
      <c r="BU79" s="11" t="str">
        <f>IFERROR(INDEX($AZ$70:$AZ$83,MATCH(10,$BZ$70:$BZ$83,0)),"")</f>
        <v/>
      </c>
      <c r="BV79" s="6" t="str">
        <f>IFERROR(INDEX($BA$70:$BA$83,MATCH(10,$CA$70:$CA$83,0)),"")</f>
        <v/>
      </c>
      <c r="BW79" s="6" t="str">
        <f>IFERROR(INDEX($BB$70:$BB$83,MATCH(10,$CA$70:$CA$83,0)),"")</f>
        <v/>
      </c>
      <c r="BX79" s="11" t="str">
        <f>IFERROR(INDEX($BC$70:$BC$83,MATCH(10,$CA$70:$CA$83,0)),"")</f>
        <v/>
      </c>
      <c r="BY79" s="11" t="str">
        <f>IF(ISNUMBER(AU79),COUNT($AU$70:$AU79),"")</f>
        <v/>
      </c>
      <c r="BZ79" s="11" t="str">
        <f>IF(ISNUMBER(AX79),COUNT($AX$70:$AX79),"")</f>
        <v/>
      </c>
      <c r="CA79" s="11" t="str">
        <f>IF(ISNUMBER(BA79),COUNT($BA$70:$BA79),"")</f>
        <v/>
      </c>
      <c r="CB79" s="2"/>
      <c r="CC79" s="2"/>
      <c r="CD79" s="2"/>
      <c r="CE79" s="2"/>
      <c r="CF79" s="2"/>
      <c r="CG79" s="2"/>
      <c r="CH79" s="2"/>
      <c r="CI79" s="2"/>
      <c r="CJ79" s="2"/>
      <c r="CK79" s="2"/>
      <c r="CL79" s="2"/>
      <c r="CM79" s="2"/>
      <c r="CN79" s="2"/>
      <c r="CO79" s="2"/>
      <c r="CP79" s="2"/>
      <c r="CQ79" s="2"/>
      <c r="CR79" s="2"/>
      <c r="CS79" s="2"/>
      <c r="CT79" s="2"/>
      <c r="CU79" s="2"/>
      <c r="CV79" s="2"/>
      <c r="CW79" s="2"/>
      <c r="CX79" s="2"/>
      <c r="CY79" s="29">
        <f t="shared" si="36"/>
        <v>0</v>
      </c>
      <c r="CZ79" s="29">
        <f t="shared" si="37"/>
        <v>0</v>
      </c>
      <c r="DA79" s="29">
        <f t="shared" si="38"/>
        <v>0</v>
      </c>
      <c r="DB79" s="29" t="str">
        <f>IF(CY79=1,SUM($CY$70:CY79),"")</f>
        <v/>
      </c>
      <c r="DC79" s="29" t="str">
        <f>IF(CZ79=1,SUM($CZ$70:CZ79),"")</f>
        <v/>
      </c>
      <c r="DD79" s="29" t="str">
        <f>IF(DA79=1,SUM($DA$70:DA79),"")</f>
        <v/>
      </c>
      <c r="DE79" s="2"/>
      <c r="DF79" s="2"/>
      <c r="DG79" s="2"/>
      <c r="DH79" s="2"/>
      <c r="DI79" s="2"/>
      <c r="DJ79" s="29" t="e">
        <f t="shared" si="39"/>
        <v>#N/A</v>
      </c>
      <c r="DK79" s="29" t="e">
        <f t="shared" si="40"/>
        <v>#N/A</v>
      </c>
      <c r="DL79" s="29" t="e">
        <f t="shared" si="41"/>
        <v>#N/A</v>
      </c>
      <c r="DM79" s="29" t="str">
        <f t="shared" si="42"/>
        <v/>
      </c>
      <c r="DN79" s="29" t="e">
        <f t="shared" si="43"/>
        <v>#N/A</v>
      </c>
      <c r="DO79" s="2"/>
      <c r="DP79" s="29" t="e" cm="1">
        <f t="array" ref="DP79">IFERROR(INDEX($Z$70:$Z$83,SMALL($EF$70:$EF$83,ROW()-69)),NA())</f>
        <v>#N/A</v>
      </c>
      <c r="DQ79" s="29" t="e" cm="1">
        <f t="array" ref="DQ79">IFERROR(INDEX($AB$70:$AB$83,SMALL($EF$70:$EF$83,ROW()-69)),NA())</f>
        <v>#N/A</v>
      </c>
      <c r="DR79" s="29" t="e" cm="1">
        <f t="array" ref="DR79">IFERROR(INDEX($AK$70:$AK$83,SMALL($EF$70:$EF$83,ROW()-69))^0.5/80,NA())</f>
        <v>#N/A</v>
      </c>
      <c r="DS79" s="29" t="e" cm="1">
        <f t="array" ref="DS79">IFERROR(INDEX($Z$70:$Z$83,SMALL($EG$70:$EG$83,ROW()-69)),NA())</f>
        <v>#N/A</v>
      </c>
      <c r="DT79" s="29" t="e" cm="1">
        <f t="array" ref="DT79">IFERROR(INDEX($AB$70:$AB$83,SMALL($EG$70:$EG$83,ROW()-69)),NA())</f>
        <v>#N/A</v>
      </c>
      <c r="DU79" s="29" t="e" cm="1">
        <f t="array" ref="DU79">IFERROR(INDEX($AK$70:$AK$83,SMALL($EG$70:$EG$83,ROW()-69))^0.5/80,NA())</f>
        <v>#N/A</v>
      </c>
      <c r="DV79" s="29" t="e" cm="1">
        <f t="array" ref="DV79">IFERROR(INDEX($Z$70:$Z$83,SMALL($EH$70:$EH$83,ROW()-69)),NA())</f>
        <v>#N/A</v>
      </c>
      <c r="DW79" s="29" t="e" cm="1">
        <f t="array" ref="DW79">IFERROR(INDEX($AB$70:$AB$83,SMALL($EH$70:$EH$83,ROW()-69)),NA())</f>
        <v>#N/A</v>
      </c>
      <c r="DX79" s="29" t="e" cm="1">
        <f t="array" ref="DX79">IFERROR(INDEX($AK$70:$AK$83,SMALL($EH$70:$EH$83,ROW()-69))^0.5/80,NA())</f>
        <v>#N/A</v>
      </c>
      <c r="DY79" s="29" t="str">
        <f t="shared" si="44"/>
        <v/>
      </c>
      <c r="DZ79" s="29" t="e">
        <f t="shared" si="45"/>
        <v>#N/A</v>
      </c>
      <c r="EA79" s="29" t="e">
        <f t="shared" si="46"/>
        <v>#N/A</v>
      </c>
      <c r="EB79" s="2" t="str">
        <f>IF(LARGE($BF$70:$BF$83,10)&gt;-1000000000,TEXT(INDEX($AL$70:$AL$83,MATCH(LARGE($BF$70:$BF$83,10),$BF$70:$BF$83,0)),"0.0%"),"")</f>
        <v/>
      </c>
      <c r="EC79" s="56" t="str" cm="1">
        <f t="array" ref="EC79">IFERROR(INDEX($R$70:$R$83,SMALL($EF$70:$EF$83,ROW()-69)),"")</f>
        <v/>
      </c>
      <c r="ED79" s="56" t="str" cm="1">
        <f t="array" ref="ED79">IFERROR(INDEX($R$70:$R$83,SMALL($EG$70:$EG$83,ROW()-69)),"")</f>
        <v/>
      </c>
      <c r="EE79" s="56" t="str" cm="1">
        <f t="array" ref="EE79">IFERROR(INDEX($R$70:$R$83,SMALL($EH$70:$EH$83,ROW()-69)),"")</f>
        <v/>
      </c>
      <c r="EF79" s="2" t="str">
        <f t="shared" si="47"/>
        <v/>
      </c>
      <c r="EG79" s="2" t="str">
        <f t="shared" si="48"/>
        <v/>
      </c>
      <c r="EH79" s="2" t="str">
        <f t="shared" si="49"/>
        <v/>
      </c>
      <c r="EI79" s="2"/>
      <c r="EJ79" s="2"/>
      <c r="EK79" s="2"/>
      <c r="EL79" s="2"/>
      <c r="EM79" s="2"/>
      <c r="EN79" s="2"/>
      <c r="EO79" s="2"/>
      <c r="EP79" s="2"/>
      <c r="EQ79" s="2"/>
      <c r="ER79" s="2"/>
      <c r="ES79" s="2"/>
      <c r="ET79" s="2"/>
      <c r="EU79" s="2"/>
      <c r="EV79" s="2"/>
      <c r="EW79" s="2"/>
      <c r="EX79" s="2"/>
      <c r="EY79" s="2"/>
      <c r="EZ79" s="2"/>
      <c r="FA79" s="2"/>
      <c r="FB79" s="2"/>
    </row>
    <row r="80" spans="1:161" ht="22" customHeight="1" x14ac:dyDescent="0.2">
      <c r="A80" s="1"/>
      <c r="B80" s="55"/>
      <c r="C80" s="55"/>
      <c r="D80" s="55"/>
      <c r="E80" s="55"/>
      <c r="F80" s="55"/>
      <c r="G80" s="55"/>
      <c r="H80" s="55"/>
      <c r="I80" s="55"/>
      <c r="J80" s="55"/>
      <c r="K80" s="55"/>
      <c r="L80" s="55"/>
      <c r="M80" s="1"/>
      <c r="N80" s="1"/>
      <c r="O80" s="2"/>
      <c r="P80" s="11">
        <v>11</v>
      </c>
      <c r="Q80" s="11">
        <f>N(inp_role_active_11)</f>
        <v>0</v>
      </c>
      <c r="R80" s="9" t="str">
        <f>inp_role_title_11&amp;""</f>
        <v/>
      </c>
      <c r="S80" s="12" t="str">
        <f>inp_role_cat_11&amp;""</f>
        <v/>
      </c>
      <c r="T80" s="35">
        <f>IFERROR(N(inp_role_hc_11),0)</f>
        <v>0</v>
      </c>
      <c r="U80" s="10">
        <f>IFERROR(N(inp_role_salary_11),0)</f>
        <v>0</v>
      </c>
      <c r="V80" s="6">
        <f>IFERROR(N(inp_role_oncost_11),0)</f>
        <v>0</v>
      </c>
      <c r="W80" s="10">
        <f>IFERROR(N(inp_role_benefits_11),0)</f>
        <v>0</v>
      </c>
      <c r="X80" s="11">
        <f>IFERROR(N(inp_role_cap_11),0)</f>
        <v>0</v>
      </c>
      <c r="Y80" s="6">
        <f>IFERROR(N(inp_role_tutil_11),0)</f>
        <v>0</v>
      </c>
      <c r="Z80" s="6">
        <f>IFERROR(IF(inp_biz_period_m=0,0,(N(inp_role_billhours_11)*12/inp_biz_period_m)/(X80*T80)),0)</f>
        <v>0</v>
      </c>
      <c r="AA80" s="10">
        <f>IFERROR(N(inp_role_rate_11),0)</f>
        <v>0</v>
      </c>
      <c r="AB80" s="6">
        <f>IFERROR(IF(OR(N(inp_role_billhours_11)=0,AA80=0),0,(N(inp_role_revenue_11)/N(inp_role_billhours_11))/AA80),0)</f>
        <v>0</v>
      </c>
      <c r="AC80" s="10">
        <f t="shared" si="9"/>
        <v>0</v>
      </c>
      <c r="AD80" s="10">
        <f t="shared" si="10"/>
        <v>0</v>
      </c>
      <c r="AE80" s="11">
        <f t="shared" si="11"/>
        <v>0</v>
      </c>
      <c r="AF80" s="11">
        <f t="shared" si="12"/>
        <v>0</v>
      </c>
      <c r="AG80" s="11">
        <f t="shared" si="13"/>
        <v>0</v>
      </c>
      <c r="AH80" s="10">
        <f t="shared" si="14"/>
        <v>0</v>
      </c>
      <c r="AI80" s="10">
        <f t="shared" si="15"/>
        <v>0</v>
      </c>
      <c r="AJ80" s="10">
        <f t="shared" si="16"/>
        <v>0</v>
      </c>
      <c r="AK80" s="10">
        <f t="shared" si="17"/>
        <v>0</v>
      </c>
      <c r="AL80" s="6">
        <f t="shared" si="18"/>
        <v>0</v>
      </c>
      <c r="AM80" s="6">
        <f t="shared" si="19"/>
        <v>0</v>
      </c>
      <c r="AN80" s="10">
        <f t="shared" si="20"/>
        <v>0</v>
      </c>
      <c r="AO80" s="6">
        <f t="shared" si="21"/>
        <v>0</v>
      </c>
      <c r="AP80" s="10">
        <f t="shared" si="22"/>
        <v>0</v>
      </c>
      <c r="AQ80" s="28" t="str">
        <f t="shared" si="23"/>
        <v>INACTIVE</v>
      </c>
      <c r="AR80" s="6">
        <f t="shared" si="24"/>
        <v>0.5</v>
      </c>
      <c r="AS80" s="6">
        <f t="shared" si="25"/>
        <v>99</v>
      </c>
      <c r="AT80" s="2"/>
      <c r="AU80" s="6" t="e">
        <f t="shared" si="26"/>
        <v>#N/A</v>
      </c>
      <c r="AV80" s="6" t="e">
        <f t="shared" si="27"/>
        <v>#N/A</v>
      </c>
      <c r="AW80" s="11" t="e">
        <f t="shared" si="28"/>
        <v>#N/A</v>
      </c>
      <c r="AX80" s="6" t="e">
        <f t="shared" si="29"/>
        <v>#N/A</v>
      </c>
      <c r="AY80" s="6" t="e">
        <f t="shared" si="30"/>
        <v>#N/A</v>
      </c>
      <c r="AZ80" s="11" t="e">
        <f t="shared" si="31"/>
        <v>#N/A</v>
      </c>
      <c r="BA80" s="6" t="e">
        <f t="shared" si="32"/>
        <v>#N/A</v>
      </c>
      <c r="BB80" s="6" t="e">
        <f t="shared" si="33"/>
        <v>#N/A</v>
      </c>
      <c r="BC80" s="11" t="e">
        <f t="shared" si="34"/>
        <v>#N/A</v>
      </c>
      <c r="BD80" s="6" t="str">
        <f t="shared" si="35"/>
        <v/>
      </c>
      <c r="BE80" s="11">
        <f>IF(AND(Q80=1,S80="Delivery",AJ80&gt;0),AP80+AN80+10*0.001,-1000000000)</f>
        <v>-1000000000</v>
      </c>
      <c r="BF80" s="2">
        <f>IF(AND(Q80=1,S80="Delivery",AJ80&gt;0),AL80+(80-70)*0.00001,-1000000000)</f>
        <v>-1000000000</v>
      </c>
      <c r="BG80" s="9" t="str">
        <f>IF(LARGE($BF$70:$BF$83,11)&gt;-1000000000,INDEX($R$70:$R$83,MATCH(LARGE($BF$70:$BF$83,11),$BF$70:$BF$83,0)),"")</f>
        <v/>
      </c>
      <c r="BH80" s="6" t="e">
        <f>IF(LARGE($BF$70:$BF$83,11)&gt;-1000000000,INDEX($AL$70:$AL$83,MATCH(LARGE($BF$70:$BF$83,11),$BF$70:$BF$83,0)),NA())</f>
        <v>#N/A</v>
      </c>
      <c r="BI80" s="6" t="e">
        <f>IF(LARGE($BF$70:$BF$83,11)&gt;-1000000000,INDEX($BD$70:$BD$83,MATCH(LARGE($BF$70:$BF$83,11),$BF$70:$BF$83,0)),NA())</f>
        <v>#N/A</v>
      </c>
      <c r="BJ80" s="11" t="str">
        <f>IF(LARGE(BE70:BE83,11)&gt;=0,INDEX(BE70:BE83,MATCH(LARGE(BE70:BE83,11),BE70:BE83,0)),"")</f>
        <v/>
      </c>
      <c r="BK80" s="2"/>
      <c r="BL80" s="2"/>
      <c r="BM80" s="2"/>
      <c r="BN80" s="2"/>
      <c r="BO80" s="2"/>
      <c r="BP80" s="6" t="str">
        <f>IFERROR(INDEX($AU$70:$AU$83,MATCH(11,$BY$70:$BY$83,0)),"")</f>
        <v/>
      </c>
      <c r="BQ80" s="6" t="str">
        <f>IFERROR(INDEX($AV$70:$AV$83,MATCH(11,$BY$70:$BY$83,0)),"")</f>
        <v/>
      </c>
      <c r="BR80" s="11"/>
      <c r="BS80" s="6"/>
      <c r="BT80" s="6"/>
      <c r="BU80" s="11" t="str">
        <f>IFERROR(INDEX($AZ$70:$AZ$83,MATCH(11,$BZ$70:$BZ$83,0)),"")</f>
        <v/>
      </c>
      <c r="BV80" s="6" t="str">
        <f>IFERROR(INDEX($BA$70:$BA$83,MATCH(11,$CA$70:$CA$83,0)),"")</f>
        <v/>
      </c>
      <c r="BW80" s="6" t="str">
        <f>IFERROR(INDEX($BB$70:$BB$83,MATCH(11,$CA$70:$CA$83,0)),"")</f>
        <v/>
      </c>
      <c r="BX80" s="11" t="str">
        <f>IFERROR(INDEX($BC$70:$BC$83,MATCH(11,$CA$70:$CA$83,0)),"")</f>
        <v/>
      </c>
      <c r="BY80" s="11" t="str">
        <f>IF(ISNUMBER(AU80),COUNT($AU$70:$AU80),"")</f>
        <v/>
      </c>
      <c r="BZ80" s="11" t="str">
        <f>IF(ISNUMBER(AX80),COUNT($AX$70:$AX80),"")</f>
        <v/>
      </c>
      <c r="CA80" s="11" t="str">
        <f>IF(ISNUMBER(BA80),COUNT($BA$70:$BA80),"")</f>
        <v/>
      </c>
      <c r="CB80" s="2"/>
      <c r="CC80" s="2"/>
      <c r="CD80" s="2"/>
      <c r="CE80" s="2"/>
      <c r="CF80" s="2"/>
      <c r="CG80" s="2"/>
      <c r="CH80" s="2"/>
      <c r="CI80" s="2"/>
      <c r="CJ80" s="2"/>
      <c r="CK80" s="2"/>
      <c r="CL80" s="2"/>
      <c r="CM80" s="2"/>
      <c r="CN80" s="2"/>
      <c r="CO80" s="2"/>
      <c r="CP80" s="2"/>
      <c r="CQ80" s="2"/>
      <c r="CR80" s="2"/>
      <c r="CS80" s="2"/>
      <c r="CT80" s="2"/>
      <c r="CU80" s="2"/>
      <c r="CV80" s="2"/>
      <c r="CW80" s="2"/>
      <c r="CX80" s="2"/>
      <c r="CY80" s="29">
        <f t="shared" si="36"/>
        <v>0</v>
      </c>
      <c r="CZ80" s="29">
        <f t="shared" si="37"/>
        <v>0</v>
      </c>
      <c r="DA80" s="29">
        <f t="shared" si="38"/>
        <v>0</v>
      </c>
      <c r="DB80" s="29" t="str">
        <f>IF(CY80=1,SUM($CY$70:CY80),"")</f>
        <v/>
      </c>
      <c r="DC80" s="29" t="str">
        <f>IF(CZ80=1,SUM($CZ$70:CZ80),"")</f>
        <v/>
      </c>
      <c r="DD80" s="29" t="str">
        <f>IF(DA80=1,SUM($DA$70:DA80),"")</f>
        <v/>
      </c>
      <c r="DE80" s="2"/>
      <c r="DF80" s="2"/>
      <c r="DG80" s="2"/>
      <c r="DH80" s="2"/>
      <c r="DI80" s="2"/>
      <c r="DJ80" s="29" t="e">
        <f t="shared" si="39"/>
        <v>#N/A</v>
      </c>
      <c r="DK80" s="29" t="e">
        <f t="shared" si="40"/>
        <v>#N/A</v>
      </c>
      <c r="DL80" s="29" t="e">
        <f t="shared" si="41"/>
        <v>#N/A</v>
      </c>
      <c r="DM80" s="29" t="str">
        <f t="shared" si="42"/>
        <v/>
      </c>
      <c r="DN80" s="29" t="e">
        <f t="shared" si="43"/>
        <v>#N/A</v>
      </c>
      <c r="DO80" s="2"/>
      <c r="DP80" s="29" t="e" cm="1">
        <f t="array" ref="DP80">IFERROR(INDEX($Z$70:$Z$83,SMALL($EF$70:$EF$83,ROW()-69)),NA())</f>
        <v>#N/A</v>
      </c>
      <c r="DQ80" s="29" t="e" cm="1">
        <f t="array" ref="DQ80">IFERROR(INDEX($AB$70:$AB$83,SMALL($EF$70:$EF$83,ROW()-69)),NA())</f>
        <v>#N/A</v>
      </c>
      <c r="DR80" s="29" t="e" cm="1">
        <f t="array" ref="DR80">IFERROR(INDEX($AK$70:$AK$83,SMALL($EF$70:$EF$83,ROW()-69))^0.5/80,NA())</f>
        <v>#N/A</v>
      </c>
      <c r="DS80" s="29" t="e" cm="1">
        <f t="array" ref="DS80">IFERROR(INDEX($Z$70:$Z$83,SMALL($EG$70:$EG$83,ROW()-69)),NA())</f>
        <v>#N/A</v>
      </c>
      <c r="DT80" s="29" t="e" cm="1">
        <f t="array" ref="DT80">IFERROR(INDEX($AB$70:$AB$83,SMALL($EG$70:$EG$83,ROW()-69)),NA())</f>
        <v>#N/A</v>
      </c>
      <c r="DU80" s="29" t="e" cm="1">
        <f t="array" ref="DU80">IFERROR(INDEX($AK$70:$AK$83,SMALL($EG$70:$EG$83,ROW()-69))^0.5/80,NA())</f>
        <v>#N/A</v>
      </c>
      <c r="DV80" s="29" t="e" cm="1">
        <f t="array" ref="DV80">IFERROR(INDEX($Z$70:$Z$83,SMALL($EH$70:$EH$83,ROW()-69)),NA())</f>
        <v>#N/A</v>
      </c>
      <c r="DW80" s="29" t="e" cm="1">
        <f t="array" ref="DW80">IFERROR(INDEX($AB$70:$AB$83,SMALL($EH$70:$EH$83,ROW()-69)),NA())</f>
        <v>#N/A</v>
      </c>
      <c r="DX80" s="29" t="e" cm="1">
        <f t="array" ref="DX80">IFERROR(INDEX($AK$70:$AK$83,SMALL($EH$70:$EH$83,ROW()-69))^0.5/80,NA())</f>
        <v>#N/A</v>
      </c>
      <c r="DY80" s="29" t="str">
        <f t="shared" si="44"/>
        <v/>
      </c>
      <c r="DZ80" s="29" t="e">
        <f t="shared" si="45"/>
        <v>#N/A</v>
      </c>
      <c r="EA80" s="29" t="e">
        <f t="shared" si="46"/>
        <v>#N/A</v>
      </c>
      <c r="EB80" s="2" t="str">
        <f>IF(LARGE($BF$70:$BF$83,11)&gt;-1000000000,TEXT(INDEX($AL$70:$AL$83,MATCH(LARGE($BF$70:$BF$83,11),$BF$70:$BF$83,0)),"0.0%"),"")</f>
        <v/>
      </c>
      <c r="EC80" s="56" t="str" cm="1">
        <f t="array" ref="EC80">IFERROR(INDEX($R$70:$R$83,SMALL($EF$70:$EF$83,ROW()-69)),"")</f>
        <v/>
      </c>
      <c r="ED80" s="56" t="str" cm="1">
        <f t="array" ref="ED80">IFERROR(INDEX($R$70:$R$83,SMALL($EG$70:$EG$83,ROW()-69)),"")</f>
        <v/>
      </c>
      <c r="EE80" s="56" t="str" cm="1">
        <f t="array" ref="EE80">IFERROR(INDEX($R$70:$R$83,SMALL($EH$70:$EH$83,ROW()-69)),"")</f>
        <v/>
      </c>
      <c r="EF80" s="2" t="str">
        <f t="shared" si="47"/>
        <v/>
      </c>
      <c r="EG80" s="2" t="str">
        <f t="shared" si="48"/>
        <v/>
      </c>
      <c r="EH80" s="2" t="str">
        <f t="shared" si="49"/>
        <v/>
      </c>
      <c r="EI80" s="2"/>
      <c r="EJ80" s="2"/>
      <c r="EK80" s="2"/>
      <c r="EL80" s="2"/>
      <c r="EM80" s="2"/>
      <c r="EN80" s="2"/>
      <c r="EO80" s="2"/>
      <c r="EP80" s="2"/>
      <c r="EQ80" s="2"/>
      <c r="ER80" s="2"/>
      <c r="ES80" s="2"/>
      <c r="ET80" s="2"/>
      <c r="EU80" s="2"/>
      <c r="EV80" s="2"/>
      <c r="EW80" s="2"/>
      <c r="EX80" s="2"/>
      <c r="EY80" s="2"/>
      <c r="EZ80" s="2"/>
      <c r="FA80" s="2"/>
      <c r="FB80" s="2"/>
    </row>
    <row r="81" spans="1:158" ht="22" customHeight="1" x14ac:dyDescent="0.2">
      <c r="A81" s="1"/>
      <c r="B81" s="55"/>
      <c r="C81" s="55"/>
      <c r="D81" s="55"/>
      <c r="E81" s="55"/>
      <c r="F81" s="55"/>
      <c r="G81" s="55"/>
      <c r="H81" s="55"/>
      <c r="I81" s="55"/>
      <c r="J81" s="55"/>
      <c r="K81" s="55"/>
      <c r="L81" s="55"/>
      <c r="M81" s="1"/>
      <c r="N81" s="1"/>
      <c r="O81" s="2"/>
      <c r="P81" s="11">
        <v>12</v>
      </c>
      <c r="Q81" s="11">
        <f>N(inp_role_active_12)</f>
        <v>0</v>
      </c>
      <c r="R81" s="9" t="str">
        <f>inp_role_title_12&amp;""</f>
        <v/>
      </c>
      <c r="S81" s="12" t="str">
        <f>inp_role_cat_12&amp;""</f>
        <v/>
      </c>
      <c r="T81" s="35">
        <f>IFERROR(N(inp_role_hc_12),0)</f>
        <v>0</v>
      </c>
      <c r="U81" s="10">
        <f>IFERROR(N(inp_role_salary_12),0)</f>
        <v>0</v>
      </c>
      <c r="V81" s="6">
        <f>IFERROR(N(inp_role_oncost_12),0)</f>
        <v>0</v>
      </c>
      <c r="W81" s="10">
        <f>IFERROR(N(inp_role_benefits_12),0)</f>
        <v>0</v>
      </c>
      <c r="X81" s="11">
        <f>IFERROR(N(inp_role_cap_12),0)</f>
        <v>0</v>
      </c>
      <c r="Y81" s="6">
        <f>IFERROR(N(inp_role_tutil_12),0)</f>
        <v>0</v>
      </c>
      <c r="Z81" s="6">
        <f>IFERROR(IF(inp_biz_period_m=0,0,(N(inp_role_billhours_12)*12/inp_biz_period_m)/(X81*T81)),0)</f>
        <v>0</v>
      </c>
      <c r="AA81" s="10">
        <f>IFERROR(N(inp_role_rate_12),0)</f>
        <v>0</v>
      </c>
      <c r="AB81" s="6">
        <f>IFERROR(IF(OR(N(inp_role_billhours_12)=0,AA81=0),0,(N(inp_role_revenue_12)/N(inp_role_billhours_12))/AA81),0)</f>
        <v>0</v>
      </c>
      <c r="AC81" s="10">
        <f t="shared" si="9"/>
        <v>0</v>
      </c>
      <c r="AD81" s="10">
        <f t="shared" si="10"/>
        <v>0</v>
      </c>
      <c r="AE81" s="11">
        <f t="shared" si="11"/>
        <v>0</v>
      </c>
      <c r="AF81" s="11">
        <f t="shared" si="12"/>
        <v>0</v>
      </c>
      <c r="AG81" s="11">
        <f t="shared" si="13"/>
        <v>0</v>
      </c>
      <c r="AH81" s="10">
        <f t="shared" si="14"/>
        <v>0</v>
      </c>
      <c r="AI81" s="10">
        <f t="shared" si="15"/>
        <v>0</v>
      </c>
      <c r="AJ81" s="10">
        <f t="shared" si="16"/>
        <v>0</v>
      </c>
      <c r="AK81" s="10">
        <f t="shared" si="17"/>
        <v>0</v>
      </c>
      <c r="AL81" s="6">
        <f t="shared" si="18"/>
        <v>0</v>
      </c>
      <c r="AM81" s="6">
        <f t="shared" si="19"/>
        <v>0</v>
      </c>
      <c r="AN81" s="10">
        <f t="shared" si="20"/>
        <v>0</v>
      </c>
      <c r="AO81" s="6">
        <f t="shared" si="21"/>
        <v>0</v>
      </c>
      <c r="AP81" s="10">
        <f t="shared" si="22"/>
        <v>0</v>
      </c>
      <c r="AQ81" s="28" t="str">
        <f t="shared" si="23"/>
        <v>INACTIVE</v>
      </c>
      <c r="AR81" s="6">
        <f t="shared" si="24"/>
        <v>0.5</v>
      </c>
      <c r="AS81" s="6">
        <f t="shared" si="25"/>
        <v>99</v>
      </c>
      <c r="AT81" s="2"/>
      <c r="AU81" s="6" t="e">
        <f t="shared" si="26"/>
        <v>#N/A</v>
      </c>
      <c r="AV81" s="6" t="e">
        <f t="shared" si="27"/>
        <v>#N/A</v>
      </c>
      <c r="AW81" s="11" t="e">
        <f t="shared" si="28"/>
        <v>#N/A</v>
      </c>
      <c r="AX81" s="6" t="e">
        <f t="shared" si="29"/>
        <v>#N/A</v>
      </c>
      <c r="AY81" s="6" t="e">
        <f t="shared" si="30"/>
        <v>#N/A</v>
      </c>
      <c r="AZ81" s="11" t="e">
        <f t="shared" si="31"/>
        <v>#N/A</v>
      </c>
      <c r="BA81" s="6" t="e">
        <f t="shared" si="32"/>
        <v>#N/A</v>
      </c>
      <c r="BB81" s="6" t="e">
        <f t="shared" si="33"/>
        <v>#N/A</v>
      </c>
      <c r="BC81" s="11" t="e">
        <f t="shared" si="34"/>
        <v>#N/A</v>
      </c>
      <c r="BD81" s="6" t="str">
        <f t="shared" si="35"/>
        <v/>
      </c>
      <c r="BE81" s="11">
        <f>IF(AND(Q81=1,S81="Delivery",AJ81&gt;0),AP81+AN81+11*0.001,-1000000000)</f>
        <v>-1000000000</v>
      </c>
      <c r="BF81" s="2">
        <f>IF(AND(Q81=1,S81="Delivery",AJ81&gt;0),AL81+(81-70)*0.00001,-1000000000)</f>
        <v>-1000000000</v>
      </c>
      <c r="BG81" s="9" t="str">
        <f>IF(LARGE($BF$70:$BF$83,12)&gt;-1000000000,INDEX($R$70:$R$83,MATCH(LARGE($BF$70:$BF$83,12),$BF$70:$BF$83,0)),"")</f>
        <v/>
      </c>
      <c r="BH81" s="6" t="e">
        <f>IF(LARGE($BF$70:$BF$83,12)&gt;-1000000000,INDEX($AL$70:$AL$83,MATCH(LARGE($BF$70:$BF$83,12),$BF$70:$BF$83,0)),NA())</f>
        <v>#N/A</v>
      </c>
      <c r="BI81" s="6" t="e">
        <f>IF(LARGE($BF$70:$BF$83,12)&gt;-1000000000,INDEX($BD$70:$BD$83,MATCH(LARGE($BF$70:$BF$83,12),$BF$70:$BF$83,0)),NA())</f>
        <v>#N/A</v>
      </c>
      <c r="BJ81" s="11" t="str">
        <f>IF(LARGE(BE70:BE83,12)&gt;=0,INDEX(BE70:BE83,MATCH(LARGE(BE70:BE83,12),BE70:BE83,0)),"")</f>
        <v/>
      </c>
      <c r="BK81" s="2"/>
      <c r="BL81" s="2"/>
      <c r="BM81" s="2"/>
      <c r="BN81" s="2"/>
      <c r="BO81" s="2"/>
      <c r="BP81" s="6" t="str">
        <f>IFERROR(INDEX($AU$70:$AU$83,MATCH(12,$BY$70:$BY$83,0)),"")</f>
        <v/>
      </c>
      <c r="BQ81" s="6" t="str">
        <f>IFERROR(INDEX($AV$70:$AV$83,MATCH(12,$BY$70:$BY$83,0)),"")</f>
        <v/>
      </c>
      <c r="BR81" s="11"/>
      <c r="BS81" s="6"/>
      <c r="BT81" s="6"/>
      <c r="BU81" s="11" t="str">
        <f>IFERROR(INDEX($AZ$70:$AZ$83,MATCH(12,$BZ$70:$BZ$83,0)),"")</f>
        <v/>
      </c>
      <c r="BV81" s="6" t="str">
        <f>IFERROR(INDEX($BA$70:$BA$83,MATCH(12,$CA$70:$CA$83,0)),"")</f>
        <v/>
      </c>
      <c r="BW81" s="6" t="str">
        <f>IFERROR(INDEX($BB$70:$BB$83,MATCH(12,$CA$70:$CA$83,0)),"")</f>
        <v/>
      </c>
      <c r="BX81" s="11" t="str">
        <f>IFERROR(INDEX($BC$70:$BC$83,MATCH(12,$CA$70:$CA$83,0)),"")</f>
        <v/>
      </c>
      <c r="BY81" s="11" t="str">
        <f>IF(ISNUMBER(AU81),COUNT($AU$70:$AU81),"")</f>
        <v/>
      </c>
      <c r="BZ81" s="11" t="str">
        <f>IF(ISNUMBER(AX81),COUNT($AX$70:$AX81),"")</f>
        <v/>
      </c>
      <c r="CA81" s="11" t="str">
        <f>IF(ISNUMBER(BA81),COUNT($BA$70:$BA81),"")</f>
        <v/>
      </c>
      <c r="CB81" s="2"/>
      <c r="CC81" s="2"/>
      <c r="CD81" s="2"/>
      <c r="CE81" s="2"/>
      <c r="CF81" s="2"/>
      <c r="CG81" s="2"/>
      <c r="CH81" s="2"/>
      <c r="CI81" s="2"/>
      <c r="CJ81" s="2"/>
      <c r="CK81" s="2"/>
      <c r="CL81" s="2"/>
      <c r="CM81" s="2"/>
      <c r="CN81" s="2"/>
      <c r="CO81" s="2"/>
      <c r="CP81" s="2"/>
      <c r="CQ81" s="2"/>
      <c r="CR81" s="2"/>
      <c r="CS81" s="2"/>
      <c r="CT81" s="2"/>
      <c r="CU81" s="2"/>
      <c r="CV81" s="2"/>
      <c r="CW81" s="2"/>
      <c r="CX81" s="2"/>
      <c r="CY81" s="29">
        <f t="shared" si="36"/>
        <v>0</v>
      </c>
      <c r="CZ81" s="29">
        <f t="shared" si="37"/>
        <v>0</v>
      </c>
      <c r="DA81" s="29">
        <f t="shared" si="38"/>
        <v>0</v>
      </c>
      <c r="DB81" s="29" t="str">
        <f>IF(CY81=1,SUM($CY$70:CY81),"")</f>
        <v/>
      </c>
      <c r="DC81" s="29" t="str">
        <f>IF(CZ81=1,SUM($CZ$70:CZ81),"")</f>
        <v/>
      </c>
      <c r="DD81" s="29" t="str">
        <f>IF(DA81=1,SUM($DA$70:DA81),"")</f>
        <v/>
      </c>
      <c r="DE81" s="2"/>
      <c r="DF81" s="2"/>
      <c r="DG81" s="2"/>
      <c r="DH81" s="2"/>
      <c r="DI81" s="2"/>
      <c r="DJ81" s="29" t="e">
        <f t="shared" si="39"/>
        <v>#N/A</v>
      </c>
      <c r="DK81" s="29" t="e">
        <f t="shared" si="40"/>
        <v>#N/A</v>
      </c>
      <c r="DL81" s="29" t="e">
        <f t="shared" si="41"/>
        <v>#N/A</v>
      </c>
      <c r="DM81" s="29" t="str">
        <f t="shared" si="42"/>
        <v/>
      </c>
      <c r="DN81" s="29" t="e">
        <f t="shared" si="43"/>
        <v>#N/A</v>
      </c>
      <c r="DO81" s="2"/>
      <c r="DP81" s="29" t="e" cm="1">
        <f t="array" ref="DP81">IFERROR(INDEX($Z$70:$Z$83,SMALL($EF$70:$EF$83,ROW()-69)),NA())</f>
        <v>#N/A</v>
      </c>
      <c r="DQ81" s="29" t="e" cm="1">
        <f t="array" ref="DQ81">IFERROR(INDEX($AB$70:$AB$83,SMALL($EF$70:$EF$83,ROW()-69)),NA())</f>
        <v>#N/A</v>
      </c>
      <c r="DR81" s="29" t="e" cm="1">
        <f t="array" ref="DR81">IFERROR(INDEX($AK$70:$AK$83,SMALL($EF$70:$EF$83,ROW()-69))^0.5/80,NA())</f>
        <v>#N/A</v>
      </c>
      <c r="DS81" s="29" t="e" cm="1">
        <f t="array" ref="DS81">IFERROR(INDEX($Z$70:$Z$83,SMALL($EG$70:$EG$83,ROW()-69)),NA())</f>
        <v>#N/A</v>
      </c>
      <c r="DT81" s="29" t="e" cm="1">
        <f t="array" ref="DT81">IFERROR(INDEX($AB$70:$AB$83,SMALL($EG$70:$EG$83,ROW()-69)),NA())</f>
        <v>#N/A</v>
      </c>
      <c r="DU81" s="29" t="e" cm="1">
        <f t="array" ref="DU81">IFERROR(INDEX($AK$70:$AK$83,SMALL($EG$70:$EG$83,ROW()-69))^0.5/80,NA())</f>
        <v>#N/A</v>
      </c>
      <c r="DV81" s="29" t="e" cm="1">
        <f t="array" ref="DV81">IFERROR(INDEX($Z$70:$Z$83,SMALL($EH$70:$EH$83,ROW()-69)),NA())</f>
        <v>#N/A</v>
      </c>
      <c r="DW81" s="29" t="e" cm="1">
        <f t="array" ref="DW81">IFERROR(INDEX($AB$70:$AB$83,SMALL($EH$70:$EH$83,ROW()-69)),NA())</f>
        <v>#N/A</v>
      </c>
      <c r="DX81" s="29" t="e" cm="1">
        <f t="array" ref="DX81">IFERROR(INDEX($AK$70:$AK$83,SMALL($EH$70:$EH$83,ROW()-69))^0.5/80,NA())</f>
        <v>#N/A</v>
      </c>
      <c r="DY81" s="29" t="str">
        <f t="shared" si="44"/>
        <v/>
      </c>
      <c r="DZ81" s="29" t="e">
        <f t="shared" si="45"/>
        <v>#N/A</v>
      </c>
      <c r="EA81" s="29" t="e">
        <f t="shared" si="46"/>
        <v>#N/A</v>
      </c>
      <c r="EB81" s="2" t="str">
        <f>IF(LARGE($BF$70:$BF$83,12)&gt;-1000000000,TEXT(INDEX($AL$70:$AL$83,MATCH(LARGE($BF$70:$BF$83,12),$BF$70:$BF$83,0)),"0.0%"),"")</f>
        <v/>
      </c>
      <c r="EC81" s="56" t="str" cm="1">
        <f t="array" ref="EC81">IFERROR(INDEX($R$70:$R$83,SMALL($EF$70:$EF$83,ROW()-69)),"")</f>
        <v/>
      </c>
      <c r="ED81" s="56" t="str" cm="1">
        <f t="array" ref="ED81">IFERROR(INDEX($R$70:$R$83,SMALL($EG$70:$EG$83,ROW()-69)),"")</f>
        <v/>
      </c>
      <c r="EE81" s="56" t="str" cm="1">
        <f t="array" ref="EE81">IFERROR(INDEX($R$70:$R$83,SMALL($EH$70:$EH$83,ROW()-69)),"")</f>
        <v/>
      </c>
      <c r="EF81" s="2" t="str">
        <f t="shared" si="47"/>
        <v/>
      </c>
      <c r="EG81" s="2" t="str">
        <f t="shared" si="48"/>
        <v/>
      </c>
      <c r="EH81" s="2" t="str">
        <f t="shared" si="49"/>
        <v/>
      </c>
      <c r="EI81" s="2"/>
      <c r="EJ81" s="2"/>
      <c r="EK81" s="2"/>
      <c r="EL81" s="2"/>
      <c r="EM81" s="2"/>
      <c r="EN81" s="2"/>
      <c r="EO81" s="2"/>
      <c r="EP81" s="2"/>
      <c r="EQ81" s="2"/>
      <c r="ER81" s="2"/>
      <c r="ES81" s="2"/>
      <c r="ET81" s="2"/>
      <c r="EU81" s="2"/>
      <c r="EV81" s="2"/>
      <c r="EW81" s="2"/>
      <c r="EX81" s="2"/>
      <c r="EY81" s="2"/>
      <c r="EZ81" s="2"/>
      <c r="FA81" s="2"/>
      <c r="FB81" s="2"/>
    </row>
    <row r="82" spans="1:158" ht="22" customHeight="1" x14ac:dyDescent="0.2">
      <c r="A82" s="1"/>
      <c r="B82" s="55"/>
      <c r="C82" s="55"/>
      <c r="D82" s="55"/>
      <c r="E82" s="55"/>
      <c r="F82" s="55"/>
      <c r="G82" s="55"/>
      <c r="H82" s="55"/>
      <c r="I82" s="55"/>
      <c r="J82" s="55"/>
      <c r="K82" s="55"/>
      <c r="L82" s="55"/>
      <c r="M82" s="1"/>
      <c r="N82" s="1"/>
      <c r="O82" s="2"/>
      <c r="P82" s="11">
        <v>13</v>
      </c>
      <c r="Q82" s="11">
        <f>N(inp_role_active_13)</f>
        <v>0</v>
      </c>
      <c r="R82" s="9" t="str">
        <f>inp_role_title_13&amp;""</f>
        <v/>
      </c>
      <c r="S82" s="12" t="str">
        <f>inp_role_cat_13&amp;""</f>
        <v/>
      </c>
      <c r="T82" s="35">
        <f>IFERROR(N(inp_role_hc_13),0)</f>
        <v>0</v>
      </c>
      <c r="U82" s="10">
        <f>IFERROR(N(inp_role_salary_13),0)</f>
        <v>0</v>
      </c>
      <c r="V82" s="6">
        <f>IFERROR(N(inp_role_oncost_13),0)</f>
        <v>0</v>
      </c>
      <c r="W82" s="10">
        <f>IFERROR(N(inp_role_benefits_13),0)</f>
        <v>0</v>
      </c>
      <c r="X82" s="11">
        <f>IFERROR(N(inp_role_cap_13),0)</f>
        <v>0</v>
      </c>
      <c r="Y82" s="6">
        <f>IFERROR(N(inp_role_tutil_13),0)</f>
        <v>0</v>
      </c>
      <c r="Z82" s="6">
        <f>IFERROR(IF(inp_biz_period_m=0,0,(N(inp_role_billhours_13)*12/inp_biz_period_m)/(X82*T82)),0)</f>
        <v>0</v>
      </c>
      <c r="AA82" s="10">
        <f>IFERROR(N(inp_role_rate_13),0)</f>
        <v>0</v>
      </c>
      <c r="AB82" s="6">
        <f>IFERROR(IF(OR(N(inp_role_billhours_13)=0,AA82=0),0,(N(inp_role_revenue_13)/N(inp_role_billhours_13))/AA82),0)</f>
        <v>0</v>
      </c>
      <c r="AC82" s="10">
        <f t="shared" si="9"/>
        <v>0</v>
      </c>
      <c r="AD82" s="10">
        <f t="shared" si="10"/>
        <v>0</v>
      </c>
      <c r="AE82" s="11">
        <f t="shared" si="11"/>
        <v>0</v>
      </c>
      <c r="AF82" s="11">
        <f t="shared" si="12"/>
        <v>0</v>
      </c>
      <c r="AG82" s="11">
        <f t="shared" si="13"/>
        <v>0</v>
      </c>
      <c r="AH82" s="10">
        <f t="shared" si="14"/>
        <v>0</v>
      </c>
      <c r="AI82" s="10">
        <f t="shared" si="15"/>
        <v>0</v>
      </c>
      <c r="AJ82" s="10">
        <f t="shared" si="16"/>
        <v>0</v>
      </c>
      <c r="AK82" s="10">
        <f t="shared" si="17"/>
        <v>0</v>
      </c>
      <c r="AL82" s="6">
        <f t="shared" si="18"/>
        <v>0</v>
      </c>
      <c r="AM82" s="6">
        <f t="shared" si="19"/>
        <v>0</v>
      </c>
      <c r="AN82" s="10">
        <f t="shared" si="20"/>
        <v>0</v>
      </c>
      <c r="AO82" s="6">
        <f t="shared" si="21"/>
        <v>0</v>
      </c>
      <c r="AP82" s="10">
        <f t="shared" si="22"/>
        <v>0</v>
      </c>
      <c r="AQ82" s="28" t="str">
        <f t="shared" si="23"/>
        <v>INACTIVE</v>
      </c>
      <c r="AR82" s="6">
        <f t="shared" si="24"/>
        <v>0.5</v>
      </c>
      <c r="AS82" s="6">
        <f t="shared" si="25"/>
        <v>99</v>
      </c>
      <c r="AT82" s="2"/>
      <c r="AU82" s="6" t="e">
        <f t="shared" si="26"/>
        <v>#N/A</v>
      </c>
      <c r="AV82" s="6" t="e">
        <f t="shared" si="27"/>
        <v>#N/A</v>
      </c>
      <c r="AW82" s="11" t="e">
        <f t="shared" si="28"/>
        <v>#N/A</v>
      </c>
      <c r="AX82" s="6" t="e">
        <f t="shared" si="29"/>
        <v>#N/A</v>
      </c>
      <c r="AY82" s="6" t="e">
        <f t="shared" si="30"/>
        <v>#N/A</v>
      </c>
      <c r="AZ82" s="11" t="e">
        <f t="shared" si="31"/>
        <v>#N/A</v>
      </c>
      <c r="BA82" s="6" t="e">
        <f t="shared" si="32"/>
        <v>#N/A</v>
      </c>
      <c r="BB82" s="6" t="e">
        <f t="shared" si="33"/>
        <v>#N/A</v>
      </c>
      <c r="BC82" s="11" t="e">
        <f t="shared" si="34"/>
        <v>#N/A</v>
      </c>
      <c r="BD82" s="6" t="str">
        <f t="shared" si="35"/>
        <v/>
      </c>
      <c r="BE82" s="11">
        <f>IF(AND(Q82=1,S82="Delivery",AJ82&gt;0),AP82+AN82+12*0.001,-1000000000)</f>
        <v>-1000000000</v>
      </c>
      <c r="BF82" s="2">
        <f>IF(AND(Q82=1,S82="Delivery",AJ82&gt;0),AL82+(82-70)*0.00001,-1000000000)</f>
        <v>-1000000000</v>
      </c>
      <c r="BG82" s="9" t="str">
        <f>IF(LARGE($BF$70:$BF$83,13)&gt;-1000000000,INDEX($R$70:$R$83,MATCH(LARGE($BF$70:$BF$83,13),$BF$70:$BF$83,0)),"")</f>
        <v/>
      </c>
      <c r="BH82" s="6" t="e">
        <f>IF(LARGE($BF$70:$BF$83,13)&gt;-1000000000,INDEX($AL$70:$AL$83,MATCH(LARGE($BF$70:$BF$83,13),$BF$70:$BF$83,0)),NA())</f>
        <v>#N/A</v>
      </c>
      <c r="BI82" s="6" t="e">
        <f>IF(LARGE($BF$70:$BF$83,13)&gt;-1000000000,INDEX($BD$70:$BD$83,MATCH(LARGE($BF$70:$BF$83,13),$BF$70:$BF$83,0)),NA())</f>
        <v>#N/A</v>
      </c>
      <c r="BJ82" s="11" t="str">
        <f>IF(LARGE(BE70:BE83,13)&gt;=0,INDEX(BE70:BE83,MATCH(LARGE(BE70:BE83,13),BE70:BE83,0)),"")</f>
        <v/>
      </c>
      <c r="BK82" s="2"/>
      <c r="BL82" s="2"/>
      <c r="BM82" s="2"/>
      <c r="BN82" s="2"/>
      <c r="BO82" s="2"/>
      <c r="BP82" s="6" t="str">
        <f>IFERROR(INDEX($AU$70:$AU$83,MATCH(13,$BY$70:$BY$83,0)),"")</f>
        <v/>
      </c>
      <c r="BQ82" s="6" t="str">
        <f>IFERROR(INDEX($AV$70:$AV$83,MATCH(13,$BY$70:$BY$83,0)),"")</f>
        <v/>
      </c>
      <c r="BR82" s="11"/>
      <c r="BS82" s="6"/>
      <c r="BT82" s="6"/>
      <c r="BU82" s="11" t="str">
        <f>IFERROR(INDEX($AZ$70:$AZ$83,MATCH(13,$BZ$70:$BZ$83,0)),"")</f>
        <v/>
      </c>
      <c r="BV82" s="6" t="str">
        <f>IFERROR(INDEX($BA$70:$BA$83,MATCH(13,$CA$70:$CA$83,0)),"")</f>
        <v/>
      </c>
      <c r="BW82" s="6" t="str">
        <f>IFERROR(INDEX($BB$70:$BB$83,MATCH(13,$CA$70:$CA$83,0)),"")</f>
        <v/>
      </c>
      <c r="BX82" s="11" t="str">
        <f>IFERROR(INDEX($BC$70:$BC$83,MATCH(13,$CA$70:$CA$83,0)),"")</f>
        <v/>
      </c>
      <c r="BY82" s="11" t="str">
        <f>IF(ISNUMBER(AU82),COUNT($AU$70:$AU82),"")</f>
        <v/>
      </c>
      <c r="BZ82" s="11" t="str">
        <f>IF(ISNUMBER(AX82),COUNT($AX$70:$AX82),"")</f>
        <v/>
      </c>
      <c r="CA82" s="11" t="str">
        <f>IF(ISNUMBER(BA82),COUNT($BA$70:$BA82),"")</f>
        <v/>
      </c>
      <c r="CB82" s="2"/>
      <c r="CC82" s="2"/>
      <c r="CD82" s="2"/>
      <c r="CE82" s="2"/>
      <c r="CF82" s="2"/>
      <c r="CG82" s="2"/>
      <c r="CH82" s="2"/>
      <c r="CI82" s="2"/>
      <c r="CJ82" s="2"/>
      <c r="CK82" s="2"/>
      <c r="CL82" s="2"/>
      <c r="CM82" s="2"/>
      <c r="CN82" s="2"/>
      <c r="CO82" s="2"/>
      <c r="CP82" s="2"/>
      <c r="CQ82" s="2"/>
      <c r="CR82" s="2"/>
      <c r="CS82" s="2"/>
      <c r="CT82" s="2"/>
      <c r="CU82" s="2"/>
      <c r="CV82" s="2"/>
      <c r="CW82" s="2"/>
      <c r="CX82" s="2"/>
      <c r="CY82" s="29">
        <f t="shared" si="36"/>
        <v>0</v>
      </c>
      <c r="CZ82" s="29">
        <f t="shared" si="37"/>
        <v>0</v>
      </c>
      <c r="DA82" s="29">
        <f t="shared" si="38"/>
        <v>0</v>
      </c>
      <c r="DB82" s="29" t="str">
        <f>IF(CY82=1,SUM($CY$70:CY82),"")</f>
        <v/>
      </c>
      <c r="DC82" s="29" t="str">
        <f>IF(CZ82=1,SUM($CZ$70:CZ82),"")</f>
        <v/>
      </c>
      <c r="DD82" s="29" t="str">
        <f>IF(DA82=1,SUM($DA$70:DA82),"")</f>
        <v/>
      </c>
      <c r="DE82" s="2"/>
      <c r="DF82" s="2"/>
      <c r="DG82" s="2"/>
      <c r="DH82" s="2"/>
      <c r="DI82" s="2"/>
      <c r="DJ82" s="29" t="e">
        <f t="shared" si="39"/>
        <v>#N/A</v>
      </c>
      <c r="DK82" s="29" t="e">
        <f t="shared" si="40"/>
        <v>#N/A</v>
      </c>
      <c r="DL82" s="29" t="e">
        <f t="shared" si="41"/>
        <v>#N/A</v>
      </c>
      <c r="DM82" s="29" t="str">
        <f t="shared" si="42"/>
        <v/>
      </c>
      <c r="DN82" s="29" t="e">
        <f t="shared" si="43"/>
        <v>#N/A</v>
      </c>
      <c r="DO82" s="2"/>
      <c r="DP82" s="29" t="e" cm="1">
        <f t="array" ref="DP82">IFERROR(INDEX($Z$70:$Z$83,SMALL($EF$70:$EF$83,ROW()-69)),NA())</f>
        <v>#N/A</v>
      </c>
      <c r="DQ82" s="29" t="e" cm="1">
        <f t="array" ref="DQ82">IFERROR(INDEX($AB$70:$AB$83,SMALL($EF$70:$EF$83,ROW()-69)),NA())</f>
        <v>#N/A</v>
      </c>
      <c r="DR82" s="29" t="e" cm="1">
        <f t="array" ref="DR82">IFERROR(INDEX($AK$70:$AK$83,SMALL($EF$70:$EF$83,ROW()-69))^0.5/80,NA())</f>
        <v>#N/A</v>
      </c>
      <c r="DS82" s="29" t="e" cm="1">
        <f t="array" ref="DS82">IFERROR(INDEX($Z$70:$Z$83,SMALL($EG$70:$EG$83,ROW()-69)),NA())</f>
        <v>#N/A</v>
      </c>
      <c r="DT82" s="29" t="e" cm="1">
        <f t="array" ref="DT82">IFERROR(INDEX($AB$70:$AB$83,SMALL($EG$70:$EG$83,ROW()-69)),NA())</f>
        <v>#N/A</v>
      </c>
      <c r="DU82" s="29" t="e" cm="1">
        <f t="array" ref="DU82">IFERROR(INDEX($AK$70:$AK$83,SMALL($EG$70:$EG$83,ROW()-69))^0.5/80,NA())</f>
        <v>#N/A</v>
      </c>
      <c r="DV82" s="29" t="e" cm="1">
        <f t="array" ref="DV82">IFERROR(INDEX($Z$70:$Z$83,SMALL($EH$70:$EH$83,ROW()-69)),NA())</f>
        <v>#N/A</v>
      </c>
      <c r="DW82" s="29" t="e" cm="1">
        <f t="array" ref="DW82">IFERROR(INDEX($AB$70:$AB$83,SMALL($EH$70:$EH$83,ROW()-69)),NA())</f>
        <v>#N/A</v>
      </c>
      <c r="DX82" s="29" t="e" cm="1">
        <f t="array" ref="DX82">IFERROR(INDEX($AK$70:$AK$83,SMALL($EH$70:$EH$83,ROW()-69))^0.5/80,NA())</f>
        <v>#N/A</v>
      </c>
      <c r="DY82" s="29" t="str">
        <f t="shared" si="44"/>
        <v/>
      </c>
      <c r="DZ82" s="29" t="e">
        <f t="shared" si="45"/>
        <v>#N/A</v>
      </c>
      <c r="EA82" s="29" t="e">
        <f t="shared" si="46"/>
        <v>#N/A</v>
      </c>
      <c r="EB82" s="2" t="str">
        <f>IF(LARGE($BF$70:$BF$83,13)&gt;-1000000000,TEXT(INDEX($AL$70:$AL$83,MATCH(LARGE($BF$70:$BF$83,13),$BF$70:$BF$83,0)),"0.0%"),"")</f>
        <v/>
      </c>
      <c r="EC82" s="56" t="str" cm="1">
        <f t="array" ref="EC82">IFERROR(INDEX($R$70:$R$83,SMALL($EF$70:$EF$83,ROW()-69)),"")</f>
        <v/>
      </c>
      <c r="ED82" s="56" t="str" cm="1">
        <f t="array" ref="ED82">IFERROR(INDEX($R$70:$R$83,SMALL($EG$70:$EG$83,ROW()-69)),"")</f>
        <v/>
      </c>
      <c r="EE82" s="56" t="str" cm="1">
        <f t="array" ref="EE82">IFERROR(INDEX($R$70:$R$83,SMALL($EH$70:$EH$83,ROW()-69)),"")</f>
        <v/>
      </c>
      <c r="EF82" s="2" t="str">
        <f t="shared" si="47"/>
        <v/>
      </c>
      <c r="EG82" s="2" t="str">
        <f t="shared" si="48"/>
        <v/>
      </c>
      <c r="EH82" s="2" t="str">
        <f t="shared" si="49"/>
        <v/>
      </c>
      <c r="EI82" s="2"/>
      <c r="EJ82" s="2"/>
      <c r="EK82" s="2"/>
      <c r="EL82" s="2"/>
      <c r="EM82" s="2"/>
      <c r="EN82" s="2"/>
      <c r="EO82" s="2"/>
      <c r="EP82" s="2"/>
      <c r="EQ82" s="2"/>
      <c r="ER82" s="2"/>
      <c r="ES82" s="2"/>
      <c r="ET82" s="2"/>
      <c r="EU82" s="2"/>
      <c r="EV82" s="2"/>
      <c r="EW82" s="2"/>
      <c r="EX82" s="2"/>
      <c r="EY82" s="2"/>
      <c r="EZ82" s="2"/>
      <c r="FA82" s="2"/>
      <c r="FB82" s="2"/>
    </row>
    <row r="83" spans="1:158" ht="22" customHeight="1" x14ac:dyDescent="0.2">
      <c r="A83" s="1"/>
      <c r="B83" s="5" t="s">
        <v>59</v>
      </c>
      <c r="C83" s="1"/>
      <c r="D83" s="1"/>
      <c r="E83" s="1"/>
      <c r="F83" s="1"/>
      <c r="G83" s="1"/>
      <c r="H83" s="1"/>
      <c r="I83" s="1"/>
      <c r="J83" s="1"/>
      <c r="K83" s="1"/>
      <c r="L83" s="4" t="s">
        <v>60</v>
      </c>
      <c r="M83" s="33" t="str">
        <f>TEXT(ref_bench_margin_target,"0%")</f>
        <v>50%</v>
      </c>
      <c r="N83" s="1"/>
      <c r="O83" s="2"/>
      <c r="P83" s="11">
        <v>14</v>
      </c>
      <c r="Q83" s="11">
        <f>N(inp_role_active_14)</f>
        <v>0</v>
      </c>
      <c r="R83" s="9" t="str">
        <f>inp_role_title_14&amp;""</f>
        <v/>
      </c>
      <c r="S83" s="12" t="str">
        <f>inp_role_cat_14&amp;""</f>
        <v/>
      </c>
      <c r="T83" s="35">
        <f>IFERROR(N(inp_role_hc_14),0)</f>
        <v>0</v>
      </c>
      <c r="U83" s="10">
        <f>IFERROR(N(inp_role_salary_14),0)</f>
        <v>0</v>
      </c>
      <c r="V83" s="6">
        <f>IFERROR(N(inp_role_oncost_14),0)</f>
        <v>0</v>
      </c>
      <c r="W83" s="10">
        <f>IFERROR(N(inp_role_benefits_14),0)</f>
        <v>0</v>
      </c>
      <c r="X83" s="11">
        <f>IFERROR(N(inp_role_cap_14),0)</f>
        <v>0</v>
      </c>
      <c r="Y83" s="6">
        <f>IFERROR(N(inp_role_tutil_14),0)</f>
        <v>0</v>
      </c>
      <c r="Z83" s="6">
        <f>IFERROR(IF(inp_biz_period_m=0,0,(N(inp_role_billhours_14)*12/inp_biz_period_m)/(X83*T83)),0)</f>
        <v>0</v>
      </c>
      <c r="AA83" s="10">
        <f>IFERROR(N(inp_role_rate_14),0)</f>
        <v>0</v>
      </c>
      <c r="AB83" s="6">
        <f>IFERROR(IF(OR(N(inp_role_billhours_14)=0,AA83=0),0,(N(inp_role_revenue_14)/N(inp_role_billhours_14))/AA83),0)</f>
        <v>0</v>
      </c>
      <c r="AC83" s="10">
        <f t="shared" si="9"/>
        <v>0</v>
      </c>
      <c r="AD83" s="10">
        <f t="shared" si="10"/>
        <v>0</v>
      </c>
      <c r="AE83" s="11">
        <f t="shared" si="11"/>
        <v>0</v>
      </c>
      <c r="AF83" s="11">
        <f t="shared" si="12"/>
        <v>0</v>
      </c>
      <c r="AG83" s="11">
        <f t="shared" si="13"/>
        <v>0</v>
      </c>
      <c r="AH83" s="10">
        <f t="shared" si="14"/>
        <v>0</v>
      </c>
      <c r="AI83" s="10">
        <f t="shared" si="15"/>
        <v>0</v>
      </c>
      <c r="AJ83" s="10">
        <f t="shared" si="16"/>
        <v>0</v>
      </c>
      <c r="AK83" s="10">
        <f t="shared" si="17"/>
        <v>0</v>
      </c>
      <c r="AL83" s="6">
        <f t="shared" si="18"/>
        <v>0</v>
      </c>
      <c r="AM83" s="6">
        <f t="shared" si="19"/>
        <v>0</v>
      </c>
      <c r="AN83" s="10">
        <f t="shared" si="20"/>
        <v>0</v>
      </c>
      <c r="AO83" s="6">
        <f t="shared" si="21"/>
        <v>0</v>
      </c>
      <c r="AP83" s="10">
        <f t="shared" si="22"/>
        <v>0</v>
      </c>
      <c r="AQ83" s="28" t="str">
        <f t="shared" si="23"/>
        <v>INACTIVE</v>
      </c>
      <c r="AR83" s="6">
        <f t="shared" si="24"/>
        <v>0.5</v>
      </c>
      <c r="AS83" s="6">
        <f t="shared" si="25"/>
        <v>99</v>
      </c>
      <c r="AT83" s="2"/>
      <c r="AU83" s="6" t="e">
        <f t="shared" si="26"/>
        <v>#N/A</v>
      </c>
      <c r="AV83" s="6" t="e">
        <f t="shared" si="27"/>
        <v>#N/A</v>
      </c>
      <c r="AW83" s="11" t="e">
        <f t="shared" si="28"/>
        <v>#N/A</v>
      </c>
      <c r="AX83" s="6" t="e">
        <f t="shared" si="29"/>
        <v>#N/A</v>
      </c>
      <c r="AY83" s="6" t="e">
        <f t="shared" si="30"/>
        <v>#N/A</v>
      </c>
      <c r="AZ83" s="11" t="e">
        <f t="shared" si="31"/>
        <v>#N/A</v>
      </c>
      <c r="BA83" s="6" t="e">
        <f t="shared" si="32"/>
        <v>#N/A</v>
      </c>
      <c r="BB83" s="6" t="e">
        <f t="shared" si="33"/>
        <v>#N/A</v>
      </c>
      <c r="BC83" s="11" t="e">
        <f t="shared" si="34"/>
        <v>#N/A</v>
      </c>
      <c r="BD83" s="6" t="str">
        <f t="shared" si="35"/>
        <v/>
      </c>
      <c r="BE83" s="11">
        <f>IF(AND(Q83=1,S83="Delivery",AJ83&gt;0),AP83+AN83+13*0.001,-1000000000)</f>
        <v>-1000000000</v>
      </c>
      <c r="BF83" s="2">
        <f>IF(AND(Q83=1,S83="Delivery",AJ83&gt;0),AL83+(83-70)*0.00001,-1000000000)</f>
        <v>-1000000000</v>
      </c>
      <c r="BG83" s="9" t="str">
        <f>IF(LARGE($BF$70:$BF$83,14)&gt;-1000000000,INDEX($R$70:$R$83,MATCH(LARGE($BF$70:$BF$83,14),$BF$70:$BF$83,0)),"")</f>
        <v/>
      </c>
      <c r="BH83" s="6" t="e">
        <f>IF(LARGE($BF$70:$BF$83,14)&gt;-1000000000,INDEX($AL$70:$AL$83,MATCH(LARGE($BF$70:$BF$83,14),$BF$70:$BF$83,0)),NA())</f>
        <v>#N/A</v>
      </c>
      <c r="BI83" s="6" t="e">
        <f>IF(LARGE($BF$70:$BF$83,14)&gt;-1000000000,INDEX($BD$70:$BD$83,MATCH(LARGE($BF$70:$BF$83,14),$BF$70:$BF$83,0)),NA())</f>
        <v>#N/A</v>
      </c>
      <c r="BJ83" s="11" t="str">
        <f>IF(LARGE(BE70:BE83,14)&gt;=0,INDEX(BE70:BE83,MATCH(LARGE(BE70:BE83,14),BE70:BE83,0)),"")</f>
        <v/>
      </c>
      <c r="BK83" s="2"/>
      <c r="BL83" s="2"/>
      <c r="BM83" s="2"/>
      <c r="BN83" s="2"/>
      <c r="BO83" s="2"/>
      <c r="BP83" s="6" t="str">
        <f>IFERROR(INDEX($AU$70:$AU$83,MATCH(14,$BY$70:$BY$83,0)),"")</f>
        <v/>
      </c>
      <c r="BQ83" s="6" t="str">
        <f>IFERROR(INDEX($AV$70:$AV$83,MATCH(14,$BY$70:$BY$83,0)),"")</f>
        <v/>
      </c>
      <c r="BR83" s="11"/>
      <c r="BS83" s="6"/>
      <c r="BT83" s="6"/>
      <c r="BU83" s="11" t="str">
        <f>IFERROR(INDEX($AZ$70:$AZ$83,MATCH(14,$BZ$70:$BZ$83,0)),"")</f>
        <v/>
      </c>
      <c r="BV83" s="6" t="str">
        <f>IFERROR(INDEX($BA$70:$BA$83,MATCH(14,$CA$70:$CA$83,0)),"")</f>
        <v/>
      </c>
      <c r="BW83" s="6" t="str">
        <f>IFERROR(INDEX($BB$70:$BB$83,MATCH(14,$CA$70:$CA$83,0)),"")</f>
        <v/>
      </c>
      <c r="BX83" s="11" t="str">
        <f>IFERROR(INDEX($BC$70:$BC$83,MATCH(14,$CA$70:$CA$83,0)),"")</f>
        <v/>
      </c>
      <c r="BY83" s="11" t="str">
        <f>IF(ISNUMBER(AU83),COUNT($AU$70:$AU83),"")</f>
        <v/>
      </c>
      <c r="BZ83" s="11" t="str">
        <f>IF(ISNUMBER(AX83),COUNT($AX$70:$AX83),"")</f>
        <v/>
      </c>
      <c r="CA83" s="11" t="str">
        <f>IF(ISNUMBER(BA83),COUNT($BA$70:$BA83),"")</f>
        <v/>
      </c>
      <c r="CB83" s="2"/>
      <c r="CC83" s="2"/>
      <c r="CD83" s="2"/>
      <c r="CE83" s="2"/>
      <c r="CF83" s="2"/>
      <c r="CG83" s="2"/>
      <c r="CH83" s="2"/>
      <c r="CI83" s="2"/>
      <c r="CJ83" s="2"/>
      <c r="CK83" s="2"/>
      <c r="CL83" s="2"/>
      <c r="CM83" s="2"/>
      <c r="CN83" s="2"/>
      <c r="CO83" s="2"/>
      <c r="CP83" s="2"/>
      <c r="CQ83" s="2"/>
      <c r="CR83" s="2"/>
      <c r="CS83" s="2"/>
      <c r="CT83" s="2"/>
      <c r="CU83" s="2"/>
      <c r="CV83" s="2"/>
      <c r="CW83" s="2"/>
      <c r="CX83" s="2"/>
      <c r="CY83" s="29">
        <f t="shared" si="36"/>
        <v>0</v>
      </c>
      <c r="CZ83" s="29">
        <f t="shared" si="37"/>
        <v>0</v>
      </c>
      <c r="DA83" s="29">
        <f t="shared" si="38"/>
        <v>0</v>
      </c>
      <c r="DB83" s="29" t="str">
        <f>IF(CY83=1,SUM($CY$70:CY83),"")</f>
        <v/>
      </c>
      <c r="DC83" s="29" t="str">
        <f>IF(CZ83=1,SUM($CZ$70:CZ83),"")</f>
        <v/>
      </c>
      <c r="DD83" s="29" t="str">
        <f>IF(DA83=1,SUM($DA$70:DA83),"")</f>
        <v/>
      </c>
      <c r="DE83" s="2"/>
      <c r="DF83" s="2"/>
      <c r="DG83" s="2"/>
      <c r="DH83" s="2"/>
      <c r="DI83" s="2"/>
      <c r="DJ83" s="29" t="e">
        <f t="shared" si="39"/>
        <v>#N/A</v>
      </c>
      <c r="DK83" s="29" t="e">
        <f t="shared" si="40"/>
        <v>#N/A</v>
      </c>
      <c r="DL83" s="29" t="e">
        <f t="shared" si="41"/>
        <v>#N/A</v>
      </c>
      <c r="DM83" s="29" t="str">
        <f t="shared" si="42"/>
        <v/>
      </c>
      <c r="DN83" s="29" t="e">
        <f t="shared" si="43"/>
        <v>#N/A</v>
      </c>
      <c r="DO83" s="2"/>
      <c r="DP83" s="29" t="e" cm="1">
        <f t="array" ref="DP83">IFERROR(INDEX($Z$70:$Z$83,SMALL($EF$70:$EF$83,ROW()-69)),NA())</f>
        <v>#N/A</v>
      </c>
      <c r="DQ83" s="29" t="e" cm="1">
        <f t="array" ref="DQ83">IFERROR(INDEX($AB$70:$AB$83,SMALL($EF$70:$EF$83,ROW()-69)),NA())</f>
        <v>#N/A</v>
      </c>
      <c r="DR83" s="29" t="e" cm="1">
        <f t="array" ref="DR83">IFERROR(INDEX($AK$70:$AK$83,SMALL($EF$70:$EF$83,ROW()-69))^0.5/80,NA())</f>
        <v>#N/A</v>
      </c>
      <c r="DS83" s="29" t="e" cm="1">
        <f t="array" ref="DS83">IFERROR(INDEX($Z$70:$Z$83,SMALL($EG$70:$EG$83,ROW()-69)),NA())</f>
        <v>#N/A</v>
      </c>
      <c r="DT83" s="29" t="e" cm="1">
        <f t="array" ref="DT83">IFERROR(INDEX($AB$70:$AB$83,SMALL($EG$70:$EG$83,ROW()-69)),NA())</f>
        <v>#N/A</v>
      </c>
      <c r="DU83" s="29" t="e" cm="1">
        <f t="array" ref="DU83">IFERROR(INDEX($AK$70:$AK$83,SMALL($EG$70:$EG$83,ROW()-69))^0.5/80,NA())</f>
        <v>#N/A</v>
      </c>
      <c r="DV83" s="29" t="e" cm="1">
        <f t="array" ref="DV83">IFERROR(INDEX($Z$70:$Z$83,SMALL($EH$70:$EH$83,ROW()-69)),NA())</f>
        <v>#N/A</v>
      </c>
      <c r="DW83" s="29" t="e" cm="1">
        <f t="array" ref="DW83">IFERROR(INDEX($AB$70:$AB$83,SMALL($EH$70:$EH$83,ROW()-69)),NA())</f>
        <v>#N/A</v>
      </c>
      <c r="DX83" s="29" t="e" cm="1">
        <f t="array" ref="DX83">IFERROR(INDEX($AK$70:$AK$83,SMALL($EH$70:$EH$83,ROW()-69))^0.5/80,NA())</f>
        <v>#N/A</v>
      </c>
      <c r="DY83" s="29" t="str">
        <f t="shared" si="44"/>
        <v/>
      </c>
      <c r="DZ83" s="29" t="e">
        <f t="shared" si="45"/>
        <v>#N/A</v>
      </c>
      <c r="EA83" s="29" t="e">
        <f t="shared" si="46"/>
        <v>#N/A</v>
      </c>
      <c r="EB83" s="2" t="str">
        <f>IF(LARGE($BF$70:$BF$83,14)&gt;-1000000000,TEXT(INDEX($AL$70:$AL$83,MATCH(LARGE($BF$70:$BF$83,14),$BF$70:$BF$83,0)),"0.0%"),"")</f>
        <v/>
      </c>
      <c r="EC83" s="56" t="str" cm="1">
        <f t="array" ref="EC83">IFERROR(INDEX($R$70:$R$83,SMALL($EF$70:$EF$83,ROW()-69)),"")</f>
        <v/>
      </c>
      <c r="ED83" s="56" t="str" cm="1">
        <f t="array" ref="ED83">IFERROR(INDEX($R$70:$R$83,SMALL($EG$70:$EG$83,ROW()-69)),"")</f>
        <v/>
      </c>
      <c r="EE83" s="56" t="str" cm="1">
        <f t="array" ref="EE83">IFERROR(INDEX($R$70:$R$83,SMALL($EH$70:$EH$83,ROW()-69)),"")</f>
        <v/>
      </c>
      <c r="EF83" s="2" t="str">
        <f t="shared" si="47"/>
        <v/>
      </c>
      <c r="EG83" s="2" t="str">
        <f t="shared" si="48"/>
        <v/>
      </c>
      <c r="EH83" s="2" t="str">
        <f t="shared" si="49"/>
        <v/>
      </c>
      <c r="EI83" s="2"/>
      <c r="EJ83" s="2"/>
      <c r="EK83" s="2"/>
      <c r="EL83" s="2"/>
      <c r="EM83" s="2"/>
      <c r="EN83" s="2"/>
      <c r="EO83" s="2"/>
      <c r="EP83" s="2"/>
      <c r="EQ83" s="2"/>
      <c r="ER83" s="2"/>
      <c r="ES83" s="2"/>
      <c r="ET83" s="2"/>
      <c r="EU83" s="2"/>
      <c r="EV83" s="2"/>
      <c r="EW83" s="2"/>
      <c r="EX83" s="2"/>
      <c r="EY83" s="2"/>
      <c r="EZ83" s="2"/>
      <c r="FA83" s="2"/>
      <c r="FB83" s="2"/>
    </row>
    <row r="84" spans="1:158" ht="28" customHeight="1" x14ac:dyDescent="0.2">
      <c r="A84" s="1"/>
      <c r="B84" s="27" t="s">
        <v>62</v>
      </c>
      <c r="C84" s="7" t="s">
        <v>63</v>
      </c>
      <c r="D84" s="7" t="s">
        <v>64</v>
      </c>
      <c r="E84" s="99" t="s">
        <v>65</v>
      </c>
      <c r="F84" s="100"/>
      <c r="G84" s="100"/>
      <c r="H84" s="8" t="s">
        <v>66</v>
      </c>
      <c r="I84" s="99" t="s">
        <v>67</v>
      </c>
      <c r="J84" s="100"/>
      <c r="K84" s="99" t="s">
        <v>68</v>
      </c>
      <c r="L84" s="100"/>
      <c r="M84" s="27" t="s">
        <v>69</v>
      </c>
      <c r="N84" s="1"/>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9" t="e">
        <f>NA()</f>
        <v>#N/A</v>
      </c>
      <c r="EA84" s="29" t="e">
        <f>NA()</f>
        <v>#N/A</v>
      </c>
      <c r="EB84" s="2"/>
      <c r="EC84" s="56"/>
      <c r="ED84" s="56"/>
      <c r="EE84" s="56"/>
      <c r="EF84" s="2"/>
      <c r="EG84" s="2"/>
      <c r="EH84" s="2"/>
      <c r="EI84" s="2"/>
      <c r="EJ84" s="2"/>
      <c r="EK84" s="2"/>
      <c r="EL84" s="2"/>
      <c r="EM84" s="2"/>
      <c r="EN84" s="2"/>
      <c r="EO84" s="2"/>
      <c r="EP84" s="2"/>
      <c r="EQ84" s="2"/>
      <c r="ER84" s="2"/>
      <c r="ES84" s="2"/>
      <c r="ET84" s="2"/>
      <c r="EU84" s="2"/>
      <c r="EV84" s="2"/>
      <c r="EW84" s="2"/>
      <c r="EX84" s="2"/>
      <c r="EY84" s="2"/>
      <c r="EZ84" s="2"/>
      <c r="FA84" s="2"/>
      <c r="FB84" s="2"/>
    </row>
    <row r="85" spans="1:158" x14ac:dyDescent="0.2">
      <c r="A85" s="1"/>
      <c r="B85" s="34">
        <v>1</v>
      </c>
      <c r="C85" s="9" t="str">
        <f t="shared" ref="C85:C98" si="50">R70</f>
        <v/>
      </c>
      <c r="D85" s="12" t="str">
        <f t="shared" ref="D85:D98" si="51">S70</f>
        <v/>
      </c>
      <c r="E85" s="98" t="str">
        <f t="shared" ref="E85:E98" si="52">IF(Q70=1,AJ70,"")</f>
        <v/>
      </c>
      <c r="F85" s="88"/>
      <c r="G85" s="88"/>
      <c r="H85" s="6" t="str">
        <f t="shared" ref="H85:H98" si="53">IF(Q70=1,AL70,"")</f>
        <v/>
      </c>
      <c r="I85" s="95" t="str">
        <f t="shared" ref="I85:I98" si="54">IF(Q70=1,AM70,"")</f>
        <v/>
      </c>
      <c r="J85" s="88"/>
      <c r="K85" s="98" t="str">
        <f t="shared" ref="K85:K98" si="55">IF(Q70=1,AP70,"")</f>
        <v/>
      </c>
      <c r="L85" s="88"/>
      <c r="M85" s="28" t="str">
        <f t="shared" ref="M85:M98" si="56">AQ70</f>
        <v>INACTIVE</v>
      </c>
      <c r="N85" s="1"/>
      <c r="O85" s="2"/>
      <c r="P85" s="5" t="s">
        <v>121</v>
      </c>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56"/>
      <c r="ED85" s="56"/>
      <c r="EE85" s="56"/>
      <c r="EF85" s="2"/>
      <c r="EG85" s="2"/>
      <c r="EH85" s="2"/>
      <c r="EI85" s="2"/>
      <c r="EJ85" s="2"/>
      <c r="EK85" s="2"/>
      <c r="EL85" s="2"/>
      <c r="EM85" s="2"/>
      <c r="EN85" s="2"/>
      <c r="EO85" s="2"/>
      <c r="EP85" s="2"/>
      <c r="EQ85" s="2"/>
      <c r="ER85" s="2"/>
      <c r="ES85" s="2"/>
      <c r="ET85" s="2"/>
      <c r="EU85" s="2"/>
      <c r="EV85" s="2"/>
      <c r="EW85" s="2"/>
      <c r="EX85" s="2"/>
      <c r="EY85" s="2"/>
      <c r="EZ85" s="2"/>
      <c r="FA85" s="2"/>
      <c r="FB85" s="2"/>
    </row>
    <row r="86" spans="1:158" ht="22" customHeight="1" x14ac:dyDescent="0.2">
      <c r="A86" s="1"/>
      <c r="B86" s="34">
        <v>2</v>
      </c>
      <c r="C86" s="9" t="str">
        <f t="shared" si="50"/>
        <v/>
      </c>
      <c r="D86" s="12" t="str">
        <f t="shared" si="51"/>
        <v/>
      </c>
      <c r="E86" s="98" t="str">
        <f t="shared" si="52"/>
        <v/>
      </c>
      <c r="F86" s="88"/>
      <c r="G86" s="88"/>
      <c r="H86" s="6" t="str">
        <f t="shared" si="53"/>
        <v/>
      </c>
      <c r="I86" s="95" t="str">
        <f t="shared" si="54"/>
        <v/>
      </c>
      <c r="J86" s="88"/>
      <c r="K86" s="98" t="str">
        <f t="shared" si="55"/>
        <v/>
      </c>
      <c r="L86" s="88"/>
      <c r="M86" s="28" t="str">
        <f t="shared" si="56"/>
        <v>INACTIVE</v>
      </c>
      <c r="N86" s="1"/>
      <c r="O86" s="2"/>
      <c r="P86" s="8" t="s">
        <v>122</v>
      </c>
      <c r="Q86" s="2"/>
      <c r="R86" s="2"/>
      <c r="S86" s="2"/>
      <c r="T86" s="2"/>
      <c r="U86" s="2"/>
      <c r="V86" s="2"/>
      <c r="W86" s="2"/>
      <c r="X86" s="2"/>
      <c r="Y86" s="2"/>
      <c r="Z86" s="2"/>
      <c r="AA86" s="2"/>
      <c r="AB86" s="2"/>
      <c r="AC86" s="2"/>
      <c r="AD86" s="8" t="s">
        <v>123</v>
      </c>
      <c r="AE86" s="8" t="s">
        <v>124</v>
      </c>
      <c r="AF86" s="8" t="s">
        <v>125</v>
      </c>
      <c r="AG86" s="8" t="s">
        <v>126</v>
      </c>
      <c r="AH86" s="8" t="s">
        <v>127</v>
      </c>
      <c r="AI86" s="8" t="s">
        <v>128</v>
      </c>
      <c r="AJ86" s="8" t="s">
        <v>129</v>
      </c>
      <c r="AK86" s="8" t="s">
        <v>130</v>
      </c>
      <c r="AL86" s="8" t="s">
        <v>131</v>
      </c>
      <c r="AM86" s="8" t="s">
        <v>132</v>
      </c>
      <c r="AN86" s="8" t="s">
        <v>133</v>
      </c>
      <c r="AO86" s="8" t="s">
        <v>134</v>
      </c>
      <c r="AP86" s="8" t="s">
        <v>135</v>
      </c>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56"/>
      <c r="ED86" s="56"/>
      <c r="EE86" s="56"/>
      <c r="EF86" s="2"/>
      <c r="EG86" s="2"/>
      <c r="EH86" s="2"/>
      <c r="EI86" s="2"/>
      <c r="EJ86" s="2"/>
      <c r="EK86" s="2"/>
      <c r="EL86" s="2"/>
      <c r="EM86" s="2"/>
      <c r="EN86" s="2"/>
      <c r="EO86" s="2"/>
      <c r="EP86" s="2"/>
      <c r="EQ86" s="2"/>
      <c r="ER86" s="2"/>
      <c r="ES86" s="2"/>
      <c r="ET86" s="2"/>
      <c r="EU86" s="2"/>
      <c r="EV86" s="2"/>
      <c r="EW86" s="2"/>
      <c r="EX86" s="2"/>
      <c r="EY86" s="2"/>
      <c r="EZ86" s="2"/>
      <c r="FA86" s="2"/>
      <c r="FB86" s="2"/>
    </row>
    <row r="87" spans="1:158" ht="31" customHeight="1" x14ac:dyDescent="0.2">
      <c r="A87" s="1"/>
      <c r="B87" s="34">
        <v>3</v>
      </c>
      <c r="C87" s="9" t="str">
        <f t="shared" si="50"/>
        <v/>
      </c>
      <c r="D87" s="12" t="str">
        <f t="shared" si="51"/>
        <v/>
      </c>
      <c r="E87" s="98" t="str">
        <f t="shared" si="52"/>
        <v/>
      </c>
      <c r="F87" s="88"/>
      <c r="G87" s="88"/>
      <c r="H87" s="6" t="str">
        <f t="shared" si="53"/>
        <v/>
      </c>
      <c r="I87" s="95" t="str">
        <f t="shared" si="54"/>
        <v/>
      </c>
      <c r="J87" s="88"/>
      <c r="K87" s="98" t="str">
        <f t="shared" si="55"/>
        <v/>
      </c>
      <c r="L87" s="88"/>
      <c r="M87" s="28" t="str">
        <f t="shared" si="56"/>
        <v>INACTIVE</v>
      </c>
      <c r="N87" s="1"/>
      <c r="O87" s="2"/>
      <c r="P87" s="12" t="s">
        <v>140</v>
      </c>
      <c r="Q87" s="2"/>
      <c r="R87" s="2"/>
      <c r="S87" s="2"/>
      <c r="T87" s="2"/>
      <c r="U87" s="2"/>
      <c r="V87" s="2"/>
      <c r="W87" s="2"/>
      <c r="X87" s="2"/>
      <c r="Y87" s="2"/>
      <c r="Z87" s="2"/>
      <c r="AA87" s="2"/>
      <c r="AB87" s="2"/>
      <c r="AC87" s="2"/>
      <c r="AD87" s="10">
        <f>SUMIFS(AD70:AD83,S70:S83,"Delivery",Q70:Q83,1)</f>
        <v>0</v>
      </c>
      <c r="AE87" s="11">
        <f>SUMIFS(AE70:AE83,S70:S83,"Delivery",Q70:Q83,1)</f>
        <v>0</v>
      </c>
      <c r="AF87" s="11">
        <f>SUMIFS(AF70:AF83,S70:S83,"Delivery",Q70:Q83,1)</f>
        <v>0</v>
      </c>
      <c r="AG87" s="11">
        <f>SUMIFS(AG70:AG83,S70:S83,"Delivery",Q70:Q83,1)</f>
        <v>0</v>
      </c>
      <c r="AH87" s="10">
        <f>IF(AF87&gt;0,AD87/AF87,0)</f>
        <v>0</v>
      </c>
      <c r="AI87" s="10">
        <f>IFERROR(SUMPRODUCT((S70:S83="Delivery")*(Q70:Q83)*AA70:AA83*AF70:AF83)/AF87,0)</f>
        <v>0</v>
      </c>
      <c r="AJ87" s="10">
        <f>IF(AF87&gt;0,AK87/AF87,0)</f>
        <v>0</v>
      </c>
      <c r="AK87" s="10">
        <f>SUMIFS(AK70:AK83,S70:S83,"Delivery",Q70:Q83,1)</f>
        <v>0</v>
      </c>
      <c r="AL87" s="6">
        <f>IF(AJ87=0,0,(AJ87-AH87)/AJ87)</f>
        <v>0</v>
      </c>
      <c r="AM87" s="6">
        <f>IF(AI87=0,0,1-AJ87/AI87)</f>
        <v>0</v>
      </c>
      <c r="AN87" s="10">
        <f>(AI87-AJ87)*AF87</f>
        <v>0</v>
      </c>
      <c r="AO87" s="6">
        <f>IF(AE87&gt;0,(AG87-AF87)/AE87,0)</f>
        <v>0</v>
      </c>
      <c r="AP87" s="10">
        <f>SUMIFS(AP70:AP83,S70:S83,"Delivery",Q70:Q83,1)</f>
        <v>0</v>
      </c>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56"/>
      <c r="ED87" s="56"/>
      <c r="EE87" s="56"/>
      <c r="EF87" s="2"/>
      <c r="EG87" s="2"/>
      <c r="EH87" s="2"/>
      <c r="EI87" s="2"/>
      <c r="EJ87" s="2"/>
      <c r="EK87" s="2"/>
      <c r="EL87" s="2"/>
      <c r="EM87" s="2"/>
      <c r="EN87" s="2"/>
      <c r="EO87" s="2"/>
      <c r="EP87" s="2"/>
      <c r="EQ87" s="2"/>
      <c r="ER87" s="2"/>
      <c r="ES87" s="2"/>
      <c r="ET87" s="2"/>
      <c r="EU87" s="2"/>
      <c r="EV87" s="2"/>
      <c r="EW87" s="2"/>
      <c r="EX87" s="2"/>
      <c r="EY87" s="2"/>
      <c r="EZ87" s="2"/>
      <c r="FA87" s="2"/>
      <c r="FB87" s="2"/>
    </row>
    <row r="88" spans="1:158" ht="22" customHeight="1" x14ac:dyDescent="0.2">
      <c r="A88" s="1"/>
      <c r="B88" s="34">
        <v>4</v>
      </c>
      <c r="C88" s="9" t="str">
        <f t="shared" si="50"/>
        <v/>
      </c>
      <c r="D88" s="12" t="str">
        <f t="shared" si="51"/>
        <v/>
      </c>
      <c r="E88" s="98" t="str">
        <f t="shared" si="52"/>
        <v/>
      </c>
      <c r="F88" s="88"/>
      <c r="G88" s="88"/>
      <c r="H88" s="6" t="str">
        <f t="shared" si="53"/>
        <v/>
      </c>
      <c r="I88" s="95" t="str">
        <f t="shared" si="54"/>
        <v/>
      </c>
      <c r="J88" s="88"/>
      <c r="K88" s="98" t="str">
        <f t="shared" si="55"/>
        <v/>
      </c>
      <c r="L88" s="88"/>
      <c r="M88" s="28" t="str">
        <f t="shared" si="56"/>
        <v>INACTIVE</v>
      </c>
      <c r="N88" s="1"/>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56"/>
      <c r="ED88" s="56"/>
      <c r="EE88" s="56"/>
      <c r="EF88" s="2"/>
      <c r="EG88" s="2"/>
      <c r="EH88" s="2"/>
      <c r="EI88" s="2"/>
      <c r="EJ88" s="2"/>
      <c r="EK88" s="2"/>
      <c r="EL88" s="2"/>
      <c r="EM88" s="2"/>
      <c r="EN88" s="2"/>
      <c r="EO88" s="2"/>
      <c r="EP88" s="2"/>
      <c r="EQ88" s="2"/>
      <c r="ER88" s="2"/>
      <c r="ES88" s="2"/>
      <c r="ET88" s="2"/>
      <c r="EU88" s="2"/>
      <c r="EV88" s="2"/>
      <c r="EW88" s="2"/>
      <c r="EX88" s="2"/>
      <c r="EY88" s="2"/>
      <c r="EZ88" s="2"/>
      <c r="FA88" s="2"/>
      <c r="FB88" s="2"/>
    </row>
    <row r="89" spans="1:158" ht="22" customHeight="1" x14ac:dyDescent="0.2">
      <c r="A89" s="1"/>
      <c r="B89" s="34">
        <v>5</v>
      </c>
      <c r="C89" s="9" t="str">
        <f t="shared" si="50"/>
        <v/>
      </c>
      <c r="D89" s="12" t="str">
        <f t="shared" si="51"/>
        <v/>
      </c>
      <c r="E89" s="98" t="str">
        <f t="shared" si="52"/>
        <v/>
      </c>
      <c r="F89" s="88"/>
      <c r="G89" s="88"/>
      <c r="H89" s="6" t="str">
        <f t="shared" si="53"/>
        <v/>
      </c>
      <c r="I89" s="95" t="str">
        <f t="shared" si="54"/>
        <v/>
      </c>
      <c r="J89" s="88"/>
      <c r="K89" s="98" t="str">
        <f t="shared" si="55"/>
        <v/>
      </c>
      <c r="L89" s="88"/>
      <c r="M89" s="28" t="str">
        <f t="shared" si="56"/>
        <v>INACTIVE</v>
      </c>
      <c r="N89" s="1"/>
      <c r="O89" s="2"/>
      <c r="P89" s="12" t="s">
        <v>141</v>
      </c>
      <c r="Q89" s="2"/>
      <c r="R89" s="2"/>
      <c r="S89" s="2"/>
      <c r="T89" s="2"/>
      <c r="U89" s="2"/>
      <c r="V89" s="2"/>
      <c r="W89" s="2"/>
      <c r="X89" s="2"/>
      <c r="Y89" s="2"/>
      <c r="Z89" s="2"/>
      <c r="AA89" s="2"/>
      <c r="AB89" s="2"/>
      <c r="AC89" s="2"/>
      <c r="AD89" s="10">
        <f>SUMIFS(AD70:AD83,Q70:Q83,1)</f>
        <v>0</v>
      </c>
      <c r="AE89" s="2"/>
      <c r="AF89" s="2"/>
      <c r="AG89" s="2"/>
      <c r="AH89" s="2"/>
      <c r="AI89" s="2"/>
      <c r="AJ89" s="2"/>
      <c r="AK89" s="10">
        <f>SUMIFS(AD70:AD83,Q70:Q83,1,S70:S83,"Overhead")+SUMIFS(AD70:AD83,Q70:Q83,1,S70:S83,"Leadership")</f>
        <v>0</v>
      </c>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56"/>
      <c r="ED89" s="56"/>
      <c r="EE89" s="56"/>
      <c r="EF89" s="2"/>
      <c r="EG89" s="2"/>
      <c r="EH89" s="2"/>
      <c r="EI89" s="2"/>
      <c r="EJ89" s="2"/>
      <c r="EK89" s="2"/>
      <c r="EL89" s="2"/>
      <c r="EM89" s="2"/>
      <c r="EN89" s="2"/>
      <c r="EO89" s="2"/>
      <c r="EP89" s="2"/>
      <c r="EQ89" s="2"/>
      <c r="ER89" s="2"/>
      <c r="ES89" s="2"/>
      <c r="ET89" s="2"/>
      <c r="EU89" s="2"/>
      <c r="EV89" s="2"/>
      <c r="EW89" s="2"/>
      <c r="EX89" s="2"/>
      <c r="EY89" s="2"/>
      <c r="EZ89" s="2"/>
      <c r="FA89" s="2"/>
      <c r="FB89" s="2"/>
    </row>
    <row r="90" spans="1:158" ht="22" customHeight="1" x14ac:dyDescent="0.2">
      <c r="A90" s="1"/>
      <c r="B90" s="34">
        <v>6</v>
      </c>
      <c r="C90" s="9" t="str">
        <f t="shared" si="50"/>
        <v/>
      </c>
      <c r="D90" s="12" t="str">
        <f t="shared" si="51"/>
        <v/>
      </c>
      <c r="E90" s="98" t="str">
        <f t="shared" si="52"/>
        <v/>
      </c>
      <c r="F90" s="88"/>
      <c r="G90" s="88"/>
      <c r="H90" s="6" t="str">
        <f t="shared" si="53"/>
        <v/>
      </c>
      <c r="I90" s="95" t="str">
        <f t="shared" si="54"/>
        <v/>
      </c>
      <c r="J90" s="88"/>
      <c r="K90" s="98" t="str">
        <f t="shared" si="55"/>
        <v/>
      </c>
      <c r="L90" s="88"/>
      <c r="M90" s="28" t="str">
        <f t="shared" si="56"/>
        <v>INACTIVE</v>
      </c>
      <c r="N90" s="1"/>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56"/>
      <c r="ED90" s="56"/>
      <c r="EE90" s="56"/>
      <c r="EF90" s="2"/>
      <c r="EG90" s="2"/>
      <c r="EH90" s="2"/>
      <c r="EI90" s="2"/>
      <c r="EJ90" s="2"/>
      <c r="EK90" s="2"/>
      <c r="EL90" s="2"/>
      <c r="EM90" s="2"/>
      <c r="EN90" s="2"/>
      <c r="EO90" s="2"/>
      <c r="EP90" s="2"/>
      <c r="EQ90" s="2"/>
      <c r="ER90" s="2"/>
      <c r="ES90" s="2"/>
      <c r="ET90" s="2"/>
      <c r="EU90" s="2"/>
      <c r="EV90" s="2"/>
      <c r="EW90" s="2"/>
      <c r="EX90" s="2"/>
      <c r="EY90" s="2"/>
      <c r="EZ90" s="2"/>
      <c r="FA90" s="2"/>
      <c r="FB90" s="2"/>
    </row>
    <row r="91" spans="1:158" ht="22" customHeight="1" x14ac:dyDescent="0.2">
      <c r="A91" s="1"/>
      <c r="B91" s="34">
        <v>7</v>
      </c>
      <c r="C91" s="9" t="str">
        <f t="shared" si="50"/>
        <v/>
      </c>
      <c r="D91" s="12" t="str">
        <f t="shared" si="51"/>
        <v/>
      </c>
      <c r="E91" s="98" t="str">
        <f t="shared" si="52"/>
        <v/>
      </c>
      <c r="F91" s="88"/>
      <c r="G91" s="88"/>
      <c r="H91" s="6" t="str">
        <f t="shared" si="53"/>
        <v/>
      </c>
      <c r="I91" s="95" t="str">
        <f t="shared" si="54"/>
        <v/>
      </c>
      <c r="J91" s="88"/>
      <c r="K91" s="98" t="str">
        <f t="shared" si="55"/>
        <v/>
      </c>
      <c r="L91" s="88"/>
      <c r="M91" s="28" t="str">
        <f t="shared" si="56"/>
        <v>INACTIVE</v>
      </c>
      <c r="N91" s="1"/>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56"/>
      <c r="ED91" s="56"/>
      <c r="EE91" s="56"/>
      <c r="EF91" s="2"/>
      <c r="EG91" s="2"/>
      <c r="EH91" s="2"/>
      <c r="EI91" s="2"/>
      <c r="EJ91" s="2"/>
      <c r="EK91" s="2"/>
      <c r="EL91" s="2"/>
      <c r="EM91" s="2"/>
      <c r="EN91" s="2"/>
      <c r="EO91" s="2"/>
      <c r="EP91" s="2"/>
      <c r="EQ91" s="2"/>
      <c r="ER91" s="2"/>
      <c r="ES91" s="2"/>
      <c r="ET91" s="2"/>
      <c r="EU91" s="2"/>
      <c r="EV91" s="2"/>
      <c r="EW91" s="2"/>
      <c r="EX91" s="2"/>
      <c r="EY91" s="2"/>
      <c r="EZ91" s="2"/>
      <c r="FA91" s="2"/>
      <c r="FB91" s="2"/>
    </row>
    <row r="92" spans="1:158" ht="22" customHeight="1" x14ac:dyDescent="0.2">
      <c r="A92" s="1"/>
      <c r="B92" s="34">
        <v>8</v>
      </c>
      <c r="C92" s="9" t="str">
        <f t="shared" si="50"/>
        <v/>
      </c>
      <c r="D92" s="12" t="str">
        <f t="shared" si="51"/>
        <v/>
      </c>
      <c r="E92" s="98" t="str">
        <f t="shared" si="52"/>
        <v/>
      </c>
      <c r="F92" s="88"/>
      <c r="G92" s="88"/>
      <c r="H92" s="6" t="str">
        <f t="shared" si="53"/>
        <v/>
      </c>
      <c r="I92" s="95" t="str">
        <f t="shared" si="54"/>
        <v/>
      </c>
      <c r="J92" s="88"/>
      <c r="K92" s="98" t="str">
        <f t="shared" si="55"/>
        <v/>
      </c>
      <c r="L92" s="88"/>
      <c r="M92" s="28" t="str">
        <f t="shared" si="56"/>
        <v>INACTIVE</v>
      </c>
      <c r="N92" s="1"/>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56"/>
      <c r="ED92" s="56"/>
      <c r="EE92" s="56"/>
      <c r="EF92" s="2"/>
      <c r="EG92" s="2"/>
      <c r="EH92" s="2"/>
      <c r="EI92" s="2"/>
      <c r="EJ92" s="2"/>
      <c r="EK92" s="2"/>
      <c r="EL92" s="2"/>
      <c r="EM92" s="2"/>
      <c r="EN92" s="2"/>
      <c r="EO92" s="2"/>
      <c r="EP92" s="2"/>
      <c r="EQ92" s="2"/>
      <c r="ER92" s="2"/>
      <c r="ES92" s="2"/>
      <c r="ET92" s="2"/>
      <c r="EU92" s="2"/>
      <c r="EV92" s="2"/>
      <c r="EW92" s="2"/>
      <c r="EX92" s="2"/>
      <c r="EY92" s="2"/>
      <c r="EZ92" s="2"/>
      <c r="FA92" s="2"/>
      <c r="FB92" s="2"/>
    </row>
    <row r="93" spans="1:158" ht="22" customHeight="1" x14ac:dyDescent="0.2">
      <c r="A93" s="1"/>
      <c r="B93" s="34">
        <v>9</v>
      </c>
      <c r="C93" s="9" t="str">
        <f t="shared" si="50"/>
        <v/>
      </c>
      <c r="D93" s="12" t="str">
        <f t="shared" si="51"/>
        <v/>
      </c>
      <c r="E93" s="98" t="str">
        <f t="shared" si="52"/>
        <v/>
      </c>
      <c r="F93" s="88"/>
      <c r="G93" s="88"/>
      <c r="H93" s="6" t="str">
        <f t="shared" si="53"/>
        <v/>
      </c>
      <c r="I93" s="95" t="str">
        <f t="shared" si="54"/>
        <v/>
      </c>
      <c r="J93" s="88"/>
      <c r="K93" s="98" t="str">
        <f t="shared" si="55"/>
        <v/>
      </c>
      <c r="L93" s="88"/>
      <c r="M93" s="28" t="str">
        <f t="shared" si="56"/>
        <v>INACTIVE</v>
      </c>
      <c r="N93" s="1"/>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56"/>
      <c r="ED93" s="56"/>
      <c r="EE93" s="56"/>
      <c r="EF93" s="2"/>
      <c r="EG93" s="2"/>
      <c r="EH93" s="2"/>
      <c r="EI93" s="2"/>
      <c r="EJ93" s="2"/>
      <c r="EK93" s="2"/>
      <c r="EL93" s="2"/>
      <c r="EM93" s="2"/>
      <c r="EN93" s="2"/>
      <c r="EO93" s="2"/>
      <c r="EP93" s="2"/>
      <c r="EQ93" s="2"/>
      <c r="ER93" s="2"/>
      <c r="ES93" s="2"/>
      <c r="ET93" s="2"/>
      <c r="EU93" s="2"/>
      <c r="EV93" s="2"/>
      <c r="EW93" s="2"/>
      <c r="EX93" s="2"/>
      <c r="EY93" s="2"/>
      <c r="EZ93" s="2"/>
      <c r="FA93" s="2"/>
      <c r="FB93" s="2"/>
    </row>
    <row r="94" spans="1:158" ht="22" customHeight="1" x14ac:dyDescent="0.2">
      <c r="A94" s="1"/>
      <c r="B94" s="34">
        <v>10</v>
      </c>
      <c r="C94" s="9" t="str">
        <f t="shared" si="50"/>
        <v/>
      </c>
      <c r="D94" s="12" t="str">
        <f t="shared" si="51"/>
        <v/>
      </c>
      <c r="E94" s="98" t="str">
        <f t="shared" si="52"/>
        <v/>
      </c>
      <c r="F94" s="88"/>
      <c r="G94" s="88"/>
      <c r="H94" s="6" t="str">
        <f t="shared" si="53"/>
        <v/>
      </c>
      <c r="I94" s="95" t="str">
        <f t="shared" si="54"/>
        <v/>
      </c>
      <c r="J94" s="88"/>
      <c r="K94" s="98" t="str">
        <f t="shared" si="55"/>
        <v/>
      </c>
      <c r="L94" s="88"/>
      <c r="M94" s="28" t="str">
        <f t="shared" si="56"/>
        <v>INACTIVE</v>
      </c>
      <c r="N94" s="1"/>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56"/>
      <c r="ED94" s="56"/>
      <c r="EE94" s="56"/>
      <c r="EF94" s="2"/>
      <c r="EG94" s="2"/>
      <c r="EH94" s="2"/>
      <c r="EI94" s="2"/>
      <c r="EJ94" s="2"/>
      <c r="EK94" s="2"/>
      <c r="EL94" s="2"/>
      <c r="EM94" s="2"/>
      <c r="EN94" s="2"/>
      <c r="EO94" s="2"/>
      <c r="EP94" s="2"/>
      <c r="EQ94" s="2"/>
      <c r="ER94" s="2"/>
      <c r="ES94" s="2"/>
      <c r="ET94" s="2"/>
      <c r="EU94" s="2"/>
      <c r="EV94" s="2"/>
      <c r="EW94" s="2"/>
      <c r="EX94" s="2"/>
      <c r="EY94" s="2"/>
      <c r="EZ94" s="2"/>
      <c r="FA94" s="2"/>
      <c r="FB94" s="2"/>
    </row>
    <row r="95" spans="1:158" ht="22" customHeight="1" x14ac:dyDescent="0.2">
      <c r="A95" s="1"/>
      <c r="B95" s="34">
        <v>11</v>
      </c>
      <c r="C95" s="9" t="str">
        <f t="shared" si="50"/>
        <v/>
      </c>
      <c r="D95" s="12" t="str">
        <f t="shared" si="51"/>
        <v/>
      </c>
      <c r="E95" s="98" t="str">
        <f t="shared" si="52"/>
        <v/>
      </c>
      <c r="F95" s="88"/>
      <c r="G95" s="88"/>
      <c r="H95" s="6" t="str">
        <f t="shared" si="53"/>
        <v/>
      </c>
      <c r="I95" s="95" t="str">
        <f t="shared" si="54"/>
        <v/>
      </c>
      <c r="J95" s="88"/>
      <c r="K95" s="98" t="str">
        <f t="shared" si="55"/>
        <v/>
      </c>
      <c r="L95" s="88"/>
      <c r="M95" s="28" t="str">
        <f t="shared" si="56"/>
        <v>INACTIVE</v>
      </c>
      <c r="N95" s="1"/>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56"/>
      <c r="ED95" s="56"/>
      <c r="EE95" s="56"/>
      <c r="EF95" s="2"/>
      <c r="EG95" s="2"/>
      <c r="EH95" s="2"/>
      <c r="EI95" s="2"/>
      <c r="EJ95" s="2"/>
      <c r="EK95" s="2"/>
      <c r="EL95" s="2"/>
      <c r="EM95" s="2"/>
      <c r="EN95" s="2"/>
      <c r="EO95" s="2"/>
      <c r="EP95" s="2"/>
      <c r="EQ95" s="2"/>
      <c r="ER95" s="2"/>
      <c r="ES95" s="2"/>
      <c r="ET95" s="2"/>
      <c r="EU95" s="2"/>
      <c r="EV95" s="2"/>
      <c r="EW95" s="2"/>
      <c r="EX95" s="2"/>
      <c r="EY95" s="2"/>
      <c r="EZ95" s="2"/>
      <c r="FA95" s="2"/>
      <c r="FB95" s="2"/>
    </row>
    <row r="96" spans="1:158" x14ac:dyDescent="0.2">
      <c r="A96" s="1"/>
      <c r="B96" s="34">
        <v>12</v>
      </c>
      <c r="C96" s="9" t="str">
        <f t="shared" si="50"/>
        <v/>
      </c>
      <c r="D96" s="12" t="str">
        <f t="shared" si="51"/>
        <v/>
      </c>
      <c r="E96" s="98" t="str">
        <f t="shared" si="52"/>
        <v/>
      </c>
      <c r="F96" s="88"/>
      <c r="G96" s="88"/>
      <c r="H96" s="6" t="str">
        <f t="shared" si="53"/>
        <v/>
      </c>
      <c r="I96" s="95" t="str">
        <f t="shared" si="54"/>
        <v/>
      </c>
      <c r="J96" s="88"/>
      <c r="K96" s="98" t="str">
        <f t="shared" si="55"/>
        <v/>
      </c>
      <c r="L96" s="88"/>
      <c r="M96" s="28" t="str">
        <f t="shared" si="56"/>
        <v>INACTIVE</v>
      </c>
      <c r="N96" s="1"/>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56"/>
      <c r="ED96" s="56"/>
      <c r="EE96" s="56"/>
      <c r="EF96" s="2"/>
      <c r="EG96" s="2"/>
      <c r="EH96" s="2"/>
      <c r="EI96" s="2"/>
      <c r="EJ96" s="2"/>
      <c r="EK96" s="2"/>
      <c r="EL96" s="2"/>
      <c r="EM96" s="2"/>
      <c r="EN96" s="2"/>
      <c r="EO96" s="2"/>
      <c r="EP96" s="2"/>
      <c r="EQ96" s="2"/>
      <c r="ER96" s="2"/>
      <c r="ES96" s="2"/>
      <c r="ET96" s="2"/>
      <c r="EU96" s="2"/>
      <c r="EV96" s="2"/>
      <c r="EW96" s="2"/>
      <c r="EX96" s="2"/>
      <c r="EY96" s="2"/>
      <c r="EZ96" s="2"/>
      <c r="FA96" s="2"/>
      <c r="FB96" s="2"/>
    </row>
    <row r="97" spans="1:158" ht="22" customHeight="1" x14ac:dyDescent="0.2">
      <c r="A97" s="1"/>
      <c r="B97" s="34">
        <v>13</v>
      </c>
      <c r="C97" s="9" t="str">
        <f t="shared" si="50"/>
        <v/>
      </c>
      <c r="D97" s="12" t="str">
        <f t="shared" si="51"/>
        <v/>
      </c>
      <c r="E97" s="98" t="str">
        <f t="shared" si="52"/>
        <v/>
      </c>
      <c r="F97" s="88"/>
      <c r="G97" s="88"/>
      <c r="H97" s="6" t="str">
        <f t="shared" si="53"/>
        <v/>
      </c>
      <c r="I97" s="95" t="str">
        <f t="shared" si="54"/>
        <v/>
      </c>
      <c r="J97" s="88"/>
      <c r="K97" s="98" t="str">
        <f t="shared" si="55"/>
        <v/>
      </c>
      <c r="L97" s="88"/>
      <c r="M97" s="28" t="str">
        <f t="shared" si="56"/>
        <v>INACTIVE</v>
      </c>
      <c r="N97" s="1"/>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56"/>
      <c r="ED97" s="56"/>
      <c r="EE97" s="56"/>
      <c r="EF97" s="2"/>
      <c r="EG97" s="2"/>
      <c r="EH97" s="2"/>
      <c r="EI97" s="2"/>
      <c r="EJ97" s="2"/>
      <c r="EK97" s="2"/>
      <c r="EL97" s="2"/>
      <c r="EM97" s="2"/>
      <c r="EN97" s="2"/>
      <c r="EO97" s="2"/>
      <c r="EP97" s="2"/>
      <c r="EQ97" s="2"/>
      <c r="ER97" s="2"/>
      <c r="ES97" s="2"/>
      <c r="ET97" s="2"/>
      <c r="EU97" s="2"/>
      <c r="EV97" s="2"/>
      <c r="EW97" s="2"/>
      <c r="EX97" s="2"/>
      <c r="EY97" s="2"/>
      <c r="EZ97" s="2"/>
      <c r="FA97" s="2"/>
      <c r="FB97" s="2"/>
    </row>
    <row r="98" spans="1:158" ht="42" customHeight="1" x14ac:dyDescent="0.2">
      <c r="A98" s="1"/>
      <c r="B98" s="34">
        <v>14</v>
      </c>
      <c r="C98" s="9" t="str">
        <f t="shared" si="50"/>
        <v/>
      </c>
      <c r="D98" s="12" t="str">
        <f t="shared" si="51"/>
        <v/>
      </c>
      <c r="E98" s="98" t="str">
        <f t="shared" si="52"/>
        <v/>
      </c>
      <c r="F98" s="88"/>
      <c r="G98" s="88"/>
      <c r="H98" s="6" t="str">
        <f t="shared" si="53"/>
        <v/>
      </c>
      <c r="I98" s="95" t="str">
        <f t="shared" si="54"/>
        <v/>
      </c>
      <c r="J98" s="88"/>
      <c r="K98" s="98" t="str">
        <f t="shared" si="55"/>
        <v/>
      </c>
      <c r="L98" s="88"/>
      <c r="M98" s="28" t="str">
        <f t="shared" si="56"/>
        <v>INACTIVE</v>
      </c>
      <c r="N98" s="1"/>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56"/>
      <c r="ED98" s="56"/>
      <c r="EE98" s="56"/>
      <c r="EF98" s="2"/>
      <c r="EG98" s="2"/>
      <c r="EH98" s="2"/>
      <c r="EI98" s="2"/>
      <c r="EJ98" s="2"/>
      <c r="EK98" s="2"/>
      <c r="EL98" s="2"/>
      <c r="EM98" s="2"/>
      <c r="EN98" s="2"/>
      <c r="EO98" s="2"/>
      <c r="EP98" s="2"/>
      <c r="EQ98" s="2"/>
      <c r="ER98" s="2"/>
      <c r="ES98" s="2"/>
      <c r="ET98" s="2"/>
      <c r="EU98" s="2"/>
      <c r="EV98" s="2"/>
      <c r="EW98" s="2"/>
      <c r="EX98" s="2"/>
      <c r="EY98" s="2"/>
      <c r="EZ98" s="2"/>
      <c r="FA98" s="2"/>
      <c r="FB98" s="2"/>
    </row>
    <row r="99" spans="1:158" ht="22" customHeight="1" x14ac:dyDescent="0.2">
      <c r="A99" s="1"/>
      <c r="B99" s="36" t="s">
        <v>118</v>
      </c>
      <c r="C99" s="37" t="s">
        <v>119</v>
      </c>
      <c r="D99" s="38" t="s">
        <v>120</v>
      </c>
      <c r="E99" s="96">
        <f>AJ87</f>
        <v>0</v>
      </c>
      <c r="F99" s="97"/>
      <c r="G99" s="97"/>
      <c r="H99" s="39">
        <f>AL87</f>
        <v>0</v>
      </c>
      <c r="I99" s="115">
        <f>AM87</f>
        <v>0</v>
      </c>
      <c r="J99" s="97"/>
      <c r="K99" s="96">
        <f>AP87</f>
        <v>0</v>
      </c>
      <c r="L99" s="97"/>
      <c r="M99" s="40" t="str">
        <f>IF(AL87&gt;=ref_bench_margin_target,"PASS",IF(AL87&gt;=ref_bench_margin_warn,"WARN","FAIL"))</f>
        <v>FAIL</v>
      </c>
      <c r="N99" s="1"/>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56"/>
      <c r="ED99" s="56"/>
      <c r="EE99" s="56"/>
      <c r="EF99" s="2"/>
      <c r="EG99" s="2"/>
      <c r="EH99" s="2"/>
      <c r="EI99" s="2"/>
      <c r="EJ99" s="2"/>
      <c r="EK99" s="2"/>
      <c r="EL99" s="2"/>
      <c r="EM99" s="2"/>
      <c r="EN99" s="2"/>
      <c r="EO99" s="2"/>
      <c r="EP99" s="2"/>
      <c r="EQ99" s="2"/>
      <c r="ER99" s="2"/>
      <c r="ES99" s="2"/>
      <c r="ET99" s="2"/>
      <c r="EU99" s="2"/>
      <c r="EV99" s="2"/>
      <c r="EW99" s="2"/>
      <c r="EX99" s="2"/>
      <c r="EY99" s="2"/>
      <c r="EZ99" s="2"/>
      <c r="FA99" s="2"/>
      <c r="FB99" s="2"/>
    </row>
    <row r="100" spans="1:158" ht="22" customHeight="1" x14ac:dyDescent="0.2">
      <c r="A100" s="1"/>
      <c r="B100" s="64"/>
      <c r="C100" s="65"/>
      <c r="D100" s="58"/>
      <c r="E100" s="66"/>
      <c r="F100" s="2"/>
      <c r="G100" s="2"/>
      <c r="H100" s="67"/>
      <c r="I100" s="67"/>
      <c r="J100" s="2"/>
      <c r="K100" s="66"/>
      <c r="L100" s="2"/>
      <c r="M100" s="68"/>
      <c r="N100" s="1"/>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56"/>
      <c r="ED100" s="56"/>
      <c r="EE100" s="56"/>
      <c r="EF100" s="2"/>
      <c r="EG100" s="2"/>
      <c r="EH100" s="2"/>
      <c r="EI100" s="2"/>
      <c r="EJ100" s="2"/>
      <c r="EK100" s="2"/>
      <c r="EL100" s="2"/>
      <c r="EM100" s="2"/>
      <c r="EN100" s="2"/>
      <c r="EO100" s="2"/>
      <c r="EP100" s="2"/>
      <c r="EQ100" s="2"/>
      <c r="ER100" s="2"/>
      <c r="ES100" s="2"/>
      <c r="ET100" s="2"/>
      <c r="EU100" s="2"/>
      <c r="EV100" s="2"/>
      <c r="EW100" s="2"/>
      <c r="EX100" s="2"/>
      <c r="EY100" s="2"/>
      <c r="EZ100" s="2"/>
      <c r="FA100" s="2"/>
      <c r="FB100" s="2"/>
    </row>
    <row r="101" spans="1:158" ht="22" customHeight="1" x14ac:dyDescent="0.2">
      <c r="A101" s="1"/>
      <c r="B101" s="1"/>
      <c r="C101" s="61">
        <v>0.9</v>
      </c>
      <c r="D101" s="61">
        <v>1</v>
      </c>
      <c r="E101" s="61">
        <v>1.1000000000000001</v>
      </c>
      <c r="F101" s="1"/>
      <c r="G101" s="1"/>
      <c r="H101" s="1"/>
      <c r="I101" s="1"/>
      <c r="J101" s="1"/>
      <c r="K101" s="1"/>
      <c r="L101" s="1"/>
      <c r="M101" s="1"/>
      <c r="N101" s="1"/>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56"/>
      <c r="ED101" s="56"/>
      <c r="EE101" s="56"/>
      <c r="EF101" s="2"/>
      <c r="EG101" s="2"/>
      <c r="EH101" s="2"/>
      <c r="EI101" s="2"/>
      <c r="EJ101" s="2"/>
      <c r="EK101" s="2"/>
      <c r="EL101" s="2"/>
      <c r="EM101" s="2"/>
      <c r="EN101" s="2"/>
      <c r="EO101" s="2"/>
      <c r="EP101" s="2"/>
      <c r="EQ101" s="2"/>
      <c r="ER101" s="2"/>
      <c r="ES101" s="2"/>
      <c r="ET101" s="2"/>
      <c r="EU101" s="2"/>
      <c r="EV101" s="2"/>
      <c r="EW101" s="2"/>
      <c r="EX101" s="2"/>
      <c r="EY101" s="2"/>
      <c r="EZ101" s="2"/>
      <c r="FA101" s="2"/>
      <c r="FB101" s="2"/>
    </row>
    <row r="102" spans="1:158" ht="22" customHeight="1" x14ac:dyDescent="0.2">
      <c r="A102" s="1"/>
      <c r="B102" s="5" t="s">
        <v>320</v>
      </c>
      <c r="C102" s="1"/>
      <c r="D102" s="1"/>
      <c r="E102" s="1"/>
      <c r="F102" s="1"/>
      <c r="G102" s="1"/>
      <c r="H102" s="1"/>
      <c r="I102" s="1"/>
      <c r="J102" s="1"/>
      <c r="K102" s="1"/>
      <c r="L102" s="1"/>
      <c r="M102" s="1"/>
      <c r="N102" s="1"/>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56"/>
      <c r="ED102" s="56"/>
      <c r="EE102" s="56"/>
      <c r="EF102" s="2"/>
      <c r="EG102" s="2"/>
      <c r="EH102" s="2"/>
      <c r="EI102" s="2"/>
      <c r="EJ102" s="2"/>
      <c r="EK102" s="2"/>
      <c r="EL102" s="2"/>
      <c r="EM102" s="2"/>
      <c r="EN102" s="2"/>
      <c r="EO102" s="2"/>
      <c r="EP102" s="2"/>
      <c r="EQ102" s="2"/>
      <c r="ER102" s="2"/>
      <c r="ES102" s="2"/>
      <c r="ET102" s="2"/>
      <c r="EU102" s="2"/>
      <c r="EV102" s="2"/>
      <c r="EW102" s="2"/>
      <c r="EX102" s="2"/>
      <c r="EY102" s="2"/>
      <c r="EZ102" s="2"/>
      <c r="FA102" s="2"/>
      <c r="FB102" s="2"/>
    </row>
    <row r="103" spans="1:158" ht="30" customHeight="1" x14ac:dyDescent="0.2">
      <c r="A103" s="1"/>
      <c r="B103" s="21" t="s">
        <v>351</v>
      </c>
      <c r="C103" s="23" t="s">
        <v>321</v>
      </c>
      <c r="D103" s="23" t="s">
        <v>322</v>
      </c>
      <c r="E103" s="23" t="s">
        <v>324</v>
      </c>
      <c r="F103" s="23" t="s">
        <v>136</v>
      </c>
      <c r="G103" s="23" t="s">
        <v>137</v>
      </c>
      <c r="H103" s="23" t="s">
        <v>138</v>
      </c>
      <c r="I103" s="99" t="s">
        <v>139</v>
      </c>
      <c r="J103" s="100"/>
      <c r="K103" s="100"/>
      <c r="L103" s="100"/>
      <c r="M103" s="100"/>
      <c r="N103" s="1"/>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56"/>
      <c r="ED103" s="56"/>
      <c r="EE103" s="56"/>
      <c r="EF103" s="2"/>
      <c r="EG103" s="2"/>
      <c r="EH103" s="2"/>
      <c r="EI103" s="2"/>
      <c r="EJ103" s="2"/>
      <c r="EK103" s="2"/>
      <c r="EL103" s="2"/>
      <c r="EM103" s="2"/>
      <c r="EN103" s="2"/>
      <c r="EO103" s="2"/>
      <c r="EP103" s="2"/>
      <c r="EQ103" s="2"/>
      <c r="ER103" s="2"/>
      <c r="ES103" s="2"/>
      <c r="ET103" s="2"/>
      <c r="EU103" s="2"/>
      <c r="EV103" s="2"/>
      <c r="EW103" s="2"/>
      <c r="EX103" s="2"/>
      <c r="EY103" s="2"/>
      <c r="EZ103" s="2"/>
      <c r="FA103" s="2"/>
      <c r="FB103" s="2"/>
    </row>
    <row r="104" spans="1:158" ht="22" customHeight="1" x14ac:dyDescent="0.2">
      <c r="A104" s="1"/>
      <c r="B104" s="41">
        <f>B105-0.05</f>
        <v>0.49999999999999994</v>
      </c>
      <c r="C104" s="6">
        <f t="shared" ref="C104:E110" si="57">IF(AND($AE$87&gt;0,$AI$87&gt;0),1-$AD$87/($AE$87*$B104*$AI$87*C$101*(IFERROR($AJ$87/$AI$87,0))),0)</f>
        <v>0</v>
      </c>
      <c r="D104" s="6">
        <f t="shared" si="57"/>
        <v>0</v>
      </c>
      <c r="E104" s="6">
        <f t="shared" si="57"/>
        <v>0</v>
      </c>
      <c r="F104" s="6">
        <f>IF(AND($AE$87&gt;0,$AI$87&gt;0),1-$AD$87/($AE$87*$B104*$AI$87*1.1*(IFERROR($AJ$87/$AI$87,0))),0)</f>
        <v>0</v>
      </c>
      <c r="G104" s="6">
        <f>IF(AND($AE$87&gt;0,$AI$87&gt;0),1-$AD$87/($AE$87*$B104*$AI$87*1.2*(IFERROR($AJ$87/$AI$87,0))),0)</f>
        <v>0</v>
      </c>
      <c r="H104" s="6">
        <f>IF(AND($AE$87&gt;0,$AI$87&gt;0),1-$AD$87/($AE$87*$B104*$AI$87*1.3*(IFERROR($AJ$87/$AI$87,0))),0)</f>
        <v>0</v>
      </c>
      <c r="I104" s="91">
        <f t="shared" ref="I104:I110" si="58">E104-ref_bench_margin_target</f>
        <v>-0.5</v>
      </c>
      <c r="J104" s="88"/>
      <c r="K104" s="88"/>
      <c r="L104" s="88"/>
      <c r="M104" s="88"/>
      <c r="N104" s="1"/>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56"/>
      <c r="ED104" s="56"/>
      <c r="EE104" s="56"/>
      <c r="EF104" s="2"/>
      <c r="EG104" s="2"/>
      <c r="EH104" s="2"/>
      <c r="EI104" s="2"/>
      <c r="EJ104" s="2"/>
      <c r="EK104" s="2"/>
      <c r="EL104" s="2"/>
      <c r="EM104" s="2"/>
      <c r="EN104" s="2"/>
      <c r="EO104" s="2"/>
      <c r="EP104" s="2"/>
      <c r="EQ104" s="2"/>
      <c r="ER104" s="2"/>
      <c r="ES104" s="2"/>
      <c r="ET104" s="2"/>
      <c r="EU104" s="2"/>
      <c r="EV104" s="2"/>
      <c r="EW104" s="2"/>
      <c r="EX104" s="2"/>
      <c r="EY104" s="2"/>
      <c r="EZ104" s="2"/>
      <c r="FA104" s="2"/>
      <c r="FB104" s="2"/>
    </row>
    <row r="105" spans="1:158" ht="22" customHeight="1" x14ac:dyDescent="0.2">
      <c r="A105" s="1"/>
      <c r="B105" s="41">
        <f>B106-0.05</f>
        <v>0.54999999999999993</v>
      </c>
      <c r="C105" s="6">
        <f t="shared" si="57"/>
        <v>0</v>
      </c>
      <c r="D105" s="6">
        <f t="shared" si="57"/>
        <v>0</v>
      </c>
      <c r="E105" s="6">
        <f t="shared" si="57"/>
        <v>0</v>
      </c>
      <c r="F105" s="6">
        <f t="shared" ref="F105:F110" si="59">IF(AND($AE$87&gt;0,$AI$87&gt;0),1-$AD$87/($AE$87*$B105*$AI$87*1.1*(IFERROR($AJ$87/$AI$87,0))),0)</f>
        <v>0</v>
      </c>
      <c r="G105" s="6">
        <f t="shared" ref="G105:G110" si="60">IF(AND($AE$87&gt;0,$AI$87&gt;0),1-$AD$87/($AE$87*$B105*$AI$87*1.2*(IFERROR($AJ$87/$AI$87,0))),0)</f>
        <v>0</v>
      </c>
      <c r="H105" s="6">
        <f t="shared" ref="H105:H110" si="61">IF(AND($AE$87&gt;0,$AI$87&gt;0),1-$AD$87/($AE$87*$B105*$AI$87*1.3*(IFERROR($AJ$87/$AI$87,0))),0)</f>
        <v>0</v>
      </c>
      <c r="I105" s="91">
        <f t="shared" si="58"/>
        <v>-0.5</v>
      </c>
      <c r="J105" s="88"/>
      <c r="K105" s="88"/>
      <c r="L105" s="88"/>
      <c r="M105" s="88"/>
      <c r="N105" s="1"/>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56"/>
      <c r="ED105" s="56"/>
      <c r="EE105" s="56"/>
      <c r="EF105" s="2"/>
      <c r="EG105" s="2"/>
      <c r="EH105" s="2"/>
      <c r="EI105" s="2"/>
      <c r="EJ105" s="2"/>
      <c r="EK105" s="2"/>
      <c r="EL105" s="2"/>
      <c r="EM105" s="2"/>
      <c r="EN105" s="2"/>
      <c r="EO105" s="2"/>
      <c r="EP105" s="2"/>
      <c r="EQ105" s="2"/>
      <c r="ER105" s="2"/>
      <c r="ES105" s="2"/>
      <c r="ET105" s="2"/>
      <c r="EU105" s="2"/>
      <c r="EV105" s="2"/>
      <c r="EW105" s="2"/>
      <c r="EX105" s="2"/>
      <c r="EY105" s="2"/>
      <c r="EZ105" s="2"/>
      <c r="FA105" s="2"/>
      <c r="FB105" s="2"/>
    </row>
    <row r="106" spans="1:158" ht="22" customHeight="1" thickBot="1" x14ac:dyDescent="0.25">
      <c r="A106" s="1"/>
      <c r="B106" s="41">
        <f>B107-0.05</f>
        <v>0.6</v>
      </c>
      <c r="C106" s="6">
        <f t="shared" si="57"/>
        <v>0</v>
      </c>
      <c r="D106" s="6">
        <f t="shared" si="57"/>
        <v>0</v>
      </c>
      <c r="E106" s="6">
        <f t="shared" si="57"/>
        <v>0</v>
      </c>
      <c r="F106" s="6">
        <f t="shared" si="59"/>
        <v>0</v>
      </c>
      <c r="G106" s="6">
        <f t="shared" si="60"/>
        <v>0</v>
      </c>
      <c r="H106" s="6">
        <f t="shared" si="61"/>
        <v>0</v>
      </c>
      <c r="I106" s="91">
        <f t="shared" si="58"/>
        <v>-0.5</v>
      </c>
      <c r="J106" s="88"/>
      <c r="K106" s="88"/>
      <c r="L106" s="88"/>
      <c r="M106" s="88"/>
      <c r="N106" s="1"/>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56"/>
      <c r="ED106" s="56"/>
      <c r="EE106" s="56"/>
      <c r="EF106" s="2"/>
      <c r="EG106" s="2"/>
      <c r="EH106" s="2"/>
      <c r="EI106" s="2"/>
      <c r="EJ106" s="2"/>
      <c r="EK106" s="2"/>
      <c r="EL106" s="2"/>
      <c r="EM106" s="2"/>
      <c r="EN106" s="2"/>
      <c r="EO106" s="2"/>
      <c r="EP106" s="2"/>
      <c r="EQ106" s="2"/>
      <c r="ER106" s="2"/>
      <c r="ES106" s="2"/>
      <c r="ET106" s="2"/>
      <c r="EU106" s="2"/>
      <c r="EV106" s="2"/>
      <c r="EW106" s="2"/>
      <c r="EX106" s="2"/>
      <c r="EY106" s="2"/>
      <c r="EZ106" s="2"/>
      <c r="FA106" s="2"/>
      <c r="FB106" s="2"/>
    </row>
    <row r="107" spans="1:158" ht="17" thickTop="1" thickBot="1" x14ac:dyDescent="0.25">
      <c r="A107" s="1"/>
      <c r="B107" s="41">
        <f>IFERROR(AF87/AE87,0.65)</f>
        <v>0.65</v>
      </c>
      <c r="C107" s="6">
        <f t="shared" si="57"/>
        <v>0</v>
      </c>
      <c r="D107" s="62">
        <f t="shared" si="57"/>
        <v>0</v>
      </c>
      <c r="E107" s="6">
        <f t="shared" si="57"/>
        <v>0</v>
      </c>
      <c r="F107" s="6">
        <f t="shared" si="59"/>
        <v>0</v>
      </c>
      <c r="G107" s="6">
        <f t="shared" si="60"/>
        <v>0</v>
      </c>
      <c r="H107" s="6">
        <f t="shared" si="61"/>
        <v>0</v>
      </c>
      <c r="I107" s="91">
        <f t="shared" si="58"/>
        <v>-0.5</v>
      </c>
      <c r="J107" s="88"/>
      <c r="K107" s="88"/>
      <c r="L107" s="88"/>
      <c r="M107" s="88"/>
      <c r="N107" s="1"/>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56"/>
      <c r="ED107" s="56"/>
      <c r="EE107" s="56"/>
      <c r="EF107" s="2"/>
      <c r="EG107" s="2"/>
      <c r="EH107" s="2"/>
      <c r="EI107" s="2"/>
      <c r="EJ107" s="2"/>
      <c r="EK107" s="2"/>
      <c r="EL107" s="2"/>
      <c r="EM107" s="2"/>
      <c r="EN107" s="2"/>
      <c r="EO107" s="2"/>
      <c r="EP107" s="2"/>
      <c r="EQ107" s="2"/>
      <c r="ER107" s="2"/>
      <c r="ES107" s="2"/>
      <c r="ET107" s="2"/>
      <c r="EU107" s="2"/>
      <c r="EV107" s="2"/>
      <c r="EW107" s="2"/>
      <c r="EX107" s="2"/>
      <c r="EY107" s="2"/>
      <c r="EZ107" s="2"/>
      <c r="FA107" s="2"/>
      <c r="FB107" s="2"/>
    </row>
    <row r="108" spans="1:158" ht="22" customHeight="1" thickTop="1" x14ac:dyDescent="0.2">
      <c r="A108" s="1"/>
      <c r="B108" s="41">
        <f>B107+0.05</f>
        <v>0.70000000000000007</v>
      </c>
      <c r="C108" s="6">
        <f t="shared" si="57"/>
        <v>0</v>
      </c>
      <c r="D108" s="6">
        <f t="shared" si="57"/>
        <v>0</v>
      </c>
      <c r="E108" s="6">
        <f t="shared" si="57"/>
        <v>0</v>
      </c>
      <c r="F108" s="6">
        <f t="shared" si="59"/>
        <v>0</v>
      </c>
      <c r="G108" s="6">
        <f t="shared" si="60"/>
        <v>0</v>
      </c>
      <c r="H108" s="6">
        <f t="shared" si="61"/>
        <v>0</v>
      </c>
      <c r="I108" s="91">
        <f t="shared" si="58"/>
        <v>-0.5</v>
      </c>
      <c r="J108" s="88"/>
      <c r="K108" s="88"/>
      <c r="L108" s="88"/>
      <c r="M108" s="88"/>
      <c r="N108" s="1"/>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56"/>
      <c r="ED108" s="56"/>
      <c r="EE108" s="56"/>
      <c r="EF108" s="2"/>
      <c r="EG108" s="2"/>
      <c r="EH108" s="2"/>
      <c r="EI108" s="2"/>
      <c r="EJ108" s="2"/>
      <c r="EK108" s="2"/>
      <c r="EL108" s="2"/>
      <c r="EM108" s="2"/>
      <c r="EN108" s="2"/>
      <c r="EO108" s="2"/>
      <c r="EP108" s="2"/>
      <c r="EQ108" s="2"/>
      <c r="ER108" s="2"/>
      <c r="ES108" s="2"/>
      <c r="ET108" s="2"/>
      <c r="EU108" s="2"/>
      <c r="EV108" s="2"/>
      <c r="EW108" s="2"/>
      <c r="EX108" s="2"/>
      <c r="EY108" s="2"/>
      <c r="EZ108" s="2"/>
      <c r="FA108" s="2"/>
      <c r="FB108" s="2"/>
    </row>
    <row r="109" spans="1:158" ht="28" customHeight="1" x14ac:dyDescent="0.2">
      <c r="A109" s="1"/>
      <c r="B109" s="41">
        <f>B108+0.05</f>
        <v>0.75000000000000011</v>
      </c>
      <c r="C109" s="6">
        <f t="shared" si="57"/>
        <v>0</v>
      </c>
      <c r="D109" s="6">
        <f t="shared" si="57"/>
        <v>0</v>
      </c>
      <c r="E109" s="6">
        <f t="shared" si="57"/>
        <v>0</v>
      </c>
      <c r="F109" s="6">
        <f t="shared" si="59"/>
        <v>0</v>
      </c>
      <c r="G109" s="6">
        <f t="shared" si="60"/>
        <v>0</v>
      </c>
      <c r="H109" s="6">
        <f t="shared" si="61"/>
        <v>0</v>
      </c>
      <c r="I109" s="91">
        <f t="shared" si="58"/>
        <v>-0.5</v>
      </c>
      <c r="J109" s="88"/>
      <c r="K109" s="88"/>
      <c r="L109" s="88"/>
      <c r="M109" s="88"/>
      <c r="N109" s="1"/>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56"/>
      <c r="ED109" s="56"/>
      <c r="EE109" s="56"/>
      <c r="EF109" s="2"/>
      <c r="EG109" s="2"/>
      <c r="EH109" s="2"/>
      <c r="EI109" s="2"/>
      <c r="EJ109" s="2"/>
      <c r="EK109" s="2"/>
      <c r="EL109" s="2"/>
      <c r="EM109" s="2"/>
      <c r="EN109" s="2"/>
      <c r="EO109" s="2"/>
      <c r="EP109" s="2"/>
      <c r="EQ109" s="2"/>
      <c r="ER109" s="2"/>
      <c r="ES109" s="2"/>
      <c r="ET109" s="2"/>
      <c r="EU109" s="2"/>
      <c r="EV109" s="2"/>
      <c r="EW109" s="2"/>
      <c r="EX109" s="2"/>
      <c r="EY109" s="2"/>
      <c r="EZ109" s="2"/>
      <c r="FA109" s="2"/>
      <c r="FB109" s="2"/>
    </row>
    <row r="110" spans="1:158" ht="28" customHeight="1" x14ac:dyDescent="0.2">
      <c r="A110" s="1"/>
      <c r="B110" s="41">
        <f>B109+0.05</f>
        <v>0.80000000000000016</v>
      </c>
      <c r="C110" s="6">
        <f t="shared" si="57"/>
        <v>0</v>
      </c>
      <c r="D110" s="6">
        <f t="shared" si="57"/>
        <v>0</v>
      </c>
      <c r="E110" s="6">
        <f t="shared" si="57"/>
        <v>0</v>
      </c>
      <c r="F110" s="6">
        <f t="shared" si="59"/>
        <v>0</v>
      </c>
      <c r="G110" s="6">
        <f t="shared" si="60"/>
        <v>0</v>
      </c>
      <c r="H110" s="6">
        <f t="shared" si="61"/>
        <v>0</v>
      </c>
      <c r="I110" s="91">
        <f t="shared" si="58"/>
        <v>-0.5</v>
      </c>
      <c r="J110" s="88"/>
      <c r="K110" s="88"/>
      <c r="L110" s="88"/>
      <c r="M110" s="88"/>
      <c r="N110" s="1"/>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56"/>
      <c r="ED110" s="56"/>
      <c r="EE110" s="56"/>
      <c r="EF110" s="2"/>
      <c r="EG110" s="2"/>
      <c r="EH110" s="2"/>
      <c r="EI110" s="2"/>
      <c r="EJ110" s="2"/>
      <c r="EK110" s="2"/>
      <c r="EL110" s="2"/>
      <c r="EM110" s="2"/>
      <c r="EN110" s="2"/>
      <c r="EO110" s="2"/>
      <c r="EP110" s="2"/>
      <c r="EQ110" s="2"/>
      <c r="ER110" s="2"/>
      <c r="ES110" s="2"/>
      <c r="ET110" s="2"/>
      <c r="EU110" s="2"/>
      <c r="EV110" s="2"/>
      <c r="EW110" s="2"/>
      <c r="EX110" s="2"/>
      <c r="EY110" s="2"/>
      <c r="EZ110" s="2"/>
      <c r="FA110" s="2"/>
      <c r="FB110" s="2"/>
    </row>
    <row r="111" spans="1:158" ht="28" customHeight="1" x14ac:dyDescent="0.2">
      <c r="A111" s="1"/>
      <c r="B111" s="1"/>
      <c r="C111" s="60">
        <f>IFERROR(MAX(0.4,MIN(AJ87/AI87,1)-0.12),0.8)</f>
        <v>0.8</v>
      </c>
      <c r="D111" s="60">
        <f>IFERROR(MIN(AJ87/AI87,1),0.9)</f>
        <v>0.9</v>
      </c>
      <c r="E111" s="60">
        <f>IFERROR(MIN(MIN(AJ87/AI87,1)+0.04,1),1)</f>
        <v>1</v>
      </c>
      <c r="F111" s="1"/>
      <c r="G111" s="1"/>
      <c r="H111" s="1"/>
      <c r="I111" s="1"/>
      <c r="J111" s="1"/>
      <c r="K111" s="1"/>
      <c r="L111" s="1"/>
      <c r="M111" s="1"/>
      <c r="N111" s="1"/>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56"/>
      <c r="ED111" s="56"/>
      <c r="EE111" s="56"/>
      <c r="EF111" s="2"/>
      <c r="EG111" s="2"/>
      <c r="EH111" s="2"/>
      <c r="EI111" s="2"/>
      <c r="EJ111" s="2"/>
      <c r="EK111" s="2"/>
      <c r="EL111" s="2"/>
      <c r="EM111" s="2"/>
      <c r="EN111" s="2"/>
      <c r="EO111" s="2"/>
      <c r="EP111" s="2"/>
      <c r="EQ111" s="2"/>
      <c r="ER111" s="2"/>
      <c r="ES111" s="2"/>
      <c r="ET111" s="2"/>
      <c r="EU111" s="2"/>
      <c r="EV111" s="2"/>
      <c r="EW111" s="2"/>
      <c r="EX111" s="2"/>
      <c r="EY111" s="2"/>
      <c r="EZ111" s="2"/>
      <c r="FA111" s="2"/>
      <c r="FB111" s="2"/>
    </row>
    <row r="112" spans="1:158" x14ac:dyDescent="0.2">
      <c r="A112" s="1"/>
      <c r="B112" s="1"/>
      <c r="C112" s="60"/>
      <c r="D112" s="60"/>
      <c r="E112" s="60"/>
      <c r="F112" s="1"/>
      <c r="G112" s="1"/>
      <c r="H112" s="1"/>
      <c r="I112" s="1"/>
      <c r="J112" s="1"/>
      <c r="K112" s="1"/>
      <c r="L112" s="1"/>
      <c r="M112" s="1"/>
      <c r="N112" s="1"/>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56"/>
      <c r="ED112" s="56"/>
      <c r="EE112" s="56"/>
      <c r="EF112" s="2"/>
      <c r="EG112" s="2"/>
      <c r="EH112" s="2"/>
      <c r="EI112" s="2"/>
      <c r="EJ112" s="2"/>
      <c r="EK112" s="2"/>
      <c r="EL112" s="2"/>
      <c r="EM112" s="2"/>
      <c r="EN112" s="2"/>
      <c r="EO112" s="2"/>
      <c r="EP112" s="2"/>
      <c r="EQ112" s="2"/>
      <c r="ER112" s="2"/>
      <c r="ES112" s="2"/>
      <c r="ET112" s="2"/>
      <c r="EU112" s="2"/>
      <c r="EV112" s="2"/>
      <c r="EW112" s="2"/>
      <c r="EX112" s="2"/>
      <c r="EY112" s="2"/>
      <c r="EZ112" s="2"/>
      <c r="FA112" s="2"/>
      <c r="FB112" s="2"/>
    </row>
    <row r="113" spans="1:158" ht="40" customHeight="1" x14ac:dyDescent="0.2">
      <c r="A113" s="1"/>
      <c r="B113" s="5" t="s">
        <v>323</v>
      </c>
      <c r="C113" s="1"/>
      <c r="D113" s="1"/>
      <c r="E113" s="1"/>
      <c r="F113" s="1"/>
      <c r="G113" s="1"/>
      <c r="H113" s="1"/>
      <c r="I113" s="1"/>
      <c r="J113" s="1"/>
      <c r="K113" s="1"/>
      <c r="L113" s="1"/>
      <c r="M113" s="1"/>
      <c r="N113" s="1"/>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56"/>
      <c r="ED113" s="56"/>
      <c r="EE113" s="56"/>
      <c r="EF113" s="2"/>
      <c r="EG113" s="2"/>
      <c r="EH113" s="2"/>
      <c r="EI113" s="2"/>
      <c r="EJ113" s="2"/>
      <c r="EK113" s="2"/>
      <c r="EL113" s="2"/>
      <c r="EM113" s="2"/>
      <c r="EN113" s="2"/>
      <c r="EO113" s="2"/>
      <c r="EP113" s="2"/>
      <c r="EQ113" s="2"/>
      <c r="ER113" s="2"/>
      <c r="ES113" s="2"/>
      <c r="ET113" s="2"/>
      <c r="EU113" s="2"/>
      <c r="EV113" s="2"/>
      <c r="EW113" s="2"/>
      <c r="EX113" s="2"/>
      <c r="EY113" s="2"/>
      <c r="EZ113" s="2"/>
      <c r="FA113" s="2"/>
      <c r="FB113" s="2"/>
    </row>
    <row r="114" spans="1:158" ht="22" customHeight="1" x14ac:dyDescent="0.2">
      <c r="A114" s="1"/>
      <c r="B114" s="21" t="s">
        <v>351</v>
      </c>
      <c r="C114" s="63" t="str">
        <f>"keep "&amp;TEXT(C111,"0%")</f>
        <v>keep 80%</v>
      </c>
      <c r="D114" s="63" t="str">
        <f>"keep "&amp;TEXT(D111,"0%")&amp;" (today)"</f>
        <v>keep 90% (today)</v>
      </c>
      <c r="E114" s="63" t="str">
        <f>"keep "&amp;TEXT(E111,"0%")</f>
        <v>keep 100%</v>
      </c>
      <c r="F114" s="63">
        <v>0.9</v>
      </c>
      <c r="G114" s="63">
        <v>1</v>
      </c>
      <c r="H114" s="99" t="s">
        <v>139</v>
      </c>
      <c r="I114" s="100"/>
      <c r="J114" s="100"/>
      <c r="K114" s="100"/>
      <c r="L114" s="100"/>
      <c r="M114" s="100"/>
      <c r="N114" s="1"/>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56"/>
      <c r="ED114" s="56"/>
      <c r="EE114" s="56"/>
      <c r="EF114" s="2"/>
      <c r="EG114" s="2"/>
      <c r="EH114" s="2"/>
      <c r="EI114" s="2"/>
      <c r="EJ114" s="2"/>
      <c r="EK114" s="2"/>
      <c r="EL114" s="2"/>
      <c r="EM114" s="2"/>
      <c r="EN114" s="2"/>
      <c r="EO114" s="2"/>
      <c r="EP114" s="2"/>
      <c r="EQ114" s="2"/>
      <c r="ER114" s="2"/>
      <c r="ES114" s="2"/>
      <c r="ET114" s="2"/>
      <c r="EU114" s="2"/>
      <c r="EV114" s="2"/>
      <c r="EW114" s="2"/>
      <c r="EX114" s="2"/>
      <c r="EY114" s="2"/>
      <c r="EZ114" s="2"/>
      <c r="FA114" s="2"/>
      <c r="FB114" s="2"/>
    </row>
    <row r="115" spans="1:158" ht="24" customHeight="1" x14ac:dyDescent="0.2">
      <c r="A115" s="1"/>
      <c r="B115" s="41">
        <f>B116-0.05</f>
        <v>0.49999999999999994</v>
      </c>
      <c r="C115" s="6">
        <f t="shared" ref="C115:E121" si="62">IF(AND($AE$87&gt;0,$AI$87&gt;0),1-$AD$87/($AE$87*$B115*$AI$87*C$111),0)</f>
        <v>0</v>
      </c>
      <c r="D115" s="6">
        <f t="shared" si="62"/>
        <v>0</v>
      </c>
      <c r="E115" s="6">
        <f t="shared" si="62"/>
        <v>0</v>
      </c>
      <c r="F115" s="6">
        <f>IF(AND(AE87&gt;0,AI87&gt;0),1-AD87/(AE87*0.5*AI87*0.9),0)</f>
        <v>0</v>
      </c>
      <c r="G115" s="6">
        <f>IF(AND(AE87&gt;0,AI87&gt;0),1-AD87/(AE87*0.5*AI87*1),0)</f>
        <v>0</v>
      </c>
      <c r="H115" s="91">
        <f t="shared" ref="H115:H121" si="63">E115-ref_bench_margin_target</f>
        <v>-0.5</v>
      </c>
      <c r="I115" s="88"/>
      <c r="J115" s="88"/>
      <c r="K115" s="88"/>
      <c r="L115" s="88"/>
      <c r="M115" s="88"/>
      <c r="N115" s="1"/>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56"/>
      <c r="ED115" s="56"/>
      <c r="EE115" s="56"/>
      <c r="EF115" s="2"/>
      <c r="EG115" s="2"/>
      <c r="EH115" s="2"/>
      <c r="EI115" s="2"/>
      <c r="EJ115" s="2"/>
      <c r="EK115" s="2"/>
      <c r="EL115" s="2"/>
      <c r="EM115" s="2"/>
      <c r="EN115" s="2"/>
      <c r="EO115" s="2"/>
      <c r="EP115" s="2"/>
      <c r="EQ115" s="2"/>
      <c r="ER115" s="2"/>
      <c r="ES115" s="2"/>
      <c r="ET115" s="2"/>
      <c r="EU115" s="2"/>
      <c r="EV115" s="2"/>
      <c r="EW115" s="2"/>
      <c r="EX115" s="2"/>
      <c r="EY115" s="2"/>
      <c r="EZ115" s="2"/>
      <c r="FA115" s="2"/>
      <c r="FB115" s="2"/>
    </row>
    <row r="116" spans="1:158" ht="20" customHeight="1" x14ac:dyDescent="0.2">
      <c r="A116" s="1"/>
      <c r="B116" s="41">
        <f>B117-0.05</f>
        <v>0.54999999999999993</v>
      </c>
      <c r="C116" s="6">
        <f t="shared" si="62"/>
        <v>0</v>
      </c>
      <c r="D116" s="6">
        <f t="shared" si="62"/>
        <v>0</v>
      </c>
      <c r="E116" s="6">
        <f t="shared" si="62"/>
        <v>0</v>
      </c>
      <c r="F116" s="6">
        <f>IF(AND(AE87&gt;0,AI87&gt;0),1-AD87/(AE87*0.55*AI87*0.9),0)</f>
        <v>0</v>
      </c>
      <c r="G116" s="6">
        <f>IF(AND(AE87&gt;0,AI87&gt;0),1-AD87/(AE87*0.55*AI87*1),0)</f>
        <v>0</v>
      </c>
      <c r="H116" s="91">
        <f t="shared" si="63"/>
        <v>-0.5</v>
      </c>
      <c r="I116" s="88"/>
      <c r="J116" s="88"/>
      <c r="K116" s="88"/>
      <c r="L116" s="88"/>
      <c r="M116" s="88"/>
      <c r="N116" s="1"/>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56"/>
      <c r="ED116" s="56"/>
      <c r="EE116" s="56"/>
      <c r="EF116" s="2"/>
      <c r="EG116" s="2"/>
      <c r="EH116" s="2"/>
      <c r="EI116" s="2"/>
      <c r="EJ116" s="2"/>
      <c r="EK116" s="2"/>
      <c r="EL116" s="2"/>
      <c r="EM116" s="2"/>
      <c r="EN116" s="2"/>
      <c r="EO116" s="2"/>
      <c r="EP116" s="2"/>
      <c r="EQ116" s="2"/>
      <c r="ER116" s="2"/>
      <c r="ES116" s="2"/>
      <c r="ET116" s="2"/>
      <c r="EU116" s="2"/>
      <c r="EV116" s="2"/>
      <c r="EW116" s="2"/>
      <c r="EX116" s="2"/>
      <c r="EY116" s="2"/>
      <c r="EZ116" s="2"/>
      <c r="FA116" s="2"/>
      <c r="FB116" s="2"/>
    </row>
    <row r="117" spans="1:158" ht="20" customHeight="1" thickBot="1" x14ac:dyDescent="0.25">
      <c r="A117" s="1"/>
      <c r="B117" s="41">
        <f>B118-0.05</f>
        <v>0.6</v>
      </c>
      <c r="C117" s="6">
        <f t="shared" si="62"/>
        <v>0</v>
      </c>
      <c r="D117" s="6">
        <f t="shared" si="62"/>
        <v>0</v>
      </c>
      <c r="E117" s="6">
        <f t="shared" si="62"/>
        <v>0</v>
      </c>
      <c r="F117" s="6">
        <f>IF(AND(AE87&gt;0,AI87&gt;0),1-AD87/(AE87*0.6*AI87*0.9),0)</f>
        <v>0</v>
      </c>
      <c r="G117" s="6">
        <f>IF(AND(AE87&gt;0,AI87&gt;0),1-AD87/(AE87*0.6*AI87*1),0)</f>
        <v>0</v>
      </c>
      <c r="H117" s="91">
        <f t="shared" si="63"/>
        <v>-0.5</v>
      </c>
      <c r="I117" s="88"/>
      <c r="J117" s="88"/>
      <c r="K117" s="88"/>
      <c r="L117" s="88"/>
      <c r="M117" s="88"/>
      <c r="N117" s="1"/>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56"/>
      <c r="ED117" s="56"/>
      <c r="EE117" s="56"/>
      <c r="EF117" s="2"/>
      <c r="EG117" s="2"/>
      <c r="EH117" s="2"/>
      <c r="EI117" s="2"/>
      <c r="EJ117" s="2"/>
      <c r="EK117" s="2"/>
      <c r="EL117" s="2"/>
      <c r="EM117" s="2"/>
      <c r="EN117" s="2"/>
      <c r="EO117" s="2"/>
      <c r="EP117" s="2"/>
      <c r="EQ117" s="2"/>
      <c r="ER117" s="2"/>
      <c r="ES117" s="2"/>
      <c r="ET117" s="2"/>
      <c r="EU117" s="2"/>
      <c r="EV117" s="2"/>
      <c r="EW117" s="2"/>
      <c r="EX117" s="2"/>
      <c r="EY117" s="2"/>
      <c r="EZ117" s="2"/>
      <c r="FA117" s="2"/>
      <c r="FB117" s="2"/>
    </row>
    <row r="118" spans="1:158" ht="20" customHeight="1" thickTop="1" thickBot="1" x14ac:dyDescent="0.25">
      <c r="A118" s="1"/>
      <c r="B118" s="41">
        <f>IFERROR(AF87/AE87,0.65)</f>
        <v>0.65</v>
      </c>
      <c r="C118" s="6">
        <f t="shared" si="62"/>
        <v>0</v>
      </c>
      <c r="D118" s="62">
        <f t="shared" si="62"/>
        <v>0</v>
      </c>
      <c r="E118" s="6">
        <f t="shared" si="62"/>
        <v>0</v>
      </c>
      <c r="F118" s="6">
        <f>IF(AND(AE87&gt;0,AI87&gt;0),1-AD87/(AE87*0.65*AI87*0.9),0)</f>
        <v>0</v>
      </c>
      <c r="G118" s="6">
        <f>IF(AND(AE87&gt;0,AI87&gt;0),1-AD87/(AE87*0.65*AI87*1),0)</f>
        <v>0</v>
      </c>
      <c r="H118" s="91">
        <f t="shared" si="63"/>
        <v>-0.5</v>
      </c>
      <c r="I118" s="88"/>
      <c r="J118" s="88"/>
      <c r="K118" s="88"/>
      <c r="L118" s="88"/>
      <c r="M118" s="88"/>
      <c r="N118" s="1"/>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56"/>
      <c r="ED118" s="56"/>
      <c r="EE118" s="56"/>
      <c r="EF118" s="2"/>
      <c r="EG118" s="2"/>
      <c r="EH118" s="2"/>
      <c r="EI118" s="2"/>
      <c r="EJ118" s="2"/>
      <c r="EK118" s="2"/>
      <c r="EL118" s="2"/>
      <c r="EM118" s="2"/>
      <c r="EN118" s="2"/>
      <c r="EO118" s="2"/>
      <c r="EP118" s="2"/>
      <c r="EQ118" s="2"/>
      <c r="ER118" s="2"/>
      <c r="ES118" s="2"/>
      <c r="ET118" s="2"/>
      <c r="EU118" s="2"/>
      <c r="EV118" s="2"/>
      <c r="EW118" s="2"/>
      <c r="EX118" s="2"/>
      <c r="EY118" s="2"/>
      <c r="EZ118" s="2"/>
      <c r="FA118" s="2"/>
      <c r="FB118" s="2"/>
    </row>
    <row r="119" spans="1:158" ht="20" customHeight="1" thickTop="1" x14ac:dyDescent="0.2">
      <c r="A119" s="1"/>
      <c r="B119" s="41">
        <f>B118+0.05</f>
        <v>0.70000000000000007</v>
      </c>
      <c r="C119" s="6">
        <f t="shared" si="62"/>
        <v>0</v>
      </c>
      <c r="D119" s="6">
        <f t="shared" si="62"/>
        <v>0</v>
      </c>
      <c r="E119" s="6">
        <f t="shared" si="62"/>
        <v>0</v>
      </c>
      <c r="F119" s="6">
        <f>IF(AND(AE87&gt;0,AI87&gt;0),1-AD87/(AE87*0.7*AI87*0.9),0)</f>
        <v>0</v>
      </c>
      <c r="G119" s="6">
        <f>IF(AND(AE87&gt;0,AI87&gt;0),1-AD87/(AE87*0.7*AI87*1),0)</f>
        <v>0</v>
      </c>
      <c r="H119" s="91">
        <f t="shared" si="63"/>
        <v>-0.5</v>
      </c>
      <c r="I119" s="88"/>
      <c r="J119" s="88"/>
      <c r="K119" s="88"/>
      <c r="L119" s="88"/>
      <c r="M119" s="88"/>
      <c r="N119" s="1"/>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56"/>
      <c r="ED119" s="56"/>
      <c r="EE119" s="56"/>
      <c r="EF119" s="2"/>
      <c r="EG119" s="2"/>
      <c r="EH119" s="2"/>
      <c r="EI119" s="2"/>
      <c r="EJ119" s="2"/>
      <c r="EK119" s="2"/>
      <c r="EL119" s="2"/>
      <c r="EM119" s="2"/>
      <c r="EN119" s="2"/>
      <c r="EO119" s="2"/>
      <c r="EP119" s="2"/>
      <c r="EQ119" s="2"/>
      <c r="ER119" s="2"/>
      <c r="ES119" s="2"/>
      <c r="ET119" s="2"/>
      <c r="EU119" s="2"/>
      <c r="EV119" s="2"/>
      <c r="EW119" s="2"/>
      <c r="EX119" s="2"/>
      <c r="EY119" s="2"/>
      <c r="EZ119" s="2"/>
      <c r="FA119" s="2"/>
      <c r="FB119" s="2"/>
    </row>
    <row r="120" spans="1:158" ht="20" customHeight="1" x14ac:dyDescent="0.2">
      <c r="A120" s="1"/>
      <c r="B120" s="41">
        <f>B119+0.05</f>
        <v>0.75000000000000011</v>
      </c>
      <c r="C120" s="6">
        <f t="shared" si="62"/>
        <v>0</v>
      </c>
      <c r="D120" s="6">
        <f t="shared" si="62"/>
        <v>0</v>
      </c>
      <c r="E120" s="6">
        <f t="shared" si="62"/>
        <v>0</v>
      </c>
      <c r="F120" s="6">
        <f>IF(AND(AE87&gt;0,AI87&gt;0),1-AD87/(AE87*0.75*AI87*0.9),0)</f>
        <v>0</v>
      </c>
      <c r="G120" s="6">
        <f>IF(AND(AE87&gt;0,AI87&gt;0),1-AD87/(AE87*0.75*AI87*1),0)</f>
        <v>0</v>
      </c>
      <c r="H120" s="91">
        <f t="shared" si="63"/>
        <v>-0.5</v>
      </c>
      <c r="I120" s="88"/>
      <c r="J120" s="88"/>
      <c r="K120" s="88"/>
      <c r="L120" s="88"/>
      <c r="M120" s="88"/>
      <c r="N120" s="1"/>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56"/>
      <c r="ED120" s="56"/>
      <c r="EE120" s="56"/>
      <c r="EF120" s="2"/>
      <c r="EG120" s="2"/>
      <c r="EH120" s="2"/>
      <c r="EI120" s="2"/>
      <c r="EJ120" s="2"/>
      <c r="EK120" s="2"/>
      <c r="EL120" s="2"/>
      <c r="EM120" s="2"/>
      <c r="EN120" s="2"/>
      <c r="EO120" s="2"/>
      <c r="EP120" s="2"/>
      <c r="EQ120" s="2"/>
      <c r="ER120" s="2"/>
      <c r="ES120" s="2"/>
      <c r="ET120" s="2"/>
      <c r="EU120" s="2"/>
      <c r="EV120" s="2"/>
      <c r="EW120" s="2"/>
      <c r="EX120" s="2"/>
      <c r="EY120" s="2"/>
      <c r="EZ120" s="2"/>
      <c r="FA120" s="2"/>
      <c r="FB120" s="2"/>
    </row>
    <row r="121" spans="1:158" ht="20" customHeight="1" x14ac:dyDescent="0.2">
      <c r="A121" s="1"/>
      <c r="B121" s="41">
        <f>B120+0.05</f>
        <v>0.80000000000000016</v>
      </c>
      <c r="C121" s="6">
        <f t="shared" si="62"/>
        <v>0</v>
      </c>
      <c r="D121" s="6">
        <f t="shared" si="62"/>
        <v>0</v>
      </c>
      <c r="E121" s="6">
        <f t="shared" si="62"/>
        <v>0</v>
      </c>
      <c r="F121" s="6">
        <f>IF(AND(AE87&gt;0,AI87&gt;0),1-AD87/(AE87*0.8*AI87*0.9),0)</f>
        <v>0</v>
      </c>
      <c r="G121" s="6">
        <f>IF(AND(AE87&gt;0,AI87&gt;0),1-AD87/(AE87*0.8*AI87*1),0)</f>
        <v>0</v>
      </c>
      <c r="H121" s="91">
        <f t="shared" si="63"/>
        <v>-0.5</v>
      </c>
      <c r="I121" s="88"/>
      <c r="J121" s="88"/>
      <c r="K121" s="88"/>
      <c r="L121" s="88"/>
      <c r="M121" s="88"/>
      <c r="N121" s="1"/>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56"/>
      <c r="ED121" s="56"/>
      <c r="EE121" s="56"/>
      <c r="EF121" s="2"/>
      <c r="EG121" s="2"/>
      <c r="EH121" s="2"/>
      <c r="EI121" s="2"/>
      <c r="EJ121" s="2"/>
      <c r="EK121" s="2"/>
      <c r="EL121" s="2"/>
      <c r="EM121" s="2"/>
      <c r="EN121" s="2"/>
      <c r="EO121" s="2"/>
      <c r="EP121" s="2"/>
      <c r="EQ121" s="2"/>
      <c r="ER121" s="2"/>
      <c r="ES121" s="2"/>
      <c r="ET121" s="2"/>
      <c r="EU121" s="2"/>
      <c r="EV121" s="2"/>
      <c r="EW121" s="2"/>
      <c r="EX121" s="2"/>
      <c r="EY121" s="2"/>
      <c r="EZ121" s="2"/>
      <c r="FA121" s="2"/>
      <c r="FB121" s="2"/>
    </row>
    <row r="122" spans="1:158" ht="20" customHeight="1" x14ac:dyDescent="0.2">
      <c r="A122" s="1"/>
      <c r="B122" s="1"/>
      <c r="C122" s="1"/>
      <c r="D122" s="1"/>
      <c r="E122" s="1"/>
      <c r="F122" s="1"/>
      <c r="G122" s="1"/>
      <c r="H122" s="1"/>
      <c r="I122" s="1"/>
      <c r="J122" s="1"/>
      <c r="K122" s="1"/>
      <c r="L122" s="1"/>
      <c r="M122" s="1"/>
      <c r="N122" s="1"/>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56"/>
      <c r="ED122" s="56"/>
      <c r="EE122" s="56"/>
      <c r="EF122" s="2"/>
      <c r="EG122" s="2"/>
      <c r="EH122" s="2"/>
      <c r="EI122" s="2"/>
      <c r="EJ122" s="2"/>
      <c r="EK122" s="2"/>
      <c r="EL122" s="2"/>
      <c r="EM122" s="2"/>
      <c r="EN122" s="2"/>
      <c r="EO122" s="2"/>
      <c r="EP122" s="2"/>
      <c r="EQ122" s="2"/>
      <c r="ER122" s="2"/>
      <c r="ES122" s="2"/>
      <c r="ET122" s="2"/>
      <c r="EU122" s="2"/>
      <c r="EV122" s="2"/>
      <c r="EW122" s="2"/>
      <c r="EX122" s="2"/>
      <c r="EY122" s="2"/>
      <c r="EZ122" s="2"/>
      <c r="FA122" s="2"/>
      <c r="FB122" s="2"/>
    </row>
    <row r="123" spans="1:158" ht="20" customHeight="1" x14ac:dyDescent="0.2">
      <c r="A123" s="1"/>
      <c r="B123" s="5" t="s">
        <v>142</v>
      </c>
      <c r="C123" s="1"/>
      <c r="D123" s="1"/>
      <c r="E123" s="1"/>
      <c r="F123" s="1"/>
      <c r="G123" s="1"/>
      <c r="H123" s="1"/>
      <c r="I123" s="1"/>
      <c r="J123" s="1"/>
      <c r="K123" s="1"/>
      <c r="L123" s="1"/>
      <c r="M123" s="1"/>
      <c r="N123" s="1"/>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56"/>
      <c r="ED123" s="56"/>
      <c r="EE123" s="56"/>
      <c r="EF123" s="2"/>
      <c r="EG123" s="2"/>
      <c r="EH123" s="2"/>
      <c r="EI123" s="2"/>
      <c r="EJ123" s="2"/>
      <c r="EK123" s="2"/>
      <c r="EL123" s="2"/>
      <c r="EM123" s="2"/>
      <c r="EN123" s="2"/>
      <c r="EO123" s="2"/>
      <c r="EP123" s="2"/>
      <c r="EQ123" s="2"/>
      <c r="ER123" s="2"/>
      <c r="ES123" s="2"/>
      <c r="ET123" s="2"/>
      <c r="EU123" s="2"/>
      <c r="EV123" s="2"/>
      <c r="EW123" s="2"/>
      <c r="EX123" s="2"/>
      <c r="EY123" s="2"/>
      <c r="EZ123" s="2"/>
      <c r="FA123" s="2"/>
      <c r="FB123" s="2"/>
    </row>
    <row r="124" spans="1:158" ht="20" customHeight="1" x14ac:dyDescent="0.2">
      <c r="A124" s="1"/>
      <c r="B124" s="9" t="s">
        <v>143</v>
      </c>
      <c r="C124" s="1"/>
      <c r="D124" s="6">
        <f>inp_biz_target_margin</f>
        <v>0</v>
      </c>
      <c r="E124" s="93" t="s">
        <v>144</v>
      </c>
      <c r="F124" s="88"/>
      <c r="G124" s="88"/>
      <c r="H124" s="117" t="s">
        <v>145</v>
      </c>
      <c r="I124" s="88"/>
      <c r="J124" s="88"/>
      <c r="K124" s="88"/>
      <c r="L124" s="116">
        <f>AL87</f>
        <v>0</v>
      </c>
      <c r="M124" s="88"/>
      <c r="N124" s="1"/>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56"/>
      <c r="ED124" s="56"/>
      <c r="EE124" s="56"/>
      <c r="EF124" s="2"/>
      <c r="EG124" s="2"/>
      <c r="EH124" s="2"/>
      <c r="EI124" s="2"/>
      <c r="EJ124" s="2"/>
      <c r="EK124" s="2"/>
      <c r="EL124" s="2"/>
      <c r="EM124" s="2"/>
      <c r="EN124" s="2"/>
      <c r="EO124" s="2"/>
      <c r="EP124" s="2"/>
      <c r="EQ124" s="2"/>
      <c r="ER124" s="2"/>
      <c r="ES124" s="2"/>
      <c r="ET124" s="2"/>
      <c r="EU124" s="2"/>
      <c r="EV124" s="2"/>
      <c r="EW124" s="2"/>
      <c r="EX124" s="2"/>
      <c r="EY124" s="2"/>
      <c r="EZ124" s="2"/>
      <c r="FA124" s="2"/>
      <c r="FB124" s="2"/>
    </row>
    <row r="125" spans="1:158" ht="20" customHeight="1" x14ac:dyDescent="0.2">
      <c r="A125" s="1"/>
      <c r="B125" s="9" t="s">
        <v>146</v>
      </c>
      <c r="C125" s="1"/>
      <c r="D125" s="42">
        <f>IF(AND(AE87&gt;0,AJ87&gt;0),AD87/(AE87*AJ87*(1-inp_biz_target_margin)),0)</f>
        <v>0</v>
      </c>
      <c r="E125" s="94" t="str">
        <f>"vs current "&amp;TEXT(IFERROR(AF87/AE87,0),"0%")</f>
        <v>vs current 0%</v>
      </c>
      <c r="F125" s="88"/>
      <c r="G125" s="88"/>
      <c r="H125" s="93" t="str">
        <f>"lift utilisation by "&amp;TEXT(MAX(0,(D125-(IFERROR(AF87/AE87,0)))*100),"0.0")&amp;" pts to reach target."</f>
        <v>lift utilisation by 0.0 pts to reach target.</v>
      </c>
      <c r="I125" s="88"/>
      <c r="J125" s="88"/>
      <c r="K125" s="88"/>
      <c r="L125" s="88"/>
      <c r="M125" s="88"/>
      <c r="N125" s="1"/>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56"/>
      <c r="ED125" s="56"/>
      <c r="EE125" s="56"/>
      <c r="EF125" s="2"/>
      <c r="EG125" s="2"/>
      <c r="EH125" s="2"/>
      <c r="EI125" s="2"/>
      <c r="EJ125" s="2"/>
      <c r="EK125" s="2"/>
      <c r="EL125" s="2"/>
      <c r="EM125" s="2"/>
      <c r="EN125" s="2"/>
      <c r="EO125" s="2"/>
      <c r="EP125" s="2"/>
      <c r="EQ125" s="2"/>
      <c r="ER125" s="2"/>
      <c r="ES125" s="2"/>
      <c r="ET125" s="2"/>
      <c r="EU125" s="2"/>
      <c r="EV125" s="2"/>
      <c r="EW125" s="2"/>
      <c r="EX125" s="2"/>
      <c r="EY125" s="2"/>
      <c r="EZ125" s="2"/>
      <c r="FA125" s="2"/>
      <c r="FB125" s="2"/>
    </row>
    <row r="126" spans="1:158" ht="20" customHeight="1" x14ac:dyDescent="0.2">
      <c r="A126" s="1"/>
      <c r="B126" s="9" t="s">
        <v>307</v>
      </c>
      <c r="C126" s="1"/>
      <c r="D126" s="43">
        <f>IF(AND(AJ87&gt;0,AF87&gt;0),(IFERROR(AD87/AF87,0))/(AJ87*(1-inp_biz_target_margin)),0)</f>
        <v>0</v>
      </c>
      <c r="E126" s="94" t="s">
        <v>147</v>
      </c>
      <c r="F126" s="88"/>
      <c r="G126" s="88"/>
      <c r="H126" s="93" t="str">
        <f>IF(D126&gt;=1,"raise","reduce")&amp;" blended earned rate from "&amp;TEXT(AJ87,"$0.00")&amp;"/hr to "&amp;TEXT(AJ87*D126,"$0.00")&amp;"/hr to reach target."</f>
        <v>reduce blended earned rate from $0.00/hr to $0.00/hr to reach target.</v>
      </c>
      <c r="I126" s="88"/>
      <c r="J126" s="88"/>
      <c r="K126" s="88"/>
      <c r="L126" s="88"/>
      <c r="M126" s="88"/>
      <c r="N126" s="1"/>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56"/>
      <c r="ED126" s="56"/>
      <c r="EE126" s="56"/>
      <c r="EF126" s="2"/>
      <c r="EG126" s="2"/>
      <c r="EH126" s="2"/>
      <c r="EI126" s="2"/>
      <c r="EJ126" s="2"/>
      <c r="EK126" s="2"/>
      <c r="EL126" s="2"/>
      <c r="EM126" s="2"/>
      <c r="EN126" s="2"/>
      <c r="EO126" s="2"/>
      <c r="EP126" s="2"/>
      <c r="EQ126" s="2"/>
      <c r="ER126" s="2"/>
      <c r="ES126" s="2"/>
      <c r="ET126" s="2"/>
      <c r="EU126" s="2"/>
      <c r="EV126" s="2"/>
      <c r="EW126" s="2"/>
      <c r="EX126" s="2"/>
      <c r="EY126" s="2"/>
      <c r="EZ126" s="2"/>
      <c r="FA126" s="2"/>
      <c r="FB126" s="2"/>
    </row>
    <row r="127" spans="1:158" ht="20" customHeight="1" x14ac:dyDescent="0.2">
      <c r="A127" s="1"/>
      <c r="B127" s="9" t="s">
        <v>148</v>
      </c>
      <c r="C127" s="1"/>
      <c r="D127" s="42">
        <f>IF(AND(AI87&gt;0,AF87&gt;0),AD87/(AF87*AI87*(1-inp_biz_target_margin)),0)</f>
        <v>0</v>
      </c>
      <c r="E127" s="94" t="str">
        <f>"vs current "&amp;TEXT(IFERROR(AJ87/AI87,0),"0%")</f>
        <v>vs current 0%</v>
      </c>
      <c r="F127" s="88"/>
      <c r="G127" s="88"/>
      <c r="H127" s="93" t="str">
        <f>IF(D127&gt;1,"Realisation needs to exceed 100%, not achievable. Pull a different lever.","close write-offs / scope absorption to reach this realisation.")</f>
        <v>close write-offs / scope absorption to reach this realisation.</v>
      </c>
      <c r="I127" s="88"/>
      <c r="J127" s="88"/>
      <c r="K127" s="88"/>
      <c r="L127" s="88"/>
      <c r="M127" s="88"/>
      <c r="N127" s="1"/>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56"/>
      <c r="ED127" s="56"/>
      <c r="EE127" s="56"/>
      <c r="EF127" s="2"/>
      <c r="EG127" s="2"/>
      <c r="EH127" s="2"/>
      <c r="EI127" s="2"/>
      <c r="EJ127" s="2"/>
      <c r="EK127" s="2"/>
      <c r="EL127" s="2"/>
      <c r="EM127" s="2"/>
      <c r="EN127" s="2"/>
      <c r="EO127" s="2"/>
      <c r="EP127" s="2"/>
      <c r="EQ127" s="2"/>
      <c r="ER127" s="2"/>
      <c r="ES127" s="2"/>
      <c r="ET127" s="2"/>
      <c r="EU127" s="2"/>
      <c r="EV127" s="2"/>
      <c r="EW127" s="2"/>
      <c r="EX127" s="2"/>
      <c r="EY127" s="2"/>
      <c r="EZ127" s="2"/>
      <c r="FA127" s="2"/>
      <c r="FB127" s="2"/>
    </row>
    <row r="128" spans="1:158" ht="20" customHeight="1" x14ac:dyDescent="0.2">
      <c r="A128" s="1"/>
      <c r="B128" s="1"/>
      <c r="C128" s="1"/>
      <c r="D128" s="1"/>
      <c r="E128" s="1"/>
      <c r="F128" s="1"/>
      <c r="G128" s="1"/>
      <c r="H128" s="1"/>
      <c r="I128" s="1"/>
      <c r="J128" s="1"/>
      <c r="K128" s="1"/>
      <c r="L128" s="1"/>
      <c r="M128" s="1"/>
      <c r="N128" s="1"/>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56"/>
      <c r="ED128" s="56"/>
      <c r="EE128" s="56"/>
      <c r="EF128" s="2"/>
      <c r="EG128" s="2"/>
      <c r="EH128" s="2"/>
      <c r="EI128" s="2"/>
      <c r="EJ128" s="2"/>
      <c r="EK128" s="2"/>
      <c r="EL128" s="2"/>
      <c r="EM128" s="2"/>
      <c r="EN128" s="2"/>
      <c r="EO128" s="2"/>
      <c r="EP128" s="2"/>
      <c r="EQ128" s="2"/>
      <c r="ER128" s="2"/>
      <c r="ES128" s="2"/>
      <c r="ET128" s="2"/>
      <c r="EU128" s="2"/>
      <c r="EV128" s="2"/>
      <c r="EW128" s="2"/>
      <c r="EX128" s="2"/>
      <c r="EY128" s="2"/>
      <c r="EZ128" s="2"/>
      <c r="FA128" s="2"/>
      <c r="FB128" s="2"/>
    </row>
    <row r="129" spans="1:158" ht="20" customHeight="1" x14ac:dyDescent="0.2">
      <c r="A129" s="1"/>
      <c r="B129" s="5" t="s">
        <v>149</v>
      </c>
      <c r="C129" s="1"/>
      <c r="D129" s="1"/>
      <c r="E129" s="1"/>
      <c r="F129" s="1"/>
      <c r="G129" s="1"/>
      <c r="H129" s="1"/>
      <c r="I129" s="1"/>
      <c r="J129" s="1"/>
      <c r="K129" s="89" t="s">
        <v>150</v>
      </c>
      <c r="L129" s="88"/>
      <c r="M129" s="44" t="str">
        <f>IF(COUNTIF(M131:M154,"FAIL")=0,"PASS","FAIL ("&amp;COUNTIF(M131:M154,"FAIL")&amp;")")</f>
        <v>PASS</v>
      </c>
      <c r="N129" s="1"/>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56"/>
      <c r="ED129" s="56"/>
      <c r="EE129" s="56"/>
      <c r="EF129" s="2"/>
      <c r="EG129" s="2"/>
      <c r="EH129" s="2"/>
      <c r="EI129" s="2"/>
      <c r="EJ129" s="2"/>
      <c r="EK129" s="2"/>
      <c r="EL129" s="2"/>
      <c r="EM129" s="2"/>
      <c r="EN129" s="2"/>
      <c r="EO129" s="2"/>
      <c r="EP129" s="2"/>
      <c r="EQ129" s="2"/>
      <c r="ER129" s="2"/>
      <c r="ES129" s="2"/>
      <c r="ET129" s="2"/>
      <c r="EU129" s="2"/>
      <c r="EV129" s="2"/>
      <c r="EW129" s="2"/>
      <c r="EX129" s="2"/>
      <c r="EY129" s="2"/>
      <c r="EZ129" s="2"/>
      <c r="FA129" s="2"/>
      <c r="FB129" s="2"/>
    </row>
    <row r="130" spans="1:158" ht="20" customHeight="1" x14ac:dyDescent="0.2">
      <c r="A130" s="1"/>
      <c r="B130" s="7" t="s">
        <v>151</v>
      </c>
      <c r="C130" s="103" t="s">
        <v>152</v>
      </c>
      <c r="D130" s="100"/>
      <c r="E130" s="100"/>
      <c r="F130" s="100"/>
      <c r="G130" s="100"/>
      <c r="H130" s="100"/>
      <c r="I130" s="100"/>
      <c r="J130" s="8" t="s">
        <v>153</v>
      </c>
      <c r="K130" s="8" t="s">
        <v>154</v>
      </c>
      <c r="L130" s="8" t="s">
        <v>155</v>
      </c>
      <c r="M130" s="27" t="s">
        <v>156</v>
      </c>
      <c r="N130" s="1"/>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56"/>
      <c r="ED130" s="56"/>
      <c r="EE130" s="56"/>
      <c r="EF130" s="2"/>
      <c r="EG130" s="2"/>
      <c r="EH130" s="2"/>
      <c r="EI130" s="2"/>
      <c r="EJ130" s="2"/>
      <c r="EK130" s="2"/>
      <c r="EL130" s="2"/>
      <c r="EM130" s="2"/>
      <c r="EN130" s="2"/>
      <c r="EO130" s="2"/>
      <c r="EP130" s="2"/>
      <c r="EQ130" s="2"/>
      <c r="ER130" s="2"/>
      <c r="ES130" s="2"/>
      <c r="ET130" s="2"/>
      <c r="EU130" s="2"/>
      <c r="EV130" s="2"/>
      <c r="EW130" s="2"/>
      <c r="EX130" s="2"/>
      <c r="EY130" s="2"/>
      <c r="EZ130" s="2"/>
      <c r="FA130" s="2"/>
      <c r="FB130" s="2"/>
    </row>
    <row r="131" spans="1:158" ht="20" customHeight="1" x14ac:dyDescent="0.2">
      <c r="A131" s="1"/>
      <c r="B131" s="31" t="s">
        <v>157</v>
      </c>
      <c r="C131" s="87" t="s">
        <v>158</v>
      </c>
      <c r="D131" s="88"/>
      <c r="E131" s="88"/>
      <c r="F131" s="88"/>
      <c r="G131" s="88"/>
      <c r="H131" s="88"/>
      <c r="I131" s="88"/>
      <c r="J131" s="45">
        <f>IF(Q70=1,AC70*T70,0)</f>
        <v>0</v>
      </c>
      <c r="K131" s="46">
        <f>AD70</f>
        <v>0</v>
      </c>
      <c r="L131" s="47">
        <f t="shared" ref="L131:L154" si="64">K131-J131</f>
        <v>0</v>
      </c>
      <c r="M131" s="28" t="str">
        <f>IF(ABS(K131-J131)&lt;=1,"PASS","FAIL")</f>
        <v>PASS</v>
      </c>
      <c r="N131" s="1"/>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56"/>
      <c r="ED131" s="56"/>
      <c r="EE131" s="56"/>
      <c r="EF131" s="2"/>
      <c r="EG131" s="2"/>
      <c r="EH131" s="2"/>
      <c r="EI131" s="2"/>
      <c r="EJ131" s="2"/>
      <c r="EK131" s="2"/>
      <c r="EL131" s="2"/>
      <c r="EM131" s="2"/>
      <c r="EN131" s="2"/>
      <c r="EO131" s="2"/>
      <c r="EP131" s="2"/>
      <c r="EQ131" s="2"/>
      <c r="ER131" s="2"/>
      <c r="ES131" s="2"/>
      <c r="ET131" s="2"/>
      <c r="EU131" s="2"/>
      <c r="EV131" s="2"/>
      <c r="EW131" s="2"/>
      <c r="EX131" s="2"/>
      <c r="EY131" s="2"/>
      <c r="EZ131" s="2"/>
      <c r="FA131" s="2"/>
      <c r="FB131" s="2"/>
    </row>
    <row r="132" spans="1:158" ht="20" customHeight="1" x14ac:dyDescent="0.2">
      <c r="A132" s="1"/>
      <c r="B132" s="31" t="s">
        <v>159</v>
      </c>
      <c r="C132" s="87" t="s">
        <v>160</v>
      </c>
      <c r="D132" s="88"/>
      <c r="E132" s="88"/>
      <c r="F132" s="88"/>
      <c r="G132" s="88"/>
      <c r="H132" s="88"/>
      <c r="I132" s="88"/>
      <c r="J132" s="45">
        <f>IF(Q71=1,AC71*T71,0)</f>
        <v>0</v>
      </c>
      <c r="K132" s="46">
        <f>AD71</f>
        <v>0</v>
      </c>
      <c r="L132" s="47">
        <f t="shared" si="64"/>
        <v>0</v>
      </c>
      <c r="M132" s="28" t="str">
        <f>IF(ABS(K132-J132)&lt;=1,"PASS","FAIL")</f>
        <v>PASS</v>
      </c>
      <c r="N132" s="1"/>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56"/>
      <c r="ED132" s="56"/>
      <c r="EE132" s="56"/>
      <c r="EF132" s="2"/>
      <c r="EG132" s="2"/>
      <c r="EH132" s="2"/>
      <c r="EI132" s="2"/>
      <c r="EJ132" s="2"/>
      <c r="EK132" s="2"/>
      <c r="EL132" s="2"/>
      <c r="EM132" s="2"/>
      <c r="EN132" s="2"/>
      <c r="EO132" s="2"/>
      <c r="EP132" s="2"/>
      <c r="EQ132" s="2"/>
      <c r="ER132" s="2"/>
      <c r="ES132" s="2"/>
      <c r="ET132" s="2"/>
      <c r="EU132" s="2"/>
      <c r="EV132" s="2"/>
      <c r="EW132" s="2"/>
      <c r="EX132" s="2"/>
      <c r="EY132" s="2"/>
      <c r="EZ132" s="2"/>
      <c r="FA132" s="2"/>
      <c r="FB132" s="2"/>
    </row>
    <row r="133" spans="1:158" ht="20" customHeight="1" x14ac:dyDescent="0.2">
      <c r="A133" s="1"/>
      <c r="B133" s="31" t="s">
        <v>161</v>
      </c>
      <c r="C133" s="87" t="s">
        <v>162</v>
      </c>
      <c r="D133" s="88"/>
      <c r="E133" s="88"/>
      <c r="F133" s="88"/>
      <c r="G133" s="88"/>
      <c r="H133" s="88"/>
      <c r="I133" s="88"/>
      <c r="J133" s="45">
        <f>IF(Q70=1,X70*T70*Z70,0)</f>
        <v>0</v>
      </c>
      <c r="K133" s="46">
        <f>AF70</f>
        <v>0</v>
      </c>
      <c r="L133" s="47">
        <f t="shared" si="64"/>
        <v>0</v>
      </c>
      <c r="M133" s="28" t="str">
        <f>IF(ABS(K133-J133)&lt;=1,"PASS","FAIL")</f>
        <v>PASS</v>
      </c>
      <c r="N133" s="1"/>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56"/>
      <c r="ED133" s="56"/>
      <c r="EE133" s="56"/>
      <c r="EF133" s="2"/>
      <c r="EG133" s="2"/>
      <c r="EH133" s="2"/>
      <c r="EI133" s="2"/>
      <c r="EJ133" s="2"/>
      <c r="EK133" s="2"/>
      <c r="EL133" s="2"/>
      <c r="EM133" s="2"/>
      <c r="EN133" s="2"/>
      <c r="EO133" s="2"/>
      <c r="EP133" s="2"/>
      <c r="EQ133" s="2"/>
      <c r="ER133" s="2"/>
      <c r="ES133" s="2"/>
      <c r="ET133" s="2"/>
      <c r="EU133" s="2"/>
      <c r="EV133" s="2"/>
      <c r="EW133" s="2"/>
      <c r="EX133" s="2"/>
      <c r="EY133" s="2"/>
      <c r="EZ133" s="2"/>
      <c r="FA133" s="2"/>
      <c r="FB133" s="2"/>
    </row>
    <row r="134" spans="1:158" ht="20" customHeight="1" x14ac:dyDescent="0.2">
      <c r="A134" s="1"/>
      <c r="B134" s="31" t="s">
        <v>163</v>
      </c>
      <c r="C134" s="87" t="s">
        <v>164</v>
      </c>
      <c r="D134" s="88"/>
      <c r="E134" s="88"/>
      <c r="F134" s="88"/>
      <c r="G134" s="88"/>
      <c r="H134" s="88"/>
      <c r="I134" s="88"/>
      <c r="J134" s="45">
        <f>AA70*AB70</f>
        <v>0</v>
      </c>
      <c r="K134" s="46">
        <f>AJ70</f>
        <v>0</v>
      </c>
      <c r="L134" s="47">
        <f t="shared" si="64"/>
        <v>0</v>
      </c>
      <c r="M134" s="28" t="str">
        <f>IF(ABS(K134-J134)&lt;=0.01,"PASS","FAIL")</f>
        <v>PASS</v>
      </c>
      <c r="N134" s="1"/>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56"/>
      <c r="ED134" s="56"/>
      <c r="EE134" s="56"/>
      <c r="EF134" s="2"/>
      <c r="EG134" s="2"/>
      <c r="EH134" s="2"/>
      <c r="EI134" s="2"/>
      <c r="EJ134" s="2"/>
      <c r="EK134" s="2"/>
      <c r="EL134" s="2"/>
      <c r="EM134" s="2"/>
      <c r="EN134" s="2"/>
      <c r="EO134" s="2"/>
      <c r="EP134" s="2"/>
      <c r="EQ134" s="2"/>
      <c r="ER134" s="2"/>
      <c r="ES134" s="2"/>
      <c r="ET134" s="2"/>
      <c r="EU134" s="2"/>
      <c r="EV134" s="2"/>
      <c r="EW134" s="2"/>
      <c r="EX134" s="2"/>
      <c r="EY134" s="2"/>
      <c r="EZ134" s="2"/>
      <c r="FA134" s="2"/>
      <c r="FB134" s="2"/>
    </row>
    <row r="135" spans="1:158" ht="20" customHeight="1" x14ac:dyDescent="0.2">
      <c r="A135" s="1"/>
      <c r="B135" s="31" t="s">
        <v>165</v>
      </c>
      <c r="C135" s="87" t="s">
        <v>166</v>
      </c>
      <c r="D135" s="88"/>
      <c r="E135" s="88"/>
      <c r="F135" s="88"/>
      <c r="G135" s="88"/>
      <c r="H135" s="88"/>
      <c r="I135" s="88"/>
      <c r="J135" s="45">
        <f>AJ70*AF70</f>
        <v>0</v>
      </c>
      <c r="K135" s="46">
        <f>AK70</f>
        <v>0</v>
      </c>
      <c r="L135" s="47">
        <f t="shared" si="64"/>
        <v>0</v>
      </c>
      <c r="M135" s="28" t="str">
        <f>IF(ABS(K135-J135)&lt;=1,"PASS","FAIL")</f>
        <v>PASS</v>
      </c>
      <c r="N135" s="1"/>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56"/>
      <c r="ED135" s="56"/>
      <c r="EE135" s="56"/>
      <c r="EF135" s="2"/>
      <c r="EG135" s="2"/>
      <c r="EH135" s="2"/>
      <c r="EI135" s="2"/>
      <c r="EJ135" s="2"/>
      <c r="EK135" s="2"/>
      <c r="EL135" s="2"/>
      <c r="EM135" s="2"/>
      <c r="EN135" s="2"/>
      <c r="EO135" s="2"/>
      <c r="EP135" s="2"/>
      <c r="EQ135" s="2"/>
      <c r="ER135" s="2"/>
      <c r="ES135" s="2"/>
      <c r="ET135" s="2"/>
      <c r="EU135" s="2"/>
      <c r="EV135" s="2"/>
      <c r="EW135" s="2"/>
      <c r="EX135" s="2"/>
      <c r="EY135" s="2"/>
      <c r="EZ135" s="2"/>
      <c r="FA135" s="2"/>
      <c r="FB135" s="2"/>
    </row>
    <row r="136" spans="1:158" ht="20" customHeight="1" x14ac:dyDescent="0.2">
      <c r="A136" s="1"/>
      <c r="B136" s="31" t="s">
        <v>167</v>
      </c>
      <c r="C136" s="87" t="s">
        <v>168</v>
      </c>
      <c r="D136" s="88"/>
      <c r="E136" s="88"/>
      <c r="F136" s="88"/>
      <c r="G136" s="88"/>
      <c r="H136" s="88"/>
      <c r="I136" s="88"/>
      <c r="J136" s="45">
        <f>IF(Q70=0,0,IF(AJ70=0,0,1-AH70/AJ70))</f>
        <v>0</v>
      </c>
      <c r="K136" s="46">
        <f>AL70</f>
        <v>0</v>
      </c>
      <c r="L136" s="47">
        <f t="shared" si="64"/>
        <v>0</v>
      </c>
      <c r="M136" s="28" t="str">
        <f>IF(ABS(K136-J136)&lt;=0.001,"PASS","FAIL")</f>
        <v>PASS</v>
      </c>
      <c r="N136" s="1"/>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56"/>
      <c r="ED136" s="56"/>
      <c r="EE136" s="56"/>
      <c r="EF136" s="2"/>
      <c r="EG136" s="2"/>
      <c r="EH136" s="2"/>
      <c r="EI136" s="2"/>
      <c r="EJ136" s="2"/>
      <c r="EK136" s="2"/>
      <c r="EL136" s="2"/>
      <c r="EM136" s="2"/>
      <c r="EN136" s="2"/>
      <c r="EO136" s="2"/>
      <c r="EP136" s="2"/>
      <c r="EQ136" s="2"/>
      <c r="ER136" s="2"/>
      <c r="ES136" s="2"/>
      <c r="ET136" s="2"/>
      <c r="EU136" s="2"/>
      <c r="EV136" s="2"/>
      <c r="EW136" s="2"/>
      <c r="EX136" s="2"/>
      <c r="EY136" s="2"/>
      <c r="EZ136" s="2"/>
      <c r="FA136" s="2"/>
      <c r="FB136" s="2"/>
    </row>
    <row r="137" spans="1:158" ht="20" customHeight="1" x14ac:dyDescent="0.2">
      <c r="A137" s="1"/>
      <c r="B137" s="31" t="s">
        <v>169</v>
      </c>
      <c r="C137" s="87" t="s">
        <v>170</v>
      </c>
      <c r="D137" s="88"/>
      <c r="E137" s="88"/>
      <c r="F137" s="88"/>
      <c r="G137" s="88"/>
      <c r="H137" s="88"/>
      <c r="I137" s="88"/>
      <c r="J137" s="45">
        <f>IF(Q70=1,(AA70-AJ70)*AF70,0)</f>
        <v>0</v>
      </c>
      <c r="K137" s="46">
        <f>AN70</f>
        <v>0</v>
      </c>
      <c r="L137" s="47">
        <f t="shared" si="64"/>
        <v>0</v>
      </c>
      <c r="M137" s="28" t="str">
        <f>IF(ABS(K137-J137)&lt;=1,"PASS","FAIL")</f>
        <v>PASS</v>
      </c>
      <c r="N137" s="1"/>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56"/>
      <c r="ED137" s="56"/>
      <c r="EE137" s="56"/>
      <c r="EF137" s="2"/>
      <c r="EG137" s="2"/>
      <c r="EH137" s="2"/>
      <c r="EI137" s="2"/>
      <c r="EJ137" s="2"/>
      <c r="EK137" s="2"/>
      <c r="EL137" s="2"/>
      <c r="EM137" s="2"/>
      <c r="EN137" s="2"/>
      <c r="EO137" s="2"/>
      <c r="EP137" s="2"/>
      <c r="EQ137" s="2"/>
      <c r="ER137" s="2"/>
      <c r="ES137" s="2"/>
      <c r="ET137" s="2"/>
      <c r="EU137" s="2"/>
      <c r="EV137" s="2"/>
      <c r="EW137" s="2"/>
      <c r="EX137" s="2"/>
      <c r="EY137" s="2"/>
      <c r="EZ137" s="2"/>
      <c r="FA137" s="2"/>
      <c r="FB137" s="2"/>
    </row>
    <row r="138" spans="1:158" ht="20" customHeight="1" x14ac:dyDescent="0.2">
      <c r="A138" s="1"/>
      <c r="B138" s="31" t="s">
        <v>171</v>
      </c>
      <c r="C138" s="87" t="s">
        <v>172</v>
      </c>
      <c r="D138" s="88"/>
      <c r="E138" s="88"/>
      <c r="F138" s="88"/>
      <c r="G138" s="88"/>
      <c r="H138" s="88"/>
      <c r="I138" s="88"/>
      <c r="J138" s="45">
        <f>SUMIFS(AD70:AD83,S70:S83,"Delivery",Q70:Q83,1)</f>
        <v>0</v>
      </c>
      <c r="K138" s="46">
        <f>AD87</f>
        <v>0</v>
      </c>
      <c r="L138" s="47">
        <f t="shared" si="64"/>
        <v>0</v>
      </c>
      <c r="M138" s="28" t="str">
        <f>IF(ABS(K138-J138)&lt;=1,"PASS","FAIL")</f>
        <v>PASS</v>
      </c>
      <c r="N138" s="1"/>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56"/>
      <c r="ED138" s="56"/>
      <c r="EE138" s="56"/>
      <c r="EF138" s="2"/>
      <c r="EG138" s="2"/>
      <c r="EH138" s="2"/>
      <c r="EI138" s="2"/>
      <c r="EJ138" s="2"/>
      <c r="EK138" s="2"/>
      <c r="EL138" s="2"/>
      <c r="EM138" s="2"/>
      <c r="EN138" s="2"/>
      <c r="EO138" s="2"/>
      <c r="EP138" s="2"/>
      <c r="EQ138" s="2"/>
      <c r="ER138" s="2"/>
      <c r="ES138" s="2"/>
      <c r="ET138" s="2"/>
      <c r="EU138" s="2"/>
      <c r="EV138" s="2"/>
      <c r="EW138" s="2"/>
      <c r="EX138" s="2"/>
      <c r="EY138" s="2"/>
      <c r="EZ138" s="2"/>
      <c r="FA138" s="2"/>
      <c r="FB138" s="2"/>
    </row>
    <row r="139" spans="1:158" ht="20" customHeight="1" x14ac:dyDescent="0.2">
      <c r="A139" s="1"/>
      <c r="B139" s="31" t="s">
        <v>173</v>
      </c>
      <c r="C139" s="87" t="s">
        <v>174</v>
      </c>
      <c r="D139" s="88"/>
      <c r="E139" s="88"/>
      <c r="F139" s="88"/>
      <c r="G139" s="88"/>
      <c r="H139" s="88"/>
      <c r="I139" s="88"/>
      <c r="J139" s="45">
        <f>SUMIFS(AK70:AK83,S70:S83,"Delivery",Q70:Q83,1)</f>
        <v>0</v>
      </c>
      <c r="K139" s="46">
        <f>AK87</f>
        <v>0</v>
      </c>
      <c r="L139" s="47">
        <f t="shared" si="64"/>
        <v>0</v>
      </c>
      <c r="M139" s="28" t="str">
        <f>IF(ABS(K139-J139)&lt;=1,"PASS","FAIL")</f>
        <v>PASS</v>
      </c>
      <c r="N139" s="1"/>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56"/>
      <c r="ED139" s="56"/>
      <c r="EE139" s="56"/>
      <c r="EF139" s="2"/>
      <c r="EG139" s="2"/>
      <c r="EH139" s="2"/>
      <c r="EI139" s="2"/>
      <c r="EJ139" s="2"/>
      <c r="EK139" s="2"/>
      <c r="EL139" s="2"/>
      <c r="EM139" s="2"/>
      <c r="EN139" s="2"/>
      <c r="EO139" s="2"/>
      <c r="EP139" s="2"/>
      <c r="EQ139" s="2"/>
      <c r="ER139" s="2"/>
      <c r="ES139" s="2"/>
      <c r="ET139" s="2"/>
      <c r="EU139" s="2"/>
      <c r="EV139" s="2"/>
      <c r="EW139" s="2"/>
      <c r="EX139" s="2"/>
      <c r="EY139" s="2"/>
      <c r="EZ139" s="2"/>
      <c r="FA139" s="2"/>
      <c r="FB139" s="2"/>
    </row>
    <row r="140" spans="1:158" x14ac:dyDescent="0.2">
      <c r="A140" s="1"/>
      <c r="B140" s="31" t="s">
        <v>175</v>
      </c>
      <c r="C140" s="87" t="s">
        <v>176</v>
      </c>
      <c r="D140" s="88"/>
      <c r="E140" s="88"/>
      <c r="F140" s="88"/>
      <c r="G140" s="88"/>
      <c r="H140" s="88"/>
      <c r="I140" s="88"/>
      <c r="J140" s="45">
        <f>IF(AF87&gt;0,AD87/AF87,0)</f>
        <v>0</v>
      </c>
      <c r="K140" s="46">
        <f>AH87</f>
        <v>0</v>
      </c>
      <c r="L140" s="47">
        <f t="shared" si="64"/>
        <v>0</v>
      </c>
      <c r="M140" s="28" t="str">
        <f>IF(ABS(K140-J140)&lt;=0.01,"PASS","FAIL")</f>
        <v>PASS</v>
      </c>
      <c r="N140" s="1"/>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56"/>
      <c r="ED140" s="56"/>
      <c r="EE140" s="56"/>
      <c r="EF140" s="2"/>
      <c r="EG140" s="2"/>
      <c r="EH140" s="2"/>
      <c r="EI140" s="2"/>
      <c r="EJ140" s="2"/>
      <c r="EK140" s="2"/>
      <c r="EL140" s="2"/>
      <c r="EM140" s="2"/>
      <c r="EN140" s="2"/>
      <c r="EO140" s="2"/>
      <c r="EP140" s="2"/>
      <c r="EQ140" s="2"/>
      <c r="ER140" s="2"/>
      <c r="ES140" s="2"/>
      <c r="ET140" s="2"/>
      <c r="EU140" s="2"/>
      <c r="EV140" s="2"/>
      <c r="EW140" s="2"/>
      <c r="EX140" s="2"/>
      <c r="EY140" s="2"/>
      <c r="EZ140" s="2"/>
      <c r="FA140" s="2"/>
      <c r="FB140" s="2"/>
    </row>
    <row r="141" spans="1:158" x14ac:dyDescent="0.2">
      <c r="A141" s="1"/>
      <c r="B141" s="31" t="s">
        <v>177</v>
      </c>
      <c r="C141" s="87" t="s">
        <v>178</v>
      </c>
      <c r="D141" s="88"/>
      <c r="E141" s="88"/>
      <c r="F141" s="88"/>
      <c r="G141" s="88"/>
      <c r="H141" s="88"/>
      <c r="I141" s="88"/>
      <c r="J141" s="45">
        <f>IF(AF87&gt;0,AK87/AF87,0)</f>
        <v>0</v>
      </c>
      <c r="K141" s="46">
        <f>AJ87</f>
        <v>0</v>
      </c>
      <c r="L141" s="47">
        <f t="shared" si="64"/>
        <v>0</v>
      </c>
      <c r="M141" s="28" t="str">
        <f>IF(ABS(K141-J141)&lt;=0.01,"PASS","FAIL")</f>
        <v>PASS</v>
      </c>
      <c r="N141" s="1"/>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56"/>
      <c r="ED141" s="56"/>
      <c r="EE141" s="56"/>
      <c r="EF141" s="2"/>
      <c r="EG141" s="2"/>
      <c r="EH141" s="2"/>
      <c r="EI141" s="2"/>
      <c r="EJ141" s="2"/>
      <c r="EK141" s="2"/>
      <c r="EL141" s="2"/>
      <c r="EM141" s="2"/>
      <c r="EN141" s="2"/>
      <c r="EO141" s="2"/>
      <c r="EP141" s="2"/>
      <c r="EQ141" s="2"/>
      <c r="ER141" s="2"/>
      <c r="ES141" s="2"/>
      <c r="ET141" s="2"/>
      <c r="EU141" s="2"/>
      <c r="EV141" s="2"/>
      <c r="EW141" s="2"/>
      <c r="EX141" s="2"/>
      <c r="EY141" s="2"/>
      <c r="EZ141" s="2"/>
      <c r="FA141" s="2"/>
      <c r="FB141" s="2"/>
    </row>
    <row r="142" spans="1:158" ht="22" customHeight="1" x14ac:dyDescent="0.2">
      <c r="A142" s="1"/>
      <c r="B142" s="31" t="s">
        <v>179</v>
      </c>
      <c r="C142" s="87" t="s">
        <v>180</v>
      </c>
      <c r="D142" s="88"/>
      <c r="E142" s="88"/>
      <c r="F142" s="88"/>
      <c r="G142" s="88"/>
      <c r="H142" s="88"/>
      <c r="I142" s="88"/>
      <c r="J142" s="45">
        <f>IF(AJ87&gt;0,1-AH87/AJ87,0)</f>
        <v>0</v>
      </c>
      <c r="K142" s="46">
        <f>AL87</f>
        <v>0</v>
      </c>
      <c r="L142" s="47">
        <f t="shared" si="64"/>
        <v>0</v>
      </c>
      <c r="M142" s="28" t="str">
        <f>IF(ABS(K142-J142)&lt;=0.001,"PASS","FAIL")</f>
        <v>PASS</v>
      </c>
      <c r="N142" s="1"/>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56"/>
      <c r="ED142" s="56"/>
      <c r="EE142" s="56"/>
      <c r="EF142" s="2"/>
      <c r="EG142" s="2"/>
      <c r="EH142" s="2"/>
      <c r="EI142" s="2"/>
      <c r="EJ142" s="2"/>
      <c r="EK142" s="2"/>
      <c r="EL142" s="2"/>
      <c r="EM142" s="2"/>
      <c r="EN142" s="2"/>
      <c r="EO142" s="2"/>
      <c r="EP142" s="2"/>
      <c r="EQ142" s="2"/>
      <c r="ER142" s="2"/>
      <c r="ES142" s="2"/>
      <c r="ET142" s="2"/>
      <c r="EU142" s="2"/>
      <c r="EV142" s="2"/>
      <c r="EW142" s="2"/>
      <c r="EX142" s="2"/>
      <c r="EY142" s="2"/>
      <c r="EZ142" s="2"/>
      <c r="FA142" s="2"/>
      <c r="FB142" s="2"/>
    </row>
    <row r="143" spans="1:158" x14ac:dyDescent="0.2">
      <c r="A143" s="1"/>
      <c r="B143" s="31" t="s">
        <v>181</v>
      </c>
      <c r="C143" s="87" t="s">
        <v>182</v>
      </c>
      <c r="D143" s="88"/>
      <c r="E143" s="88"/>
      <c r="F143" s="88"/>
      <c r="G143" s="88"/>
      <c r="H143" s="88"/>
      <c r="I143" s="88"/>
      <c r="J143" s="45">
        <f>INDEX(ref_region_oncost_all,MATCH("AU",ref_region_codes,0))</f>
        <v>0.185</v>
      </c>
      <c r="K143" s="46">
        <f>ref_au_oncost</f>
        <v>0.185</v>
      </c>
      <c r="L143" s="47">
        <f t="shared" si="64"/>
        <v>0</v>
      </c>
      <c r="M143" s="28" t="str">
        <f>IF(ABS(K143-J143)&lt;=0.0001,"PASS","FAIL")</f>
        <v>PASS</v>
      </c>
      <c r="N143" s="1"/>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56"/>
      <c r="ED143" s="56"/>
      <c r="EE143" s="56"/>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58" x14ac:dyDescent="0.2">
      <c r="A144" s="1"/>
      <c r="B144" s="31" t="s">
        <v>183</v>
      </c>
      <c r="C144" s="87" t="s">
        <v>184</v>
      </c>
      <c r="D144" s="88"/>
      <c r="E144" s="88"/>
      <c r="F144" s="88"/>
      <c r="G144" s="88"/>
      <c r="H144" s="88"/>
      <c r="I144" s="88"/>
      <c r="J144" s="45">
        <f>INDEX(ref_region_oncost_all,MATCH("NZ",ref_region_codes,0))</f>
        <v>4.4999999999999998E-2</v>
      </c>
      <c r="K144" s="46">
        <f>ref_nz_oncost</f>
        <v>4.4999999999999998E-2</v>
      </c>
      <c r="L144" s="47">
        <f t="shared" si="64"/>
        <v>0</v>
      </c>
      <c r="M144" s="28" t="str">
        <f>IF(ABS(K144-J144)&lt;=0.0001,"PASS","FAIL")</f>
        <v>PASS</v>
      </c>
      <c r="N144" s="1"/>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56"/>
      <c r="ED144" s="56"/>
      <c r="EE144" s="56"/>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x14ac:dyDescent="0.2">
      <c r="A145" s="1"/>
      <c r="B145" s="31" t="s">
        <v>185</v>
      </c>
      <c r="C145" s="87" t="s">
        <v>186</v>
      </c>
      <c r="D145" s="88"/>
      <c r="E145" s="88"/>
      <c r="F145" s="88"/>
      <c r="G145" s="88"/>
      <c r="H145" s="88"/>
      <c r="I145" s="88"/>
      <c r="J145" s="45">
        <f>INDEX(ref_region_oncost_all,MATCH("US",ref_region_codes,0))</f>
        <v>0.105</v>
      </c>
      <c r="K145" s="46">
        <f>ref_us_oncost</f>
        <v>0.105</v>
      </c>
      <c r="L145" s="47">
        <f t="shared" si="64"/>
        <v>0</v>
      </c>
      <c r="M145" s="28" t="str">
        <f>IF(ABS(K145-J145)&lt;=0.0001,"PASS","FAIL")</f>
        <v>PASS</v>
      </c>
      <c r="N145" s="1"/>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56"/>
      <c r="ED145" s="56"/>
      <c r="EE145" s="56"/>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x14ac:dyDescent="0.2">
      <c r="A146" s="1"/>
      <c r="B146" s="31" t="s">
        <v>187</v>
      </c>
      <c r="C146" s="87" t="s">
        <v>300</v>
      </c>
      <c r="D146" s="88"/>
      <c r="E146" s="88"/>
      <c r="F146" s="88"/>
      <c r="G146" s="88"/>
      <c r="H146" s="88"/>
      <c r="I146" s="88"/>
      <c r="J146" s="50">
        <f>0</f>
        <v>0</v>
      </c>
      <c r="K146" s="51" cm="1">
        <f t="array" ref="K146">SUMPRODUCT(--(Q70:Q83=1),--((X70:X83&lt;=0)+(X70:X83&gt;2080)))</f>
        <v>0</v>
      </c>
      <c r="L146" s="47">
        <f t="shared" si="64"/>
        <v>0</v>
      </c>
      <c r="M146" s="28" t="str">
        <f>IF(K146=0,"PASS","FAIL")</f>
        <v>PASS</v>
      </c>
      <c r="N146" s="1"/>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56"/>
      <c r="ED146" s="56"/>
      <c r="EE146" s="56"/>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row r="147" spans="1:158" x14ac:dyDescent="0.2">
      <c r="A147" s="1"/>
      <c r="B147" s="31" t="s">
        <v>188</v>
      </c>
      <c r="C147" s="87" t="s">
        <v>189</v>
      </c>
      <c r="D147" s="88"/>
      <c r="E147" s="88"/>
      <c r="F147" s="88"/>
      <c r="G147" s="88"/>
      <c r="H147" s="88"/>
      <c r="I147" s="88"/>
      <c r="J147" s="45">
        <f>0.5</f>
        <v>0.5</v>
      </c>
      <c r="K147" s="46">
        <f>ref_bench_margin_target</f>
        <v>0.5</v>
      </c>
      <c r="L147" s="47">
        <f t="shared" si="64"/>
        <v>0</v>
      </c>
      <c r="M147" s="28" t="str">
        <f>IF(ABS(K147-J147)&lt;=0.0001,"PASS","FAIL")</f>
        <v>PASS</v>
      </c>
      <c r="N147" s="1"/>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56"/>
      <c r="ED147" s="56"/>
      <c r="EE147" s="56"/>
      <c r="EF147" s="2"/>
      <c r="EG147" s="2"/>
      <c r="EH147" s="2"/>
      <c r="EI147" s="2"/>
      <c r="EJ147" s="2"/>
      <c r="EK147" s="2"/>
      <c r="EL147" s="2"/>
      <c r="EM147" s="2"/>
      <c r="EN147" s="2"/>
      <c r="EO147" s="2"/>
      <c r="EP147" s="2"/>
      <c r="EQ147" s="2"/>
      <c r="ER147" s="2"/>
      <c r="ES147" s="2"/>
      <c r="ET147" s="2"/>
      <c r="EU147" s="2"/>
      <c r="EV147" s="2"/>
      <c r="EW147" s="2"/>
      <c r="EX147" s="2"/>
      <c r="EY147" s="2"/>
      <c r="EZ147" s="2"/>
      <c r="FA147" s="2"/>
      <c r="FB147" s="2"/>
    </row>
    <row r="148" spans="1:158" x14ac:dyDescent="0.2">
      <c r="A148" s="1"/>
      <c r="B148" s="31" t="s">
        <v>190</v>
      </c>
      <c r="C148" s="87" t="s">
        <v>191</v>
      </c>
      <c r="D148" s="88"/>
      <c r="E148" s="88"/>
      <c r="F148" s="88"/>
      <c r="G148" s="88"/>
      <c r="H148" s="88"/>
      <c r="I148" s="88"/>
      <c r="J148" s="45">
        <f>0.65</f>
        <v>0.65</v>
      </c>
      <c r="K148" s="46">
        <f>ref_bench_util_avg</f>
        <v>0.65</v>
      </c>
      <c r="L148" s="47">
        <f t="shared" si="64"/>
        <v>0</v>
      </c>
      <c r="M148" s="28" t="str">
        <f>IF(ABS(K148-J148)&lt;=0.0001,"PASS","FAIL")</f>
        <v>PASS</v>
      </c>
      <c r="N148" s="1"/>
    </row>
    <row r="149" spans="1:158" x14ac:dyDescent="0.2">
      <c r="A149" s="1"/>
      <c r="B149" s="31" t="s">
        <v>192</v>
      </c>
      <c r="C149" s="87" t="s">
        <v>193</v>
      </c>
      <c r="D149" s="88"/>
      <c r="E149" s="88"/>
      <c r="F149" s="88"/>
      <c r="G149" s="88"/>
      <c r="H149" s="88"/>
      <c r="I149" s="88"/>
      <c r="J149" s="45">
        <f>0.9</f>
        <v>0.9</v>
      </c>
      <c r="K149" s="46">
        <f>ref_bench_realisation</f>
        <v>0.9</v>
      </c>
      <c r="L149" s="47">
        <f t="shared" si="64"/>
        <v>0</v>
      </c>
      <c r="M149" s="28" t="str">
        <f>IF(ABS(K149-J149)&lt;=0.0001,"PASS","FAIL")</f>
        <v>PASS</v>
      </c>
      <c r="N149" s="1"/>
    </row>
    <row r="150" spans="1:158" x14ac:dyDescent="0.2">
      <c r="A150" s="1"/>
      <c r="B150" s="31" t="s">
        <v>194</v>
      </c>
      <c r="C150" s="87" t="s">
        <v>195</v>
      </c>
      <c r="D150" s="88"/>
      <c r="E150" s="88"/>
      <c r="F150" s="88"/>
      <c r="G150" s="88"/>
      <c r="H150" s="88"/>
      <c r="I150" s="88"/>
      <c r="J150" s="45">
        <f>IF(inp_biz_target_margin=0,1,AND(inp_biz_target_margin&gt;0,inp_biz_target_margin&lt;0.9)*1)</f>
        <v>1</v>
      </c>
      <c r="K150" s="46">
        <f>1</f>
        <v>1</v>
      </c>
      <c r="L150" s="47">
        <f t="shared" si="64"/>
        <v>0</v>
      </c>
      <c r="M150" s="28" t="str">
        <f>IF(K150=J150,"PASS","FAIL")</f>
        <v>PASS</v>
      </c>
      <c r="N150" s="1"/>
    </row>
    <row r="151" spans="1:158" x14ac:dyDescent="0.2">
      <c r="A151" s="1"/>
      <c r="B151" s="31" t="s">
        <v>196</v>
      </c>
      <c r="C151" s="87" t="s">
        <v>197</v>
      </c>
      <c r="D151" s="88"/>
      <c r="E151" s="88"/>
      <c r="F151" s="88"/>
      <c r="G151" s="88"/>
      <c r="H151" s="88"/>
      <c r="I151" s="88"/>
      <c r="J151" s="45">
        <f>SUMPRODUCT(--(Q70:Q83=1))</f>
        <v>0</v>
      </c>
      <c r="K151" s="46">
        <f>MAX(0,MIN(14,SUMPRODUCT(--(Q70:Q83=1))))</f>
        <v>0</v>
      </c>
      <c r="L151" s="47">
        <f t="shared" si="64"/>
        <v>0</v>
      </c>
      <c r="M151" s="28" t="str">
        <f>IF(K151=J151,"PASS","FAIL")</f>
        <v>PASS</v>
      </c>
      <c r="N151" s="1"/>
    </row>
    <row r="152" spans="1:158" x14ac:dyDescent="0.2">
      <c r="A152" s="1"/>
      <c r="B152" s="31" t="s">
        <v>198</v>
      </c>
      <c r="C152" s="87" t="s">
        <v>199</v>
      </c>
      <c r="D152" s="88"/>
      <c r="E152" s="88"/>
      <c r="F152" s="88"/>
      <c r="G152" s="88"/>
      <c r="H152" s="88"/>
      <c r="I152" s="88"/>
      <c r="J152" s="45">
        <f>AD89</f>
        <v>0</v>
      </c>
      <c r="K152" s="46">
        <f>MAX(AD87,AD89)</f>
        <v>0</v>
      </c>
      <c r="L152" s="47">
        <f t="shared" si="64"/>
        <v>0</v>
      </c>
      <c r="M152" s="28" t="str">
        <f>IF(K152=J152,"PASS","FAIL")</f>
        <v>PASS</v>
      </c>
      <c r="N152" s="1"/>
    </row>
    <row r="153" spans="1:158" x14ac:dyDescent="0.2">
      <c r="A153" s="1"/>
      <c r="B153" s="31" t="s">
        <v>200</v>
      </c>
      <c r="C153" s="87" t="s">
        <v>201</v>
      </c>
      <c r="D153" s="88"/>
      <c r="E153" s="88"/>
      <c r="F153" s="88"/>
      <c r="G153" s="88"/>
      <c r="H153" s="88"/>
      <c r="I153" s="88"/>
      <c r="J153" s="45">
        <f>IFERROR(IF(ISNUMBER(AL87),1,0),0)</f>
        <v>1</v>
      </c>
      <c r="K153" s="46">
        <f>1</f>
        <v>1</v>
      </c>
      <c r="L153" s="47">
        <f t="shared" si="64"/>
        <v>0</v>
      </c>
      <c r="M153" s="28" t="str">
        <f>IF(K153=J153,"PASS","FAIL")</f>
        <v>PASS</v>
      </c>
      <c r="N153" s="1"/>
    </row>
    <row r="154" spans="1:158" x14ac:dyDescent="0.2">
      <c r="A154" s="1"/>
      <c r="B154" s="31" t="s">
        <v>202</v>
      </c>
      <c r="C154" s="87" t="s">
        <v>203</v>
      </c>
      <c r="D154" s="88"/>
      <c r="E154" s="88"/>
      <c r="F154" s="88"/>
      <c r="G154" s="88"/>
      <c r="H154" s="88"/>
      <c r="I154" s="88"/>
      <c r="J154" s="45">
        <f>IFERROR(IF(ISNUMBER(AH87),1,0),0)</f>
        <v>1</v>
      </c>
      <c r="K154" s="46">
        <f>1</f>
        <v>1</v>
      </c>
      <c r="L154" s="47">
        <f t="shared" si="64"/>
        <v>0</v>
      </c>
      <c r="M154" s="28" t="str">
        <f>IF(K154=J154,"PASS","FAIL")</f>
        <v>PASS</v>
      </c>
      <c r="N154" s="1"/>
    </row>
    <row r="155" spans="1:158" x14ac:dyDescent="0.2">
      <c r="A155" s="1"/>
      <c r="B155" s="52" t="s">
        <v>303</v>
      </c>
      <c r="C155" s="87" t="s">
        <v>304</v>
      </c>
      <c r="D155" s="88"/>
      <c r="E155" s="88"/>
      <c r="F155" s="88"/>
      <c r="G155" s="88"/>
      <c r="H155" s="88"/>
      <c r="I155" s="88"/>
      <c r="J155" s="45">
        <f>0</f>
        <v>0</v>
      </c>
      <c r="K155" s="46" cm="1">
        <f t="array" ref="K155">SUMPRODUCT(--(Q70:Q83=1),--(Z70:Z83&gt;1.3))</f>
        <v>0</v>
      </c>
      <c r="L155" s="53">
        <f>K155-J155</f>
        <v>0</v>
      </c>
      <c r="M155" s="54" t="str">
        <f>IF(K155=0,"OK","CHECK")</f>
        <v>OK</v>
      </c>
      <c r="N155" s="1"/>
    </row>
    <row r="156" spans="1:158" x14ac:dyDescent="0.2">
      <c r="A156" s="1"/>
      <c r="B156" s="52" t="s">
        <v>305</v>
      </c>
      <c r="C156" s="87" t="s">
        <v>306</v>
      </c>
      <c r="D156" s="88"/>
      <c r="E156" s="88"/>
      <c r="F156" s="88"/>
      <c r="G156" s="88"/>
      <c r="H156" s="88"/>
      <c r="I156" s="88"/>
      <c r="J156" s="45">
        <f>0</f>
        <v>0</v>
      </c>
      <c r="K156" s="46" cm="1">
        <f t="array" ref="K156">SUMPRODUCT(--(Q70:Q83=1),--(AB70:AB83&gt;1.25))</f>
        <v>0</v>
      </c>
      <c r="L156" s="53">
        <f>K156-J156</f>
        <v>0</v>
      </c>
      <c r="M156" s="54" t="str">
        <f>IF(K156=0,"OK","CHECK")</f>
        <v>OK</v>
      </c>
      <c r="N156" s="1"/>
    </row>
    <row r="157" spans="1:158" x14ac:dyDescent="0.2">
      <c r="A157" s="1"/>
      <c r="B157" s="1"/>
      <c r="C157" s="1"/>
      <c r="D157" s="1"/>
      <c r="E157" s="1"/>
      <c r="F157" s="1"/>
      <c r="G157" s="1"/>
      <c r="H157" s="1"/>
      <c r="I157" s="1"/>
      <c r="J157" s="1"/>
      <c r="K157" s="1"/>
      <c r="L157" s="1"/>
      <c r="M157" s="1"/>
      <c r="N157" s="1"/>
    </row>
    <row r="158" spans="1:158" x14ac:dyDescent="0.2">
      <c r="A158" s="1"/>
      <c r="B158" s="3" t="s">
        <v>204</v>
      </c>
      <c r="C158" s="1"/>
      <c r="D158" s="1"/>
      <c r="E158" s="1"/>
      <c r="F158" s="1"/>
      <c r="G158" s="1"/>
      <c r="H158" s="1"/>
      <c r="I158" s="1"/>
      <c r="J158" s="1"/>
      <c r="K158" s="1"/>
      <c r="L158" s="1"/>
      <c r="M158" s="4" t="s">
        <v>205</v>
      </c>
      <c r="N158" s="1"/>
    </row>
    <row r="159" spans="1:158" x14ac:dyDescent="0.2">
      <c r="A159" s="1"/>
      <c r="B159" s="1"/>
      <c r="C159" s="1"/>
      <c r="D159" s="1"/>
      <c r="E159" s="1"/>
      <c r="F159" s="1"/>
      <c r="G159" s="1"/>
      <c r="H159" s="1"/>
      <c r="I159" s="1"/>
      <c r="J159" s="1"/>
      <c r="K159" s="1"/>
      <c r="L159" s="1"/>
      <c r="M159" s="1"/>
      <c r="N159" s="1"/>
    </row>
    <row r="160" spans="1:158" x14ac:dyDescent="0.2">
      <c r="A160" s="49"/>
      <c r="B160" s="49"/>
      <c r="C160" s="49"/>
      <c r="D160" s="49"/>
      <c r="E160" s="49"/>
      <c r="F160" s="49"/>
      <c r="G160" s="49"/>
      <c r="H160" s="49"/>
      <c r="I160" s="49"/>
      <c r="J160" s="49"/>
      <c r="K160" s="49"/>
      <c r="L160" s="49"/>
      <c r="M160" s="49"/>
      <c r="N160" s="49"/>
    </row>
    <row r="161" spans="1:14" x14ac:dyDescent="0.2">
      <c r="A161" s="49"/>
      <c r="B161" s="49"/>
      <c r="C161" s="49"/>
      <c r="D161" s="49"/>
      <c r="E161" s="49"/>
      <c r="F161" s="49"/>
      <c r="G161" s="49"/>
      <c r="H161" s="49"/>
      <c r="I161" s="49"/>
      <c r="J161" s="49"/>
      <c r="K161" s="49"/>
      <c r="L161" s="49"/>
      <c r="M161" s="49"/>
      <c r="N161" s="49"/>
    </row>
    <row r="162" spans="1:14" x14ac:dyDescent="0.2">
      <c r="A162" s="49"/>
      <c r="B162" s="49"/>
      <c r="C162" s="49"/>
      <c r="D162" s="49"/>
      <c r="E162" s="49"/>
      <c r="F162" s="49"/>
      <c r="G162" s="49"/>
      <c r="H162" s="49"/>
      <c r="I162" s="49"/>
      <c r="J162" s="49"/>
      <c r="K162" s="49"/>
      <c r="L162" s="49"/>
      <c r="M162" s="49"/>
      <c r="N162" s="49"/>
    </row>
    <row r="163" spans="1:14" x14ac:dyDescent="0.2">
      <c r="A163" s="49"/>
      <c r="B163" s="49"/>
      <c r="C163" s="49"/>
      <c r="D163" s="49"/>
      <c r="E163" s="49"/>
      <c r="F163" s="49"/>
      <c r="G163" s="49"/>
      <c r="H163" s="49"/>
      <c r="I163" s="49"/>
      <c r="J163" s="49"/>
      <c r="K163" s="49"/>
      <c r="L163" s="49"/>
      <c r="M163" s="49"/>
      <c r="N163" s="49"/>
    </row>
  </sheetData>
  <mergeCells count="138">
    <mergeCell ref="B17:M17"/>
    <mergeCell ref="B56:M56"/>
    <mergeCell ref="K13:M13"/>
    <mergeCell ref="L10:M10"/>
    <mergeCell ref="K86:L86"/>
    <mergeCell ref="B18:M18"/>
    <mergeCell ref="C154:I154"/>
    <mergeCell ref="I104:M104"/>
    <mergeCell ref="H120:M120"/>
    <mergeCell ref="C141:I141"/>
    <mergeCell ref="E98:G98"/>
    <mergeCell ref="I84:J84"/>
    <mergeCell ref="I99:J99"/>
    <mergeCell ref="F21:H21"/>
    <mergeCell ref="K84:L84"/>
    <mergeCell ref="E124:G124"/>
    <mergeCell ref="K93:L93"/>
    <mergeCell ref="C140:I140"/>
    <mergeCell ref="I92:J92"/>
    <mergeCell ref="L124:M124"/>
    <mergeCell ref="E84:G84"/>
    <mergeCell ref="I95:J95"/>
    <mergeCell ref="E99:G99"/>
    <mergeCell ref="E93:G93"/>
    <mergeCell ref="J11:K11"/>
    <mergeCell ref="J3:M3"/>
    <mergeCell ref="B12:M12"/>
    <mergeCell ref="B9:E9"/>
    <mergeCell ref="F11:G11"/>
    <mergeCell ref="B10:E10"/>
    <mergeCell ref="H13:J13"/>
    <mergeCell ref="L8:M8"/>
    <mergeCell ref="E13:G13"/>
    <mergeCell ref="H10:I10"/>
    <mergeCell ref="J10:K10"/>
    <mergeCell ref="H9:I9"/>
    <mergeCell ref="J9:K9"/>
    <mergeCell ref="F10:G10"/>
    <mergeCell ref="L9:M9"/>
    <mergeCell ref="I94:J94"/>
    <mergeCell ref="I88:J88"/>
    <mergeCell ref="K88:L88"/>
    <mergeCell ref="E14:G14"/>
    <mergeCell ref="B22:D22"/>
    <mergeCell ref="L11:M11"/>
    <mergeCell ref="C132:I132"/>
    <mergeCell ref="E126:G126"/>
    <mergeCell ref="C130:I130"/>
    <mergeCell ref="B11:E11"/>
    <mergeCell ref="F9:G9"/>
    <mergeCell ref="E86:G86"/>
    <mergeCell ref="B14:D14"/>
    <mergeCell ref="I106:M106"/>
    <mergeCell ref="B13:D13"/>
    <mergeCell ref="E95:G95"/>
    <mergeCell ref="B19:M19"/>
    <mergeCell ref="K14:M14"/>
    <mergeCell ref="I87:J87"/>
    <mergeCell ref="I93:J93"/>
    <mergeCell ref="K129:L129"/>
    <mergeCell ref="I110:M110"/>
    <mergeCell ref="H11:I11"/>
    <mergeCell ref="C143:I143"/>
    <mergeCell ref="C135:I135"/>
    <mergeCell ref="C137:I137"/>
    <mergeCell ref="K87:L87"/>
    <mergeCell ref="E85:G85"/>
    <mergeCell ref="C136:I136"/>
    <mergeCell ref="H115:M115"/>
    <mergeCell ref="I96:J96"/>
    <mergeCell ref="E125:G125"/>
    <mergeCell ref="C134:I134"/>
    <mergeCell ref="E87:G87"/>
    <mergeCell ref="I86:J86"/>
    <mergeCell ref="K95:L95"/>
    <mergeCell ref="H125:M125"/>
    <mergeCell ref="I85:J85"/>
    <mergeCell ref="E92:G92"/>
    <mergeCell ref="K94:L94"/>
    <mergeCell ref="H124:K124"/>
    <mergeCell ref="E94:G94"/>
    <mergeCell ref="E88:G88"/>
    <mergeCell ref="B21:D21"/>
    <mergeCell ref="E97:G97"/>
    <mergeCell ref="I89:J89"/>
    <mergeCell ref="K89:L89"/>
    <mergeCell ref="I109:M109"/>
    <mergeCell ref="C133:I133"/>
    <mergeCell ref="H121:M121"/>
    <mergeCell ref="F22:H22"/>
    <mergeCell ref="C151:I151"/>
    <mergeCell ref="C142:I142"/>
    <mergeCell ref="E89:G89"/>
    <mergeCell ref="C148:I148"/>
    <mergeCell ref="I107:M107"/>
    <mergeCell ref="C147:I147"/>
    <mergeCell ref="C145:I145"/>
    <mergeCell ref="I97:J97"/>
    <mergeCell ref="H116:M116"/>
    <mergeCell ref="I91:J91"/>
    <mergeCell ref="K96:L96"/>
    <mergeCell ref="K91:L91"/>
    <mergeCell ref="H118:M118"/>
    <mergeCell ref="E96:G96"/>
    <mergeCell ref="I103:M103"/>
    <mergeCell ref="I98:J98"/>
    <mergeCell ref="I108:M108"/>
    <mergeCell ref="K98:L98"/>
    <mergeCell ref="C150:I150"/>
    <mergeCell ref="K97:L97"/>
    <mergeCell ref="C144:I144"/>
    <mergeCell ref="C131:I131"/>
    <mergeCell ref="C146:I146"/>
    <mergeCell ref="H119:M119"/>
    <mergeCell ref="B24:I24"/>
    <mergeCell ref="C149:I149"/>
    <mergeCell ref="J2:M2"/>
    <mergeCell ref="C155:I155"/>
    <mergeCell ref="C156:I156"/>
    <mergeCell ref="C152:I152"/>
    <mergeCell ref="C139:I139"/>
    <mergeCell ref="I105:M105"/>
    <mergeCell ref="B3:I3"/>
    <mergeCell ref="H127:M127"/>
    <mergeCell ref="H117:M117"/>
    <mergeCell ref="H126:M126"/>
    <mergeCell ref="C153:I153"/>
    <mergeCell ref="E127:G127"/>
    <mergeCell ref="I90:J90"/>
    <mergeCell ref="K99:L99"/>
    <mergeCell ref="K90:L90"/>
    <mergeCell ref="E91:G91"/>
    <mergeCell ref="K92:L92"/>
    <mergeCell ref="H14:J14"/>
    <mergeCell ref="E90:G90"/>
    <mergeCell ref="H114:M114"/>
    <mergeCell ref="C138:I138"/>
    <mergeCell ref="K85:L85"/>
  </mergeCells>
  <conditionalFormatting sqref="B10">
    <cfRule type="expression" dxfId="35" priority="102">
      <formula>B10&gt;=ref_bench_margin_target</formula>
    </cfRule>
    <cfRule type="expression" dxfId="34" priority="103">
      <formula>B10&lt;ref_bench_margin_warn</formula>
    </cfRule>
  </conditionalFormatting>
  <conditionalFormatting sqref="C115:G121">
    <cfRule type="colorScale" priority="95">
      <colorScale>
        <cfvo type="num" val="-0.2"/>
        <cfvo type="num" val="0.5"/>
        <cfvo type="num" val="0.7"/>
        <color rgb="FF2E1517"/>
        <color rgb="FF0D0D0D"/>
        <color rgb="FF0B2E25"/>
      </colorScale>
    </cfRule>
    <cfRule type="expression" dxfId="33" priority="96">
      <formula>C115&gt;=ref_bench_margin_target</formula>
    </cfRule>
    <cfRule type="expression" dxfId="32" priority="97">
      <formula>C115&lt;ref_bench_margin_warn</formula>
    </cfRule>
  </conditionalFormatting>
  <conditionalFormatting sqref="C104:H110">
    <cfRule type="colorScale" priority="92">
      <colorScale>
        <cfvo type="num" val="-0.2"/>
        <cfvo type="num" val="0.5"/>
        <cfvo type="num" val="0.7"/>
        <color rgb="FF2E1517"/>
        <color rgb="FF0D0D0D"/>
        <color rgb="FF0B2E25"/>
      </colorScale>
    </cfRule>
    <cfRule type="expression" dxfId="31" priority="93">
      <formula>C104&gt;=ref_bench_margin_target</formula>
    </cfRule>
    <cfRule type="expression" dxfId="30" priority="94">
      <formula>C104&lt;ref_bench_margin_warn</formula>
    </cfRule>
  </conditionalFormatting>
  <conditionalFormatting sqref="H85:H98">
    <cfRule type="dataBar" priority="61">
      <dataBar>
        <cfvo type="num" val="-0.2"/>
        <cfvo type="num" val="0.7"/>
        <color rgb="FF1E50FF"/>
      </dataBar>
      <extLst>
        <ext xmlns:x14="http://schemas.microsoft.com/office/spreadsheetml/2009/9/main" uri="{B025F937-C7B1-47D3-B67F-A62EFF666E3E}">
          <x14:id>{00000000-000E-0000-0200-00003D000000}</x14:id>
        </ext>
      </extLst>
    </cfRule>
  </conditionalFormatting>
  <conditionalFormatting sqref="H85:H100">
    <cfRule type="expression" dxfId="29" priority="62">
      <formula>AND(ISNUMBER(H85),H85&gt;=ref_bench_margin_target,M85&lt;&gt;"INACTIVE",M85&lt;&gt;"OVERHEAD")</formula>
    </cfRule>
    <cfRule type="expression" dxfId="28" priority="63">
      <formula>AND(ISNUMBER(H85),H85&lt;ref_bench_margin_warn,M85&lt;&gt;"INACTIVE",M85&lt;&gt;"OVERHEAD")</formula>
    </cfRule>
  </conditionalFormatting>
  <conditionalFormatting sqref="M85:M100">
    <cfRule type="expression" dxfId="27" priority="1">
      <formula>EXACT(M85,"PASS")</formula>
    </cfRule>
    <cfRule type="expression" dxfId="26" priority="2">
      <formula>EXACT(M85,"WARN")</formula>
    </cfRule>
    <cfRule type="expression" dxfId="25" priority="3">
      <formula>EXACT(M85,"FAIL")</formula>
    </cfRule>
    <cfRule type="expression" dxfId="24" priority="4">
      <formula>OR(EXACT(M85,"INACTIVE"),EXACT(M85,"OVERHEAD"),EXACT(M85,"NO RATE"))</formula>
    </cfRule>
  </conditionalFormatting>
  <conditionalFormatting sqref="M129">
    <cfRule type="expression" dxfId="23" priority="100">
      <formula>LEFT(M129,4)="PASS"</formula>
    </cfRule>
    <cfRule type="expression" dxfId="22" priority="101">
      <formula>LEFT(M129,4)="FAIL"</formula>
    </cfRule>
  </conditionalFormatting>
  <conditionalFormatting sqref="M131:M154">
    <cfRule type="expression" dxfId="21" priority="98">
      <formula>EXACT(M131,"PASS")</formula>
    </cfRule>
    <cfRule type="expression" dxfId="20" priority="99">
      <formula>EXACT(M131,"FAIL")</formula>
    </cfRule>
  </conditionalFormatting>
  <hyperlinks>
    <hyperlink ref="B24" r:id="rId1" tooltip="Book a fit call · Infraxus" xr:uid="{D3392475-7ECF-574A-8F21-69B3B98547F1}"/>
  </hyperlinks>
  <printOptions horizontalCentered="1"/>
  <pageMargins left="0.4" right="0.4" top="0.5" bottom="0.5" header="0.3" footer="0.3"/>
  <pageSetup fitToHeight="0" orientation="landscape"/>
  <headerFooter>
    <oddHeader>&amp;L&amp;9 &amp;K8896B3Infraxus · Capacity, Utilization and Effective Rate Diagnostic&amp;R&amp;9 &amp;K8896B3&amp;D</oddHeader>
    <oddFooter>&amp;L&amp;9 &amp;K8896B3infraxus.com&amp;R&amp;9 &amp;K8896B3Page &amp;P of &amp;N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dataBar" id="{00000000-000E-0000-0200-00003D000000}">
            <x14:dataBar axisPosition="none">
              <x14:cfvo type="num">
                <xm:f>-0.2</xm:f>
              </x14:cfvo>
              <x14:cfvo type="num">
                <xm:f>0.7</xm:f>
              </x14:cfvo>
              <x14:negativeFillColor rgb="FFE5484D"/>
            </x14:dataBar>
          </x14:cfRule>
          <xm:sqref>H85:H98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773A6-E65B-004A-B5CE-64F5A8078FB0}">
  <sheetPr>
    <tabColor rgb="FF8896B3"/>
    <pageSetUpPr fitToPage="1"/>
  </sheetPr>
  <dimension ref="A1:CV70"/>
  <sheetViews>
    <sheetView showGridLines="0" zoomScale="140" zoomScaleNormal="140" workbookViewId="0">
      <pane xSplit="1" ySplit="4" topLeftCell="B5" activePane="bottomRight" state="frozen"/>
      <selection pane="topRight"/>
      <selection pane="bottomLeft"/>
      <selection pane="bottomRight" activeCell="CY8" sqref="CY8"/>
    </sheetView>
  </sheetViews>
  <sheetFormatPr baseColWidth="10" defaultColWidth="8.83203125" defaultRowHeight="15" x14ac:dyDescent="0.2"/>
  <cols>
    <col min="1" max="1" width="2" style="48" customWidth="1"/>
    <col min="2" max="2" width="8" style="48" customWidth="1"/>
    <col min="3" max="3" width="29" style="48" customWidth="1"/>
    <col min="4" max="4" width="12" style="48" customWidth="1"/>
    <col min="5" max="5" width="9" style="48" customWidth="1"/>
    <col min="6" max="6" width="12" style="48" customWidth="1"/>
    <col min="7" max="7" width="10" style="48" customWidth="1"/>
    <col min="8" max="9" width="11" style="48" customWidth="1"/>
    <col min="10" max="11" width="13" style="48" customWidth="1"/>
    <col min="12" max="12" width="12" style="48" customWidth="1"/>
    <col min="13" max="13" width="11" style="48" customWidth="1"/>
    <col min="14" max="14" width="2" style="48" customWidth="1"/>
    <col min="15" max="15" width="1.5" style="48" hidden="1" customWidth="1"/>
    <col min="16" max="100" width="14" style="48" hidden="1" customWidth="1"/>
    <col min="101" max="16384" width="8.83203125" style="48"/>
  </cols>
  <sheetData>
    <row r="1" spans="1:100" ht="8" customHeight="1" x14ac:dyDescent="0.2">
      <c r="A1" s="1"/>
      <c r="B1" s="1"/>
      <c r="C1" s="1"/>
      <c r="D1" s="1"/>
      <c r="E1" s="1"/>
      <c r="F1" s="1"/>
      <c r="G1" s="1"/>
      <c r="H1" s="1"/>
      <c r="I1" s="1"/>
      <c r="J1" s="1"/>
      <c r="K1" s="1"/>
      <c r="L1" s="1"/>
      <c r="M1" s="1"/>
      <c r="N1" s="1"/>
      <c r="O1" s="2"/>
      <c r="P1" s="2"/>
      <c r="Q1" s="2"/>
      <c r="R1" s="2"/>
      <c r="S1" s="2"/>
      <c r="T1" s="2"/>
      <c r="U1" s="2"/>
      <c r="V1" s="2"/>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row>
    <row r="2" spans="1:100" ht="30" customHeight="1" x14ac:dyDescent="0.3">
      <c r="A2" s="1"/>
      <c r="B2" s="1"/>
      <c r="C2" s="83"/>
      <c r="D2" s="82" t="s">
        <v>361</v>
      </c>
      <c r="E2" s="84"/>
      <c r="F2" s="84"/>
      <c r="G2" s="84"/>
      <c r="H2" s="84"/>
      <c r="I2" s="84"/>
      <c r="J2" s="4"/>
      <c r="K2" s="4"/>
      <c r="L2" s="4" t="s">
        <v>1</v>
      </c>
      <c r="M2" s="85" t="s">
        <v>214</v>
      </c>
      <c r="N2" s="1"/>
      <c r="O2" s="1"/>
      <c r="P2" s="1"/>
      <c r="Q2" s="2"/>
      <c r="R2" s="5" t="s">
        <v>208</v>
      </c>
      <c r="S2" s="2"/>
      <c r="T2" s="2"/>
      <c r="U2" s="5" t="s">
        <v>209</v>
      </c>
      <c r="V2" s="6">
        <f>INDEX(ref_region_oncost_all,MATCH('Sample Roster'!$M$2,ref_region_codes,0))</f>
        <v>0.185</v>
      </c>
      <c r="W2" s="2"/>
      <c r="X2" s="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row>
    <row r="3" spans="1:100" ht="22" customHeight="1" x14ac:dyDescent="0.2">
      <c r="A3" s="1"/>
      <c r="B3" s="92" t="s">
        <v>353</v>
      </c>
      <c r="C3" s="90"/>
      <c r="D3" s="90"/>
      <c r="E3" s="90"/>
      <c r="F3" s="90"/>
      <c r="G3" s="90"/>
      <c r="H3" s="90"/>
      <c r="I3" s="90"/>
      <c r="J3" s="89" t="s">
        <v>3</v>
      </c>
      <c r="K3" s="90"/>
      <c r="L3" s="90"/>
      <c r="M3" s="90"/>
      <c r="N3" s="1"/>
      <c r="O3" s="2"/>
      <c r="P3" s="7" t="s">
        <v>210</v>
      </c>
      <c r="Q3" s="8" t="s">
        <v>75</v>
      </c>
      <c r="R3" s="8" t="s">
        <v>211</v>
      </c>
      <c r="S3"/>
      <c r="T3"/>
      <c r="U3" s="7" t="s">
        <v>212</v>
      </c>
      <c r="V3" s="7" t="s">
        <v>213</v>
      </c>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100" ht="10" customHeight="1" x14ac:dyDescent="0.2">
      <c r="A4" s="1"/>
      <c r="B4" s="1"/>
      <c r="C4" s="1"/>
      <c r="D4" s="1"/>
      <c r="E4" s="1"/>
      <c r="F4" s="1"/>
      <c r="G4" s="1"/>
      <c r="H4" s="1"/>
      <c r="I4" s="1"/>
      <c r="J4" s="1"/>
      <c r="K4" s="1"/>
      <c r="L4" s="1"/>
      <c r="M4" s="1"/>
      <c r="N4" s="1"/>
      <c r="O4" s="2"/>
      <c r="P4" s="9" t="s">
        <v>214</v>
      </c>
      <c r="Q4" s="6">
        <v>0.185</v>
      </c>
      <c r="R4" s="10">
        <v>100</v>
      </c>
      <c r="S4"/>
      <c r="T4"/>
      <c r="U4" s="12" t="s">
        <v>215</v>
      </c>
      <c r="V4" s="12" t="s">
        <v>216</v>
      </c>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row>
    <row r="5" spans="1:100" x14ac:dyDescent="0.2">
      <c r="A5" s="1"/>
      <c r="B5" s="1"/>
      <c r="C5" s="1"/>
      <c r="D5" s="1"/>
      <c r="E5" s="1"/>
      <c r="F5" s="1"/>
      <c r="G5" s="1"/>
      <c r="H5" s="1"/>
      <c r="I5" s="1"/>
      <c r="J5" s="1"/>
      <c r="K5" s="1"/>
      <c r="L5" s="1"/>
      <c r="M5" s="1"/>
      <c r="N5" s="1"/>
      <c r="O5" s="2"/>
      <c r="P5" s="9" t="s">
        <v>217</v>
      </c>
      <c r="Q5" s="6">
        <v>4.4999999999999998E-2</v>
      </c>
      <c r="R5" s="10">
        <v>80</v>
      </c>
      <c r="S5" s="11">
        <v>1880</v>
      </c>
      <c r="T5" s="12" t="s">
        <v>218</v>
      </c>
      <c r="U5" s="12" t="s">
        <v>219</v>
      </c>
      <c r="V5" s="12" t="s">
        <v>220</v>
      </c>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row>
    <row r="6" spans="1:100" ht="22" customHeight="1" x14ac:dyDescent="0.2">
      <c r="A6" s="1"/>
      <c r="B6" s="3" t="s">
        <v>7</v>
      </c>
      <c r="C6" s="13" t="s">
        <v>8</v>
      </c>
      <c r="D6" s="3" t="s">
        <v>9</v>
      </c>
      <c r="E6" s="14" t="s">
        <v>8</v>
      </c>
      <c r="F6" s="3" t="s">
        <v>10</v>
      </c>
      <c r="G6" s="15" t="s">
        <v>8</v>
      </c>
      <c r="H6" s="3" t="s">
        <v>11</v>
      </c>
      <c r="I6" s="16" t="s">
        <v>8</v>
      </c>
      <c r="J6" s="3" t="s">
        <v>12</v>
      </c>
      <c r="K6" s="15" t="s">
        <v>13</v>
      </c>
      <c r="L6" s="3" t="s">
        <v>14</v>
      </c>
      <c r="M6" s="1"/>
      <c r="N6" s="1"/>
      <c r="O6" s="2"/>
      <c r="P6" s="9" t="s">
        <v>206</v>
      </c>
      <c r="Q6" s="6">
        <v>0.105</v>
      </c>
      <c r="R6" s="10">
        <v>700</v>
      </c>
      <c r="S6" s="11">
        <v>1880</v>
      </c>
      <c r="T6" s="12" t="s">
        <v>221</v>
      </c>
      <c r="U6" s="12" t="s">
        <v>222</v>
      </c>
      <c r="V6" s="12" t="s">
        <v>223</v>
      </c>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row>
    <row r="7" spans="1:100" ht="4" customHeight="1" x14ac:dyDescent="0.2">
      <c r="A7" s="1"/>
      <c r="B7" s="1"/>
      <c r="C7" s="1"/>
      <c r="D7" s="1"/>
      <c r="E7" s="1"/>
      <c r="F7" s="1"/>
      <c r="G7" s="1"/>
      <c r="H7" s="1"/>
      <c r="I7" s="1"/>
      <c r="J7" s="1"/>
      <c r="K7" s="1"/>
      <c r="L7" s="1"/>
      <c r="M7" s="1"/>
      <c r="N7" s="1"/>
      <c r="O7" s="2"/>
      <c r="P7" s="2"/>
      <c r="Q7" s="2"/>
      <c r="R7" s="2"/>
      <c r="S7" s="2"/>
      <c r="T7" s="2"/>
      <c r="U7" s="2"/>
      <c r="V7" s="2"/>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row>
    <row r="8" spans="1:100" ht="22" customHeight="1" x14ac:dyDescent="0.2">
      <c r="A8" s="1"/>
      <c r="B8" s="5" t="s">
        <v>224</v>
      </c>
      <c r="C8" s="1"/>
      <c r="D8" s="1"/>
      <c r="E8" s="1"/>
      <c r="F8" s="1"/>
      <c r="G8" s="1"/>
      <c r="H8" s="1"/>
      <c r="I8" s="1"/>
      <c r="J8" s="1"/>
      <c r="K8" s="1"/>
      <c r="L8" s="1"/>
      <c r="M8" s="1"/>
      <c r="N8" s="1"/>
      <c r="O8" s="2"/>
      <c r="P8" s="2"/>
      <c r="Q8" s="2"/>
      <c r="R8" s="2"/>
      <c r="S8" s="2"/>
      <c r="T8" s="2"/>
      <c r="U8" s="2"/>
      <c r="V8" s="2"/>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row>
    <row r="9" spans="1:100" ht="22" customHeight="1" x14ac:dyDescent="0.2">
      <c r="A9" s="1"/>
      <c r="B9" s="118" t="s">
        <v>225</v>
      </c>
      <c r="C9" s="88"/>
      <c r="D9" s="120" t="s">
        <v>339</v>
      </c>
      <c r="E9" s="121"/>
      <c r="F9" s="119" t="s">
        <v>226</v>
      </c>
      <c r="G9" s="88"/>
      <c r="H9" s="88"/>
      <c r="I9" s="88"/>
      <c r="J9" s="88"/>
      <c r="K9" s="88"/>
      <c r="L9" s="88"/>
      <c r="M9" s="88"/>
      <c r="N9" s="1"/>
      <c r="O9" s="2"/>
      <c r="P9"/>
      <c r="Q9"/>
      <c r="R9"/>
      <c r="S9" s="2"/>
      <c r="T9" s="2"/>
      <c r="U9" s="2"/>
      <c r="V9" s="2"/>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row>
    <row r="10" spans="1:100" ht="22" customHeight="1" x14ac:dyDescent="0.2">
      <c r="A10" s="1"/>
      <c r="B10" s="118" t="s">
        <v>227</v>
      </c>
      <c r="C10" s="88"/>
      <c r="D10" s="120" t="s">
        <v>228</v>
      </c>
      <c r="E10" s="121"/>
      <c r="F10" s="119" t="s">
        <v>229</v>
      </c>
      <c r="G10" s="88"/>
      <c r="H10" s="88"/>
      <c r="I10" s="88"/>
      <c r="J10" s="88"/>
      <c r="K10" s="88"/>
      <c r="L10" s="88"/>
      <c r="M10" s="88"/>
      <c r="N10" s="1"/>
      <c r="O10" s="2"/>
      <c r="P10"/>
      <c r="Q10"/>
      <c r="R10"/>
      <c r="S10" s="2"/>
      <c r="T10" s="2"/>
      <c r="U10" s="2"/>
      <c r="V10" s="2"/>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row>
    <row r="11" spans="1:100" ht="22" customHeight="1" x14ac:dyDescent="0.2">
      <c r="A11" s="1"/>
      <c r="B11" s="118" t="s">
        <v>231</v>
      </c>
      <c r="C11" s="88"/>
      <c r="D11" s="120" t="s">
        <v>340</v>
      </c>
      <c r="E11" s="121"/>
      <c r="F11" s="119" t="s">
        <v>232</v>
      </c>
      <c r="G11" s="88"/>
      <c r="H11" s="88"/>
      <c r="I11" s="88"/>
      <c r="J11" s="88"/>
      <c r="K11" s="88"/>
      <c r="L11" s="88"/>
      <c r="M11" s="88"/>
      <c r="N11" s="1"/>
      <c r="O11" s="2"/>
      <c r="P11"/>
      <c r="Q11"/>
      <c r="R11"/>
      <c r="S11" s="2"/>
      <c r="T11" s="2"/>
      <c r="U11" s="2"/>
      <c r="V11" s="2"/>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row>
    <row r="12" spans="1:100" ht="22" customHeight="1" x14ac:dyDescent="0.2">
      <c r="A12" s="1"/>
      <c r="B12" s="118" t="s">
        <v>235</v>
      </c>
      <c r="C12" s="88"/>
      <c r="D12" s="122">
        <v>3</v>
      </c>
      <c r="E12" s="121"/>
      <c r="F12" s="119" t="s">
        <v>236</v>
      </c>
      <c r="G12" s="88"/>
      <c r="H12" s="88"/>
      <c r="I12" s="88"/>
      <c r="J12" s="88"/>
      <c r="K12" s="88"/>
      <c r="L12" s="88"/>
      <c r="M12" s="88"/>
      <c r="N12" s="1"/>
      <c r="O12" s="2"/>
      <c r="P12"/>
      <c r="Q12"/>
      <c r="R12"/>
      <c r="S12" s="2"/>
      <c r="T12" s="2"/>
      <c r="U12" s="2"/>
      <c r="V12" s="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row>
    <row r="13" spans="1:100" ht="22" customHeight="1" x14ac:dyDescent="0.2">
      <c r="A13" s="1"/>
      <c r="B13" s="118" t="s">
        <v>237</v>
      </c>
      <c r="C13" s="88"/>
      <c r="D13" s="125">
        <v>2020000</v>
      </c>
      <c r="E13" s="121"/>
      <c r="F13" s="119" t="s">
        <v>238</v>
      </c>
      <c r="G13" s="88"/>
      <c r="H13" s="88"/>
      <c r="I13" s="88"/>
      <c r="J13" s="88"/>
      <c r="K13" s="88"/>
      <c r="L13" s="88"/>
      <c r="M13" s="88"/>
      <c r="N13" s="1"/>
      <c r="O13" s="2"/>
      <c r="P13"/>
      <c r="Q13"/>
      <c r="R13"/>
      <c r="S13" s="2"/>
      <c r="T13" s="2"/>
      <c r="U13" s="2"/>
      <c r="V13" s="2"/>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row>
    <row r="14" spans="1:100" ht="22" customHeight="1" x14ac:dyDescent="0.2">
      <c r="A14" s="1"/>
      <c r="B14" s="118" t="s">
        <v>241</v>
      </c>
      <c r="C14" s="88"/>
      <c r="D14" s="124">
        <v>0.5</v>
      </c>
      <c r="E14" s="121"/>
      <c r="F14" s="119" t="s">
        <v>242</v>
      </c>
      <c r="G14" s="88"/>
      <c r="H14" s="88"/>
      <c r="I14" s="88"/>
      <c r="J14" s="88"/>
      <c r="K14" s="88"/>
      <c r="L14" s="88"/>
      <c r="M14" s="88"/>
      <c r="N14" s="1"/>
      <c r="O14" s="2"/>
      <c r="P14"/>
      <c r="Q14"/>
      <c r="R14"/>
      <c r="S14" s="2"/>
      <c r="T14" s="2"/>
      <c r="U14" s="2"/>
      <c r="V14" s="2"/>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row>
    <row r="15" spans="1:100" ht="6" customHeight="1" x14ac:dyDescent="0.2">
      <c r="A15" s="1"/>
      <c r="B15" s="1"/>
      <c r="C15" s="1"/>
      <c r="D15" s="1"/>
      <c r="E15" s="1"/>
      <c r="F15" s="1"/>
      <c r="G15" s="1"/>
      <c r="H15" s="1"/>
      <c r="I15" s="1"/>
      <c r="J15" s="1"/>
      <c r="K15" s="1"/>
      <c r="L15" s="1"/>
      <c r="M15" s="1"/>
      <c r="N15" s="1"/>
      <c r="O15" s="2"/>
      <c r="P15"/>
      <c r="Q15"/>
      <c r="R15"/>
      <c r="S15" s="2"/>
      <c r="T15" s="2"/>
      <c r="U15" s="2"/>
      <c r="V15" s="2"/>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row>
    <row r="16" spans="1:100" x14ac:dyDescent="0.2">
      <c r="A16" s="1"/>
      <c r="B16" s="1"/>
      <c r="C16" s="1"/>
      <c r="D16" s="1"/>
      <c r="E16" s="1"/>
      <c r="F16" s="1"/>
      <c r="G16" s="1"/>
      <c r="H16" s="1"/>
      <c r="I16" s="1"/>
      <c r="J16" s="1"/>
      <c r="K16" s="1"/>
      <c r="L16" s="1"/>
      <c r="M16" s="1"/>
      <c r="N16" s="1"/>
      <c r="O16" s="2"/>
      <c r="P16"/>
      <c r="Q16"/>
      <c r="R16"/>
      <c r="S16" s="2"/>
      <c r="T16" s="2"/>
      <c r="U16" s="2"/>
      <c r="V16" s="2"/>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row>
    <row r="17" spans="1:100" x14ac:dyDescent="0.2">
      <c r="A17" s="1"/>
      <c r="B17" s="1"/>
      <c r="C17" s="1"/>
      <c r="D17" s="1"/>
      <c r="E17" s="1"/>
      <c r="F17" s="1"/>
      <c r="G17" s="1"/>
      <c r="H17" s="1"/>
      <c r="I17" s="1"/>
      <c r="J17" s="1"/>
      <c r="K17" s="1"/>
      <c r="L17" s="1"/>
      <c r="M17" s="1"/>
      <c r="N17" s="1"/>
      <c r="O17" s="2"/>
      <c r="P17"/>
      <c r="Q17"/>
      <c r="R17"/>
      <c r="S17" s="2"/>
      <c r="T17" s="2"/>
      <c r="U17" s="2"/>
      <c r="V17" s="2"/>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row>
    <row r="18" spans="1:100" ht="22" customHeight="1" x14ac:dyDescent="0.2">
      <c r="A18" s="1"/>
      <c r="B18" s="5" t="b">
        <v>0</v>
      </c>
      <c r="C18" s="1"/>
      <c r="D18" s="1"/>
      <c r="E18" s="1"/>
      <c r="F18" s="1"/>
      <c r="G18" s="1"/>
      <c r="H18" s="1"/>
      <c r="I18" s="1"/>
      <c r="J18" s="1"/>
      <c r="K18" s="1"/>
      <c r="L18" s="89"/>
      <c r="M18" s="88"/>
      <c r="N18" s="1"/>
      <c r="O18" s="2"/>
      <c r="P18"/>
      <c r="Q18"/>
      <c r="R18"/>
      <c r="S18" s="2"/>
      <c r="T18" s="2"/>
      <c r="U18" s="2"/>
      <c r="V18" s="2"/>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row>
    <row r="19" spans="1:100" ht="32" customHeight="1" x14ac:dyDescent="0.2">
      <c r="A19" s="1"/>
      <c r="B19" s="21" t="s">
        <v>248</v>
      </c>
      <c r="C19" s="22" t="s">
        <v>249</v>
      </c>
      <c r="D19" s="22" t="s">
        <v>250</v>
      </c>
      <c r="E19" s="21" t="s">
        <v>251</v>
      </c>
      <c r="F19" s="23" t="s">
        <v>252</v>
      </c>
      <c r="G19" s="23" t="s">
        <v>253</v>
      </c>
      <c r="H19" s="23" t="s">
        <v>254</v>
      </c>
      <c r="I19" s="23" t="s">
        <v>255</v>
      </c>
      <c r="J19" s="23" t="s">
        <v>256</v>
      </c>
      <c r="K19" s="23" t="s">
        <v>257</v>
      </c>
      <c r="L19" s="23" t="s">
        <v>258</v>
      </c>
      <c r="M19" s="23" t="s">
        <v>259</v>
      </c>
      <c r="N19" s="1"/>
      <c r="O19" s="2"/>
      <c r="P19" s="2"/>
      <c r="Q19" s="2"/>
      <c r="R19" s="2"/>
      <c r="S19" s="2"/>
      <c r="T19" s="2"/>
      <c r="U19" s="2"/>
      <c r="V19" s="2"/>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row>
    <row r="20" spans="1:100" ht="22" customHeight="1" x14ac:dyDescent="0.2">
      <c r="A20" s="1"/>
      <c r="B20" s="13" t="b">
        <v>1</v>
      </c>
      <c r="C20" s="17" t="s">
        <v>260</v>
      </c>
      <c r="D20" s="24" t="s">
        <v>261</v>
      </c>
      <c r="E20" s="25">
        <v>1</v>
      </c>
      <c r="F20" s="19">
        <v>260000</v>
      </c>
      <c r="G20" s="6">
        <v>0.185</v>
      </c>
      <c r="H20" s="10">
        <v>100</v>
      </c>
      <c r="I20" s="26">
        <v>1700</v>
      </c>
      <c r="J20" s="26">
        <v>0.2</v>
      </c>
      <c r="K20" s="19">
        <v>380</v>
      </c>
      <c r="L20" s="18">
        <v>85</v>
      </c>
      <c r="M20" s="19">
        <v>29000</v>
      </c>
      <c r="N20" s="1"/>
      <c r="O20" s="2"/>
      <c r="P20" s="2"/>
      <c r="Q20" s="2"/>
      <c r="R20" s="2"/>
      <c r="S20" s="2"/>
      <c r="T20" s="2"/>
      <c r="U20" s="2"/>
      <c r="V20" s="2"/>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row>
    <row r="21" spans="1:100" ht="22" customHeight="1" x14ac:dyDescent="0.2">
      <c r="A21" s="1"/>
      <c r="B21" s="13" t="b">
        <v>1</v>
      </c>
      <c r="C21" s="17" t="s">
        <v>341</v>
      </c>
      <c r="D21" s="24" t="s">
        <v>140</v>
      </c>
      <c r="E21" s="25">
        <v>2</v>
      </c>
      <c r="F21" s="19">
        <v>175000</v>
      </c>
      <c r="G21" s="6">
        <v>0.185</v>
      </c>
      <c r="H21" s="10">
        <v>100</v>
      </c>
      <c r="I21" s="26">
        <v>1700</v>
      </c>
      <c r="J21" s="26">
        <v>0.55000000000000004</v>
      </c>
      <c r="K21" s="19">
        <v>300</v>
      </c>
      <c r="L21" s="18">
        <v>470</v>
      </c>
      <c r="M21" s="19">
        <v>112800</v>
      </c>
      <c r="N21" s="1"/>
      <c r="O21" s="2"/>
      <c r="P21" s="2"/>
      <c r="Q21" s="2"/>
      <c r="R21" s="2"/>
      <c r="S21" s="2"/>
      <c r="T21" s="2"/>
      <c r="U21" s="2"/>
      <c r="V21" s="2"/>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row>
    <row r="22" spans="1:100" ht="22" customHeight="1" x14ac:dyDescent="0.2">
      <c r="A22" s="1"/>
      <c r="B22" s="13" t="b">
        <v>1</v>
      </c>
      <c r="C22" s="17" t="s">
        <v>262</v>
      </c>
      <c r="D22" s="24" t="s">
        <v>140</v>
      </c>
      <c r="E22" s="25">
        <v>1</v>
      </c>
      <c r="F22" s="19">
        <v>165000</v>
      </c>
      <c r="G22" s="6">
        <v>0.185</v>
      </c>
      <c r="H22" s="10">
        <v>100</v>
      </c>
      <c r="I22" s="26">
        <v>1700</v>
      </c>
      <c r="J22" s="26">
        <v>0.6</v>
      </c>
      <c r="K22" s="19">
        <v>280</v>
      </c>
      <c r="L22" s="18">
        <v>255</v>
      </c>
      <c r="M22" s="19">
        <v>59200</v>
      </c>
      <c r="N22" s="1"/>
      <c r="O22" s="2"/>
      <c r="P22" s="2"/>
      <c r="Q22" s="2"/>
      <c r="R22" s="2"/>
      <c r="S22" s="2"/>
      <c r="T22" s="2"/>
      <c r="U22" s="2"/>
      <c r="V22" s="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row>
    <row r="23" spans="1:100" ht="22" customHeight="1" x14ac:dyDescent="0.2">
      <c r="A23" s="1"/>
      <c r="B23" s="13" t="b">
        <v>1</v>
      </c>
      <c r="C23" s="17" t="s">
        <v>342</v>
      </c>
      <c r="D23" s="24" t="s">
        <v>140</v>
      </c>
      <c r="E23" s="25">
        <v>4</v>
      </c>
      <c r="F23" s="19">
        <v>115000</v>
      </c>
      <c r="G23" s="6">
        <v>0.185</v>
      </c>
      <c r="H23" s="10">
        <v>100</v>
      </c>
      <c r="I23" s="26">
        <v>1700</v>
      </c>
      <c r="J23" s="26">
        <v>0.7</v>
      </c>
      <c r="K23" s="19">
        <v>235</v>
      </c>
      <c r="L23" s="18">
        <v>1190</v>
      </c>
      <c r="M23" s="19">
        <v>240500</v>
      </c>
      <c r="N23" s="1"/>
      <c r="O23" s="2"/>
      <c r="P23" s="2"/>
      <c r="Q23" s="2"/>
      <c r="R23" s="2"/>
      <c r="S23" s="2"/>
      <c r="T23" s="2"/>
      <c r="U23" s="2"/>
      <c r="V23" s="2"/>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row>
    <row r="24" spans="1:100" ht="22" customHeight="1" x14ac:dyDescent="0.2">
      <c r="A24" s="1"/>
      <c r="B24" s="13" t="b">
        <v>1</v>
      </c>
      <c r="C24" s="17" t="s">
        <v>343</v>
      </c>
      <c r="D24" s="24" t="s">
        <v>140</v>
      </c>
      <c r="E24" s="25">
        <v>2</v>
      </c>
      <c r="F24" s="19">
        <v>140000</v>
      </c>
      <c r="G24" s="6">
        <v>0.185</v>
      </c>
      <c r="H24" s="10">
        <v>100</v>
      </c>
      <c r="I24" s="26">
        <v>1700</v>
      </c>
      <c r="J24" s="26">
        <v>0.65</v>
      </c>
      <c r="K24" s="19">
        <v>260</v>
      </c>
      <c r="L24" s="18">
        <v>555</v>
      </c>
      <c r="M24" s="19">
        <v>132800</v>
      </c>
      <c r="N24" s="1"/>
      <c r="O24" s="2"/>
      <c r="P24" s="2"/>
      <c r="Q24" s="2"/>
      <c r="R24" s="2"/>
      <c r="S24" s="2"/>
      <c r="T24" s="2"/>
      <c r="U24" s="2"/>
      <c r="V24" s="2"/>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row>
    <row r="25" spans="1:100" ht="22" customHeight="1" x14ac:dyDescent="0.2">
      <c r="A25" s="1"/>
      <c r="B25" s="13" t="b">
        <v>1</v>
      </c>
      <c r="C25" s="17" t="s">
        <v>263</v>
      </c>
      <c r="D25" s="24" t="s">
        <v>140</v>
      </c>
      <c r="E25" s="25">
        <v>4</v>
      </c>
      <c r="F25" s="19">
        <v>110000</v>
      </c>
      <c r="G25" s="6">
        <v>0.185</v>
      </c>
      <c r="H25" s="10">
        <v>100</v>
      </c>
      <c r="I25" s="26">
        <v>1700</v>
      </c>
      <c r="J25" s="26">
        <v>0.75</v>
      </c>
      <c r="K25" s="19">
        <v>230</v>
      </c>
      <c r="L25" s="18">
        <v>1275</v>
      </c>
      <c r="M25" s="19">
        <v>281500</v>
      </c>
      <c r="N25" s="1"/>
      <c r="O25" s="2"/>
      <c r="P25" s="2"/>
      <c r="Q25" s="2"/>
      <c r="R25" s="2"/>
      <c r="S25" s="2"/>
      <c r="T25" s="2"/>
      <c r="U25" s="2"/>
      <c r="V25" s="2"/>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row>
    <row r="26" spans="1:100" ht="22" customHeight="1" x14ac:dyDescent="0.2">
      <c r="A26" s="1"/>
      <c r="B26" s="13" t="b">
        <v>1</v>
      </c>
      <c r="C26" s="17" t="s">
        <v>344</v>
      </c>
      <c r="D26" s="24" t="s">
        <v>140</v>
      </c>
      <c r="E26" s="25">
        <v>5</v>
      </c>
      <c r="F26" s="19">
        <v>88000</v>
      </c>
      <c r="G26" s="6">
        <v>0.185</v>
      </c>
      <c r="H26" s="10">
        <v>100</v>
      </c>
      <c r="I26" s="26">
        <v>1700</v>
      </c>
      <c r="J26" s="26">
        <v>0.72</v>
      </c>
      <c r="K26" s="19">
        <v>215</v>
      </c>
      <c r="L26" s="18">
        <v>1530</v>
      </c>
      <c r="M26" s="19">
        <v>276300</v>
      </c>
      <c r="N26" s="1"/>
      <c r="O26" s="2"/>
      <c r="P26" s="2"/>
      <c r="Q26" s="2"/>
      <c r="R26" s="2"/>
      <c r="S26" s="2"/>
      <c r="T26" s="2"/>
      <c r="U26" s="2"/>
      <c r="V26" s="2"/>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row>
    <row r="27" spans="1:100" ht="22" customHeight="1" x14ac:dyDescent="0.2">
      <c r="A27" s="1"/>
      <c r="B27" s="13" t="b">
        <v>1</v>
      </c>
      <c r="C27" s="17" t="s">
        <v>345</v>
      </c>
      <c r="D27" s="24" t="s">
        <v>140</v>
      </c>
      <c r="E27" s="25">
        <v>5</v>
      </c>
      <c r="F27" s="19">
        <v>82000</v>
      </c>
      <c r="G27" s="6">
        <v>0.185</v>
      </c>
      <c r="H27" s="10">
        <v>100</v>
      </c>
      <c r="I27" s="26">
        <v>1700</v>
      </c>
      <c r="J27" s="26">
        <v>0.76</v>
      </c>
      <c r="K27" s="19">
        <v>200</v>
      </c>
      <c r="L27" s="18">
        <v>1615</v>
      </c>
      <c r="M27" s="19">
        <v>293900</v>
      </c>
      <c r="N27" s="1"/>
      <c r="O27" s="2"/>
      <c r="P27" s="2"/>
      <c r="Q27" s="2"/>
      <c r="R27" s="2"/>
      <c r="S27" s="2"/>
      <c r="T27" s="2"/>
      <c r="U27" s="2"/>
      <c r="V27" s="2"/>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row>
    <row r="28" spans="1:100" ht="22" customHeight="1" x14ac:dyDescent="0.2">
      <c r="A28" s="1"/>
      <c r="B28" s="13" t="b">
        <v>1</v>
      </c>
      <c r="C28" s="17" t="s">
        <v>346</v>
      </c>
      <c r="D28" s="24" t="s">
        <v>140</v>
      </c>
      <c r="E28" s="25">
        <v>3</v>
      </c>
      <c r="F28" s="19">
        <v>95000</v>
      </c>
      <c r="G28" s="6">
        <v>0.185</v>
      </c>
      <c r="H28" s="10">
        <v>100</v>
      </c>
      <c r="I28" s="26">
        <v>1700</v>
      </c>
      <c r="J28" s="26">
        <v>0.68</v>
      </c>
      <c r="K28" s="19">
        <v>210</v>
      </c>
      <c r="L28" s="18">
        <v>867</v>
      </c>
      <c r="M28" s="19">
        <v>171100</v>
      </c>
      <c r="N28" s="1"/>
      <c r="O28" s="2"/>
      <c r="P28" s="2"/>
      <c r="Q28" s="2"/>
      <c r="R28" s="2"/>
      <c r="S28" s="2"/>
      <c r="T28" s="2"/>
      <c r="U28" s="2"/>
      <c r="V28" s="2"/>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row>
    <row r="29" spans="1:100" ht="22" customHeight="1" x14ac:dyDescent="0.2">
      <c r="A29" s="1"/>
      <c r="B29" s="13" t="b">
        <v>1</v>
      </c>
      <c r="C29" s="17" t="s">
        <v>347</v>
      </c>
      <c r="D29" s="24" t="s">
        <v>140</v>
      </c>
      <c r="E29" s="25">
        <v>4</v>
      </c>
      <c r="F29" s="19">
        <v>105000</v>
      </c>
      <c r="G29" s="6">
        <v>0.185</v>
      </c>
      <c r="H29" s="10">
        <v>100</v>
      </c>
      <c r="I29" s="26">
        <v>1700</v>
      </c>
      <c r="J29" s="26">
        <v>0.74</v>
      </c>
      <c r="K29" s="19">
        <v>245</v>
      </c>
      <c r="L29" s="18">
        <v>1258</v>
      </c>
      <c r="M29" s="19">
        <v>299000</v>
      </c>
      <c r="N29" s="1"/>
      <c r="O29" s="2"/>
      <c r="P29" s="2"/>
      <c r="Q29" s="2"/>
      <c r="R29" s="2"/>
      <c r="S29" s="2"/>
      <c r="T29" s="2"/>
      <c r="U29" s="2"/>
      <c r="V29" s="2"/>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row>
    <row r="30" spans="1:100" ht="22" customHeight="1" x14ac:dyDescent="0.2">
      <c r="A30" s="1"/>
      <c r="B30" s="13" t="b">
        <v>1</v>
      </c>
      <c r="C30" s="17" t="s">
        <v>264</v>
      </c>
      <c r="D30" s="24" t="s">
        <v>140</v>
      </c>
      <c r="E30" s="25">
        <v>4</v>
      </c>
      <c r="F30" s="19">
        <v>62000</v>
      </c>
      <c r="G30" s="6">
        <v>0.185</v>
      </c>
      <c r="H30" s="10">
        <v>100</v>
      </c>
      <c r="I30" s="26">
        <v>1700</v>
      </c>
      <c r="J30" s="26">
        <v>0.7</v>
      </c>
      <c r="K30" s="19">
        <v>120</v>
      </c>
      <c r="L30" s="18">
        <v>1190</v>
      </c>
      <c r="M30" s="19">
        <v>111400</v>
      </c>
      <c r="N30" s="1"/>
      <c r="O30" s="2"/>
      <c r="P30" s="2"/>
      <c r="Q30" s="2"/>
      <c r="R30" s="2"/>
      <c r="S30" s="2"/>
      <c r="T30" s="2"/>
      <c r="U30" s="2"/>
      <c r="V30" s="2"/>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row>
    <row r="31" spans="1:100" ht="22" customHeight="1" x14ac:dyDescent="0.2">
      <c r="A31" s="1"/>
      <c r="B31" s="13" t="b">
        <v>1</v>
      </c>
      <c r="C31" s="17" t="s">
        <v>348</v>
      </c>
      <c r="D31" s="24" t="s">
        <v>140</v>
      </c>
      <c r="E31" s="25">
        <v>4</v>
      </c>
      <c r="F31" s="19">
        <v>58000</v>
      </c>
      <c r="G31" s="6">
        <v>0.185</v>
      </c>
      <c r="H31" s="10">
        <v>100</v>
      </c>
      <c r="I31" s="26">
        <v>1700</v>
      </c>
      <c r="J31" s="26">
        <v>0.66</v>
      </c>
      <c r="K31" s="19">
        <v>110</v>
      </c>
      <c r="L31" s="18">
        <v>1122</v>
      </c>
      <c r="M31" s="19">
        <v>101200</v>
      </c>
      <c r="N31" s="1"/>
      <c r="O31" s="2"/>
      <c r="P31" s="2"/>
      <c r="Q31" s="2"/>
      <c r="R31" s="2"/>
      <c r="S31" s="2"/>
      <c r="T31" s="2"/>
      <c r="U31" s="2"/>
      <c r="V31" s="2"/>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row>
    <row r="32" spans="1:100" ht="22" customHeight="1" x14ac:dyDescent="0.2">
      <c r="A32" s="1"/>
      <c r="B32" s="13" t="b">
        <v>1</v>
      </c>
      <c r="C32" s="17" t="s">
        <v>349</v>
      </c>
      <c r="D32" s="24" t="s">
        <v>299</v>
      </c>
      <c r="E32" s="25">
        <v>3</v>
      </c>
      <c r="F32" s="19">
        <v>92000</v>
      </c>
      <c r="G32" s="6">
        <v>0.185</v>
      </c>
      <c r="H32" s="10">
        <v>100</v>
      </c>
      <c r="I32" s="26">
        <v>1700</v>
      </c>
      <c r="J32" s="26">
        <v>0</v>
      </c>
      <c r="K32" s="19">
        <v>0</v>
      </c>
      <c r="L32" s="18">
        <v>0</v>
      </c>
      <c r="M32" s="19">
        <v>0</v>
      </c>
      <c r="N32" s="1"/>
      <c r="O32" s="2"/>
      <c r="P32" s="2"/>
      <c r="Q32" s="2"/>
      <c r="R32" s="2"/>
      <c r="S32" s="2"/>
      <c r="T32" s="2"/>
      <c r="U32" s="2"/>
      <c r="V32" s="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row>
    <row r="33" spans="1:100" ht="22" customHeight="1" x14ac:dyDescent="0.2">
      <c r="A33" s="1"/>
      <c r="B33" s="13" t="b">
        <v>1</v>
      </c>
      <c r="C33" s="17" t="s">
        <v>350</v>
      </c>
      <c r="D33" s="24" t="s">
        <v>299</v>
      </c>
      <c r="E33" s="25">
        <v>2</v>
      </c>
      <c r="F33" s="19">
        <v>68000</v>
      </c>
      <c r="G33" s="6">
        <v>0.185</v>
      </c>
      <c r="H33" s="10">
        <v>100</v>
      </c>
      <c r="I33" s="26">
        <v>1700</v>
      </c>
      <c r="J33" s="26">
        <v>0</v>
      </c>
      <c r="K33" s="19">
        <v>0</v>
      </c>
      <c r="L33" s="18">
        <v>0</v>
      </c>
      <c r="M33" s="19">
        <v>0</v>
      </c>
      <c r="N33" s="1"/>
      <c r="O33" s="2"/>
      <c r="P33" s="2"/>
      <c r="Q33" s="2"/>
      <c r="R33" s="2"/>
      <c r="S33" s="2"/>
      <c r="T33" s="2"/>
      <c r="U33" s="2"/>
      <c r="V33" s="2"/>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row>
    <row r="34" spans="1:100" ht="6" customHeight="1" x14ac:dyDescent="0.2">
      <c r="A34" s="1"/>
      <c r="B34" s="1"/>
      <c r="C34" s="1"/>
      <c r="D34" s="1"/>
      <c r="E34" s="1"/>
      <c r="F34" s="1"/>
      <c r="G34" s="1"/>
      <c r="H34" s="1"/>
      <c r="I34" s="1"/>
      <c r="J34" s="1"/>
      <c r="K34" s="1"/>
      <c r="L34" s="1"/>
      <c r="M34" s="1"/>
      <c r="N34" s="1"/>
      <c r="O34" s="2"/>
      <c r="P34" s="2"/>
      <c r="Q34" s="2"/>
      <c r="R34" s="2"/>
      <c r="S34" s="2"/>
      <c r="T34" s="2"/>
      <c r="U34" s="2"/>
      <c r="V34" s="2"/>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row>
    <row r="35" spans="1:100" ht="22" customHeight="1" x14ac:dyDescent="0.2">
      <c r="A35" s="1"/>
      <c r="B35" s="5" t="s">
        <v>265</v>
      </c>
      <c r="C35" s="1"/>
      <c r="D35" s="1"/>
      <c r="E35" s="1"/>
      <c r="F35" s="1"/>
      <c r="G35" s="1"/>
      <c r="H35" s="1"/>
      <c r="I35" s="1"/>
      <c r="J35" s="1"/>
      <c r="K35" s="1"/>
      <c r="L35" s="1"/>
      <c r="M35" s="1"/>
      <c r="N35" s="1"/>
      <c r="O35" s="2"/>
      <c r="P35" s="2"/>
      <c r="Q35" s="2"/>
      <c r="R35" s="2"/>
      <c r="S35" s="2"/>
      <c r="T35" s="2"/>
      <c r="U35" s="2"/>
      <c r="V35" s="2"/>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row>
    <row r="36" spans="1:100" ht="22" customHeight="1" x14ac:dyDescent="0.2">
      <c r="A36" s="1"/>
      <c r="B36" s="27" t="s">
        <v>62</v>
      </c>
      <c r="C36" s="103" t="s">
        <v>266</v>
      </c>
      <c r="D36" s="100"/>
      <c r="E36" s="100"/>
      <c r="F36" s="8" t="s">
        <v>267</v>
      </c>
      <c r="G36" s="8" t="s">
        <v>268</v>
      </c>
      <c r="H36" s="8" t="s">
        <v>269</v>
      </c>
      <c r="I36" s="123" t="s">
        <v>270</v>
      </c>
      <c r="J36" s="100"/>
      <c r="K36" s="100"/>
      <c r="L36" s="103" t="s">
        <v>271</v>
      </c>
      <c r="M36" s="100"/>
      <c r="N36" s="1"/>
      <c r="O36" s="2"/>
      <c r="P36" s="2"/>
      <c r="Q36" s="2"/>
      <c r="R36" s="2"/>
      <c r="S36" s="2"/>
      <c r="T36" s="2"/>
      <c r="U36" s="2"/>
      <c r="V36" s="2"/>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row>
    <row r="37" spans="1:100" ht="22" customHeight="1" x14ac:dyDescent="0.2">
      <c r="A37" s="1"/>
      <c r="B37" s="12">
        <v>1</v>
      </c>
      <c r="C37" s="120"/>
      <c r="D37" s="126"/>
      <c r="E37" s="121"/>
      <c r="F37" s="19"/>
      <c r="G37" s="6">
        <f>IFERROR(F37/'Sample Roster'!$D$13,0)</f>
        <v>0</v>
      </c>
      <c r="H37" s="20"/>
      <c r="I37" s="127" t="str">
        <f>IF(OR(F37=0,H37=0),"-",IF(H37&gt;G37*1.3,"UNDERWATER",IF(H37&gt;G37*1.1,"LEAN",IF(H37&lt;G37*0.85,"PREMIUM","BALANCED"))))</f>
        <v>-</v>
      </c>
      <c r="J37" s="88"/>
      <c r="K37" s="88"/>
      <c r="L37" s="119" t="s">
        <v>272</v>
      </c>
      <c r="M37" s="88"/>
      <c r="N37" s="1"/>
      <c r="O37" s="2"/>
      <c r="P37" s="2"/>
      <c r="Q37" s="2"/>
      <c r="R37" s="2"/>
      <c r="S37" s="2"/>
      <c r="T37" s="2"/>
      <c r="U37" s="2"/>
      <c r="V37" s="2"/>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row>
    <row r="38" spans="1:100" ht="22" customHeight="1" x14ac:dyDescent="0.2">
      <c r="A38" s="1"/>
      <c r="B38" s="12">
        <v>2</v>
      </c>
      <c r="C38" s="120"/>
      <c r="D38" s="126"/>
      <c r="E38" s="121"/>
      <c r="F38" s="19"/>
      <c r="G38" s="6">
        <f>IFERROR(F38/'Sample Roster'!$D$13,0)</f>
        <v>0</v>
      </c>
      <c r="H38" s="20"/>
      <c r="I38" s="127" t="str">
        <f>IF(OR(F38=0,H38=0),"-",IF(H38&gt;G38*1.3,"UNDERWATER",IF(H38&gt;G38*1.1,"LEAN",IF(H38&lt;G38*0.85,"PREMIUM","BALANCED"))))</f>
        <v>-</v>
      </c>
      <c r="J38" s="88"/>
      <c r="K38" s="88"/>
      <c r="L38" s="119" t="s">
        <v>272</v>
      </c>
      <c r="M38" s="88"/>
      <c r="N38" s="1"/>
      <c r="O38" s="2"/>
      <c r="P38" s="2"/>
      <c r="Q38" s="2"/>
      <c r="R38" s="2"/>
      <c r="S38" s="2"/>
      <c r="T38" s="2"/>
      <c r="U38" s="2"/>
      <c r="V38" s="2"/>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row>
    <row r="39" spans="1:100" ht="22" customHeight="1" x14ac:dyDescent="0.2">
      <c r="A39" s="1"/>
      <c r="B39" s="12">
        <v>3</v>
      </c>
      <c r="C39" s="120"/>
      <c r="D39" s="126"/>
      <c r="E39" s="121"/>
      <c r="F39" s="19"/>
      <c r="G39" s="6">
        <f>IFERROR(F39/'Sample Roster'!$D$13,0)</f>
        <v>0</v>
      </c>
      <c r="H39" s="20"/>
      <c r="I39" s="127" t="str">
        <f>IF(OR(F39=0,H39=0),"-",IF(H39&gt;G39*1.3,"UNDERWATER",IF(H39&gt;G39*1.1,"LEAN",IF(H39&lt;G39*0.85,"PREMIUM","BALANCED"))))</f>
        <v>-</v>
      </c>
      <c r="J39" s="88"/>
      <c r="K39" s="88"/>
      <c r="L39" s="119" t="s">
        <v>272</v>
      </c>
      <c r="M39" s="88"/>
      <c r="N39" s="1"/>
      <c r="O39" s="2"/>
      <c r="P39" s="2"/>
      <c r="Q39" s="2"/>
      <c r="R39" s="2"/>
      <c r="S39" s="2"/>
      <c r="T39" s="2"/>
      <c r="U39" s="2"/>
      <c r="V39" s="2"/>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row>
    <row r="40" spans="1:100" ht="6" customHeight="1" x14ac:dyDescent="0.2">
      <c r="A40" s="1"/>
      <c r="B40" s="1"/>
      <c r="C40" s="1"/>
      <c r="D40" s="1"/>
      <c r="E40" s="1"/>
      <c r="F40" s="1"/>
      <c r="G40" s="1"/>
      <c r="H40" s="1"/>
      <c r="I40" s="1"/>
      <c r="J40" s="1"/>
      <c r="K40" s="1"/>
      <c r="L40" s="1"/>
      <c r="M40" s="1"/>
      <c r="N40" s="1"/>
      <c r="O40" s="2"/>
      <c r="P40" s="2"/>
      <c r="Q40" s="2"/>
      <c r="R40" s="2"/>
      <c r="S40" s="2"/>
      <c r="T40" s="2"/>
      <c r="U40" s="2"/>
      <c r="V40" s="2"/>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row>
    <row r="41" spans="1:100" x14ac:dyDescent="0.2">
      <c r="A41" s="1"/>
      <c r="B41" s="1"/>
      <c r="C41" s="1"/>
      <c r="D41" s="1"/>
      <c r="E41" s="1"/>
      <c r="F41" s="1"/>
      <c r="G41" s="1"/>
      <c r="H41" s="1"/>
      <c r="I41" s="1"/>
      <c r="J41" s="1"/>
      <c r="K41" s="1"/>
      <c r="L41" s="1"/>
      <c r="M41" s="1"/>
      <c r="N41" s="1"/>
      <c r="O41" s="2"/>
      <c r="P41" s="2"/>
      <c r="Q41" s="2"/>
      <c r="R41" s="2"/>
      <c r="S41" s="2"/>
      <c r="T41" s="2"/>
      <c r="U41" s="2"/>
      <c r="V41" s="2"/>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row>
    <row r="42" spans="1:100" x14ac:dyDescent="0.2">
      <c r="A42" s="1"/>
      <c r="B42" s="1"/>
      <c r="C42" s="1"/>
      <c r="D42" s="1"/>
      <c r="E42" s="1"/>
      <c r="F42" s="1"/>
      <c r="G42" s="1"/>
      <c r="H42" s="1"/>
      <c r="I42" s="1"/>
      <c r="J42" s="1"/>
      <c r="K42" s="1"/>
      <c r="L42" s="1"/>
      <c r="M42" s="1"/>
      <c r="N42" s="1"/>
      <c r="O42" s="2"/>
      <c r="P42" s="2"/>
      <c r="Q42" s="2"/>
      <c r="R42" s="2"/>
      <c r="S42" s="2"/>
      <c r="T42" s="2"/>
      <c r="U42" s="2"/>
      <c r="V42" s="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row>
    <row r="43" spans="1:100" x14ac:dyDescent="0.2">
      <c r="A43" s="1"/>
      <c r="B43" s="1"/>
      <c r="C43" s="1"/>
      <c r="D43" s="1"/>
      <c r="E43" s="1"/>
      <c r="F43" s="1"/>
      <c r="G43" s="1"/>
      <c r="H43" s="1"/>
      <c r="I43" s="1"/>
      <c r="J43" s="1"/>
      <c r="K43" s="1"/>
      <c r="L43" s="1"/>
      <c r="M43" s="1"/>
      <c r="N43" s="1"/>
      <c r="O43" s="2"/>
      <c r="P43" s="2"/>
      <c r="Q43" s="2"/>
      <c r="R43" s="2"/>
      <c r="S43" s="2"/>
      <c r="T43" s="2"/>
      <c r="U43" s="2"/>
      <c r="V43" s="2"/>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row>
    <row r="44" spans="1:100" ht="22" customHeight="1" x14ac:dyDescent="0.2">
      <c r="A44" s="1"/>
      <c r="B44" s="5" t="s">
        <v>273</v>
      </c>
      <c r="C44" s="1"/>
      <c r="D44" s="1"/>
      <c r="E44" s="1"/>
      <c r="F44" s="1"/>
      <c r="G44" s="1"/>
      <c r="H44" s="1"/>
      <c r="I44" s="1"/>
      <c r="J44" s="1"/>
      <c r="K44" s="1"/>
      <c r="L44" s="1"/>
      <c r="M44" s="1"/>
      <c r="N44" s="1"/>
      <c r="O44" s="2"/>
      <c r="P44" s="2"/>
      <c r="Q44" s="2"/>
      <c r="R44" s="2"/>
      <c r="S44" s="2"/>
      <c r="T44" s="2"/>
      <c r="U44" s="2"/>
      <c r="V44" s="2"/>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row>
    <row r="45" spans="1:100" ht="22" customHeight="1" x14ac:dyDescent="0.2">
      <c r="A45" s="1"/>
      <c r="B45" s="7" t="s">
        <v>210</v>
      </c>
      <c r="C45" s="7" t="s">
        <v>274</v>
      </c>
      <c r="D45" s="8" t="s">
        <v>253</v>
      </c>
      <c r="E45" s="8" t="s">
        <v>275</v>
      </c>
      <c r="F45" s="8" t="s">
        <v>276</v>
      </c>
      <c r="G45" s="7" t="s">
        <v>277</v>
      </c>
      <c r="H45" s="103" t="s">
        <v>271</v>
      </c>
      <c r="I45" s="100"/>
      <c r="J45" s="100"/>
      <c r="K45" s="100"/>
      <c r="L45" s="100"/>
      <c r="M45" s="100"/>
      <c r="N45" s="1"/>
      <c r="O45" s="2"/>
      <c r="P45" s="2"/>
      <c r="Q45" s="2"/>
      <c r="R45" s="2"/>
      <c r="S45" s="2"/>
      <c r="T45" s="2"/>
      <c r="U45" s="2"/>
      <c r="V45" s="2"/>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row>
    <row r="46" spans="1:100" ht="26" customHeight="1" x14ac:dyDescent="0.2">
      <c r="A46" s="1"/>
      <c r="B46" s="9" t="s">
        <v>214</v>
      </c>
      <c r="C46" s="12" t="s">
        <v>278</v>
      </c>
      <c r="D46" s="6">
        <v>0.185</v>
      </c>
      <c r="E46" s="10">
        <v>100</v>
      </c>
      <c r="F46" s="11">
        <v>1880</v>
      </c>
      <c r="G46" s="12" t="s">
        <v>215</v>
      </c>
      <c r="H46" s="119" t="s">
        <v>216</v>
      </c>
      <c r="I46" s="88"/>
      <c r="J46" s="88"/>
      <c r="K46" s="88"/>
      <c r="L46" s="88"/>
      <c r="M46" s="88"/>
      <c r="N46" s="1"/>
      <c r="O46" s="2"/>
      <c r="P46" s="2"/>
      <c r="Q46" s="2"/>
      <c r="R46" s="2"/>
      <c r="S46" s="2"/>
      <c r="T46" s="2"/>
      <c r="U46" s="2"/>
      <c r="V46" s="2"/>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row>
    <row r="47" spans="1:100" ht="26" customHeight="1" x14ac:dyDescent="0.2">
      <c r="A47" s="1"/>
      <c r="B47" s="9" t="s">
        <v>217</v>
      </c>
      <c r="C47" s="12" t="s">
        <v>218</v>
      </c>
      <c r="D47" s="6">
        <v>4.4999999999999998E-2</v>
      </c>
      <c r="E47" s="10">
        <v>80</v>
      </c>
      <c r="F47" s="11">
        <v>1880</v>
      </c>
      <c r="G47" s="12" t="s">
        <v>219</v>
      </c>
      <c r="H47" s="119" t="s">
        <v>220</v>
      </c>
      <c r="I47" s="88"/>
      <c r="J47" s="88"/>
      <c r="K47" s="88"/>
      <c r="L47" s="88"/>
      <c r="M47" s="88"/>
      <c r="N47" s="1"/>
      <c r="O47" s="2"/>
      <c r="P47" s="2"/>
      <c r="Q47" s="2"/>
      <c r="R47" s="2"/>
      <c r="S47" s="2"/>
      <c r="T47" s="2"/>
      <c r="U47" s="2"/>
      <c r="V47" s="2"/>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row>
    <row r="48" spans="1:100" ht="26" customHeight="1" x14ac:dyDescent="0.2">
      <c r="A48" s="1"/>
      <c r="B48" s="9" t="s">
        <v>206</v>
      </c>
      <c r="C48" s="12" t="s">
        <v>221</v>
      </c>
      <c r="D48" s="6">
        <v>0.105</v>
      </c>
      <c r="E48" s="10">
        <v>700</v>
      </c>
      <c r="F48" s="11">
        <v>1880</v>
      </c>
      <c r="G48" s="12" t="s">
        <v>222</v>
      </c>
      <c r="H48" s="119" t="s">
        <v>223</v>
      </c>
      <c r="I48" s="88"/>
      <c r="J48" s="88"/>
      <c r="K48" s="88"/>
      <c r="L48" s="88"/>
      <c r="M48" s="88"/>
      <c r="N48" s="1"/>
      <c r="O48" s="2"/>
      <c r="P48" s="2"/>
      <c r="Q48" s="2"/>
      <c r="R48" s="2"/>
      <c r="S48" s="2"/>
      <c r="T48" s="2"/>
      <c r="U48" s="2"/>
      <c r="V48" s="2"/>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row>
    <row r="49" spans="1:100" x14ac:dyDescent="0.2">
      <c r="A49" s="1"/>
      <c r="B49" s="1"/>
      <c r="C49" s="1"/>
      <c r="D49" s="1"/>
      <c r="E49" s="1"/>
      <c r="F49" s="1"/>
      <c r="G49" s="1"/>
      <c r="H49" s="1"/>
      <c r="I49" s="1"/>
      <c r="J49" s="1"/>
      <c r="K49" s="1"/>
      <c r="L49" s="1"/>
      <c r="M49" s="1"/>
      <c r="N49" s="1"/>
      <c r="O49" s="2"/>
      <c r="P49" s="2"/>
      <c r="Q49" s="2"/>
      <c r="R49" s="2"/>
      <c r="S49" s="2"/>
      <c r="T49" s="2"/>
      <c r="U49" s="2"/>
      <c r="V49" s="2"/>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row>
    <row r="50" spans="1:100" ht="22" customHeight="1" x14ac:dyDescent="0.2">
      <c r="A50" s="1"/>
      <c r="B50" s="5" t="s">
        <v>279</v>
      </c>
      <c r="C50" s="1"/>
      <c r="D50" s="1"/>
      <c r="E50" s="1"/>
      <c r="F50" s="1"/>
      <c r="G50" s="1"/>
      <c r="H50" s="1"/>
      <c r="I50" s="1"/>
      <c r="J50" s="1"/>
      <c r="K50" s="1"/>
      <c r="L50" s="1"/>
      <c r="M50" s="1"/>
      <c r="N50" s="1"/>
      <c r="O50" s="2"/>
      <c r="P50" s="2"/>
      <c r="Q50" s="2"/>
      <c r="R50" s="2"/>
      <c r="S50" s="2"/>
      <c r="T50" s="2"/>
      <c r="U50" s="2"/>
      <c r="V50" s="2"/>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row>
    <row r="51" spans="1:100" ht="22" customHeight="1" x14ac:dyDescent="0.2">
      <c r="A51" s="1"/>
      <c r="B51" s="103" t="s">
        <v>280</v>
      </c>
      <c r="C51" s="100"/>
      <c r="D51" s="100"/>
      <c r="E51" s="8" t="s">
        <v>276</v>
      </c>
      <c r="F51" s="7" t="s">
        <v>230</v>
      </c>
      <c r="G51" s="103" t="s">
        <v>281</v>
      </c>
      <c r="H51" s="100"/>
      <c r="I51" s="100"/>
      <c r="J51" s="100"/>
      <c r="K51" s="100"/>
      <c r="L51" s="100"/>
      <c r="M51" s="100"/>
      <c r="N51" s="1"/>
      <c r="O51" s="2"/>
      <c r="P51" s="2"/>
      <c r="Q51" s="2"/>
      <c r="R51" s="2"/>
      <c r="S51" s="2"/>
      <c r="T51" s="2"/>
      <c r="U51" s="2"/>
      <c r="V51" s="2"/>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row>
    <row r="52" spans="1:100" ht="22" customHeight="1" x14ac:dyDescent="0.2">
      <c r="A52" s="1"/>
      <c r="B52" s="118" t="s">
        <v>233</v>
      </c>
      <c r="C52" s="88"/>
      <c r="D52" s="88"/>
      <c r="E52" s="11">
        <v>1880</v>
      </c>
      <c r="F52" s="12" t="s">
        <v>234</v>
      </c>
      <c r="G52" s="119" t="s">
        <v>282</v>
      </c>
      <c r="H52" s="88"/>
      <c r="I52" s="88"/>
      <c r="J52" s="88"/>
      <c r="K52" s="88"/>
      <c r="L52" s="88"/>
      <c r="M52" s="88"/>
      <c r="N52" s="1"/>
      <c r="O52" s="2"/>
      <c r="P52" s="2"/>
      <c r="Q52" s="2"/>
      <c r="R52" s="2"/>
      <c r="S52" s="2"/>
      <c r="T52" s="2"/>
      <c r="U52" s="2"/>
      <c r="V52" s="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row>
    <row r="53" spans="1:100" ht="22" customHeight="1" x14ac:dyDescent="0.2">
      <c r="A53" s="1"/>
      <c r="B53" s="118" t="s">
        <v>207</v>
      </c>
      <c r="C53" s="88"/>
      <c r="D53" s="88"/>
      <c r="E53" s="11">
        <v>1900</v>
      </c>
      <c r="F53" s="12" t="s">
        <v>234</v>
      </c>
      <c r="G53" s="119" t="s">
        <v>283</v>
      </c>
      <c r="H53" s="88"/>
      <c r="I53" s="88"/>
      <c r="J53" s="88"/>
      <c r="K53" s="88"/>
      <c r="L53" s="88"/>
      <c r="M53" s="88"/>
      <c r="N53" s="1"/>
      <c r="O53" s="2"/>
      <c r="P53" s="2"/>
      <c r="Q53" s="2"/>
      <c r="R53" s="2"/>
      <c r="S53" s="2"/>
      <c r="T53" s="2"/>
      <c r="U53" s="2"/>
      <c r="V53" s="2"/>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row>
    <row r="54" spans="1:100" ht="22" customHeight="1" x14ac:dyDescent="0.2">
      <c r="A54" s="1"/>
      <c r="B54" s="118" t="s">
        <v>239</v>
      </c>
      <c r="C54" s="88"/>
      <c r="D54" s="88"/>
      <c r="E54" s="11">
        <v>1880</v>
      </c>
      <c r="F54" s="12" t="s">
        <v>240</v>
      </c>
      <c r="G54" s="119" t="s">
        <v>284</v>
      </c>
      <c r="H54" s="88"/>
      <c r="I54" s="88"/>
      <c r="J54" s="88"/>
      <c r="K54" s="88"/>
      <c r="L54" s="88"/>
      <c r="M54" s="88"/>
      <c r="N54" s="1"/>
      <c r="O54" s="2"/>
      <c r="P54" s="2"/>
      <c r="Q54" s="2"/>
      <c r="R54" s="2"/>
      <c r="S54" s="2"/>
      <c r="T54" s="2"/>
      <c r="U54" s="2"/>
      <c r="V54" s="2"/>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row>
    <row r="55" spans="1:100" ht="22" customHeight="1" x14ac:dyDescent="0.2">
      <c r="A55" s="1"/>
      <c r="B55" s="118" t="s">
        <v>243</v>
      </c>
      <c r="C55" s="88"/>
      <c r="D55" s="88"/>
      <c r="E55" s="11">
        <v>1880</v>
      </c>
      <c r="F55" s="12" t="s">
        <v>234</v>
      </c>
      <c r="G55" s="119" t="s">
        <v>285</v>
      </c>
      <c r="H55" s="88"/>
      <c r="I55" s="88"/>
      <c r="J55" s="88"/>
      <c r="K55" s="88"/>
      <c r="L55" s="88"/>
      <c r="M55" s="88"/>
      <c r="N55" s="1"/>
      <c r="O55" s="2"/>
      <c r="P55" s="2"/>
      <c r="Q55" s="2"/>
      <c r="R55" s="2"/>
      <c r="S55" s="2"/>
      <c r="T55" s="2"/>
      <c r="U55" s="2"/>
      <c r="V55" s="2"/>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row>
    <row r="56" spans="1:100" ht="22" customHeight="1" x14ac:dyDescent="0.2">
      <c r="A56" s="1"/>
      <c r="B56" s="118" t="s">
        <v>244</v>
      </c>
      <c r="C56" s="88"/>
      <c r="D56" s="88"/>
      <c r="E56" s="11">
        <v>1750</v>
      </c>
      <c r="F56" s="12" t="s">
        <v>240</v>
      </c>
      <c r="G56" s="119" t="s">
        <v>286</v>
      </c>
      <c r="H56" s="88"/>
      <c r="I56" s="88"/>
      <c r="J56" s="88"/>
      <c r="K56" s="88"/>
      <c r="L56" s="88"/>
      <c r="M56" s="88"/>
      <c r="N56" s="1"/>
      <c r="O56" s="2"/>
      <c r="P56" s="2"/>
      <c r="Q56" s="2"/>
      <c r="R56" s="2"/>
      <c r="S56" s="2"/>
      <c r="T56" s="2"/>
      <c r="U56" s="2"/>
      <c r="V56" s="2"/>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row>
    <row r="57" spans="1:100" ht="22" customHeight="1" x14ac:dyDescent="0.2">
      <c r="A57" s="1"/>
      <c r="B57" s="118" t="s">
        <v>245</v>
      </c>
      <c r="C57" s="88"/>
      <c r="D57" s="88"/>
      <c r="E57" s="11">
        <v>1880</v>
      </c>
      <c r="F57" s="12" t="s">
        <v>234</v>
      </c>
      <c r="G57" s="119" t="s">
        <v>287</v>
      </c>
      <c r="H57" s="88"/>
      <c r="I57" s="88"/>
      <c r="J57" s="88"/>
      <c r="K57" s="88"/>
      <c r="L57" s="88"/>
      <c r="M57" s="88"/>
      <c r="N57" s="1"/>
      <c r="O57" s="2"/>
      <c r="P57" s="2"/>
      <c r="Q57" s="2"/>
      <c r="R57" s="2"/>
      <c r="S57" s="2"/>
      <c r="T57" s="2"/>
      <c r="U57" s="2"/>
      <c r="V57" s="2"/>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row>
    <row r="58" spans="1:100" ht="22" customHeight="1" x14ac:dyDescent="0.2">
      <c r="A58" s="1"/>
      <c r="B58" s="118" t="s">
        <v>246</v>
      </c>
      <c r="C58" s="88"/>
      <c r="D58" s="88"/>
      <c r="E58" s="11">
        <v>1820</v>
      </c>
      <c r="F58" s="12" t="s">
        <v>240</v>
      </c>
      <c r="G58" s="119" t="s">
        <v>288</v>
      </c>
      <c r="H58" s="88"/>
      <c r="I58" s="88"/>
      <c r="J58" s="88"/>
      <c r="K58" s="88"/>
      <c r="L58" s="88"/>
      <c r="M58" s="88"/>
      <c r="N58" s="1"/>
      <c r="O58" s="2"/>
      <c r="P58" s="2"/>
      <c r="Q58" s="2"/>
      <c r="R58" s="2"/>
      <c r="S58" s="2"/>
      <c r="T58" s="2"/>
      <c r="U58" s="2"/>
      <c r="V58" s="2"/>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row>
    <row r="59" spans="1:100" ht="22" customHeight="1" x14ac:dyDescent="0.2">
      <c r="A59" s="1"/>
      <c r="B59" s="118" t="s">
        <v>247</v>
      </c>
      <c r="C59" s="88"/>
      <c r="D59" s="88"/>
      <c r="E59" s="11">
        <v>1880</v>
      </c>
      <c r="F59" s="12" t="s">
        <v>234</v>
      </c>
      <c r="G59" s="119" t="s">
        <v>289</v>
      </c>
      <c r="H59" s="88"/>
      <c r="I59" s="88"/>
      <c r="J59" s="88"/>
      <c r="K59" s="88"/>
      <c r="L59" s="88"/>
      <c r="M59" s="88"/>
      <c r="N59" s="1"/>
      <c r="O59" s="2"/>
      <c r="P59" s="2"/>
      <c r="Q59" s="2"/>
      <c r="R59" s="2"/>
      <c r="S59" s="2"/>
      <c r="T59" s="2"/>
      <c r="U59" s="2"/>
      <c r="V59" s="2"/>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row>
    <row r="60" spans="1:100" x14ac:dyDescent="0.2">
      <c r="A60" s="1"/>
      <c r="B60" s="1"/>
      <c r="C60" s="1"/>
      <c r="D60" s="1"/>
      <c r="E60" s="1"/>
      <c r="F60" s="1"/>
      <c r="G60" s="1"/>
      <c r="H60" s="1"/>
      <c r="I60" s="1"/>
      <c r="J60" s="1"/>
      <c r="K60" s="1"/>
      <c r="L60" s="1"/>
      <c r="M60" s="1"/>
      <c r="N60" s="1"/>
      <c r="O60" s="2"/>
      <c r="P60" s="2"/>
      <c r="Q60" s="2"/>
      <c r="R60" s="2"/>
      <c r="S60" s="2"/>
      <c r="T60" s="2"/>
      <c r="U60" s="2"/>
      <c r="V60" s="2"/>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row>
    <row r="61" spans="1:100" ht="22" customHeight="1" x14ac:dyDescent="0.2">
      <c r="A61" s="1"/>
      <c r="B61" s="5" t="s">
        <v>290</v>
      </c>
      <c r="C61" s="1"/>
      <c r="D61" s="1"/>
      <c r="E61" s="1"/>
      <c r="F61" s="1"/>
      <c r="G61" s="1"/>
      <c r="H61" s="1"/>
      <c r="I61" s="1"/>
      <c r="J61" s="1"/>
      <c r="K61" s="1"/>
      <c r="L61" s="1"/>
      <c r="M61" s="1"/>
      <c r="N61" s="1"/>
      <c r="O61" s="2"/>
      <c r="P61" s="2"/>
      <c r="Q61" s="2"/>
      <c r="R61" s="2"/>
      <c r="S61" s="2"/>
      <c r="T61" s="2"/>
      <c r="U61" s="2"/>
      <c r="V61" s="2"/>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row>
    <row r="62" spans="1:100" ht="22" customHeight="1" x14ac:dyDescent="0.2">
      <c r="A62" s="1"/>
      <c r="B62" s="118" t="s">
        <v>291</v>
      </c>
      <c r="C62" s="88"/>
      <c r="D62" s="88"/>
      <c r="E62" s="6">
        <v>0.5</v>
      </c>
      <c r="F62" s="119" t="s">
        <v>292</v>
      </c>
      <c r="G62" s="88"/>
      <c r="H62" s="88"/>
      <c r="I62" s="88"/>
      <c r="J62" s="88"/>
      <c r="K62" s="88"/>
      <c r="L62" s="88"/>
      <c r="M62" s="88"/>
      <c r="N62" s="1"/>
      <c r="O62" s="2"/>
      <c r="P62" s="2"/>
      <c r="Q62" s="2"/>
      <c r="R62" s="2"/>
      <c r="S62" s="2"/>
      <c r="T62" s="2"/>
      <c r="U62" s="2"/>
      <c r="V62" s="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row>
    <row r="63" spans="1:100" ht="22" customHeight="1" x14ac:dyDescent="0.2">
      <c r="A63" s="1"/>
      <c r="B63" s="118" t="s">
        <v>293</v>
      </c>
      <c r="C63" s="88"/>
      <c r="D63" s="88"/>
      <c r="E63" s="6">
        <v>0.3</v>
      </c>
      <c r="F63" s="119" t="s">
        <v>294</v>
      </c>
      <c r="G63" s="88"/>
      <c r="H63" s="88"/>
      <c r="I63" s="88"/>
      <c r="J63" s="88"/>
      <c r="K63" s="88"/>
      <c r="L63" s="88"/>
      <c r="M63" s="88"/>
      <c r="N63" s="1"/>
      <c r="O63" s="2"/>
      <c r="P63" s="2"/>
      <c r="Q63" s="2"/>
      <c r="R63" s="2"/>
      <c r="S63" s="2"/>
      <c r="T63" s="2"/>
      <c r="U63" s="2"/>
      <c r="V63" s="2"/>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row>
    <row r="64" spans="1:100" ht="22" customHeight="1" x14ac:dyDescent="0.2">
      <c r="A64" s="1"/>
      <c r="B64" s="118" t="s">
        <v>295</v>
      </c>
      <c r="C64" s="88"/>
      <c r="D64" s="88"/>
      <c r="E64" s="6">
        <v>0.65</v>
      </c>
      <c r="F64" s="119" t="s">
        <v>296</v>
      </c>
      <c r="G64" s="88"/>
      <c r="H64" s="88"/>
      <c r="I64" s="88"/>
      <c r="J64" s="88"/>
      <c r="K64" s="88"/>
      <c r="L64" s="88"/>
      <c r="M64" s="88"/>
      <c r="N64" s="1"/>
      <c r="O64" s="2"/>
      <c r="P64" s="2"/>
      <c r="Q64" s="2"/>
      <c r="R64" s="2"/>
      <c r="S64" s="2"/>
      <c r="T64" s="2"/>
      <c r="U64" s="2"/>
      <c r="V64" s="2"/>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row>
    <row r="65" spans="1:100" ht="22" customHeight="1" x14ac:dyDescent="0.2">
      <c r="A65" s="1"/>
      <c r="B65" s="118" t="s">
        <v>297</v>
      </c>
      <c r="C65" s="88"/>
      <c r="D65" s="88"/>
      <c r="E65" s="6">
        <v>0.9</v>
      </c>
      <c r="F65" s="119" t="s">
        <v>298</v>
      </c>
      <c r="G65" s="88"/>
      <c r="H65" s="88"/>
      <c r="I65" s="88"/>
      <c r="J65" s="88"/>
      <c r="K65" s="88"/>
      <c r="L65" s="88"/>
      <c r="M65" s="88"/>
      <c r="N65" s="1"/>
      <c r="O65" s="2"/>
      <c r="P65" s="2"/>
      <c r="Q65" s="2"/>
      <c r="R65" s="2"/>
      <c r="S65" s="2"/>
      <c r="T65" s="2"/>
      <c r="U65" s="2"/>
      <c r="V65" s="2"/>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row>
    <row r="66" spans="1:100" x14ac:dyDescent="0.2">
      <c r="A66" s="1"/>
      <c r="B66" s="1"/>
      <c r="C66" s="1"/>
      <c r="D66" s="1"/>
      <c r="E66" s="1"/>
      <c r="F66" s="1"/>
      <c r="G66" s="1"/>
      <c r="H66" s="1"/>
      <c r="I66" s="1"/>
      <c r="J66" s="1"/>
      <c r="K66" s="1"/>
      <c r="L66" s="1"/>
      <c r="M66" s="1"/>
      <c r="N66" s="1"/>
      <c r="O66" s="2"/>
      <c r="P66" s="2"/>
      <c r="Q66" s="2"/>
      <c r="R66" s="2"/>
      <c r="S66" s="2"/>
      <c r="T66" s="2"/>
      <c r="U66" s="2"/>
      <c r="V66" s="2"/>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row>
    <row r="67" spans="1:100" ht="22" customHeight="1" x14ac:dyDescent="0.2">
      <c r="A67" s="1"/>
      <c r="B67" s="3" t="s">
        <v>204</v>
      </c>
      <c r="C67" s="1"/>
      <c r="D67" s="1"/>
      <c r="E67" s="1"/>
      <c r="F67" s="1"/>
      <c r="G67" s="1"/>
      <c r="H67" s="1"/>
      <c r="I67" s="1"/>
      <c r="J67" s="1"/>
      <c r="K67" s="1"/>
      <c r="L67" s="1"/>
      <c r="M67" s="4" t="s">
        <v>205</v>
      </c>
      <c r="N67" s="1"/>
      <c r="O67" s="2"/>
      <c r="P67" s="2"/>
      <c r="Q67" s="2"/>
      <c r="R67" s="2"/>
      <c r="S67" s="2"/>
      <c r="T67" s="2"/>
      <c r="U67" s="2"/>
      <c r="V67" s="2"/>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row>
    <row r="68" spans="1:100" x14ac:dyDescent="0.2">
      <c r="A68" s="1"/>
      <c r="B68" s="1"/>
      <c r="C68" s="1"/>
      <c r="D68" s="1"/>
      <c r="E68" s="1"/>
      <c r="F68" s="1"/>
      <c r="G68" s="1"/>
      <c r="H68" s="1"/>
      <c r="I68" s="1"/>
      <c r="J68" s="1"/>
      <c r="K68" s="1"/>
      <c r="L68" s="1"/>
      <c r="M68" s="1"/>
      <c r="N68" s="1"/>
      <c r="O68" s="2"/>
      <c r="P68" s="2"/>
      <c r="Q68" s="2"/>
      <c r="R68" s="2"/>
      <c r="S68" s="2"/>
      <c r="T68" s="2"/>
      <c r="U68" s="2"/>
      <c r="V68" s="2"/>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row>
    <row r="69" spans="1:100" x14ac:dyDescent="0.2">
      <c r="A69" s="49"/>
      <c r="B69" s="49"/>
      <c r="C69" s="49"/>
      <c r="D69" s="49"/>
      <c r="E69" s="49"/>
      <c r="F69" s="49"/>
      <c r="G69" s="49"/>
      <c r="H69" s="49"/>
      <c r="I69" s="49"/>
      <c r="J69" s="49"/>
      <c r="K69" s="49"/>
      <c r="L69" s="49"/>
      <c r="M69" s="49"/>
      <c r="N69" s="49"/>
      <c r="O69" s="2"/>
      <c r="P69" s="2"/>
      <c r="Q69" s="2"/>
      <c r="R69" s="2"/>
      <c r="S69" s="2"/>
      <c r="T69" s="2"/>
      <c r="U69" s="2"/>
      <c r="V69" s="2"/>
    </row>
    <row r="70" spans="1:100" x14ac:dyDescent="0.2">
      <c r="A70" s="49"/>
      <c r="B70" s="49"/>
      <c r="C70" s="49"/>
      <c r="D70" s="49"/>
      <c r="E70" s="49"/>
      <c r="F70" s="49"/>
      <c r="G70" s="49"/>
      <c r="H70" s="49"/>
      <c r="I70" s="49"/>
      <c r="J70" s="49"/>
      <c r="K70" s="49"/>
      <c r="L70" s="49"/>
      <c r="M70" s="49"/>
      <c r="N70" s="49"/>
      <c r="O70" s="2"/>
      <c r="P70" s="2"/>
      <c r="Q70" s="2"/>
      <c r="R70" s="2"/>
      <c r="S70" s="2"/>
      <c r="T70" s="2"/>
      <c r="U70" s="2"/>
      <c r="V70" s="2"/>
    </row>
  </sheetData>
  <mergeCells count="63">
    <mergeCell ref="B65:D65"/>
    <mergeCell ref="F65:M65"/>
    <mergeCell ref="B62:D62"/>
    <mergeCell ref="F62:M62"/>
    <mergeCell ref="B63:D63"/>
    <mergeCell ref="F63:M63"/>
    <mergeCell ref="B64:D64"/>
    <mergeCell ref="F64:M64"/>
    <mergeCell ref="B57:D57"/>
    <mergeCell ref="G57:M57"/>
    <mergeCell ref="B58:D58"/>
    <mergeCell ref="G58:M58"/>
    <mergeCell ref="B59:D59"/>
    <mergeCell ref="G59:M59"/>
    <mergeCell ref="B54:D54"/>
    <mergeCell ref="G54:M54"/>
    <mergeCell ref="B55:D55"/>
    <mergeCell ref="G55:M55"/>
    <mergeCell ref="B56:D56"/>
    <mergeCell ref="G56:M56"/>
    <mergeCell ref="B53:D53"/>
    <mergeCell ref="G53:M53"/>
    <mergeCell ref="C39:E39"/>
    <mergeCell ref="I39:K39"/>
    <mergeCell ref="L39:M39"/>
    <mergeCell ref="H45:M45"/>
    <mergeCell ref="H46:M46"/>
    <mergeCell ref="H47:M47"/>
    <mergeCell ref="H48:M48"/>
    <mergeCell ref="B51:D51"/>
    <mergeCell ref="G51:M51"/>
    <mergeCell ref="B52:D52"/>
    <mergeCell ref="G52:M52"/>
    <mergeCell ref="C37:E37"/>
    <mergeCell ref="I37:K37"/>
    <mergeCell ref="L37:M37"/>
    <mergeCell ref="C38:E38"/>
    <mergeCell ref="I38:K38"/>
    <mergeCell ref="L38:M38"/>
    <mergeCell ref="B14:C14"/>
    <mergeCell ref="D14:E14"/>
    <mergeCell ref="F14:M14"/>
    <mergeCell ref="L18:M18"/>
    <mergeCell ref="C36:E36"/>
    <mergeCell ref="I36:K36"/>
    <mergeCell ref="L36:M36"/>
    <mergeCell ref="B12:C12"/>
    <mergeCell ref="D12:E12"/>
    <mergeCell ref="F12:M12"/>
    <mergeCell ref="B13:C13"/>
    <mergeCell ref="D13:E13"/>
    <mergeCell ref="F13:M13"/>
    <mergeCell ref="B10:C10"/>
    <mergeCell ref="D10:E10"/>
    <mergeCell ref="F10:M10"/>
    <mergeCell ref="B11:C11"/>
    <mergeCell ref="D11:E11"/>
    <mergeCell ref="F11:M11"/>
    <mergeCell ref="B3:I3"/>
    <mergeCell ref="J3:M3"/>
    <mergeCell ref="B9:C9"/>
    <mergeCell ref="D9:E9"/>
    <mergeCell ref="F9:M9"/>
  </mergeCells>
  <conditionalFormatting sqref="G20:H33">
    <cfRule type="expression" dxfId="19" priority="1">
      <formula>NOT(_xludf.ISFORMULA(G20))</formula>
    </cfRule>
  </conditionalFormatting>
  <conditionalFormatting sqref="I37:I39">
    <cfRule type="expression" dxfId="18" priority="2">
      <formula>EXACT(I37,"UNDERWATER")</formula>
    </cfRule>
    <cfRule type="expression" dxfId="17" priority="3">
      <formula>EXACT(I37,"LEAN")</formula>
    </cfRule>
    <cfRule type="expression" dxfId="16" priority="4">
      <formula>EXACT(I37,"PREMIUM")</formula>
    </cfRule>
  </conditionalFormatting>
  <dataValidations count="3">
    <dataValidation type="list" promptTitle="Category" prompt="Delivery roles drive the blended margin. Overhead and leadership are tracked separately." sqref="D20:D33" xr:uid="{09EA063B-5FA7-AE4B-8554-F52B5A353874}">
      <formula1>"Delivery,Overhead,Leadership"</formula1>
    </dataValidation>
    <dataValidation type="list" promptTitle="Active" prompt="TRUE includes this role in the diagnostic." sqref="B20:B33" xr:uid="{A6BB637F-78E1-174A-81A3-66A25A4A53B5}">
      <formula1>"TRUE,FALSE"</formula1>
    </dataValidation>
    <dataValidation type="list" error="Region must be AU, NZ, or US." promptTitle="Region" prompt="Switches on-cost defaults and currency." sqref="M2" xr:uid="{0AD9F903-D41B-3446-83AB-ECCAE8B0B6CB}">
      <formula1>"AU,NZ,US"</formula1>
    </dataValidation>
  </dataValidations>
  <printOptions horizontalCentered="1"/>
  <pageMargins left="0.4" right="0.4" top="0.5" bottom="0.5" header="0.3" footer="0.3"/>
  <pageSetup fitToHeight="0" orientation="landscape"/>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49B5-A81A-F54C-8D51-36B98D81211C}">
  <sheetPr>
    <tabColor rgb="FF8896B3"/>
    <pageSetUpPr fitToPage="1"/>
  </sheetPr>
  <dimension ref="A1:FF163"/>
  <sheetViews>
    <sheetView showGridLines="0" zoomScale="140" zoomScaleNormal="140" workbookViewId="0">
      <pane xSplit="1" ySplit="4" topLeftCell="B5" activePane="bottomRight" state="frozen"/>
      <selection pane="topRight"/>
      <selection pane="bottomLeft"/>
      <selection pane="bottomRight" activeCell="L21" sqref="L21"/>
    </sheetView>
  </sheetViews>
  <sheetFormatPr baseColWidth="10" defaultColWidth="8.83203125" defaultRowHeight="15" outlineLevelCol="1" x14ac:dyDescent="0.2"/>
  <cols>
    <col min="1" max="1" width="2" style="48" customWidth="1"/>
    <col min="2" max="2" width="8" style="48" customWidth="1"/>
    <col min="3" max="3" width="29" style="48" customWidth="1"/>
    <col min="4" max="4" width="12" style="48" customWidth="1"/>
    <col min="5" max="5" width="9" style="48" customWidth="1"/>
    <col min="6" max="6" width="12" style="48" customWidth="1"/>
    <col min="7" max="7" width="10" style="48" customWidth="1"/>
    <col min="8" max="9" width="11" style="48" customWidth="1"/>
    <col min="10" max="11" width="13" style="48" customWidth="1"/>
    <col min="12" max="12" width="12" style="48" customWidth="1"/>
    <col min="13" max="13" width="11" style="48" customWidth="1"/>
    <col min="14" max="14" width="2" style="48" customWidth="1"/>
    <col min="15" max="15" width="1.5" style="48" hidden="1" customWidth="1"/>
    <col min="16" max="100" width="14" style="48" hidden="1" customWidth="1" outlineLevel="1"/>
    <col min="101" max="132" width="0" style="48" hidden="1" customWidth="1" outlineLevel="1"/>
    <col min="133" max="135" width="0" style="57" hidden="1" customWidth="1" outlineLevel="1"/>
    <col min="136" max="161" width="0" style="48" hidden="1" customWidth="1" outlineLevel="1"/>
    <col min="162" max="162" width="8.83203125" style="48" collapsed="1"/>
    <col min="163" max="16384" width="8.83203125" style="48"/>
  </cols>
  <sheetData>
    <row r="1" spans="1:158" ht="8" customHeight="1" x14ac:dyDescent="0.2">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56"/>
      <c r="ED1" s="56"/>
      <c r="EE1" s="56"/>
      <c r="EF1" s="2"/>
      <c r="EG1" s="2"/>
      <c r="EH1" s="2"/>
      <c r="EI1" s="2"/>
      <c r="EJ1" s="2"/>
      <c r="EK1" s="2"/>
      <c r="EL1" s="2"/>
      <c r="EM1" s="2"/>
      <c r="EN1" s="2"/>
      <c r="EO1" s="2"/>
      <c r="EP1" s="2"/>
      <c r="EQ1" s="2"/>
      <c r="ER1" s="29" t="s">
        <v>0</v>
      </c>
      <c r="ES1" s="29">
        <f>_xlfn.AGGREGATE(5,6,DJ70:DJ83)</f>
        <v>0.55294117647058827</v>
      </c>
      <c r="ET1" s="2"/>
      <c r="EU1" s="2"/>
      <c r="EV1" s="2"/>
      <c r="EW1" s="2"/>
      <c r="EX1" s="2"/>
      <c r="EY1" s="2"/>
      <c r="EZ1" s="2"/>
      <c r="FA1" s="2"/>
      <c r="FB1" s="2"/>
    </row>
    <row r="2" spans="1:158" ht="30" customHeight="1" x14ac:dyDescent="0.3">
      <c r="A2" s="1"/>
      <c r="B2" s="1"/>
      <c r="C2" s="83"/>
      <c r="D2" s="82" t="s">
        <v>361</v>
      </c>
      <c r="E2" s="84"/>
      <c r="F2" s="84"/>
      <c r="G2" s="84"/>
      <c r="H2" s="84"/>
      <c r="I2" s="84"/>
      <c r="J2" s="89"/>
      <c r="K2" s="90"/>
      <c r="L2" s="90"/>
      <c r="M2" s="90"/>
      <c r="N2" s="1"/>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56"/>
      <c r="ED2" s="56"/>
      <c r="EE2" s="56"/>
      <c r="EF2" s="2"/>
      <c r="EG2" s="2"/>
      <c r="EH2" s="2"/>
      <c r="EI2" s="2"/>
      <c r="EJ2" s="2"/>
      <c r="EK2" s="2"/>
      <c r="EL2" s="2"/>
      <c r="EM2" s="2"/>
      <c r="EN2" s="2"/>
      <c r="EO2" s="2"/>
      <c r="EP2" s="2"/>
      <c r="EQ2" s="2"/>
      <c r="ER2" s="29" t="s">
        <v>2</v>
      </c>
      <c r="ES2" s="29">
        <f>_xlfn.AGGREGATE(4,6,DJ70:DJ83)</f>
        <v>0.76</v>
      </c>
      <c r="ET2" s="2"/>
      <c r="EU2" s="2"/>
      <c r="EV2" s="2"/>
      <c r="EW2" s="2"/>
      <c r="EX2" s="2"/>
      <c r="EY2" s="2"/>
      <c r="EZ2" s="2"/>
      <c r="FA2" s="2"/>
      <c r="FB2" s="2"/>
    </row>
    <row r="3" spans="1:158" ht="22" customHeight="1" x14ac:dyDescent="0.2">
      <c r="A3" s="1"/>
      <c r="B3" s="92" t="s">
        <v>354</v>
      </c>
      <c r="C3" s="90"/>
      <c r="D3" s="90"/>
      <c r="E3" s="90"/>
      <c r="F3" s="90"/>
      <c r="G3" s="90"/>
      <c r="H3" s="90"/>
      <c r="I3" s="90"/>
      <c r="J3" s="89"/>
      <c r="K3" s="90"/>
      <c r="L3" s="90"/>
      <c r="M3" s="90"/>
      <c r="N3" s="1"/>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56"/>
      <c r="ED3" s="56"/>
      <c r="EE3" s="56"/>
      <c r="EF3" s="2"/>
      <c r="EG3" s="2"/>
      <c r="EH3" s="2"/>
      <c r="EI3" s="2"/>
      <c r="EJ3" s="2"/>
      <c r="EK3" s="2"/>
      <c r="EL3" s="2"/>
      <c r="EM3" s="2"/>
      <c r="EN3" s="2"/>
      <c r="EO3" s="2"/>
      <c r="EP3" s="2"/>
      <c r="EQ3" s="2"/>
      <c r="ER3" s="29" t="s">
        <v>4</v>
      </c>
      <c r="ES3" s="29">
        <f>_xlfn.AGGREGATE(5,6,DK70:DK83)</f>
        <v>0.78011204481792717</v>
      </c>
      <c r="ET3" s="2"/>
      <c r="EU3" s="2"/>
      <c r="EV3" s="2"/>
      <c r="EW3" s="2"/>
      <c r="EX3" s="2"/>
      <c r="EY3" s="2"/>
      <c r="EZ3" s="2"/>
      <c r="FA3" s="2"/>
      <c r="FB3" s="2"/>
    </row>
    <row r="4" spans="1:158" x14ac:dyDescent="0.2">
      <c r="A4" s="1"/>
      <c r="B4" s="30" t="str" cm="1">
        <f t="array" ref="B4">IF(AND(SUMPRODUCT(--(Q70:Q83=1))=0,'Sample Roster'!$D$9=""),"→ Open Team Roster (tab 2) to enter your business, then return here. Sample (tab 4) shows a worked example.",IF(AND(AD87=0,AF87=0),"→ No delivery roles detected yet. On Team Roster, set at least one Active = TRUE and fill Salary / Billable hrs / Revenue for it.",""))</f>
        <v/>
      </c>
      <c r="C4" s="1"/>
      <c r="D4" s="1"/>
      <c r="E4" s="1"/>
      <c r="F4" s="1"/>
      <c r="G4" s="1"/>
      <c r="H4" s="1"/>
      <c r="I4" s="1"/>
      <c r="J4" s="1"/>
      <c r="K4" s="1"/>
      <c r="L4" s="1"/>
      <c r="M4" s="1"/>
      <c r="N4" s="1"/>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56"/>
      <c r="ED4" s="56"/>
      <c r="EE4" s="56"/>
      <c r="EF4" s="2"/>
      <c r="EG4" s="2"/>
      <c r="EH4" s="2"/>
      <c r="EI4" s="2"/>
      <c r="EJ4" s="2"/>
      <c r="EK4" s="2"/>
      <c r="EL4" s="2"/>
      <c r="EM4" s="2"/>
      <c r="EN4" s="2"/>
      <c r="EO4" s="2"/>
      <c r="EP4" s="2"/>
      <c r="EQ4" s="2"/>
      <c r="ER4" s="29" t="s">
        <v>5</v>
      </c>
      <c r="ES4" s="29">
        <f>_xlfn.AGGREGATE(4,6,DK70:DK83)</f>
        <v>0.97011777684046596</v>
      </c>
      <c r="ET4" s="2"/>
      <c r="EU4" s="2"/>
      <c r="EV4" s="2"/>
      <c r="EW4" s="2"/>
      <c r="EX4" s="2"/>
      <c r="EY4" s="2"/>
      <c r="EZ4" s="2"/>
      <c r="FA4" s="2"/>
      <c r="FB4" s="2"/>
    </row>
    <row r="5" spans="1:158" x14ac:dyDescent="0.2">
      <c r="A5" s="1"/>
      <c r="B5" s="1"/>
      <c r="C5" s="1"/>
      <c r="D5" s="1"/>
      <c r="E5" s="1"/>
      <c r="F5" s="1"/>
      <c r="G5" s="1"/>
      <c r="H5" s="1"/>
      <c r="I5" s="1"/>
      <c r="J5" s="1"/>
      <c r="K5" s="1"/>
      <c r="L5" s="1"/>
      <c r="M5" s="1"/>
      <c r="N5" s="1"/>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56"/>
      <c r="ED5" s="56"/>
      <c r="EE5" s="56"/>
      <c r="EF5" s="2"/>
      <c r="EG5" s="2"/>
      <c r="EH5" s="2"/>
      <c r="EI5" s="2"/>
      <c r="EJ5" s="2"/>
      <c r="EK5" s="2"/>
      <c r="EL5" s="2"/>
      <c r="EM5" s="2"/>
      <c r="EN5" s="2"/>
      <c r="EO5" s="2"/>
      <c r="EP5" s="2"/>
      <c r="EQ5" s="2"/>
      <c r="ER5" s="29" t="s">
        <v>6</v>
      </c>
      <c r="ES5" s="29">
        <f>MAX(0,FLOOR(ES1-(ES2-ES1)*0.1,0.05))</f>
        <v>0.5</v>
      </c>
      <c r="ET5" s="2"/>
      <c r="EU5" s="2"/>
      <c r="EV5" s="2"/>
      <c r="EW5" s="2"/>
      <c r="EX5" s="2"/>
      <c r="EY5" s="2"/>
      <c r="EZ5" s="2"/>
      <c r="FA5" s="2"/>
      <c r="FB5" s="2"/>
    </row>
    <row r="6" spans="1:158" ht="22" customHeight="1" x14ac:dyDescent="0.2">
      <c r="A6" s="1"/>
      <c r="B6" s="3" t="s">
        <v>7</v>
      </c>
      <c r="C6" s="13" t="s">
        <v>8</v>
      </c>
      <c r="D6" s="3" t="s">
        <v>9</v>
      </c>
      <c r="E6" s="14" t="s">
        <v>8</v>
      </c>
      <c r="F6" s="3" t="s">
        <v>10</v>
      </c>
      <c r="G6" s="15" t="s">
        <v>8</v>
      </c>
      <c r="H6" s="3" t="s">
        <v>11</v>
      </c>
      <c r="I6" s="16" t="s">
        <v>8</v>
      </c>
      <c r="J6" s="3" t="s">
        <v>12</v>
      </c>
      <c r="K6" s="15" t="s">
        <v>13</v>
      </c>
      <c r="L6" s="3" t="s">
        <v>14</v>
      </c>
      <c r="M6" s="1"/>
      <c r="N6" s="1"/>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56"/>
      <c r="ED6" s="56"/>
      <c r="EE6" s="56"/>
      <c r="EF6" s="2"/>
      <c r="EG6" s="2"/>
      <c r="EH6" s="2"/>
      <c r="EI6" s="2"/>
      <c r="EJ6" s="2"/>
      <c r="EK6" s="2"/>
      <c r="EL6" s="2"/>
      <c r="EM6" s="2"/>
      <c r="EN6" s="2"/>
      <c r="EO6" s="2"/>
      <c r="EP6" s="2"/>
      <c r="EQ6" s="2"/>
      <c r="ER6" s="29" t="s">
        <v>15</v>
      </c>
      <c r="ES6" s="29">
        <f>CEILING(ES2+(ES2-ES1)*0.1,0.05)</f>
        <v>0.8</v>
      </c>
      <c r="ET6" s="2"/>
      <c r="EU6" s="2"/>
      <c r="EV6" s="2"/>
      <c r="EW6" s="2"/>
      <c r="EX6" s="2"/>
      <c r="EY6" s="2"/>
      <c r="EZ6" s="2"/>
      <c r="FA6" s="2"/>
      <c r="FB6" s="2"/>
    </row>
    <row r="7" spans="1:158" ht="4" customHeight="1" x14ac:dyDescent="0.2">
      <c r="A7" s="1"/>
      <c r="B7" s="1"/>
      <c r="C7" s="1"/>
      <c r="D7" s="1"/>
      <c r="E7" s="1"/>
      <c r="F7" s="1"/>
      <c r="G7" s="1"/>
      <c r="H7" s="1"/>
      <c r="I7" s="1"/>
      <c r="J7" s="1"/>
      <c r="K7" s="1"/>
      <c r="L7" s="1"/>
      <c r="M7" s="1"/>
      <c r="N7" s="1"/>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56"/>
      <c r="ED7" s="56"/>
      <c r="EE7" s="56"/>
      <c r="EF7" s="2"/>
      <c r="EG7" s="2"/>
      <c r="EH7" s="2"/>
      <c r="EI7" s="2"/>
      <c r="EJ7" s="2"/>
      <c r="EK7" s="2"/>
      <c r="EL7" s="2"/>
      <c r="EM7" s="2"/>
      <c r="EN7" s="2"/>
      <c r="EO7" s="2"/>
      <c r="EP7" s="2"/>
      <c r="EQ7" s="2"/>
      <c r="ER7" s="29" t="s">
        <v>16</v>
      </c>
      <c r="ES7" s="29">
        <f>MAX(0,FLOOR(ES3-(ES4-ES3)*0.1,0.05))</f>
        <v>0.75</v>
      </c>
      <c r="ET7" s="2"/>
      <c r="EU7" s="2"/>
      <c r="EV7" s="2"/>
      <c r="EW7" s="2"/>
      <c r="EX7" s="2"/>
      <c r="EY7" s="2"/>
      <c r="EZ7" s="2"/>
      <c r="FA7" s="2"/>
      <c r="FB7" s="2"/>
    </row>
    <row r="8" spans="1:158" ht="22" customHeight="1" x14ac:dyDescent="0.2">
      <c r="A8" s="1"/>
      <c r="B8" s="5" t="s">
        <v>17</v>
      </c>
      <c r="C8" s="1"/>
      <c r="D8" s="1"/>
      <c r="E8" s="1"/>
      <c r="F8" s="1"/>
      <c r="G8" s="1"/>
      <c r="H8" s="1"/>
      <c r="I8" s="1"/>
      <c r="J8" s="1"/>
      <c r="K8" s="4" t="s">
        <v>18</v>
      </c>
      <c r="L8" s="109" t="str">
        <f>IF('Sample Roster'!$D$9="","your business",'Sample Roster'!$D$9)</f>
        <v>Meridian Digital</v>
      </c>
      <c r="M8" s="88"/>
      <c r="N8" s="1"/>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56"/>
      <c r="ED8" s="56"/>
      <c r="EE8" s="56"/>
      <c r="EF8" s="2"/>
      <c r="EG8" s="2"/>
      <c r="EH8" s="2"/>
      <c r="EI8" s="2"/>
      <c r="EJ8" s="2"/>
      <c r="EK8" s="2"/>
      <c r="EL8" s="2"/>
      <c r="EM8" s="2"/>
      <c r="EN8" s="2"/>
      <c r="EO8" s="2"/>
      <c r="EP8" s="2"/>
      <c r="EQ8" s="2"/>
      <c r="ER8" s="29" t="s">
        <v>19</v>
      </c>
      <c r="ES8" s="29">
        <f>CEILING(ES4+(ES4-ES3)*0.1,0.05)</f>
        <v>1</v>
      </c>
      <c r="ET8" s="2"/>
      <c r="EU8" s="2"/>
      <c r="EV8" s="2"/>
      <c r="EW8" s="2"/>
      <c r="EX8" s="2"/>
      <c r="EY8" s="2"/>
      <c r="EZ8" s="2"/>
      <c r="FA8" s="2"/>
      <c r="FB8" s="2"/>
    </row>
    <row r="9" spans="1:158" ht="14" customHeight="1" x14ac:dyDescent="0.2">
      <c r="A9" s="1"/>
      <c r="B9" s="102" t="s">
        <v>20</v>
      </c>
      <c r="C9" s="88"/>
      <c r="D9" s="88"/>
      <c r="E9" s="88"/>
      <c r="F9" s="102" t="s">
        <v>21</v>
      </c>
      <c r="G9" s="88"/>
      <c r="H9" s="102" t="s">
        <v>22</v>
      </c>
      <c r="I9" s="88"/>
      <c r="J9" s="102" t="s">
        <v>23</v>
      </c>
      <c r="K9" s="88"/>
      <c r="L9" s="102" t="s">
        <v>24</v>
      </c>
      <c r="M9" s="88"/>
      <c r="N9" s="1"/>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56"/>
      <c r="ED9" s="56"/>
      <c r="EE9" s="56"/>
      <c r="EF9" s="2"/>
      <c r="EG9" s="2"/>
      <c r="EH9" s="2"/>
      <c r="EI9" s="2"/>
      <c r="EJ9" s="2"/>
      <c r="EK9" s="2"/>
      <c r="EL9" s="2"/>
      <c r="EM9" s="2"/>
      <c r="EN9" s="2"/>
      <c r="EO9" s="2"/>
      <c r="EP9" s="2"/>
      <c r="EQ9" s="2"/>
      <c r="ER9" s="29" t="s">
        <v>25</v>
      </c>
      <c r="ES9" s="29">
        <f>IF(ES6-ES5&lt;=0.5,0.05,IF(ES6-ES5&lt;=1.5,0.1,IF(ES6-ES5&lt;=3,0.25,0.5)))</f>
        <v>0.05</v>
      </c>
      <c r="ET9" s="2"/>
      <c r="EU9" s="2"/>
      <c r="EV9" s="2"/>
      <c r="EW9" s="2"/>
      <c r="EX9" s="2"/>
      <c r="EY9" s="2"/>
      <c r="EZ9" s="2"/>
      <c r="FA9" s="2"/>
      <c r="FB9" s="2"/>
    </row>
    <row r="10" spans="1:158" ht="36" customHeight="1" x14ac:dyDescent="0.2">
      <c r="A10" s="1"/>
      <c r="B10" s="107">
        <f>AL87</f>
        <v>0.46318579602827326</v>
      </c>
      <c r="C10" s="88"/>
      <c r="D10" s="88"/>
      <c r="E10" s="88"/>
      <c r="F10" s="110">
        <f>AH87</f>
        <v>98.56206409464113</v>
      </c>
      <c r="G10" s="88"/>
      <c r="H10" s="110">
        <f>AJ87</f>
        <v>183.60554427474176</v>
      </c>
      <c r="I10" s="88"/>
      <c r="J10" s="111">
        <f>AM87</f>
        <v>0.11049806462650502</v>
      </c>
      <c r="K10" s="88"/>
      <c r="L10" s="114">
        <f>AO87</f>
        <v>-3.0959752321981426E-4</v>
      </c>
      <c r="M10" s="88"/>
      <c r="N10" s="1"/>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9" t="s">
        <v>26</v>
      </c>
      <c r="EC10" s="56"/>
      <c r="ED10" s="56"/>
      <c r="EE10" s="56"/>
      <c r="EF10" s="2"/>
      <c r="EG10" s="2"/>
      <c r="EH10" s="2"/>
      <c r="EI10" s="2"/>
      <c r="EJ10" s="2"/>
      <c r="EK10" s="2"/>
      <c r="EL10" s="2"/>
      <c r="EM10" s="2"/>
      <c r="EN10" s="2"/>
      <c r="EO10" s="2"/>
      <c r="EP10" s="2"/>
      <c r="EQ10" s="2"/>
      <c r="ER10" s="29" t="s">
        <v>27</v>
      </c>
      <c r="ES10" s="29">
        <f>IF(ES8-ES7&lt;=0.5,0.05,IF(ES8-ES7&lt;=1.5,0.1,IF(ES8-ES7&lt;=3,0.25,IF(ES8-ES7&lt;=6,0.5,1))))</f>
        <v>0.05</v>
      </c>
      <c r="ET10" s="2"/>
      <c r="EU10" s="2"/>
      <c r="EV10" s="2"/>
      <c r="EW10" s="2"/>
      <c r="EX10" s="2"/>
      <c r="EY10" s="2"/>
      <c r="EZ10" s="2"/>
      <c r="FA10" s="2"/>
      <c r="FB10" s="2"/>
    </row>
    <row r="11" spans="1:158" ht="16" customHeight="1" x14ac:dyDescent="0.2">
      <c r="A11" s="1"/>
      <c r="B11" s="104" t="str">
        <f>"vs benchmark "&amp;TEXT(ref_bench_margin_target,"0%")&amp;"  ·  "&amp;IF(AL87&gt;=ref_bench_margin_target,"above by "&amp;TEXT((AL87-ref_bench_margin_target)*100,"0.0")&amp;" pts","below by "&amp;TEXT((ref_bench_margin_target-AL87)*100,"0.0")&amp;" pts")</f>
        <v>vs benchmark 50%  ·  below by 3.7 pts</v>
      </c>
      <c r="C11" s="88"/>
      <c r="D11" s="88"/>
      <c r="E11" s="88"/>
      <c r="F11" s="94" t="s">
        <v>28</v>
      </c>
      <c r="G11" s="88"/>
      <c r="H11" s="94" t="s">
        <v>29</v>
      </c>
      <c r="I11" s="88"/>
      <c r="J11" s="94" t="s">
        <v>30</v>
      </c>
      <c r="K11" s="88"/>
      <c r="L11" s="94" t="s">
        <v>31</v>
      </c>
      <c r="M11" s="88"/>
      <c r="N11" s="1"/>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9" t="s">
        <v>32</v>
      </c>
      <c r="EB11" s="29">
        <v>0.1</v>
      </c>
      <c r="EC11" s="56"/>
      <c r="ED11" s="56"/>
      <c r="EE11" s="56"/>
      <c r="EF11" s="2"/>
      <c r="EG11" s="2"/>
      <c r="EH11" s="2"/>
      <c r="EI11" s="2"/>
      <c r="EJ11" s="2"/>
      <c r="EK11" s="2"/>
      <c r="EL11" s="2"/>
      <c r="EM11" s="2"/>
      <c r="EN11" s="2"/>
      <c r="EO11" s="2"/>
      <c r="EP11" s="2"/>
      <c r="EQ11" s="2"/>
      <c r="ER11" s="2"/>
      <c r="ES11" s="2"/>
      <c r="ET11" s="2"/>
      <c r="EU11" s="2"/>
      <c r="EV11" s="2"/>
      <c r="EW11" s="2"/>
      <c r="EX11" s="2"/>
      <c r="EY11" s="2"/>
      <c r="EZ11" s="2"/>
      <c r="FA11" s="2"/>
      <c r="FB11" s="2"/>
    </row>
    <row r="12" spans="1:158" ht="14" customHeight="1" x14ac:dyDescent="0.2">
      <c r="A12" s="1"/>
      <c r="B12" s="102" t="s">
        <v>33</v>
      </c>
      <c r="C12" s="88"/>
      <c r="D12" s="88"/>
      <c r="E12" s="88"/>
      <c r="F12" s="88"/>
      <c r="G12" s="88"/>
      <c r="H12" s="88"/>
      <c r="I12" s="88"/>
      <c r="J12" s="88"/>
      <c r="K12" s="88"/>
      <c r="L12" s="88"/>
      <c r="M12" s="88"/>
      <c r="N12" s="1"/>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9" t="s">
        <v>34</v>
      </c>
      <c r="EB12" s="29">
        <v>0.15</v>
      </c>
      <c r="EC12" s="56"/>
      <c r="ED12" s="56"/>
      <c r="EE12" s="56"/>
      <c r="EF12" s="2"/>
      <c r="EG12" s="2"/>
      <c r="EH12" s="2"/>
      <c r="EI12" s="2"/>
      <c r="EJ12" s="2"/>
      <c r="EK12" s="2"/>
      <c r="EL12" s="2"/>
      <c r="EM12" s="2"/>
      <c r="EN12" s="2"/>
      <c r="EO12" s="2"/>
      <c r="EP12" s="2"/>
      <c r="EQ12" s="2"/>
      <c r="ER12" s="2"/>
      <c r="ES12" s="2"/>
      <c r="ET12" s="2"/>
      <c r="EU12" s="2"/>
      <c r="EV12" s="2"/>
      <c r="EW12" s="2"/>
      <c r="EX12" s="2"/>
      <c r="EY12" s="2"/>
      <c r="EZ12" s="2"/>
      <c r="FA12" s="2"/>
      <c r="FB12" s="2"/>
    </row>
    <row r="13" spans="1:158" ht="28" customHeight="1" x14ac:dyDescent="0.2">
      <c r="A13" s="1"/>
      <c r="B13" s="105">
        <f>AD87</f>
        <v>4465650</v>
      </c>
      <c r="C13" s="88"/>
      <c r="D13" s="88"/>
      <c r="E13" s="105">
        <f>AK87</f>
        <v>8318800</v>
      </c>
      <c r="F13" s="88"/>
      <c r="G13" s="88"/>
      <c r="H13" s="108">
        <f>AP87</f>
        <v>0</v>
      </c>
      <c r="I13" s="88"/>
      <c r="J13" s="88"/>
      <c r="K13" s="113">
        <f>IFERROR((AK87-AD87-AK89)/AK87,0)</f>
        <v>0.36659494157811223</v>
      </c>
      <c r="L13" s="88"/>
      <c r="M13" s="88"/>
      <c r="N13" s="1"/>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9" t="s">
        <v>35</v>
      </c>
      <c r="EB13" s="29">
        <v>0.2</v>
      </c>
      <c r="EC13" s="56"/>
      <c r="ED13" s="56"/>
      <c r="EE13" s="56"/>
      <c r="EF13" s="2"/>
      <c r="EG13" s="2"/>
      <c r="EH13" s="2"/>
      <c r="EI13" s="2"/>
      <c r="EJ13" s="2"/>
      <c r="EK13" s="2"/>
      <c r="EL13" s="2"/>
      <c r="EM13" s="2"/>
      <c r="EN13" s="2"/>
      <c r="EO13" s="2"/>
      <c r="EP13" s="2"/>
      <c r="EQ13" s="2"/>
      <c r="ER13" s="2"/>
      <c r="ES13" s="2"/>
      <c r="ET13" s="2"/>
      <c r="EU13" s="2"/>
      <c r="EV13" s="2"/>
      <c r="EW13" s="2"/>
      <c r="EX13" s="2"/>
      <c r="EY13" s="2"/>
      <c r="EZ13" s="2"/>
      <c r="FA13" s="2"/>
      <c r="FB13" s="2"/>
    </row>
    <row r="14" spans="1:158" ht="20" customHeight="1" x14ac:dyDescent="0.2">
      <c r="A14" s="1"/>
      <c r="B14" s="93" t="s">
        <v>36</v>
      </c>
      <c r="C14" s="88"/>
      <c r="D14" s="88"/>
      <c r="E14" s="93" t="s">
        <v>37</v>
      </c>
      <c r="F14" s="88"/>
      <c r="G14" s="88"/>
      <c r="H14" s="93" t="s">
        <v>38</v>
      </c>
      <c r="I14" s="88"/>
      <c r="J14" s="88"/>
      <c r="K14" s="93" t="s">
        <v>39</v>
      </c>
      <c r="L14" s="88"/>
      <c r="M14" s="88"/>
      <c r="N14" s="1"/>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56"/>
      <c r="ED14" s="56"/>
      <c r="EE14" s="56"/>
      <c r="EF14" s="2"/>
      <c r="EG14" s="2"/>
      <c r="EH14" s="2"/>
      <c r="EI14" s="2"/>
      <c r="EJ14" s="2"/>
      <c r="EK14" s="2"/>
      <c r="EL14" s="2"/>
      <c r="EM14" s="2"/>
      <c r="EN14" s="2"/>
      <c r="EO14" s="2"/>
      <c r="EP14" s="2"/>
      <c r="EQ14" s="2"/>
      <c r="ER14" s="2"/>
      <c r="ES14" s="2"/>
      <c r="ET14" s="2"/>
      <c r="EU14" s="2"/>
      <c r="EV14" s="2"/>
      <c r="EW14" s="2"/>
      <c r="EX14" s="2"/>
      <c r="EY14" s="2"/>
      <c r="EZ14" s="2"/>
      <c r="FA14" s="2"/>
      <c r="FB14" s="2"/>
    </row>
    <row r="15" spans="1:158" x14ac:dyDescent="0.2">
      <c r="A15" s="1"/>
      <c r="B15" s="1"/>
      <c r="C15" s="1"/>
      <c r="D15" s="1"/>
      <c r="E15" s="1"/>
      <c r="F15" s="1"/>
      <c r="G15" s="1"/>
      <c r="H15" s="1"/>
      <c r="I15" s="1"/>
      <c r="J15" s="1"/>
      <c r="K15" s="1"/>
      <c r="L15" s="1"/>
      <c r="M15" s="1"/>
      <c r="N15" s="1"/>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56"/>
      <c r="ED15" s="56"/>
      <c r="EE15" s="56"/>
      <c r="EF15" s="2"/>
      <c r="EG15" s="2"/>
      <c r="EH15" s="2"/>
      <c r="EI15" s="2"/>
      <c r="EJ15" s="2"/>
      <c r="EK15" s="2"/>
      <c r="EL15" s="2"/>
      <c r="EM15" s="2"/>
      <c r="EN15" s="2"/>
      <c r="EO15" s="2"/>
      <c r="EP15" s="2"/>
      <c r="EQ15" s="2"/>
      <c r="ER15" s="2"/>
      <c r="ES15" s="2"/>
      <c r="ET15" s="2"/>
      <c r="EU15" s="2"/>
      <c r="EV15" s="2"/>
      <c r="EW15" s="2"/>
      <c r="EX15" s="2"/>
      <c r="EY15" s="2"/>
      <c r="EZ15" s="2"/>
      <c r="FA15" s="2"/>
      <c r="FB15" s="2"/>
    </row>
    <row r="16" spans="1:158" ht="22" customHeight="1" x14ac:dyDescent="0.2">
      <c r="A16" s="1"/>
      <c r="B16" s="5" t="s">
        <v>40</v>
      </c>
      <c r="C16" s="1"/>
      <c r="D16" s="1"/>
      <c r="E16" s="1"/>
      <c r="F16" s="1"/>
      <c r="G16" s="1"/>
      <c r="H16" s="1"/>
      <c r="I16" s="1"/>
      <c r="J16" s="1"/>
      <c r="K16" s="1"/>
      <c r="L16" s="1"/>
      <c r="M16" s="1"/>
      <c r="N16" s="1"/>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56"/>
      <c r="ED16" s="56"/>
      <c r="EE16" s="56"/>
      <c r="EF16" s="2"/>
      <c r="EG16" s="2"/>
      <c r="EH16" s="2"/>
      <c r="EI16" s="2"/>
      <c r="EJ16" s="2"/>
      <c r="EK16" s="2"/>
      <c r="EL16" s="2"/>
      <c r="EM16" s="2"/>
      <c r="EN16" s="2"/>
      <c r="EO16" s="2"/>
      <c r="EP16" s="2"/>
      <c r="EQ16" s="2"/>
      <c r="ER16" s="2"/>
      <c r="ES16" s="2"/>
      <c r="ET16" s="2"/>
      <c r="EU16" s="2"/>
      <c r="EV16" s="2"/>
      <c r="EW16" s="2"/>
      <c r="EX16" s="2"/>
      <c r="EY16" s="2"/>
      <c r="EZ16" s="2"/>
      <c r="FA16" s="2"/>
      <c r="FB16" s="2"/>
    </row>
    <row r="17" spans="1:158" ht="32" customHeight="1" x14ac:dyDescent="0.2">
      <c r="A17" s="1"/>
      <c r="B17" s="106" t="str">
        <f>IF(MIN(AS70:AS83)&gt;=99,"01  ·  Add your team on Team Roster to surface your biggest margin opportunities.","01  ·  Blended delivery margin is "&amp;TEXT(AL87,"0.0%")&amp;" against the "&amp;TEXT(ref_bench_margin_target,"0%")&amp;" benchmark — "&amp;IF(AL87&gt;=ref_bench_margin_target,"a healthy position. Hold rates and watch utilisation drift.","a gap of "&amp;TEXT((ref_bench_margin_target-AL87)*100,"0.0")&amp;" pts. Closing it via rate, mix, or utilisation is worth roughly "&amp;TEXT(AK87*(ref_bench_margin_target-AL87),"$#,##0")&amp;" per year."))</f>
        <v>01  ·  Blended delivery margin is 46.3% against the 50% benchmark — a gap of 3.7 pts. Closing it via rate, mix, or utilisation is worth roughly $306,250 per year.</v>
      </c>
      <c r="C17" s="88"/>
      <c r="D17" s="88"/>
      <c r="E17" s="88"/>
      <c r="F17" s="88"/>
      <c r="G17" s="88"/>
      <c r="H17" s="88"/>
      <c r="I17" s="88"/>
      <c r="J17" s="88"/>
      <c r="K17" s="88"/>
      <c r="L17" s="88"/>
      <c r="M17" s="88"/>
      <c r="N17" s="1"/>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56"/>
      <c r="ED17" s="56"/>
      <c r="EE17" s="56"/>
      <c r="EF17" s="2"/>
      <c r="EG17" s="2"/>
      <c r="EH17" s="2"/>
      <c r="EI17" s="2"/>
      <c r="EJ17" s="2"/>
      <c r="EK17" s="2"/>
      <c r="EL17" s="2"/>
      <c r="EM17" s="2"/>
      <c r="EN17" s="2"/>
      <c r="EO17" s="2"/>
      <c r="EP17" s="2"/>
      <c r="EQ17" s="2"/>
      <c r="ER17" s="2"/>
      <c r="ES17" s="2"/>
      <c r="ET17" s="2"/>
      <c r="EU17" s="2"/>
      <c r="EV17" s="2"/>
      <c r="EW17" s="2"/>
      <c r="EX17" s="2"/>
      <c r="EY17" s="2"/>
      <c r="EZ17" s="2"/>
      <c r="FA17" s="2"/>
      <c r="FB17" s="2"/>
    </row>
    <row r="18" spans="1:158" ht="32" customHeight="1" x14ac:dyDescent="0.2">
      <c r="A18" s="1"/>
      <c r="B18" s="106" t="str">
        <f>"02  ·  "&amp;IF(MIN(AS70:AS83)&gt;=99,"No active delivery role detected. Toggle delivery roles on in Team Roster.","Lowest-margin delivery role is "&amp;INDEX(R70:R83,MATCH(MIN(AS70:AS83),AS70:AS83,0))&amp;" at "&amp;TEXT(MIN(AS70:AS83),"0.0%")&amp;" delivery margin — "&amp;IF(MIN(AS70:AS83)&lt;ref_bench_margin_warn,"FAIL: operationally underwater. Re-rate, raise utilisation, or restructure scope.",IF(MIN(AS70:AS83)&lt;ref_bench_margin_target,"WARN: below the 50% benchmark. Check billed rate, pricing leak, and idle capacity.","tracking healthy.")))</f>
        <v>02  ·  Lowest-margin delivery role is Group Account Director at 7.5% delivery margin — FAIL: operationally underwater. Re-rate, raise utilisation, or restructure scope.</v>
      </c>
      <c r="C18" s="88"/>
      <c r="D18" s="88"/>
      <c r="E18" s="88"/>
      <c r="F18" s="88"/>
      <c r="G18" s="88"/>
      <c r="H18" s="88"/>
      <c r="I18" s="88"/>
      <c r="J18" s="88"/>
      <c r="K18" s="88"/>
      <c r="L18" s="88"/>
      <c r="M18" s="88"/>
      <c r="N18" s="1"/>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56"/>
      <c r="ED18" s="56"/>
      <c r="EE18" s="56"/>
      <c r="EF18" s="2"/>
      <c r="EG18" s="2"/>
      <c r="EH18" s="2"/>
      <c r="EI18" s="2"/>
      <c r="EJ18" s="2"/>
      <c r="EK18" s="2"/>
      <c r="EL18" s="2"/>
      <c r="EM18" s="2"/>
      <c r="EN18" s="2"/>
      <c r="EO18" s="2"/>
      <c r="EP18" s="2"/>
      <c r="EQ18" s="2"/>
      <c r="ER18" s="2"/>
      <c r="ES18" s="2"/>
      <c r="ET18" s="2"/>
      <c r="EU18" s="2"/>
      <c r="EV18" s="2"/>
      <c r="EW18" s="2"/>
      <c r="EX18" s="2"/>
      <c r="EY18" s="2"/>
      <c r="EZ18" s="2"/>
      <c r="FA18" s="2"/>
      <c r="FB18" s="2"/>
    </row>
    <row r="19" spans="1:158" ht="32" customHeight="1" x14ac:dyDescent="0.2">
      <c r="A19" s="1"/>
      <c r="B19" s="106" t="str">
        <f>IF(MIN(AS70:AS83)&gt;=99,"03  ·  Once your roster is in, this names the single biggest lever — pricing, leakage, or utilisation — in dollars per year.","03  ·  "&amp;IF(AN87&gt;=AP87,"Realisation is the larger lever — closing the gap from "&amp;TEXT(1-AM87,"0%")&amp;" to 100% realisation is worth "&amp;TEXT(AN87,"$#,##0")&amp;" per year. Pricing discipline, scope control, or write-off process — pick whichever is leaking the most.","Utilisation is the larger lever — lifting blended utilisation by "&amp;TEXT(AO87,"0.0%")&amp;" toward target is worth "&amp;TEXT(AP87,"$#,##0")&amp;" per year, assuming work exists to fill the capacity."))</f>
        <v>03  ·  Realisation is the larger lever — closing the gap from 89% to 100% realisation is worth $1,033,400 per year. Pricing discipline, scope control, or write-off process — pick whichever is leaking the most.</v>
      </c>
      <c r="C19" s="88"/>
      <c r="D19" s="88"/>
      <c r="E19" s="88"/>
      <c r="F19" s="88"/>
      <c r="G19" s="88"/>
      <c r="H19" s="88"/>
      <c r="I19" s="88"/>
      <c r="J19" s="88"/>
      <c r="K19" s="88"/>
      <c r="L19" s="88"/>
      <c r="M19" s="88"/>
      <c r="N19" s="1"/>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56"/>
      <c r="ED19" s="56"/>
      <c r="EE19" s="56"/>
      <c r="EF19" s="2"/>
      <c r="EG19" s="2"/>
      <c r="EH19" s="2"/>
      <c r="EI19" s="2"/>
      <c r="EJ19" s="2"/>
      <c r="EK19" s="2"/>
      <c r="EL19" s="2"/>
      <c r="EM19" s="2"/>
      <c r="EN19" s="2"/>
      <c r="EO19" s="2"/>
      <c r="EP19" s="2"/>
      <c r="EQ19" s="2"/>
      <c r="ER19" s="2"/>
      <c r="ES19" s="2"/>
      <c r="ET19" s="2"/>
      <c r="EU19" s="2"/>
      <c r="EV19" s="2"/>
      <c r="EW19" s="2"/>
      <c r="EX19" s="2"/>
      <c r="EY19" s="2"/>
      <c r="EZ19" s="2"/>
      <c r="FA19" s="2"/>
      <c r="FB19" s="2"/>
    </row>
    <row r="20" spans="1:158" ht="18" customHeight="1" x14ac:dyDescent="0.2">
      <c r="A20" s="1"/>
      <c r="B20" s="5" t="s">
        <v>41</v>
      </c>
      <c r="C20" s="1"/>
      <c r="D20" s="1"/>
      <c r="E20" s="1"/>
      <c r="F20" s="1"/>
      <c r="G20" s="1"/>
      <c r="H20" s="1"/>
      <c r="I20" s="1"/>
      <c r="J20" s="1"/>
      <c r="K20" s="1"/>
      <c r="L20" s="1"/>
      <c r="M20" s="1"/>
      <c r="N20" s="1"/>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56"/>
      <c r="ED20" s="56"/>
      <c r="EE20" s="56"/>
      <c r="EF20" s="2"/>
      <c r="EG20" s="2"/>
      <c r="EH20" s="2"/>
      <c r="EI20" s="2"/>
      <c r="EJ20" s="2"/>
      <c r="EK20" s="2"/>
      <c r="EL20" s="2"/>
      <c r="EM20" s="2"/>
      <c r="EN20" s="2"/>
      <c r="EO20" s="2"/>
      <c r="EP20" s="2"/>
      <c r="EQ20" s="2"/>
      <c r="ER20" s="2"/>
      <c r="ES20" s="2"/>
      <c r="ET20" s="2"/>
      <c r="EU20" s="2"/>
      <c r="EV20" s="2"/>
      <c r="EW20" s="2"/>
      <c r="EX20" s="2"/>
      <c r="EY20" s="2"/>
      <c r="EZ20" s="2"/>
      <c r="FA20" s="2"/>
      <c r="FB20" s="2"/>
    </row>
    <row r="21" spans="1:158" ht="30" customHeight="1" x14ac:dyDescent="0.2">
      <c r="A21" s="1"/>
      <c r="B21" s="101">
        <f>AP87</f>
        <v>0</v>
      </c>
      <c r="C21" s="88"/>
      <c r="D21" s="88"/>
      <c r="E21" s="2"/>
      <c r="F21" s="101">
        <f>AN87</f>
        <v>1033400</v>
      </c>
      <c r="G21" s="88"/>
      <c r="H21" s="88"/>
      <c r="I21" s="1"/>
      <c r="J21" s="1"/>
      <c r="K21" s="1"/>
      <c r="L21" s="1"/>
      <c r="M21" s="1"/>
      <c r="N21" s="1"/>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56"/>
      <c r="ED21" s="56"/>
      <c r="EE21" s="56"/>
      <c r="EF21" s="2"/>
      <c r="EG21" s="2"/>
      <c r="EH21" s="2"/>
      <c r="EI21" s="2"/>
      <c r="EJ21" s="2"/>
      <c r="EK21" s="2"/>
      <c r="EL21" s="2"/>
      <c r="EM21" s="2"/>
      <c r="EN21" s="2"/>
      <c r="EO21" s="2"/>
      <c r="EP21" s="2"/>
      <c r="EQ21" s="2"/>
      <c r="ER21" s="2"/>
      <c r="ES21" s="2"/>
      <c r="ET21" s="2"/>
      <c r="EU21" s="2"/>
      <c r="EV21" s="2"/>
      <c r="EW21" s="2"/>
      <c r="EX21" s="2"/>
      <c r="EY21" s="2"/>
      <c r="EZ21" s="2"/>
      <c r="FA21" s="2"/>
      <c r="FB21" s="2"/>
    </row>
    <row r="22" spans="1:158" ht="16" customHeight="1" x14ac:dyDescent="0.2">
      <c r="A22" s="1"/>
      <c r="B22" s="94" t="s">
        <v>42</v>
      </c>
      <c r="C22" s="88"/>
      <c r="D22" s="88"/>
      <c r="E22" s="2"/>
      <c r="F22" s="94" t="s">
        <v>43</v>
      </c>
      <c r="G22" s="88"/>
      <c r="H22" s="88"/>
      <c r="I22" s="1"/>
      <c r="J22" s="1"/>
      <c r="K22" s="1"/>
      <c r="L22" s="1"/>
      <c r="M22" s="1"/>
      <c r="N22" s="1"/>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56"/>
      <c r="ED22" s="56"/>
      <c r="EE22" s="56"/>
      <c r="EF22" s="2"/>
      <c r="EG22" s="2"/>
      <c r="EH22" s="2"/>
      <c r="EI22" s="2"/>
      <c r="EJ22" s="2"/>
      <c r="EK22" s="2"/>
      <c r="EL22" s="2"/>
      <c r="EM22" s="2"/>
      <c r="EN22" s="2"/>
      <c r="EO22" s="2"/>
      <c r="EP22" s="2"/>
      <c r="EQ22" s="2"/>
      <c r="ER22" s="2"/>
      <c r="ES22" s="2"/>
      <c r="ET22" s="2"/>
      <c r="EU22" s="2"/>
      <c r="EV22" s="2"/>
      <c r="EW22" s="2"/>
      <c r="EX22" s="2"/>
      <c r="EY22" s="2"/>
      <c r="EZ22" s="2"/>
      <c r="FA22" s="2"/>
      <c r="FB22" s="2"/>
    </row>
    <row r="23" spans="1:158" x14ac:dyDescent="0.2">
      <c r="A23" s="1"/>
      <c r="B23" s="1"/>
      <c r="C23" s="1"/>
      <c r="D23" s="1"/>
      <c r="E23" s="1"/>
      <c r="F23" s="1"/>
      <c r="G23" s="1"/>
      <c r="H23" s="1"/>
      <c r="I23" s="1"/>
      <c r="J23" s="1"/>
      <c r="K23" s="1"/>
      <c r="L23" s="1"/>
      <c r="M23" s="1"/>
      <c r="N23" s="1"/>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56"/>
      <c r="ED23" s="56"/>
      <c r="EE23" s="56"/>
      <c r="EF23" s="2"/>
      <c r="EG23" s="2"/>
      <c r="EH23" s="2"/>
      <c r="EI23" s="2"/>
      <c r="EJ23" s="2"/>
      <c r="EK23" s="2"/>
      <c r="EL23" s="2"/>
      <c r="EM23" s="2"/>
      <c r="EN23" s="2"/>
      <c r="EO23" s="2"/>
      <c r="EP23" s="2"/>
      <c r="EQ23" s="2"/>
      <c r="ER23" s="2"/>
      <c r="ES23" s="2"/>
      <c r="ET23" s="2"/>
      <c r="EU23" s="2"/>
      <c r="EV23" s="2"/>
      <c r="EW23" s="2"/>
      <c r="EX23" s="2"/>
      <c r="EY23" s="2"/>
      <c r="EZ23" s="2"/>
      <c r="FA23" s="2"/>
      <c r="FB23" s="2"/>
    </row>
    <row r="24" spans="1:158" x14ac:dyDescent="0.2">
      <c r="A24" s="1"/>
      <c r="B24" s="86" t="s">
        <v>362</v>
      </c>
      <c r="C24" s="86"/>
      <c r="D24" s="86"/>
      <c r="E24" s="86"/>
      <c r="F24" s="86"/>
      <c r="G24" s="86"/>
      <c r="H24" s="86"/>
      <c r="I24" s="86"/>
      <c r="J24" s="1"/>
      <c r="K24" s="1"/>
      <c r="L24" s="1"/>
      <c r="M24" s="1"/>
      <c r="N24" s="1"/>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56"/>
      <c r="ED24" s="56"/>
      <c r="EE24" s="56"/>
      <c r="EF24" s="2"/>
      <c r="EG24" s="2"/>
      <c r="EH24" s="2"/>
      <c r="EI24" s="2"/>
      <c r="EJ24" s="2"/>
      <c r="EK24" s="2"/>
      <c r="EL24" s="2"/>
      <c r="EM24" s="2"/>
      <c r="EN24" s="2"/>
      <c r="EO24" s="2"/>
      <c r="EP24" s="2"/>
      <c r="EQ24" s="2"/>
      <c r="ER24" s="2"/>
      <c r="ES24" s="2"/>
      <c r="ET24" s="2"/>
      <c r="EU24" s="2"/>
      <c r="EV24" s="2"/>
      <c r="EW24" s="2"/>
      <c r="EX24" s="2"/>
      <c r="EY24" s="2"/>
      <c r="EZ24" s="2"/>
      <c r="FA24" s="2"/>
      <c r="FB24" s="2"/>
    </row>
    <row r="25" spans="1:158" ht="20" customHeight="1" x14ac:dyDescent="0.2">
      <c r="A25" s="1"/>
      <c r="B25" s="1"/>
      <c r="C25" s="1"/>
      <c r="D25" s="1"/>
      <c r="E25" s="1"/>
      <c r="F25" s="1"/>
      <c r="G25" s="1"/>
      <c r="H25" s="1"/>
      <c r="I25" s="1"/>
      <c r="J25" s="1"/>
      <c r="K25" s="1"/>
      <c r="L25" s="1"/>
      <c r="M25" s="1"/>
      <c r="N25" s="1"/>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56"/>
      <c r="ED25" s="56"/>
      <c r="EE25" s="56"/>
      <c r="EF25" s="2"/>
      <c r="EG25" s="2"/>
      <c r="EH25" s="2"/>
      <c r="EI25" s="2"/>
      <c r="EJ25" s="2"/>
      <c r="EK25" s="2"/>
      <c r="EL25" s="2"/>
      <c r="EM25" s="2"/>
      <c r="EN25" s="2"/>
      <c r="EO25" s="2"/>
      <c r="EP25" s="2"/>
      <c r="EQ25" s="2"/>
      <c r="ER25" s="2"/>
      <c r="ES25" s="2"/>
      <c r="ET25" s="2"/>
      <c r="EU25" s="2"/>
      <c r="EV25" s="2"/>
      <c r="EW25" s="2"/>
      <c r="EX25" s="2"/>
      <c r="EY25" s="2"/>
      <c r="EZ25" s="2"/>
      <c r="FA25" s="2"/>
      <c r="FB25" s="2"/>
    </row>
    <row r="26" spans="1:158" x14ac:dyDescent="0.2">
      <c r="A26" s="1"/>
      <c r="B26" s="5" t="s">
        <v>44</v>
      </c>
      <c r="C26" s="1"/>
      <c r="D26" s="1"/>
      <c r="E26" s="1"/>
      <c r="F26" s="1"/>
      <c r="G26" s="1"/>
      <c r="H26" s="1"/>
      <c r="I26" s="1"/>
      <c r="J26" s="1"/>
      <c r="K26" s="1"/>
      <c r="L26" s="1"/>
      <c r="M26" s="1"/>
      <c r="N26" s="1"/>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56"/>
      <c r="ED26" s="56"/>
      <c r="EE26" s="56"/>
      <c r="EF26" s="2"/>
      <c r="EG26" s="2"/>
      <c r="EH26" s="2"/>
      <c r="EI26" s="2"/>
      <c r="EJ26" s="2"/>
      <c r="EK26" s="2"/>
      <c r="EL26" s="2"/>
      <c r="EM26" s="2"/>
      <c r="EN26" s="2"/>
      <c r="EO26" s="2"/>
      <c r="EP26" s="2"/>
      <c r="EQ26" s="2"/>
      <c r="ER26" s="2"/>
      <c r="ES26" s="2"/>
      <c r="ET26" s="2"/>
      <c r="EU26" s="2"/>
      <c r="EV26" s="2"/>
      <c r="EW26" s="2"/>
      <c r="EX26" s="2"/>
      <c r="EY26" s="2"/>
      <c r="EZ26" s="2"/>
      <c r="FA26" s="2"/>
      <c r="FB26" s="2"/>
    </row>
    <row r="27" spans="1:158" x14ac:dyDescent="0.2">
      <c r="A27" s="1"/>
      <c r="B27" s="1"/>
      <c r="C27" s="1"/>
      <c r="D27" s="1"/>
      <c r="E27" s="1"/>
      <c r="F27" s="1"/>
      <c r="G27" s="1"/>
      <c r="H27" s="1"/>
      <c r="I27" s="1"/>
      <c r="J27" s="1"/>
      <c r="K27" s="1"/>
      <c r="L27" s="1"/>
      <c r="M27" s="1"/>
      <c r="N27" s="1"/>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56"/>
      <c r="ED27" s="56"/>
      <c r="EE27" s="56"/>
      <c r="EF27" s="2"/>
      <c r="EG27" s="2"/>
      <c r="EH27" s="2"/>
      <c r="EI27" s="2"/>
      <c r="EJ27" s="2"/>
      <c r="EK27" s="2"/>
      <c r="EL27" s="2"/>
      <c r="EM27" s="2"/>
      <c r="EN27" s="2"/>
      <c r="EO27" s="2"/>
      <c r="EP27" s="2"/>
      <c r="EQ27" s="2"/>
      <c r="ER27" s="2"/>
      <c r="ES27" s="2"/>
      <c r="ET27" s="2"/>
      <c r="EU27" s="2"/>
      <c r="EV27" s="2"/>
      <c r="EW27" s="2"/>
      <c r="EX27" s="2"/>
      <c r="EY27" s="2"/>
      <c r="EZ27" s="2"/>
      <c r="FA27" s="2"/>
      <c r="FB27" s="2"/>
    </row>
    <row r="28" spans="1:158" x14ac:dyDescent="0.2">
      <c r="A28" s="1"/>
      <c r="B28" s="1"/>
      <c r="C28" s="1"/>
      <c r="D28" s="1"/>
      <c r="E28" s="1"/>
      <c r="F28" s="1"/>
      <c r="G28" s="1"/>
      <c r="H28" s="1"/>
      <c r="I28" s="1"/>
      <c r="J28" s="1"/>
      <c r="K28" s="1"/>
      <c r="L28" s="1"/>
      <c r="M28" s="1"/>
      <c r="N28" s="1"/>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56"/>
      <c r="ED28" s="56"/>
      <c r="EE28" s="56"/>
      <c r="EF28" s="2"/>
      <c r="EG28" s="2"/>
      <c r="EH28" s="2"/>
      <c r="EI28" s="2"/>
      <c r="EJ28" s="2"/>
      <c r="EK28" s="2"/>
      <c r="EL28" s="2"/>
      <c r="EM28" s="2"/>
      <c r="EN28" s="2"/>
      <c r="EO28" s="2"/>
      <c r="EP28" s="2"/>
      <c r="EQ28" s="2"/>
      <c r="ER28" s="2"/>
      <c r="ES28" s="2"/>
      <c r="ET28" s="2"/>
      <c r="EU28" s="2"/>
      <c r="EV28" s="2"/>
      <c r="EW28" s="2"/>
      <c r="EX28" s="2"/>
      <c r="EY28" s="2"/>
      <c r="EZ28" s="2"/>
      <c r="FA28" s="2"/>
      <c r="FB28" s="2"/>
    </row>
    <row r="29" spans="1:158" x14ac:dyDescent="0.2">
      <c r="A29" s="1"/>
      <c r="B29" s="1"/>
      <c r="C29" s="1"/>
      <c r="D29" s="1"/>
      <c r="E29" s="1"/>
      <c r="F29" s="1"/>
      <c r="G29" s="1"/>
      <c r="H29" s="1"/>
      <c r="I29" s="1"/>
      <c r="J29" s="1"/>
      <c r="K29" s="1"/>
      <c r="L29" s="1"/>
      <c r="M29" s="1"/>
      <c r="N29" s="1"/>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56"/>
      <c r="ED29" s="56"/>
      <c r="EE29" s="56"/>
      <c r="EF29" s="2"/>
      <c r="EG29" s="2"/>
      <c r="EH29" s="2"/>
      <c r="EI29" s="2"/>
      <c r="EJ29" s="2"/>
      <c r="EK29" s="2"/>
      <c r="EL29" s="2"/>
      <c r="EM29" s="2"/>
      <c r="EN29" s="2"/>
      <c r="EO29" s="2"/>
      <c r="EP29" s="2"/>
      <c r="EQ29" s="2"/>
      <c r="ER29" s="2"/>
      <c r="ES29" s="2"/>
      <c r="ET29" s="2"/>
      <c r="EU29" s="2"/>
      <c r="EV29" s="2"/>
      <c r="EW29" s="2"/>
      <c r="EX29" s="2"/>
      <c r="EY29" s="2"/>
      <c r="EZ29" s="2"/>
      <c r="FA29" s="2"/>
      <c r="FB29" s="2"/>
    </row>
    <row r="30" spans="1:158" x14ac:dyDescent="0.2">
      <c r="A30" s="1"/>
      <c r="B30" s="1"/>
      <c r="C30" s="1"/>
      <c r="D30" s="1"/>
      <c r="E30" s="1"/>
      <c r="F30" s="1"/>
      <c r="G30" s="1"/>
      <c r="H30" s="1"/>
      <c r="I30" s="1"/>
      <c r="J30" s="1"/>
      <c r="K30" s="1"/>
      <c r="L30" s="1"/>
      <c r="M30" s="1"/>
      <c r="N30" s="1"/>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56"/>
      <c r="ED30" s="56"/>
      <c r="EE30" s="56"/>
      <c r="EF30" s="2"/>
      <c r="EG30" s="2"/>
      <c r="EH30" s="2"/>
      <c r="EI30" s="2"/>
      <c r="EJ30" s="2"/>
      <c r="EK30" s="2"/>
      <c r="EL30" s="2"/>
      <c r="EM30" s="2"/>
      <c r="EN30" s="2"/>
      <c r="EO30" s="2"/>
      <c r="EP30" s="2"/>
      <c r="EQ30" s="2"/>
      <c r="ER30" s="2"/>
      <c r="ES30" s="2"/>
      <c r="ET30" s="2"/>
      <c r="EU30" s="2"/>
      <c r="EV30" s="2"/>
      <c r="EW30" s="2"/>
      <c r="EX30" s="2"/>
      <c r="EY30" s="2"/>
      <c r="EZ30" s="2"/>
      <c r="FA30" s="2"/>
      <c r="FB30" s="2"/>
    </row>
    <row r="31" spans="1:158" x14ac:dyDescent="0.2">
      <c r="A31" s="1"/>
      <c r="B31" s="1"/>
      <c r="C31" s="1"/>
      <c r="D31" s="1"/>
      <c r="E31" s="1"/>
      <c r="F31" s="1"/>
      <c r="G31" s="1"/>
      <c r="H31" s="1"/>
      <c r="I31" s="1"/>
      <c r="J31" s="1"/>
      <c r="K31" s="1"/>
      <c r="L31" s="1"/>
      <c r="M31" s="1"/>
      <c r="N31" s="1"/>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56"/>
      <c r="ED31" s="56"/>
      <c r="EE31" s="56"/>
      <c r="EF31" s="2"/>
      <c r="EG31" s="2"/>
      <c r="EH31" s="2"/>
      <c r="EI31" s="2"/>
      <c r="EJ31" s="2"/>
      <c r="EK31" s="2"/>
      <c r="EL31" s="2"/>
      <c r="EM31" s="2"/>
      <c r="EN31" s="2"/>
      <c r="EO31" s="2"/>
      <c r="EP31" s="2"/>
      <c r="EQ31" s="2"/>
      <c r="ER31" s="2"/>
      <c r="ES31" s="2"/>
      <c r="ET31" s="2"/>
      <c r="EU31" s="2"/>
      <c r="EV31" s="2"/>
      <c r="EW31" s="2"/>
      <c r="EX31" s="2"/>
      <c r="EY31" s="2"/>
      <c r="EZ31" s="2"/>
      <c r="FA31" s="2"/>
      <c r="FB31" s="2"/>
    </row>
    <row r="32" spans="1:158" x14ac:dyDescent="0.2">
      <c r="A32" s="1"/>
      <c r="B32" s="1"/>
      <c r="C32" s="1"/>
      <c r="D32" s="1"/>
      <c r="E32" s="1"/>
      <c r="F32" s="1"/>
      <c r="G32" s="1"/>
      <c r="H32" s="1"/>
      <c r="I32" s="1"/>
      <c r="J32" s="1"/>
      <c r="K32" s="1"/>
      <c r="L32" s="1"/>
      <c r="M32" s="1"/>
      <c r="N32" s="1"/>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56"/>
      <c r="ED32" s="56"/>
      <c r="EE32" s="56"/>
      <c r="EF32" s="2"/>
      <c r="EG32" s="2"/>
      <c r="EH32" s="2"/>
      <c r="EI32" s="2"/>
      <c r="EJ32" s="2"/>
      <c r="EK32" s="2"/>
      <c r="EL32" s="2"/>
      <c r="EM32" s="2"/>
      <c r="EN32" s="2"/>
      <c r="EO32" s="2"/>
      <c r="EP32" s="2"/>
      <c r="EQ32" s="2"/>
      <c r="ER32" s="2"/>
      <c r="ES32" s="2"/>
      <c r="ET32" s="2"/>
      <c r="EU32" s="2"/>
      <c r="EV32" s="2"/>
      <c r="EW32" s="2"/>
      <c r="EX32" s="2"/>
      <c r="EY32" s="2"/>
      <c r="EZ32" s="2"/>
      <c r="FA32" s="2"/>
      <c r="FB32" s="2"/>
    </row>
    <row r="33" spans="1:158" x14ac:dyDescent="0.2">
      <c r="A33" s="1"/>
      <c r="B33" s="1"/>
      <c r="C33" s="1"/>
      <c r="D33" s="1"/>
      <c r="E33" s="1"/>
      <c r="F33" s="1"/>
      <c r="G33" s="1"/>
      <c r="H33" s="1"/>
      <c r="I33" s="1"/>
      <c r="J33" s="1"/>
      <c r="K33" s="1"/>
      <c r="L33" s="1"/>
      <c r="M33" s="1"/>
      <c r="N33" s="1"/>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56"/>
      <c r="ED33" s="56"/>
      <c r="EE33" s="56"/>
      <c r="EF33" s="2"/>
      <c r="EG33" s="2"/>
      <c r="EH33" s="2"/>
      <c r="EI33" s="2"/>
      <c r="EJ33" s="2"/>
      <c r="EK33" s="2"/>
      <c r="EL33" s="2"/>
      <c r="EM33" s="2"/>
      <c r="EN33" s="2"/>
      <c r="EO33" s="2"/>
      <c r="EP33" s="2"/>
      <c r="EQ33" s="2"/>
      <c r="ER33" s="2"/>
      <c r="ES33" s="2"/>
      <c r="ET33" s="2"/>
      <c r="EU33" s="2"/>
      <c r="EV33" s="2"/>
      <c r="EW33" s="2"/>
      <c r="EX33" s="2"/>
      <c r="EY33" s="2"/>
      <c r="EZ33" s="2"/>
      <c r="FA33" s="2"/>
      <c r="FB33" s="2"/>
    </row>
    <row r="34" spans="1:158" x14ac:dyDescent="0.2">
      <c r="A34" s="1"/>
      <c r="B34" s="1"/>
      <c r="C34" s="1"/>
      <c r="D34" s="1"/>
      <c r="E34" s="1"/>
      <c r="F34" s="1"/>
      <c r="G34" s="1"/>
      <c r="H34" s="1"/>
      <c r="I34" s="1"/>
      <c r="J34" s="1"/>
      <c r="K34" s="1"/>
      <c r="L34" s="1"/>
      <c r="M34" s="1"/>
      <c r="N34" s="1"/>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56"/>
      <c r="ED34" s="56"/>
      <c r="EE34" s="56"/>
      <c r="EF34" s="2"/>
      <c r="EG34" s="2"/>
      <c r="EH34" s="2"/>
      <c r="EI34" s="2"/>
      <c r="EJ34" s="2"/>
      <c r="EK34" s="2"/>
      <c r="EL34" s="2"/>
      <c r="EM34" s="2"/>
      <c r="EN34" s="2"/>
      <c r="EO34" s="2"/>
      <c r="EP34" s="2"/>
      <c r="EQ34" s="2"/>
      <c r="ER34" s="2"/>
      <c r="ES34" s="2"/>
      <c r="ET34" s="2"/>
      <c r="EU34" s="2"/>
      <c r="EV34" s="2"/>
      <c r="EW34" s="2"/>
      <c r="EX34" s="2"/>
      <c r="EY34" s="2"/>
      <c r="EZ34" s="2"/>
      <c r="FA34" s="2"/>
      <c r="FB34" s="2"/>
    </row>
    <row r="35" spans="1:158" x14ac:dyDescent="0.2">
      <c r="A35" s="1"/>
      <c r="B35" s="1"/>
      <c r="C35" s="1"/>
      <c r="D35" s="1"/>
      <c r="E35" s="1"/>
      <c r="F35" s="1"/>
      <c r="G35" s="1"/>
      <c r="H35" s="1"/>
      <c r="I35" s="1"/>
      <c r="J35" s="1"/>
      <c r="K35" s="1"/>
      <c r="L35" s="1"/>
      <c r="M35" s="1"/>
      <c r="N35" s="1"/>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56"/>
      <c r="ED35" s="56"/>
      <c r="EE35" s="56"/>
      <c r="EF35" s="2"/>
      <c r="EG35" s="2"/>
      <c r="EH35" s="2"/>
      <c r="EI35" s="2"/>
      <c r="EJ35" s="2"/>
      <c r="EK35" s="2"/>
      <c r="EL35" s="2"/>
      <c r="EM35" s="2"/>
      <c r="EN35" s="2"/>
      <c r="EO35" s="2"/>
      <c r="EP35" s="2"/>
      <c r="EQ35" s="2"/>
      <c r="ER35" s="2"/>
      <c r="ES35" s="2"/>
      <c r="ET35" s="2"/>
      <c r="EU35" s="2"/>
      <c r="EV35" s="2"/>
      <c r="EW35" s="2"/>
      <c r="EX35" s="2"/>
      <c r="EY35" s="2"/>
      <c r="EZ35" s="2"/>
      <c r="FA35" s="2"/>
      <c r="FB35" s="2"/>
    </row>
    <row r="36" spans="1:158" x14ac:dyDescent="0.2">
      <c r="A36" s="1"/>
      <c r="B36" s="1"/>
      <c r="C36" s="1"/>
      <c r="D36" s="1"/>
      <c r="E36" s="1"/>
      <c r="F36" s="1"/>
      <c r="G36" s="1"/>
      <c r="H36" s="1"/>
      <c r="I36" s="1"/>
      <c r="J36" s="1"/>
      <c r="K36" s="1"/>
      <c r="L36" s="1"/>
      <c r="M36" s="1"/>
      <c r="N36" s="1"/>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56"/>
      <c r="ED36" s="56"/>
      <c r="EE36" s="56"/>
      <c r="EF36" s="2"/>
      <c r="EG36" s="2"/>
      <c r="EH36" s="2"/>
      <c r="EI36" s="2"/>
      <c r="EJ36" s="2"/>
      <c r="EK36" s="2"/>
      <c r="EL36" s="2"/>
      <c r="EM36" s="2"/>
      <c r="EN36" s="2"/>
      <c r="EO36" s="2"/>
      <c r="EP36" s="2"/>
      <c r="EQ36" s="2"/>
      <c r="ER36" s="2"/>
      <c r="ES36" s="2"/>
      <c r="ET36" s="2"/>
      <c r="EU36" s="2"/>
      <c r="EV36" s="2"/>
      <c r="EW36" s="2"/>
      <c r="EX36" s="2"/>
      <c r="EY36" s="2"/>
      <c r="EZ36" s="2"/>
      <c r="FA36" s="2"/>
      <c r="FB36" s="2"/>
    </row>
    <row r="37" spans="1:158" x14ac:dyDescent="0.2">
      <c r="A37" s="1"/>
      <c r="B37" s="1"/>
      <c r="C37" s="1"/>
      <c r="D37" s="1"/>
      <c r="E37" s="1"/>
      <c r="F37" s="1"/>
      <c r="G37" s="1"/>
      <c r="H37" s="1"/>
      <c r="I37" s="1"/>
      <c r="J37" s="1"/>
      <c r="K37" s="1"/>
      <c r="L37" s="1"/>
      <c r="M37" s="1"/>
      <c r="N37" s="1"/>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56"/>
      <c r="ED37" s="56"/>
      <c r="EE37" s="56"/>
      <c r="EF37" s="2"/>
      <c r="EG37" s="2"/>
      <c r="EH37" s="2"/>
      <c r="EI37" s="2"/>
      <c r="EJ37" s="2"/>
      <c r="EK37" s="2"/>
      <c r="EL37" s="2"/>
      <c r="EM37" s="2"/>
      <c r="EN37" s="2"/>
      <c r="EO37" s="2"/>
      <c r="EP37" s="2"/>
      <c r="EQ37" s="2"/>
      <c r="ER37" s="2"/>
      <c r="ES37" s="2"/>
      <c r="ET37" s="2"/>
      <c r="EU37" s="2"/>
      <c r="EV37" s="2"/>
      <c r="EW37" s="2"/>
      <c r="EX37" s="2"/>
      <c r="EY37" s="2"/>
      <c r="EZ37" s="2"/>
      <c r="FA37" s="2"/>
      <c r="FB37" s="2"/>
    </row>
    <row r="38" spans="1:158" x14ac:dyDescent="0.2">
      <c r="A38" s="1"/>
      <c r="B38" s="1"/>
      <c r="C38" s="1"/>
      <c r="D38" s="1"/>
      <c r="E38" s="1"/>
      <c r="F38" s="1"/>
      <c r="G38" s="1"/>
      <c r="H38" s="1"/>
      <c r="I38" s="1"/>
      <c r="J38" s="1"/>
      <c r="K38" s="1"/>
      <c r="L38" s="1"/>
      <c r="M38" s="1"/>
      <c r="N38" s="1"/>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56"/>
      <c r="ED38" s="56"/>
      <c r="EE38" s="56"/>
      <c r="EF38" s="2"/>
      <c r="EG38" s="2"/>
      <c r="EH38" s="2"/>
      <c r="EI38" s="2"/>
      <c r="EJ38" s="2"/>
      <c r="EK38" s="2"/>
      <c r="EL38" s="2"/>
      <c r="EM38" s="2"/>
      <c r="EN38" s="2"/>
      <c r="EO38" s="2"/>
      <c r="EP38" s="2"/>
      <c r="EQ38" s="2"/>
      <c r="ER38" s="2"/>
      <c r="ES38" s="2"/>
      <c r="ET38" s="2"/>
      <c r="EU38" s="2"/>
      <c r="EV38" s="2"/>
      <c r="EW38" s="2"/>
      <c r="EX38" s="2"/>
      <c r="EY38" s="2"/>
      <c r="EZ38" s="2"/>
      <c r="FA38" s="2"/>
      <c r="FB38" s="2"/>
    </row>
    <row r="39" spans="1:158" x14ac:dyDescent="0.2">
      <c r="A39" s="1"/>
      <c r="B39" s="1"/>
      <c r="C39" s="1"/>
      <c r="D39" s="1"/>
      <c r="E39" s="1"/>
      <c r="F39" s="1"/>
      <c r="G39" s="1"/>
      <c r="H39" s="1"/>
      <c r="I39" s="1"/>
      <c r="J39" s="1"/>
      <c r="K39" s="1"/>
      <c r="L39" s="1"/>
      <c r="M39" s="1"/>
      <c r="N39" s="1"/>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9" t="s">
        <v>45</v>
      </c>
      <c r="DF39" s="29" t="s">
        <v>46</v>
      </c>
      <c r="DG39" s="29" t="s">
        <v>47</v>
      </c>
      <c r="DH39" s="29" t="s">
        <v>48</v>
      </c>
      <c r="DI39" s="29" t="s">
        <v>49</v>
      </c>
      <c r="DJ39" s="29" t="s">
        <v>50</v>
      </c>
      <c r="DK39" s="29" t="s">
        <v>51</v>
      </c>
      <c r="DL39" s="29" t="s">
        <v>52</v>
      </c>
      <c r="DM39" s="29" t="s">
        <v>53</v>
      </c>
      <c r="DN39" s="29" t="s">
        <v>54</v>
      </c>
      <c r="DO39" s="29" t="s">
        <v>55</v>
      </c>
      <c r="DP39" s="29" t="s">
        <v>56</v>
      </c>
      <c r="DQ39" s="2"/>
      <c r="DR39" s="2"/>
      <c r="DS39" s="2"/>
      <c r="DT39" s="2"/>
      <c r="DU39" s="2"/>
      <c r="DV39" s="2"/>
      <c r="DW39" s="2"/>
      <c r="DX39" s="2"/>
      <c r="DY39" s="2"/>
      <c r="DZ39" s="2"/>
      <c r="EA39" s="2"/>
      <c r="EB39" s="2"/>
      <c r="EC39" s="56"/>
      <c r="ED39" s="56"/>
      <c r="EE39" s="56"/>
      <c r="EF39" s="2"/>
      <c r="EG39" s="2"/>
      <c r="EH39" s="2"/>
      <c r="EI39" s="2"/>
      <c r="EJ39" s="2"/>
      <c r="EK39" s="2"/>
      <c r="EL39" s="2"/>
      <c r="EM39" s="2"/>
      <c r="EN39" s="2"/>
      <c r="EO39" s="2"/>
      <c r="EP39" s="2"/>
      <c r="EQ39" s="2"/>
      <c r="ER39" s="2"/>
      <c r="ES39" s="2"/>
      <c r="ET39" s="29" t="s">
        <v>45</v>
      </c>
      <c r="EU39" s="29" t="s">
        <v>46</v>
      </c>
      <c r="EV39" s="29" t="s">
        <v>47</v>
      </c>
      <c r="EW39" s="29" t="s">
        <v>49</v>
      </c>
      <c r="EX39" s="29" t="s">
        <v>50</v>
      </c>
      <c r="EY39" s="29" t="s">
        <v>51</v>
      </c>
      <c r="EZ39" s="29" t="s">
        <v>53</v>
      </c>
      <c r="FA39" s="29" t="s">
        <v>54</v>
      </c>
      <c r="FB39" s="29" t="s">
        <v>55</v>
      </c>
    </row>
    <row r="40" spans="1:158" x14ac:dyDescent="0.2">
      <c r="A40" s="1"/>
      <c r="B40" s="1"/>
      <c r="C40" s="1"/>
      <c r="D40" s="1"/>
      <c r="E40" s="1"/>
      <c r="F40" s="1"/>
      <c r="G40" s="1"/>
      <c r="H40" s="1"/>
      <c r="I40" s="1"/>
      <c r="J40" s="1"/>
      <c r="K40" s="1"/>
      <c r="L40" s="1"/>
      <c r="M40" s="1"/>
      <c r="N40" s="1"/>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9">
        <f>IFERROR(INDEX($Z$70:$Z$83,MATCH(1,$DB$70:$DB$83,0)),0)</f>
        <v>0.75</v>
      </c>
      <c r="DF40" s="29">
        <f>IFERROR(INDEX($AB$70:$AB$83,MATCH(1,$DB$70:$DB$83,0)),"")</f>
        <v>0.95993179880647905</v>
      </c>
      <c r="DG40" s="29">
        <f>IFERROR(SQRT(INDEX($AK$70:$AK$83,MATCH(1,$DB$70:$DB$83,0)))/80,"")</f>
        <v>13.264143394882311</v>
      </c>
      <c r="DH40" s="29" t="str">
        <f>IFERROR(INDEX($R$70:$R$83,MATCH(1,$DB$70:$DB$83,0)),"")</f>
        <v>Senior Designer</v>
      </c>
      <c r="DI40" s="29">
        <f>IFERROR(INDEX($Z$70:$Z$83,MATCH(1,$DC$70:$DC$83,0)),0)</f>
        <v>0.7</v>
      </c>
      <c r="DJ40" s="29">
        <f>IFERROR(INDEX($AB$70:$AB$83,MATCH(1,$DC$70:$DC$83,0)),"")</f>
        <v>0.86000357589844456</v>
      </c>
      <c r="DK40" s="29">
        <f>IFERROR(SQRT(INDEX($AK$70:$AK$83,MATCH(1,$DC$70:$DC$83,0)))/80,"")</f>
        <v>12.260199835239229</v>
      </c>
      <c r="DL40" s="29" t="str">
        <f>IFERROR(INDEX($R$70:$R$83,MATCH(1,$DC$70:$DC$83,0)),"")</f>
        <v>Senior Account Manager</v>
      </c>
      <c r="DM40" s="29">
        <f>IFERROR(INDEX($Z$70:$Z$83,MATCH(1,$DD$70:$DD$83,0)),0)</f>
        <v>0.55294117647058827</v>
      </c>
      <c r="DN40" s="29">
        <f>IFERROR(INDEX($AB$70:$AB$83,MATCH(1,$DD$70:$DD$83,0)),"")</f>
        <v>0.8</v>
      </c>
      <c r="DO40" s="29">
        <f>IFERROR(SQRT(INDEX($AK$70:$AK$83,MATCH(1,$DD$70:$DD$83,0)))/80,"")</f>
        <v>8.396427811873334</v>
      </c>
      <c r="DP40" s="29" t="str">
        <f>IFERROR(INDEX($R$70:$R$83,MATCH(1,$DD$70:$DD$83,0)),"")</f>
        <v>Group Account Director</v>
      </c>
      <c r="DQ40" s="2"/>
      <c r="DR40" s="2"/>
      <c r="DS40" s="2"/>
      <c r="DT40" s="2"/>
      <c r="DU40" s="2"/>
      <c r="DV40" s="2"/>
      <c r="DW40" s="2"/>
      <c r="DX40" s="2"/>
      <c r="DY40" s="2"/>
      <c r="DZ40" s="2"/>
      <c r="EA40" s="2"/>
      <c r="EB40" s="2"/>
      <c r="EC40" s="56"/>
      <c r="ED40" s="56"/>
      <c r="EE40" s="56"/>
      <c r="EF40" s="2"/>
      <c r="EG40" s="2"/>
      <c r="EH40" s="2"/>
      <c r="EI40" s="2"/>
      <c r="EJ40" s="2"/>
      <c r="EK40" s="2"/>
      <c r="EL40" s="2"/>
      <c r="EM40" s="2"/>
      <c r="EN40" s="2"/>
      <c r="EO40" s="2"/>
      <c r="EP40" s="2"/>
      <c r="EQ40" s="2"/>
      <c r="ER40" s="2"/>
      <c r="ES40" s="2"/>
      <c r="ET40" s="29">
        <f t="shared" ref="ET40:EV53" si="0">DE40</f>
        <v>0.75</v>
      </c>
      <c r="EU40" s="29">
        <f t="shared" si="0"/>
        <v>0.95993179880647905</v>
      </c>
      <c r="EV40" s="29">
        <f t="shared" si="0"/>
        <v>13.264143394882311</v>
      </c>
      <c r="EW40" s="29">
        <f t="shared" ref="EW40:EY53" si="1">DI40</f>
        <v>0.7</v>
      </c>
      <c r="EX40" s="29">
        <f t="shared" si="1"/>
        <v>0.86000357589844456</v>
      </c>
      <c r="EY40" s="29">
        <f t="shared" si="1"/>
        <v>12.260199835239229</v>
      </c>
      <c r="EZ40" s="29">
        <f t="shared" ref="EZ40:FB53" si="2">DM40</f>
        <v>0.55294117647058827</v>
      </c>
      <c r="FA40" s="29">
        <f t="shared" si="2"/>
        <v>0.8</v>
      </c>
      <c r="FB40" s="29">
        <f t="shared" si="2"/>
        <v>8.396427811873334</v>
      </c>
    </row>
    <row r="41" spans="1:158" x14ac:dyDescent="0.2">
      <c r="A41" s="1"/>
      <c r="B41" s="1"/>
      <c r="C41" s="1"/>
      <c r="D41" s="1"/>
      <c r="E41" s="1"/>
      <c r="F41" s="1"/>
      <c r="G41" s="1"/>
      <c r="H41" s="1"/>
      <c r="I41" s="1"/>
      <c r="J41" s="1"/>
      <c r="K41" s="1"/>
      <c r="L41" s="1"/>
      <c r="M41" s="1"/>
      <c r="N41" s="1"/>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9">
        <f>IFERROR(INDEX($Z$70:$Z$83,MATCH(2,$DB$70:$DB$83,0)),DE40)</f>
        <v>0.72</v>
      </c>
      <c r="DF41" s="29">
        <f>IFERROR(INDEX($AB$70:$AB$83,MATCH(2,$DB$70:$DB$83,0)),"")</f>
        <v>0.83994528043775651</v>
      </c>
      <c r="DG41" s="29">
        <f>IFERROR(SQRT(INDEX($AK$70:$AK$83,MATCH(2,$DB$70:$DB$83,0)))/80,"")</f>
        <v>13.141061600951423</v>
      </c>
      <c r="DH41" s="29" t="str">
        <f>IFERROR(INDEX($R$70:$R$83,MATCH(2,$DB$70:$DB$83,0)),"")</f>
        <v>Account Manager</v>
      </c>
      <c r="DI41" s="29">
        <f>IFERROR(INDEX($Z$70:$Z$83,MATCH(2,$DC$70:$DC$83,0)),DI40)</f>
        <v>0.65294117647058825</v>
      </c>
      <c r="DJ41" s="29">
        <f>IFERROR(INDEX($AB$70:$AB$83,MATCH(2,$DC$70:$DC$83,0)),"")</f>
        <v>0.92030492030492028</v>
      </c>
      <c r="DK41" s="29">
        <f>IFERROR(SQRT(INDEX($AK$70:$AK$83,MATCH(2,$DC$70:$DC$83,0)))/80,"")</f>
        <v>9.1104335791442992</v>
      </c>
      <c r="DL41" s="29" t="str">
        <f>IFERROR(INDEX($R$70:$R$83,MATCH(2,$DC$70:$DC$83,0)),"")</f>
        <v>Strategy Lead</v>
      </c>
      <c r="DM41" s="29">
        <f>IFERROR(INDEX($Z$70:$Z$83,MATCH(2,$DD$70:$DD$83,0)),DM40)</f>
        <v>0.6</v>
      </c>
      <c r="DN41" s="29">
        <f>IFERROR(INDEX($AB$70:$AB$83,MATCH(2,$DD$70:$DD$83,0)),"")</f>
        <v>0.82913165266106448</v>
      </c>
      <c r="DO41" s="29">
        <f>IFERROR(SQRT(INDEX($AK$70:$AK$83,MATCH(2,$DD$70:$DD$83,0)))/80,"")</f>
        <v>6.0827625302982202</v>
      </c>
      <c r="DP41" s="29" t="str">
        <f>IFERROR(INDEX($R$70:$R$83,MATCH(2,$DD$70:$DD$83,0)),"")</f>
        <v>Creative Director</v>
      </c>
      <c r="DQ41" s="2"/>
      <c r="DR41" s="2"/>
      <c r="DS41" s="2"/>
      <c r="DT41" s="2"/>
      <c r="DU41" s="2"/>
      <c r="DV41" s="2"/>
      <c r="DW41" s="2"/>
      <c r="DX41" s="2"/>
      <c r="DY41" s="2"/>
      <c r="DZ41" s="2"/>
      <c r="EA41" s="2"/>
      <c r="EB41" s="2"/>
      <c r="EC41" s="56"/>
      <c r="ED41" s="56"/>
      <c r="EE41" s="56"/>
      <c r="EF41" s="2"/>
      <c r="EG41" s="2"/>
      <c r="EH41" s="2"/>
      <c r="EI41" s="2"/>
      <c r="EJ41" s="2"/>
      <c r="EK41" s="2"/>
      <c r="EL41" s="2"/>
      <c r="EM41" s="2"/>
      <c r="EN41" s="2"/>
      <c r="EO41" s="2"/>
      <c r="EP41" s="2"/>
      <c r="EQ41" s="2"/>
      <c r="ER41" s="2"/>
      <c r="ES41" s="2"/>
      <c r="ET41" s="29">
        <f t="shared" si="0"/>
        <v>0.72</v>
      </c>
      <c r="EU41" s="29">
        <f t="shared" si="0"/>
        <v>0.83994528043775651</v>
      </c>
      <c r="EV41" s="29">
        <f t="shared" si="0"/>
        <v>13.141061600951423</v>
      </c>
      <c r="EW41" s="29">
        <f t="shared" si="1"/>
        <v>0.65294117647058825</v>
      </c>
      <c r="EX41" s="29">
        <f t="shared" si="1"/>
        <v>0.92030492030492028</v>
      </c>
      <c r="EY41" s="29">
        <f t="shared" si="1"/>
        <v>9.1104335791442992</v>
      </c>
      <c r="EZ41" s="29">
        <f t="shared" si="2"/>
        <v>0.6</v>
      </c>
      <c r="FA41" s="29">
        <f t="shared" si="2"/>
        <v>0.82913165266106448</v>
      </c>
      <c r="FB41" s="29">
        <f t="shared" si="2"/>
        <v>6.0827625302982202</v>
      </c>
    </row>
    <row r="42" spans="1:158" x14ac:dyDescent="0.2">
      <c r="A42" s="1"/>
      <c r="B42" s="1"/>
      <c r="C42" s="1"/>
      <c r="D42" s="1"/>
      <c r="E42" s="1"/>
      <c r="F42" s="1"/>
      <c r="G42" s="1"/>
      <c r="H42" s="1"/>
      <c r="I42" s="1"/>
      <c r="J42" s="1"/>
      <c r="K42" s="1"/>
      <c r="L42" s="1"/>
      <c r="M42" s="1"/>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9">
        <f>IFERROR(INDEX($Z$70:$Z$83,MATCH(3,$DB$70:$DB$83,0)),DE41)</f>
        <v>0.76</v>
      </c>
      <c r="DF42" s="29">
        <f>IFERROR(INDEX($AB$70:$AB$83,MATCH(3,$DB$70:$DB$83,0)),"")</f>
        <v>0.90990712074303404</v>
      </c>
      <c r="DG42" s="29">
        <f>IFERROR(SQRT(INDEX($AK$70:$AK$83,MATCH(3,$DB$70:$DB$83,0)))/80,"")</f>
        <v>13.553136168429798</v>
      </c>
      <c r="DH42" s="29" t="str">
        <f>IFERROR(INDEX($R$70:$R$83,MATCH(3,$DB$70:$DB$83,0)),"")</f>
        <v>Midweight Designer</v>
      </c>
      <c r="DI42" s="29">
        <f>IFERROR(INDEX($Z$70:$Z$83,MATCH(3,$DC$70:$DC$83,0)),DI41)</f>
        <v>0.7</v>
      </c>
      <c r="DJ42" s="29">
        <f>IFERROR(INDEX($AB$70:$AB$83,MATCH(3,$DC$70:$DC$83,0)),"")</f>
        <v>0.78011204481792717</v>
      </c>
      <c r="DK42" s="29">
        <f>IFERROR(SQRT(INDEX($AK$70:$AK$83,MATCH(3,$DC$70:$DC$83,0)))/80,"")</f>
        <v>8.3441596341393183</v>
      </c>
      <c r="DL42" s="29" t="str">
        <f>IFERROR(INDEX($R$70:$R$83,MATCH(3,$DC$70:$DC$83,0)),"")</f>
        <v>Junior Designer</v>
      </c>
      <c r="DM42" s="29">
        <f>IFERROR(INDEX($Z$70:$Z$83,MATCH(3,$DD$70:$DD$83,0)),DM41)</f>
        <v>0.6</v>
      </c>
      <c r="DN42" s="29" t="str">
        <f>IFERROR(INDEX($AB$70:$AB$83,MATCH(3,$DD$70:$DD$83,0)),"")</f>
        <v/>
      </c>
      <c r="DO42" s="29" t="str">
        <f>IFERROR(SQRT(INDEX($AK$70:$AK$83,MATCH(3,$DD$70:$DD$83,0)))/80,"")</f>
        <v/>
      </c>
      <c r="DP42" s="29" t="str">
        <f>IFERROR(INDEX($R$70:$R$83,MATCH(3,$DD$70:$DD$83,0)),"")</f>
        <v/>
      </c>
      <c r="DQ42" s="2"/>
      <c r="DR42" s="2"/>
      <c r="DS42" s="2"/>
      <c r="DT42" s="2"/>
      <c r="DU42" s="2"/>
      <c r="DV42" s="2"/>
      <c r="DW42" s="2"/>
      <c r="DX42" s="2"/>
      <c r="DY42" s="2"/>
      <c r="DZ42" s="2"/>
      <c r="EA42" s="2"/>
      <c r="EB42" s="2"/>
      <c r="EC42" s="56"/>
      <c r="ED42" s="56"/>
      <c r="EE42" s="56"/>
      <c r="EF42" s="2"/>
      <c r="EG42" s="2"/>
      <c r="EH42" s="2"/>
      <c r="EI42" s="2"/>
      <c r="EJ42" s="2"/>
      <c r="EK42" s="2"/>
      <c r="EL42" s="2"/>
      <c r="EM42" s="2"/>
      <c r="EN42" s="2"/>
      <c r="EO42" s="2"/>
      <c r="EP42" s="2"/>
      <c r="EQ42" s="2"/>
      <c r="ER42" s="2"/>
      <c r="ES42" s="2"/>
      <c r="ET42" s="29">
        <f t="shared" si="0"/>
        <v>0.76</v>
      </c>
      <c r="EU42" s="29">
        <f t="shared" si="0"/>
        <v>0.90990712074303404</v>
      </c>
      <c r="EV42" s="29">
        <f t="shared" si="0"/>
        <v>13.553136168429798</v>
      </c>
      <c r="EW42" s="29">
        <f t="shared" si="1"/>
        <v>0.7</v>
      </c>
      <c r="EX42" s="29">
        <f t="shared" si="1"/>
        <v>0.78011204481792717</v>
      </c>
      <c r="EY42" s="29">
        <f t="shared" si="1"/>
        <v>8.3441596341393183</v>
      </c>
      <c r="EZ42" s="29">
        <f t="shared" si="2"/>
        <v>0.6</v>
      </c>
      <c r="FA42" s="29" t="str">
        <f t="shared" si="2"/>
        <v/>
      </c>
      <c r="FB42" s="29" t="str">
        <f t="shared" si="2"/>
        <v/>
      </c>
    </row>
    <row r="43" spans="1:158" x14ac:dyDescent="0.2">
      <c r="A43" s="1"/>
      <c r="B43" s="1"/>
      <c r="C43" s="1"/>
      <c r="D43" s="1"/>
      <c r="E43" s="1"/>
      <c r="F43" s="1"/>
      <c r="G43" s="1"/>
      <c r="H43" s="1"/>
      <c r="I43" s="1"/>
      <c r="J43" s="1"/>
      <c r="K43" s="1"/>
      <c r="L43" s="1"/>
      <c r="M43" s="1"/>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9">
        <f>IFERROR(INDEX($Z$70:$Z$83,MATCH(4,$DB$70:$DB$83,0)),DE42)</f>
        <v>0.68</v>
      </c>
      <c r="DF43" s="29">
        <f>IFERROR(INDEX($AB$70:$AB$83,MATCH(4,$DB$70:$DB$83,0)),"")</f>
        <v>0.93974844839896743</v>
      </c>
      <c r="DG43" s="29">
        <f>IFERROR(SQRT(INDEX($AK$70:$AK$83,MATCH(4,$DB$70:$DB$83,0)))/80,"")</f>
        <v>10.34105893997322</v>
      </c>
      <c r="DH43" s="29" t="str">
        <f>IFERROR(INDEX($R$70:$R$83,MATCH(4,$DB$70:$DB$83,0)),"")</f>
        <v>Digital Strategist</v>
      </c>
      <c r="DI43" s="29">
        <f>IFERROR(INDEX($Z$70:$Z$83,MATCH(4,$DC$70:$DC$83,0)),DI42)</f>
        <v>0.66</v>
      </c>
      <c r="DJ43" s="29">
        <f>IFERROR(INDEX($AB$70:$AB$83,MATCH(4,$DC$70:$DC$83,0)),"")</f>
        <v>0.81996434937611418</v>
      </c>
      <c r="DK43" s="29">
        <f>IFERROR(SQRT(INDEX($AK$70:$AK$83,MATCH(4,$DC$70:$DC$83,0)))/80,"")</f>
        <v>7.952986860293433</v>
      </c>
      <c r="DL43" s="29" t="str">
        <f>IFERROR(INDEX($R$70:$R$83,MATCH(4,$DC$70:$DC$83,0)),"")</f>
        <v>Account Executive</v>
      </c>
      <c r="DM43" s="29">
        <f>IFERROR(INDEX($Z$70:$Z$83,MATCH(4,$DD$70:$DD$83,0)),DM42)</f>
        <v>0.6</v>
      </c>
      <c r="DN43" s="29" t="str">
        <f>IFERROR(INDEX($AB$70:$AB$83,MATCH(4,$DD$70:$DD$83,0)),"")</f>
        <v/>
      </c>
      <c r="DO43" s="29" t="str">
        <f>IFERROR(SQRT(INDEX($AK$70:$AK$83,MATCH(4,$DD$70:$DD$83,0)))/80,"")</f>
        <v/>
      </c>
      <c r="DP43" s="29" t="str">
        <f>IFERROR(INDEX($R$70:$R$83,MATCH(4,$DD$70:$DD$83,0)),"")</f>
        <v/>
      </c>
      <c r="DQ43" s="2"/>
      <c r="DR43" s="2"/>
      <c r="DS43" s="2"/>
      <c r="DT43" s="2"/>
      <c r="DU43" s="2"/>
      <c r="DV43" s="2"/>
      <c r="DW43" s="2"/>
      <c r="DX43" s="2"/>
      <c r="DY43" s="2"/>
      <c r="DZ43" s="2"/>
      <c r="EA43" s="2"/>
      <c r="EB43" s="2"/>
      <c r="EC43" s="56"/>
      <c r="ED43" s="56"/>
      <c r="EE43" s="56"/>
      <c r="EF43" s="2"/>
      <c r="EG43" s="2"/>
      <c r="EH43" s="2"/>
      <c r="EI43" s="2"/>
      <c r="EJ43" s="2"/>
      <c r="EK43" s="2"/>
      <c r="EL43" s="2"/>
      <c r="EM43" s="2"/>
      <c r="EN43" s="2"/>
      <c r="EO43" s="2"/>
      <c r="EP43" s="2"/>
      <c r="EQ43" s="2"/>
      <c r="ER43" s="2"/>
      <c r="ES43" s="2"/>
      <c r="ET43" s="29">
        <f t="shared" si="0"/>
        <v>0.68</v>
      </c>
      <c r="EU43" s="29">
        <f t="shared" si="0"/>
        <v>0.93974844839896743</v>
      </c>
      <c r="EV43" s="29">
        <f t="shared" si="0"/>
        <v>10.34105893997322</v>
      </c>
      <c r="EW43" s="29">
        <f t="shared" si="1"/>
        <v>0.66</v>
      </c>
      <c r="EX43" s="29">
        <f t="shared" si="1"/>
        <v>0.81996434937611418</v>
      </c>
      <c r="EY43" s="29">
        <f t="shared" si="1"/>
        <v>7.952986860293433</v>
      </c>
      <c r="EZ43" s="29">
        <f t="shared" si="2"/>
        <v>0.6</v>
      </c>
      <c r="FA43" s="29" t="str">
        <f t="shared" si="2"/>
        <v/>
      </c>
      <c r="FB43" s="29" t="str">
        <f t="shared" si="2"/>
        <v/>
      </c>
    </row>
    <row r="44" spans="1:158" x14ac:dyDescent="0.2">
      <c r="A44" s="1"/>
      <c r="B44" s="1"/>
      <c r="C44" s="1"/>
      <c r="D44" s="1"/>
      <c r="E44" s="1"/>
      <c r="F44" s="1"/>
      <c r="G44" s="1"/>
      <c r="H44" s="1"/>
      <c r="I44" s="1"/>
      <c r="J44" s="1"/>
      <c r="K44" s="1"/>
      <c r="L44" s="1"/>
      <c r="M44" s="1"/>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9">
        <f>IFERROR(INDEX($Z$70:$Z$83,MATCH(5,$DB$70:$DB$83,0)),DE43)</f>
        <v>0.74</v>
      </c>
      <c r="DF44" s="29">
        <f>IFERROR(INDEX($AB$70:$AB$83,MATCH(5,$DB$70:$DB$83,0)),"")</f>
        <v>0.97011777684046596</v>
      </c>
      <c r="DG44" s="29">
        <f>IFERROR(SQRT(INDEX($AK$70:$AK$83,MATCH(5,$DB$70:$DB$83,0)))/80,"")</f>
        <v>13.670223114492316</v>
      </c>
      <c r="DH44" s="29" t="str">
        <f>IFERROR(INDEX($R$70:$R$83,MATCH(5,$DB$70:$DB$83,0)),"")</f>
        <v>Developer</v>
      </c>
      <c r="DI44" s="29">
        <f>IFERROR(INDEX($Z$70:$Z$83,MATCH(5,$DC$70:$DC$83,0)),DI43)</f>
        <v>0.66</v>
      </c>
      <c r="DJ44" s="29" t="str">
        <f>IFERROR(INDEX($AB$70:$AB$83,MATCH(5,$DC$70:$DC$83,0)),"")</f>
        <v/>
      </c>
      <c r="DK44" s="29" t="str">
        <f>IFERROR(SQRT(INDEX($AK$70:$AK$83,MATCH(5,$DC$70:$DC$83,0)))/80,"")</f>
        <v/>
      </c>
      <c r="DL44" s="29" t="str">
        <f>IFERROR(INDEX($R$70:$R$83,MATCH(5,$DC$70:$DC$83,0)),"")</f>
        <v/>
      </c>
      <c r="DM44" s="29">
        <f>IFERROR(INDEX($Z$70:$Z$83,MATCH(5,$DD$70:$DD$83,0)),DM43)</f>
        <v>0.6</v>
      </c>
      <c r="DN44" s="29" t="str">
        <f>IFERROR(INDEX($AB$70:$AB$83,MATCH(5,$DD$70:$DD$83,0)),"")</f>
        <v/>
      </c>
      <c r="DO44" s="29" t="str">
        <f>IFERROR(SQRT(INDEX($AK$70:$AK$83,MATCH(5,$DD$70:$DD$83,0)))/80,"")</f>
        <v/>
      </c>
      <c r="DP44" s="29" t="str">
        <f>IFERROR(INDEX($R$70:$R$83,MATCH(5,$DD$70:$DD$83,0)),"")</f>
        <v/>
      </c>
      <c r="DQ44" s="2"/>
      <c r="DR44" s="2"/>
      <c r="DS44" s="2"/>
      <c r="DT44" s="2"/>
      <c r="DU44" s="2"/>
      <c r="DV44" s="2"/>
      <c r="DW44" s="2"/>
      <c r="DX44" s="2"/>
      <c r="DY44" s="2"/>
      <c r="DZ44" s="2"/>
      <c r="EA44" s="2"/>
      <c r="EB44" s="2"/>
      <c r="EC44" s="56"/>
      <c r="ED44" s="56"/>
      <c r="EE44" s="56"/>
      <c r="EF44" s="2"/>
      <c r="EG44" s="2"/>
      <c r="EH44" s="2"/>
      <c r="EI44" s="2"/>
      <c r="EJ44" s="2"/>
      <c r="EK44" s="2"/>
      <c r="EL44" s="2"/>
      <c r="EM44" s="2"/>
      <c r="EN44" s="2"/>
      <c r="EO44" s="2"/>
      <c r="EP44" s="2"/>
      <c r="EQ44" s="2"/>
      <c r="ER44" s="2"/>
      <c r="ES44" s="2"/>
      <c r="ET44" s="29">
        <f t="shared" si="0"/>
        <v>0.74</v>
      </c>
      <c r="EU44" s="29">
        <f t="shared" si="0"/>
        <v>0.97011777684046596</v>
      </c>
      <c r="EV44" s="29">
        <f t="shared" si="0"/>
        <v>13.670223114492316</v>
      </c>
      <c r="EW44" s="29">
        <f t="shared" si="1"/>
        <v>0.66</v>
      </c>
      <c r="EX44" s="29" t="str">
        <f t="shared" si="1"/>
        <v/>
      </c>
      <c r="EY44" s="29" t="str">
        <f t="shared" si="1"/>
        <v/>
      </c>
      <c r="EZ44" s="29">
        <f t="shared" si="2"/>
        <v>0.6</v>
      </c>
      <c r="FA44" s="29" t="str">
        <f t="shared" si="2"/>
        <v/>
      </c>
      <c r="FB44" s="29" t="str">
        <f t="shared" si="2"/>
        <v/>
      </c>
    </row>
    <row r="45" spans="1:158" x14ac:dyDescent="0.2">
      <c r="A45" s="1"/>
      <c r="B45" s="1"/>
      <c r="C45" s="1"/>
      <c r="D45" s="1"/>
      <c r="E45" s="1"/>
      <c r="F45" s="1"/>
      <c r="G45" s="1"/>
      <c r="H45" s="1"/>
      <c r="I45" s="1"/>
      <c r="J45" s="1"/>
      <c r="K45" s="1"/>
      <c r="L45" s="1"/>
      <c r="M45" s="1"/>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9">
        <f>IFERROR(INDEX($Z$70:$Z$83,MATCH(6,$DB$70:$DB$83,0)),DE44)</f>
        <v>0.74</v>
      </c>
      <c r="DF45" s="29" t="str">
        <f>IFERROR(INDEX($AB$70:$AB$83,MATCH(6,$DB$70:$DB$83,0)),"")</f>
        <v/>
      </c>
      <c r="DG45" s="29" t="str">
        <f>IFERROR(SQRT(INDEX($AK$70:$AK$83,MATCH(6,$DB$70:$DB$83,0)))/80,"")</f>
        <v/>
      </c>
      <c r="DH45" s="29" t="str">
        <f>IFERROR(INDEX($R$70:$R$83,MATCH(6,$DB$70:$DB$83,0)),"")</f>
        <v/>
      </c>
      <c r="DI45" s="29">
        <f>IFERROR(INDEX($Z$70:$Z$83,MATCH(6,$DC$70:$DC$83,0)),DI44)</f>
        <v>0.66</v>
      </c>
      <c r="DJ45" s="29" t="str">
        <f>IFERROR(INDEX($AB$70:$AB$83,MATCH(6,$DC$70:$DC$83,0)),"")</f>
        <v/>
      </c>
      <c r="DK45" s="29" t="str">
        <f>IFERROR(SQRT(INDEX($AK$70:$AK$83,MATCH(6,$DC$70:$DC$83,0)))/80,"")</f>
        <v/>
      </c>
      <c r="DL45" s="29" t="str">
        <f>IFERROR(INDEX($R$70:$R$83,MATCH(6,$DC$70:$DC$83,0)),"")</f>
        <v/>
      </c>
      <c r="DM45" s="29">
        <f>IFERROR(INDEX($Z$70:$Z$83,MATCH(6,$DD$70:$DD$83,0)),DM44)</f>
        <v>0.6</v>
      </c>
      <c r="DN45" s="29" t="str">
        <f>IFERROR(INDEX($AB$70:$AB$83,MATCH(6,$DD$70:$DD$83,0)),"")</f>
        <v/>
      </c>
      <c r="DO45" s="29" t="str">
        <f>IFERROR(SQRT(INDEX($AK$70:$AK$83,MATCH(6,$DD$70:$DD$83,0)))/80,"")</f>
        <v/>
      </c>
      <c r="DP45" s="29" t="str">
        <f>IFERROR(INDEX($R$70:$R$83,MATCH(6,$DD$70:$DD$83,0)),"")</f>
        <v/>
      </c>
      <c r="DQ45" s="2"/>
      <c r="DR45" s="2"/>
      <c r="DS45" s="2"/>
      <c r="DT45" s="2"/>
      <c r="DU45" s="2"/>
      <c r="DV45" s="2"/>
      <c r="DW45" s="2"/>
      <c r="DX45" s="2"/>
      <c r="DY45" s="2"/>
      <c r="DZ45" s="2"/>
      <c r="EA45" s="2"/>
      <c r="EB45" s="2"/>
      <c r="EC45" s="56"/>
      <c r="ED45" s="56"/>
      <c r="EE45" s="56"/>
      <c r="EF45" s="2"/>
      <c r="EG45" s="2"/>
      <c r="EH45" s="2"/>
      <c r="EI45" s="2"/>
      <c r="EJ45" s="2"/>
      <c r="EK45" s="2"/>
      <c r="EL45" s="2"/>
      <c r="EM45" s="2"/>
      <c r="EN45" s="2"/>
      <c r="EO45" s="2"/>
      <c r="EP45" s="2"/>
      <c r="EQ45" s="2"/>
      <c r="ER45" s="2"/>
      <c r="ES45" s="2"/>
      <c r="ET45" s="29">
        <f t="shared" si="0"/>
        <v>0.74</v>
      </c>
      <c r="EU45" s="29" t="str">
        <f t="shared" si="0"/>
        <v/>
      </c>
      <c r="EV45" s="29" t="str">
        <f t="shared" si="0"/>
        <v/>
      </c>
      <c r="EW45" s="29">
        <f t="shared" si="1"/>
        <v>0.66</v>
      </c>
      <c r="EX45" s="29" t="str">
        <f t="shared" si="1"/>
        <v/>
      </c>
      <c r="EY45" s="29" t="str">
        <f t="shared" si="1"/>
        <v/>
      </c>
      <c r="EZ45" s="29">
        <f t="shared" si="2"/>
        <v>0.6</v>
      </c>
      <c r="FA45" s="29" t="str">
        <f t="shared" si="2"/>
        <v/>
      </c>
      <c r="FB45" s="29" t="str">
        <f t="shared" si="2"/>
        <v/>
      </c>
    </row>
    <row r="46" spans="1:158" x14ac:dyDescent="0.2">
      <c r="A46" s="1"/>
      <c r="B46" s="1"/>
      <c r="C46" s="1"/>
      <c r="D46" s="1"/>
      <c r="E46" s="1"/>
      <c r="F46" s="1"/>
      <c r="G46" s="1"/>
      <c r="H46" s="1"/>
      <c r="I46" s="1"/>
      <c r="J46" s="1"/>
      <c r="K46" s="1"/>
      <c r="L46" s="1"/>
      <c r="M46" s="1"/>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9">
        <f>IFERROR(INDEX($Z$70:$Z$83,MATCH(7,$DB$70:$DB$83,0)),DE45)</f>
        <v>0.74</v>
      </c>
      <c r="DF46" s="29" t="str">
        <f>IFERROR(INDEX($AB$70:$AB$83,MATCH(7,$DB$70:$DB$83,0)),"")</f>
        <v/>
      </c>
      <c r="DG46" s="29" t="str">
        <f>IFERROR(SQRT(INDEX($AK$70:$AK$83,MATCH(7,$DB$70:$DB$83,0)))/80,"")</f>
        <v/>
      </c>
      <c r="DH46" s="29" t="str">
        <f>IFERROR(INDEX($R$70:$R$83,MATCH(7,$DB$70:$DB$83,0)),"")</f>
        <v/>
      </c>
      <c r="DI46" s="29">
        <f>IFERROR(INDEX($Z$70:$Z$83,MATCH(7,$DC$70:$DC$83,0)),DI45)</f>
        <v>0.66</v>
      </c>
      <c r="DJ46" s="29" t="str">
        <f>IFERROR(INDEX($AB$70:$AB$83,MATCH(7,$DC$70:$DC$83,0)),"")</f>
        <v/>
      </c>
      <c r="DK46" s="29" t="str">
        <f>IFERROR(SQRT(INDEX($AK$70:$AK$83,MATCH(7,$DC$70:$DC$83,0)))/80,"")</f>
        <v/>
      </c>
      <c r="DL46" s="29" t="str">
        <f>IFERROR(INDEX($R$70:$R$83,MATCH(7,$DC$70:$DC$83,0)),"")</f>
        <v/>
      </c>
      <c r="DM46" s="29">
        <f>IFERROR(INDEX($Z$70:$Z$83,MATCH(7,$DD$70:$DD$83,0)),DM45)</f>
        <v>0.6</v>
      </c>
      <c r="DN46" s="29" t="str">
        <f>IFERROR(INDEX($AB$70:$AB$83,MATCH(7,$DD$70:$DD$83,0)),"")</f>
        <v/>
      </c>
      <c r="DO46" s="29" t="str">
        <f>IFERROR(SQRT(INDEX($AK$70:$AK$83,MATCH(7,$DD$70:$DD$83,0)))/80,"")</f>
        <v/>
      </c>
      <c r="DP46" s="29" t="str">
        <f>IFERROR(INDEX($R$70:$R$83,MATCH(7,$DD$70:$DD$83,0)),"")</f>
        <v/>
      </c>
      <c r="DQ46" s="2"/>
      <c r="DR46" s="2"/>
      <c r="DS46" s="2"/>
      <c r="DT46" s="2"/>
      <c r="DU46" s="2"/>
      <c r="DV46" s="2"/>
      <c r="DW46" s="2"/>
      <c r="DX46" s="2"/>
      <c r="DY46" s="2"/>
      <c r="DZ46" s="2"/>
      <c r="EA46" s="2"/>
      <c r="EB46" s="2"/>
      <c r="EC46" s="56"/>
      <c r="ED46" s="56"/>
      <c r="EE46" s="56"/>
      <c r="EF46" s="2"/>
      <c r="EG46" s="2"/>
      <c r="EH46" s="2"/>
      <c r="EI46" s="2"/>
      <c r="EJ46" s="2"/>
      <c r="EK46" s="2"/>
      <c r="EL46" s="2"/>
      <c r="EM46" s="2"/>
      <c r="EN46" s="2"/>
      <c r="EO46" s="2"/>
      <c r="EP46" s="2"/>
      <c r="EQ46" s="2"/>
      <c r="ER46" s="2"/>
      <c r="ES46" s="2"/>
      <c r="ET46" s="29">
        <f t="shared" si="0"/>
        <v>0.74</v>
      </c>
      <c r="EU46" s="29" t="str">
        <f t="shared" si="0"/>
        <v/>
      </c>
      <c r="EV46" s="29" t="str">
        <f t="shared" si="0"/>
        <v/>
      </c>
      <c r="EW46" s="29">
        <f t="shared" si="1"/>
        <v>0.66</v>
      </c>
      <c r="EX46" s="29" t="str">
        <f t="shared" si="1"/>
        <v/>
      </c>
      <c r="EY46" s="29" t="str">
        <f t="shared" si="1"/>
        <v/>
      </c>
      <c r="EZ46" s="29">
        <f t="shared" si="2"/>
        <v>0.6</v>
      </c>
      <c r="FA46" s="29" t="str">
        <f t="shared" si="2"/>
        <v/>
      </c>
      <c r="FB46" s="29" t="str">
        <f t="shared" si="2"/>
        <v/>
      </c>
    </row>
    <row r="47" spans="1:158" x14ac:dyDescent="0.2">
      <c r="A47" s="1"/>
      <c r="B47" s="1"/>
      <c r="C47" s="1"/>
      <c r="D47" s="1"/>
      <c r="E47" s="1"/>
      <c r="F47" s="1"/>
      <c r="G47" s="1"/>
      <c r="H47" s="1"/>
      <c r="I47" s="1"/>
      <c r="J47" s="1"/>
      <c r="K47" s="1"/>
      <c r="L47" s="1"/>
      <c r="M47" s="1"/>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9">
        <f>IFERROR(INDEX($Z$70:$Z$83,MATCH(8,$DB$70:$DB$83,0)),DE46)</f>
        <v>0.74</v>
      </c>
      <c r="DF47" s="29" t="str">
        <f>IFERROR(INDEX($AB$70:$AB$83,MATCH(8,$DB$70:$DB$83,0)),"")</f>
        <v/>
      </c>
      <c r="DG47" s="29" t="str">
        <f>IFERROR(SQRT(INDEX($AK$70:$AK$83,MATCH(8,$DB$70:$DB$83,0)))/80,"")</f>
        <v/>
      </c>
      <c r="DH47" s="29" t="str">
        <f>IFERROR(INDEX($R$70:$R$83,MATCH(8,$DB$70:$DB$83,0)),"")</f>
        <v/>
      </c>
      <c r="DI47" s="29">
        <f>IFERROR(INDEX($Z$70:$Z$83,MATCH(8,$DC$70:$DC$83,0)),DI46)</f>
        <v>0.66</v>
      </c>
      <c r="DJ47" s="29" t="str">
        <f>IFERROR(INDEX($AB$70:$AB$83,MATCH(8,$DC$70:$DC$83,0)),"")</f>
        <v/>
      </c>
      <c r="DK47" s="29" t="str">
        <f>IFERROR(SQRT(INDEX($AK$70:$AK$83,MATCH(8,$DC$70:$DC$83,0)))/80,"")</f>
        <v/>
      </c>
      <c r="DL47" s="29" t="str">
        <f>IFERROR(INDEX($R$70:$R$83,MATCH(8,$DC$70:$DC$83,0)),"")</f>
        <v/>
      </c>
      <c r="DM47" s="29">
        <f>IFERROR(INDEX($Z$70:$Z$83,MATCH(8,$DD$70:$DD$83,0)),DM46)</f>
        <v>0.6</v>
      </c>
      <c r="DN47" s="29" t="str">
        <f>IFERROR(INDEX($AB$70:$AB$83,MATCH(8,$DD$70:$DD$83,0)),"")</f>
        <v/>
      </c>
      <c r="DO47" s="29" t="str">
        <f>IFERROR(SQRT(INDEX($AK$70:$AK$83,MATCH(8,$DD$70:$DD$83,0)))/80,"")</f>
        <v/>
      </c>
      <c r="DP47" s="29" t="str">
        <f>IFERROR(INDEX($R$70:$R$83,MATCH(8,$DD$70:$DD$83,0)),"")</f>
        <v/>
      </c>
      <c r="DQ47" s="2"/>
      <c r="DR47" s="2"/>
      <c r="DS47" s="2"/>
      <c r="DT47" s="2"/>
      <c r="DU47" s="2"/>
      <c r="DV47" s="2"/>
      <c r="DW47" s="2"/>
      <c r="DX47" s="2"/>
      <c r="DY47" s="2"/>
      <c r="DZ47" s="2"/>
      <c r="EA47" s="2"/>
      <c r="EB47" s="2"/>
      <c r="EC47" s="56"/>
      <c r="ED47" s="56"/>
      <c r="EE47" s="56"/>
      <c r="EF47" s="2"/>
      <c r="EG47" s="2"/>
      <c r="EH47" s="2"/>
      <c r="EI47" s="2"/>
      <c r="EJ47" s="2"/>
      <c r="EK47" s="2"/>
      <c r="EL47" s="2"/>
      <c r="EM47" s="2"/>
      <c r="EN47" s="2"/>
      <c r="EO47" s="2"/>
      <c r="EP47" s="2"/>
      <c r="EQ47" s="2"/>
      <c r="ER47" s="2"/>
      <c r="ES47" s="2"/>
      <c r="ET47" s="29">
        <f t="shared" si="0"/>
        <v>0.74</v>
      </c>
      <c r="EU47" s="29" t="str">
        <f t="shared" si="0"/>
        <v/>
      </c>
      <c r="EV47" s="29" t="str">
        <f t="shared" si="0"/>
        <v/>
      </c>
      <c r="EW47" s="29">
        <f t="shared" si="1"/>
        <v>0.66</v>
      </c>
      <c r="EX47" s="29" t="str">
        <f t="shared" si="1"/>
        <v/>
      </c>
      <c r="EY47" s="29" t="str">
        <f t="shared" si="1"/>
        <v/>
      </c>
      <c r="EZ47" s="29">
        <f t="shared" si="2"/>
        <v>0.6</v>
      </c>
      <c r="FA47" s="29" t="str">
        <f t="shared" si="2"/>
        <v/>
      </c>
      <c r="FB47" s="29" t="str">
        <f t="shared" si="2"/>
        <v/>
      </c>
    </row>
    <row r="48" spans="1:158" ht="16" customHeight="1" x14ac:dyDescent="0.2">
      <c r="A48" s="1"/>
      <c r="B48" s="1"/>
      <c r="C48" s="1"/>
      <c r="D48" s="1"/>
      <c r="E48" s="1"/>
      <c r="F48" s="1"/>
      <c r="G48" s="1"/>
      <c r="H48" s="1"/>
      <c r="I48" s="1"/>
      <c r="J48" s="1"/>
      <c r="K48" s="1"/>
      <c r="L48" s="1"/>
      <c r="M48" s="1"/>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9">
        <f>IFERROR(INDEX($Z$70:$Z$83,MATCH(9,$DB$70:$DB$83,0)),DE47)</f>
        <v>0.74</v>
      </c>
      <c r="DF48" s="29" t="str">
        <f>IFERROR(INDEX($AB$70:$AB$83,MATCH(9,$DB$70:$DB$83,0)),"")</f>
        <v/>
      </c>
      <c r="DG48" s="29" t="str">
        <f>IFERROR(SQRT(INDEX($AK$70:$AK$83,MATCH(9,$DB$70:$DB$83,0)))/80,"")</f>
        <v/>
      </c>
      <c r="DH48" s="29" t="str">
        <f>IFERROR(INDEX($R$70:$R$83,MATCH(9,$DB$70:$DB$83,0)),"")</f>
        <v/>
      </c>
      <c r="DI48" s="29">
        <f>IFERROR(INDEX($Z$70:$Z$83,MATCH(9,$DC$70:$DC$83,0)),DI47)</f>
        <v>0.66</v>
      </c>
      <c r="DJ48" s="29" t="str">
        <f>IFERROR(INDEX($AB$70:$AB$83,MATCH(9,$DC$70:$DC$83,0)),"")</f>
        <v/>
      </c>
      <c r="DK48" s="29" t="str">
        <f>IFERROR(SQRT(INDEX($AK$70:$AK$83,MATCH(9,$DC$70:$DC$83,0)))/80,"")</f>
        <v/>
      </c>
      <c r="DL48" s="29" t="str">
        <f>IFERROR(INDEX($R$70:$R$83,MATCH(9,$DC$70:$DC$83,0)),"")</f>
        <v/>
      </c>
      <c r="DM48" s="29">
        <f>IFERROR(INDEX($Z$70:$Z$83,MATCH(9,$DD$70:$DD$83,0)),DM47)</f>
        <v>0.6</v>
      </c>
      <c r="DN48" s="29" t="str">
        <f>IFERROR(INDEX($AB$70:$AB$83,MATCH(9,$DD$70:$DD$83,0)),"")</f>
        <v/>
      </c>
      <c r="DO48" s="29" t="str">
        <f>IFERROR(SQRT(INDEX($AK$70:$AK$83,MATCH(9,$DD$70:$DD$83,0)))/80,"")</f>
        <v/>
      </c>
      <c r="DP48" s="29" t="str">
        <f>IFERROR(INDEX($R$70:$R$83,MATCH(9,$DD$70:$DD$83,0)),"")</f>
        <v/>
      </c>
      <c r="DQ48" s="2"/>
      <c r="DR48" s="2"/>
      <c r="DS48" s="2"/>
      <c r="DT48" s="2"/>
      <c r="DU48" s="2"/>
      <c r="DV48" s="2"/>
      <c r="DW48" s="2"/>
      <c r="DX48" s="2"/>
      <c r="DY48" s="2"/>
      <c r="DZ48" s="2"/>
      <c r="EA48" s="2"/>
      <c r="EB48" s="2"/>
      <c r="EC48" s="56"/>
      <c r="ED48" s="56"/>
      <c r="EE48" s="56"/>
      <c r="EF48" s="2"/>
      <c r="EG48" s="2"/>
      <c r="EH48" s="2"/>
      <c r="EI48" s="2"/>
      <c r="EJ48" s="2"/>
      <c r="EK48" s="2"/>
      <c r="EL48" s="2"/>
      <c r="EM48" s="2"/>
      <c r="EN48" s="2"/>
      <c r="EO48" s="2"/>
      <c r="EP48" s="2"/>
      <c r="EQ48" s="2"/>
      <c r="ER48" s="2"/>
      <c r="ES48" s="2"/>
      <c r="ET48" s="29">
        <f t="shared" si="0"/>
        <v>0.74</v>
      </c>
      <c r="EU48" s="29" t="str">
        <f t="shared" si="0"/>
        <v/>
      </c>
      <c r="EV48" s="29" t="str">
        <f t="shared" si="0"/>
        <v/>
      </c>
      <c r="EW48" s="29">
        <f t="shared" si="1"/>
        <v>0.66</v>
      </c>
      <c r="EX48" s="29" t="str">
        <f t="shared" si="1"/>
        <v/>
      </c>
      <c r="EY48" s="29" t="str">
        <f t="shared" si="1"/>
        <v/>
      </c>
      <c r="EZ48" s="29">
        <f t="shared" si="2"/>
        <v>0.6</v>
      </c>
      <c r="FA48" s="29" t="str">
        <f t="shared" si="2"/>
        <v/>
      </c>
      <c r="FB48" s="29" t="str">
        <f t="shared" si="2"/>
        <v/>
      </c>
    </row>
    <row r="49" spans="1:158" ht="20" customHeight="1" x14ac:dyDescent="0.2">
      <c r="A49" s="1"/>
      <c r="B49" s="1"/>
      <c r="C49" s="1"/>
      <c r="D49" s="1"/>
      <c r="E49" s="1"/>
      <c r="F49" s="1"/>
      <c r="G49" s="1"/>
      <c r="H49" s="1"/>
      <c r="I49" s="1"/>
      <c r="J49" s="1"/>
      <c r="K49" s="1"/>
      <c r="L49" s="1"/>
      <c r="M49" s="1"/>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9">
        <f>IFERROR(INDEX($Z$70:$Z$83,MATCH(10,$DB$70:$DB$83,0)),DE48)</f>
        <v>0.74</v>
      </c>
      <c r="DF49" s="29" t="str">
        <f>IFERROR(INDEX($AB$70:$AB$83,MATCH(10,$DB$70:$DB$83,0)),"")</f>
        <v/>
      </c>
      <c r="DG49" s="29" t="str">
        <f>IFERROR(SQRT(INDEX($AK$70:$AK$83,MATCH(10,$DB$70:$DB$83,0)))/80,"")</f>
        <v/>
      </c>
      <c r="DH49" s="29" t="str">
        <f>IFERROR(INDEX($R$70:$R$83,MATCH(10,$DB$70:$DB$83,0)),"")</f>
        <v/>
      </c>
      <c r="DI49" s="29">
        <f>IFERROR(INDEX($Z$70:$Z$83,MATCH(10,$DC$70:$DC$83,0)),DI48)</f>
        <v>0.66</v>
      </c>
      <c r="DJ49" s="29" t="str">
        <f>IFERROR(INDEX($AB$70:$AB$83,MATCH(10,$DC$70:$DC$83,0)),"")</f>
        <v/>
      </c>
      <c r="DK49" s="29" t="str">
        <f>IFERROR(SQRT(INDEX($AK$70:$AK$83,MATCH(10,$DC$70:$DC$83,0)))/80,"")</f>
        <v/>
      </c>
      <c r="DL49" s="29" t="str">
        <f>IFERROR(INDEX($R$70:$R$83,MATCH(10,$DC$70:$DC$83,0)),"")</f>
        <v/>
      </c>
      <c r="DM49" s="29">
        <f>IFERROR(INDEX($Z$70:$Z$83,MATCH(10,$DD$70:$DD$83,0)),DM48)</f>
        <v>0.6</v>
      </c>
      <c r="DN49" s="29" t="str">
        <f>IFERROR(INDEX($AB$70:$AB$83,MATCH(10,$DD$70:$DD$83,0)),"")</f>
        <v/>
      </c>
      <c r="DO49" s="29" t="str">
        <f>IFERROR(SQRT(INDEX($AK$70:$AK$83,MATCH(10,$DD$70:$DD$83,0)))/80,"")</f>
        <v/>
      </c>
      <c r="DP49" s="29" t="str">
        <f>IFERROR(INDEX($R$70:$R$83,MATCH(10,$DD$70:$DD$83,0)),"")</f>
        <v/>
      </c>
      <c r="DQ49" s="2"/>
      <c r="DR49" s="2"/>
      <c r="DS49" s="2"/>
      <c r="DT49" s="2"/>
      <c r="DU49" s="2"/>
      <c r="DV49" s="2"/>
      <c r="DW49" s="2"/>
      <c r="DX49" s="2"/>
      <c r="DY49" s="2"/>
      <c r="DZ49" s="2"/>
      <c r="EA49" s="2"/>
      <c r="EB49" s="2"/>
      <c r="EC49" s="56"/>
      <c r="ED49" s="56"/>
      <c r="EE49" s="56"/>
      <c r="EF49" s="2"/>
      <c r="EG49" s="2"/>
      <c r="EH49" s="2"/>
      <c r="EI49" s="2"/>
      <c r="EJ49" s="2"/>
      <c r="EK49" s="2"/>
      <c r="EL49" s="2"/>
      <c r="EM49" s="2"/>
      <c r="EN49" s="2"/>
      <c r="EO49" s="2"/>
      <c r="EP49" s="2"/>
      <c r="EQ49" s="2"/>
      <c r="ER49" s="2"/>
      <c r="ES49" s="2"/>
      <c r="ET49" s="29">
        <f t="shared" si="0"/>
        <v>0.74</v>
      </c>
      <c r="EU49" s="29" t="str">
        <f t="shared" si="0"/>
        <v/>
      </c>
      <c r="EV49" s="29" t="str">
        <f t="shared" si="0"/>
        <v/>
      </c>
      <c r="EW49" s="29">
        <f t="shared" si="1"/>
        <v>0.66</v>
      </c>
      <c r="EX49" s="29" t="str">
        <f t="shared" si="1"/>
        <v/>
      </c>
      <c r="EY49" s="29" t="str">
        <f t="shared" si="1"/>
        <v/>
      </c>
      <c r="EZ49" s="29">
        <f t="shared" si="2"/>
        <v>0.6</v>
      </c>
      <c r="FA49" s="29" t="str">
        <f t="shared" si="2"/>
        <v/>
      </c>
      <c r="FB49" s="29" t="str">
        <f t="shared" si="2"/>
        <v/>
      </c>
    </row>
    <row r="50" spans="1:158" x14ac:dyDescent="0.2">
      <c r="A50" s="1"/>
      <c r="B50" s="1"/>
      <c r="C50" s="1"/>
      <c r="D50" s="1"/>
      <c r="E50" s="1"/>
      <c r="F50" s="1"/>
      <c r="G50" s="1"/>
      <c r="H50" s="1"/>
      <c r="I50" s="1"/>
      <c r="J50" s="1"/>
      <c r="K50" s="1"/>
      <c r="L50" s="1"/>
      <c r="M50" s="1"/>
      <c r="N50" s="1"/>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9">
        <f>IFERROR(INDEX($Z$70:$Z$83,MATCH(11,$DB$70:$DB$83,0)),DE49)</f>
        <v>0.74</v>
      </c>
      <c r="DF50" s="29" t="str">
        <f>IFERROR(INDEX($AB$70:$AB$83,MATCH(11,$DB$70:$DB$83,0)),"")</f>
        <v/>
      </c>
      <c r="DG50" s="29" t="str">
        <f>IFERROR(SQRT(INDEX($AK$70:$AK$83,MATCH(11,$DB$70:$DB$83,0)))/80,"")</f>
        <v/>
      </c>
      <c r="DH50" s="29" t="str">
        <f>IFERROR(INDEX($R$70:$R$83,MATCH(11,$DB$70:$DB$83,0)),"")</f>
        <v/>
      </c>
      <c r="DI50" s="29">
        <f>IFERROR(INDEX($Z$70:$Z$83,MATCH(11,$DC$70:$DC$83,0)),DI49)</f>
        <v>0.66</v>
      </c>
      <c r="DJ50" s="29" t="str">
        <f>IFERROR(INDEX($AB$70:$AB$83,MATCH(11,$DC$70:$DC$83,0)),"")</f>
        <v/>
      </c>
      <c r="DK50" s="29" t="str">
        <f>IFERROR(SQRT(INDEX($AK$70:$AK$83,MATCH(11,$DC$70:$DC$83,0)))/80,"")</f>
        <v/>
      </c>
      <c r="DL50" s="29" t="str">
        <f>IFERROR(INDEX($R$70:$R$83,MATCH(11,$DC$70:$DC$83,0)),"")</f>
        <v/>
      </c>
      <c r="DM50" s="29">
        <f>IFERROR(INDEX($Z$70:$Z$83,MATCH(11,$DD$70:$DD$83,0)),DM49)</f>
        <v>0.6</v>
      </c>
      <c r="DN50" s="29" t="str">
        <f>IFERROR(INDEX($AB$70:$AB$83,MATCH(11,$DD$70:$DD$83,0)),"")</f>
        <v/>
      </c>
      <c r="DO50" s="29" t="str">
        <f>IFERROR(SQRT(INDEX($AK$70:$AK$83,MATCH(11,$DD$70:$DD$83,0)))/80,"")</f>
        <v/>
      </c>
      <c r="DP50" s="29" t="str">
        <f>IFERROR(INDEX($R$70:$R$83,MATCH(11,$DD$70:$DD$83,0)),"")</f>
        <v/>
      </c>
      <c r="DQ50" s="2"/>
      <c r="DR50" s="2"/>
      <c r="DS50" s="2"/>
      <c r="DT50" s="2"/>
      <c r="DU50" s="2"/>
      <c r="DV50" s="2"/>
      <c r="DW50" s="2"/>
      <c r="DX50" s="2"/>
      <c r="DY50" s="2"/>
      <c r="DZ50" s="2"/>
      <c r="EA50" s="2"/>
      <c r="EB50" s="2"/>
      <c r="EC50" s="56"/>
      <c r="ED50" s="56"/>
      <c r="EE50" s="56"/>
      <c r="EF50" s="2"/>
      <c r="EG50" s="2"/>
      <c r="EH50" s="2"/>
      <c r="EI50" s="2"/>
      <c r="EJ50" s="2"/>
      <c r="EK50" s="2"/>
      <c r="EL50" s="2"/>
      <c r="EM50" s="2"/>
      <c r="EN50" s="2"/>
      <c r="EO50" s="2"/>
      <c r="EP50" s="2"/>
      <c r="EQ50" s="2"/>
      <c r="ER50" s="2"/>
      <c r="ES50" s="2"/>
      <c r="ET50" s="29">
        <f t="shared" si="0"/>
        <v>0.74</v>
      </c>
      <c r="EU50" s="29" t="str">
        <f t="shared" si="0"/>
        <v/>
      </c>
      <c r="EV50" s="29" t="str">
        <f t="shared" si="0"/>
        <v/>
      </c>
      <c r="EW50" s="29">
        <f t="shared" si="1"/>
        <v>0.66</v>
      </c>
      <c r="EX50" s="29" t="str">
        <f t="shared" si="1"/>
        <v/>
      </c>
      <c r="EY50" s="29" t="str">
        <f t="shared" si="1"/>
        <v/>
      </c>
      <c r="EZ50" s="29">
        <f t="shared" si="2"/>
        <v>0.6</v>
      </c>
      <c r="FA50" s="29" t="str">
        <f t="shared" si="2"/>
        <v/>
      </c>
      <c r="FB50" s="29" t="str">
        <f t="shared" si="2"/>
        <v/>
      </c>
    </row>
    <row r="51" spans="1:158" x14ac:dyDescent="0.2">
      <c r="A51" s="1"/>
      <c r="B51" s="1"/>
      <c r="C51" s="1"/>
      <c r="D51" s="1"/>
      <c r="E51" s="1"/>
      <c r="F51" s="1"/>
      <c r="G51" s="1"/>
      <c r="H51" s="1"/>
      <c r="I51" s="1"/>
      <c r="J51" s="1"/>
      <c r="K51" s="1"/>
      <c r="L51" s="1"/>
      <c r="M51" s="1"/>
      <c r="N51" s="1"/>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9">
        <f>IFERROR(INDEX($Z$70:$Z$83,MATCH(12,$DB$70:$DB$83,0)),DE50)</f>
        <v>0.74</v>
      </c>
      <c r="DF51" s="29" t="str">
        <f>IFERROR(INDEX($AB$70:$AB$83,MATCH(12,$DB$70:$DB$83,0)),"")</f>
        <v/>
      </c>
      <c r="DG51" s="29" t="str">
        <f>IFERROR(SQRT(INDEX($AK$70:$AK$83,MATCH(12,$DB$70:$DB$83,0)))/80,"")</f>
        <v/>
      </c>
      <c r="DH51" s="29" t="str">
        <f>IFERROR(INDEX($R$70:$R$83,MATCH(12,$DB$70:$DB$83,0)),"")</f>
        <v/>
      </c>
      <c r="DI51" s="29">
        <f>IFERROR(INDEX($Z$70:$Z$83,MATCH(12,$DC$70:$DC$83,0)),DI50)</f>
        <v>0.66</v>
      </c>
      <c r="DJ51" s="29" t="str">
        <f>IFERROR(INDEX($AB$70:$AB$83,MATCH(12,$DC$70:$DC$83,0)),"")</f>
        <v/>
      </c>
      <c r="DK51" s="29" t="str">
        <f>IFERROR(SQRT(INDEX($AK$70:$AK$83,MATCH(12,$DC$70:$DC$83,0)))/80,"")</f>
        <v/>
      </c>
      <c r="DL51" s="29" t="str">
        <f>IFERROR(INDEX($R$70:$R$83,MATCH(12,$DC$70:$DC$83,0)),"")</f>
        <v/>
      </c>
      <c r="DM51" s="29">
        <f>IFERROR(INDEX($Z$70:$Z$83,MATCH(12,$DD$70:$DD$83,0)),DM50)</f>
        <v>0.6</v>
      </c>
      <c r="DN51" s="29" t="str">
        <f>IFERROR(INDEX($AB$70:$AB$83,MATCH(12,$DD$70:$DD$83,0)),"")</f>
        <v/>
      </c>
      <c r="DO51" s="29" t="str">
        <f>IFERROR(SQRT(INDEX($AK$70:$AK$83,MATCH(12,$DD$70:$DD$83,0)))/80,"")</f>
        <v/>
      </c>
      <c r="DP51" s="29" t="str">
        <f>IFERROR(INDEX($R$70:$R$83,MATCH(12,$DD$70:$DD$83,0)),"")</f>
        <v/>
      </c>
      <c r="DQ51" s="2"/>
      <c r="DR51" s="2"/>
      <c r="DS51" s="2"/>
      <c r="DT51" s="2"/>
      <c r="DU51" s="2"/>
      <c r="DV51" s="2"/>
      <c r="DW51" s="2"/>
      <c r="DX51" s="2"/>
      <c r="DY51" s="2"/>
      <c r="DZ51" s="2"/>
      <c r="EA51" s="2"/>
      <c r="EB51" s="2"/>
      <c r="EC51" s="56"/>
      <c r="ED51" s="56"/>
      <c r="EE51" s="56"/>
      <c r="EF51" s="2"/>
      <c r="EG51" s="2"/>
      <c r="EH51" s="2"/>
      <c r="EI51" s="2"/>
      <c r="EJ51" s="2"/>
      <c r="EK51" s="2"/>
      <c r="EL51" s="2"/>
      <c r="EM51" s="2"/>
      <c r="EN51" s="2"/>
      <c r="EO51" s="2"/>
      <c r="EP51" s="2"/>
      <c r="EQ51" s="2"/>
      <c r="ER51" s="2"/>
      <c r="ES51" s="2"/>
      <c r="ET51" s="29">
        <f t="shared" si="0"/>
        <v>0.74</v>
      </c>
      <c r="EU51" s="29" t="str">
        <f t="shared" si="0"/>
        <v/>
      </c>
      <c r="EV51" s="29" t="str">
        <f t="shared" si="0"/>
        <v/>
      </c>
      <c r="EW51" s="29">
        <f t="shared" si="1"/>
        <v>0.66</v>
      </c>
      <c r="EX51" s="29" t="str">
        <f t="shared" si="1"/>
        <v/>
      </c>
      <c r="EY51" s="29" t="str">
        <f t="shared" si="1"/>
        <v/>
      </c>
      <c r="EZ51" s="29">
        <f t="shared" si="2"/>
        <v>0.6</v>
      </c>
      <c r="FA51" s="29" t="str">
        <f t="shared" si="2"/>
        <v/>
      </c>
      <c r="FB51" s="29" t="str">
        <f t="shared" si="2"/>
        <v/>
      </c>
    </row>
    <row r="52" spans="1:158" x14ac:dyDescent="0.2">
      <c r="A52" s="1"/>
      <c r="B52" s="1"/>
      <c r="C52" s="1"/>
      <c r="D52" s="1"/>
      <c r="E52" s="1"/>
      <c r="F52" s="1"/>
      <c r="G52" s="1"/>
      <c r="H52" s="1"/>
      <c r="I52" s="1"/>
      <c r="J52" s="1"/>
      <c r="K52" s="1"/>
      <c r="L52" s="1"/>
      <c r="M52" s="1"/>
      <c r="N52" s="1"/>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9">
        <f>IFERROR(INDEX($Z$70:$Z$83,MATCH(13,$DB$70:$DB$83,0)),DE51)</f>
        <v>0.74</v>
      </c>
      <c r="DF52" s="29" t="str">
        <f>IFERROR(INDEX($AB$70:$AB$83,MATCH(13,$DB$70:$DB$83,0)),"")</f>
        <v/>
      </c>
      <c r="DG52" s="29" t="str">
        <f>IFERROR(SQRT(INDEX($AK$70:$AK$83,MATCH(13,$DB$70:$DB$83,0)))/80,"")</f>
        <v/>
      </c>
      <c r="DH52" s="29" t="str">
        <f>IFERROR(INDEX($R$70:$R$83,MATCH(13,$DB$70:$DB$83,0)),"")</f>
        <v/>
      </c>
      <c r="DI52" s="29">
        <f>IFERROR(INDEX($Z$70:$Z$83,MATCH(13,$DC$70:$DC$83,0)),DI51)</f>
        <v>0.66</v>
      </c>
      <c r="DJ52" s="29" t="str">
        <f>IFERROR(INDEX($AB$70:$AB$83,MATCH(13,$DC$70:$DC$83,0)),"")</f>
        <v/>
      </c>
      <c r="DK52" s="29" t="str">
        <f>IFERROR(SQRT(INDEX($AK$70:$AK$83,MATCH(13,$DC$70:$DC$83,0)))/80,"")</f>
        <v/>
      </c>
      <c r="DL52" s="29" t="str">
        <f>IFERROR(INDEX($R$70:$R$83,MATCH(13,$DC$70:$DC$83,0)),"")</f>
        <v/>
      </c>
      <c r="DM52" s="29">
        <f>IFERROR(INDEX($Z$70:$Z$83,MATCH(13,$DD$70:$DD$83,0)),DM51)</f>
        <v>0.6</v>
      </c>
      <c r="DN52" s="29" t="str">
        <f>IFERROR(INDEX($AB$70:$AB$83,MATCH(13,$DD$70:$DD$83,0)),"")</f>
        <v/>
      </c>
      <c r="DO52" s="29" t="str">
        <f>IFERROR(SQRT(INDEX($AK$70:$AK$83,MATCH(13,$DD$70:$DD$83,0)))/80,"")</f>
        <v/>
      </c>
      <c r="DP52" s="29" t="str">
        <f>IFERROR(INDEX($R$70:$R$83,MATCH(13,$DD$70:$DD$83,0)),"")</f>
        <v/>
      </c>
      <c r="DQ52" s="2"/>
      <c r="DR52" s="2"/>
      <c r="DS52" s="2"/>
      <c r="DT52" s="2"/>
      <c r="DU52" s="2"/>
      <c r="DV52" s="2"/>
      <c r="DW52" s="2"/>
      <c r="DX52" s="2"/>
      <c r="DY52" s="2"/>
      <c r="DZ52" s="2"/>
      <c r="EA52" s="2"/>
      <c r="EB52" s="2"/>
      <c r="EC52" s="56"/>
      <c r="ED52" s="56"/>
      <c r="EE52" s="56"/>
      <c r="EF52" s="2"/>
      <c r="EG52" s="2"/>
      <c r="EH52" s="2"/>
      <c r="EI52" s="2"/>
      <c r="EJ52" s="2"/>
      <c r="EK52" s="2"/>
      <c r="EL52" s="2"/>
      <c r="EM52" s="2"/>
      <c r="EN52" s="2"/>
      <c r="EO52" s="2"/>
      <c r="EP52" s="2"/>
      <c r="EQ52" s="2"/>
      <c r="ER52" s="2"/>
      <c r="ES52" s="2"/>
      <c r="ET52" s="29">
        <f t="shared" si="0"/>
        <v>0.74</v>
      </c>
      <c r="EU52" s="29" t="str">
        <f t="shared" si="0"/>
        <v/>
      </c>
      <c r="EV52" s="29" t="str">
        <f t="shared" si="0"/>
        <v/>
      </c>
      <c r="EW52" s="29">
        <f t="shared" si="1"/>
        <v>0.66</v>
      </c>
      <c r="EX52" s="29" t="str">
        <f t="shared" si="1"/>
        <v/>
      </c>
      <c r="EY52" s="29" t="str">
        <f t="shared" si="1"/>
        <v/>
      </c>
      <c r="EZ52" s="29">
        <f t="shared" si="2"/>
        <v>0.6</v>
      </c>
      <c r="FA52" s="29" t="str">
        <f t="shared" si="2"/>
        <v/>
      </c>
      <c r="FB52" s="29" t="str">
        <f t="shared" si="2"/>
        <v/>
      </c>
    </row>
    <row r="53" spans="1:158" x14ac:dyDescent="0.2">
      <c r="A53" s="1"/>
      <c r="B53" s="1"/>
      <c r="C53" s="1"/>
      <c r="D53" s="1"/>
      <c r="E53" s="1"/>
      <c r="F53" s="1"/>
      <c r="G53" s="1"/>
      <c r="H53" s="1"/>
      <c r="I53" s="1"/>
      <c r="J53" s="1"/>
      <c r="K53" s="1"/>
      <c r="L53" s="1"/>
      <c r="M53" s="1"/>
      <c r="N53" s="1"/>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9">
        <f>IFERROR(INDEX($Z$70:$Z$83,MATCH(14,$DB$70:$DB$83,0)),DE52)</f>
        <v>0.74</v>
      </c>
      <c r="DF53" s="29" t="str">
        <f>IFERROR(INDEX($AB$70:$AB$83,MATCH(14,$DB$70:$DB$83,0)),"")</f>
        <v/>
      </c>
      <c r="DG53" s="29" t="str">
        <f>IFERROR(SQRT(INDEX($AK$70:$AK$83,MATCH(14,$DB$70:$DB$83,0)))/80,"")</f>
        <v/>
      </c>
      <c r="DH53" s="29" t="str">
        <f>IFERROR(INDEX($R$70:$R$83,MATCH(14,$DB$70:$DB$83,0)),"")</f>
        <v/>
      </c>
      <c r="DI53" s="29">
        <f>IFERROR(INDEX($Z$70:$Z$83,MATCH(14,$DC$70:$DC$83,0)),DI52)</f>
        <v>0.66</v>
      </c>
      <c r="DJ53" s="29" t="str">
        <f>IFERROR(INDEX($AB$70:$AB$83,MATCH(14,$DC$70:$DC$83,0)),"")</f>
        <v/>
      </c>
      <c r="DK53" s="29" t="str">
        <f>IFERROR(SQRT(INDEX($AK$70:$AK$83,MATCH(14,$DC$70:$DC$83,0)))/80,"")</f>
        <v/>
      </c>
      <c r="DL53" s="29" t="str">
        <f>IFERROR(INDEX($R$70:$R$83,MATCH(14,$DC$70:$DC$83,0)),"")</f>
        <v/>
      </c>
      <c r="DM53" s="29">
        <f>IFERROR(INDEX($Z$70:$Z$83,MATCH(14,$DD$70:$DD$83,0)),DM52)</f>
        <v>0.6</v>
      </c>
      <c r="DN53" s="29" t="str">
        <f>IFERROR(INDEX($AB$70:$AB$83,MATCH(14,$DD$70:$DD$83,0)),"")</f>
        <v/>
      </c>
      <c r="DO53" s="29" t="str">
        <f>IFERROR(SQRT(INDEX($AK$70:$AK$83,MATCH(14,$DD$70:$DD$83,0)))/80,"")</f>
        <v/>
      </c>
      <c r="DP53" s="29" t="str">
        <f>IFERROR(INDEX($R$70:$R$83,MATCH(14,$DD$70:$DD$83,0)),"")</f>
        <v/>
      </c>
      <c r="DQ53" s="2"/>
      <c r="DR53" s="2"/>
      <c r="DS53" s="2"/>
      <c r="DT53" s="2"/>
      <c r="DU53" s="2"/>
      <c r="DV53" s="2"/>
      <c r="DW53" s="2"/>
      <c r="DX53" s="2"/>
      <c r="DY53" s="2"/>
      <c r="DZ53" s="2"/>
      <c r="EA53" s="2"/>
      <c r="EB53" s="2"/>
      <c r="EC53" s="56"/>
      <c r="ED53" s="56"/>
      <c r="EE53" s="56"/>
      <c r="EF53" s="2"/>
      <c r="EG53" s="2"/>
      <c r="EH53" s="2"/>
      <c r="EI53" s="2"/>
      <c r="EJ53" s="2"/>
      <c r="EK53" s="2"/>
      <c r="EL53" s="2"/>
      <c r="EM53" s="2"/>
      <c r="EN53" s="2"/>
      <c r="EO53" s="2"/>
      <c r="EP53" s="2"/>
      <c r="EQ53" s="2"/>
      <c r="ER53" s="2"/>
      <c r="ES53" s="2"/>
      <c r="ET53" s="29">
        <f t="shared" si="0"/>
        <v>0.74</v>
      </c>
      <c r="EU53" s="29" t="str">
        <f t="shared" si="0"/>
        <v/>
      </c>
      <c r="EV53" s="29" t="str">
        <f t="shared" si="0"/>
        <v/>
      </c>
      <c r="EW53" s="29">
        <f t="shared" si="1"/>
        <v>0.66</v>
      </c>
      <c r="EX53" s="29" t="str">
        <f t="shared" si="1"/>
        <v/>
      </c>
      <c r="EY53" s="29" t="str">
        <f t="shared" si="1"/>
        <v/>
      </c>
      <c r="EZ53" s="29">
        <f t="shared" si="2"/>
        <v>0.6</v>
      </c>
      <c r="FA53" s="29" t="str">
        <f t="shared" si="2"/>
        <v/>
      </c>
      <c r="FB53" s="29" t="str">
        <f t="shared" si="2"/>
        <v/>
      </c>
    </row>
    <row r="54" spans="1:158" x14ac:dyDescent="0.2">
      <c r="A54" s="1"/>
      <c r="B54" s="1"/>
      <c r="C54" s="1"/>
      <c r="D54" s="1"/>
      <c r="E54" s="1"/>
      <c r="F54" s="1"/>
      <c r="G54" s="1"/>
      <c r="H54" s="1"/>
      <c r="I54" s="1"/>
      <c r="J54" s="1"/>
      <c r="K54" s="1"/>
      <c r="L54" s="1"/>
      <c r="M54" s="1"/>
      <c r="N54" s="1"/>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56"/>
      <c r="ED54" s="56"/>
      <c r="EE54" s="56"/>
      <c r="EF54" s="2"/>
      <c r="EG54" s="2"/>
      <c r="EH54" s="2"/>
      <c r="EI54" s="2"/>
      <c r="EJ54" s="2"/>
      <c r="EK54" s="2"/>
      <c r="EL54" s="2"/>
      <c r="EM54" s="2"/>
      <c r="EN54" s="2"/>
      <c r="EO54" s="2"/>
      <c r="EP54" s="2"/>
      <c r="EQ54" s="2"/>
      <c r="ER54" s="2"/>
      <c r="ES54" s="2"/>
      <c r="ET54" s="2"/>
      <c r="EU54" s="2"/>
      <c r="EV54" s="2"/>
      <c r="EW54" s="2"/>
      <c r="EX54" s="2"/>
      <c r="EY54" s="2"/>
      <c r="EZ54" s="2"/>
      <c r="FA54" s="2"/>
      <c r="FB54" s="2"/>
    </row>
    <row r="55" spans="1:158" x14ac:dyDescent="0.2">
      <c r="A55" s="1"/>
      <c r="B55" s="1"/>
      <c r="C55" s="1"/>
      <c r="D55" s="1"/>
      <c r="E55" s="1"/>
      <c r="F55" s="1"/>
      <c r="G55" s="1"/>
      <c r="H55" s="1"/>
      <c r="I55" s="1"/>
      <c r="J55" s="1"/>
      <c r="K55" s="1"/>
      <c r="L55" s="1"/>
      <c r="M55" s="1"/>
      <c r="N55" s="1"/>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56"/>
      <c r="ED55" s="56"/>
      <c r="EE55" s="56"/>
      <c r="EF55" s="2"/>
      <c r="EG55" s="2"/>
      <c r="EH55" s="2"/>
      <c r="EI55" s="2"/>
      <c r="EJ55" s="2"/>
      <c r="EK55" s="2"/>
      <c r="EL55" s="2"/>
      <c r="EM55" s="2"/>
      <c r="EN55" s="2"/>
      <c r="EO55" s="2"/>
      <c r="EP55" s="2"/>
      <c r="EQ55" s="2"/>
      <c r="ER55" s="2"/>
      <c r="ES55" s="2"/>
      <c r="ET55" s="2"/>
      <c r="EU55" s="2"/>
      <c r="EV55" s="2"/>
      <c r="EW55" s="2"/>
      <c r="EX55" s="2"/>
      <c r="EY55" s="2"/>
      <c r="EZ55" s="2"/>
      <c r="FA55" s="2"/>
      <c r="FB55" s="2"/>
    </row>
    <row r="56" spans="1:158" x14ac:dyDescent="0.2">
      <c r="A56" s="1"/>
      <c r="B56" s="112" t="s">
        <v>57</v>
      </c>
      <c r="C56" s="88"/>
      <c r="D56" s="88"/>
      <c r="E56" s="88"/>
      <c r="F56" s="88"/>
      <c r="G56" s="88"/>
      <c r="H56" s="88"/>
      <c r="I56" s="88"/>
      <c r="J56" s="88"/>
      <c r="K56" s="88"/>
      <c r="L56" s="88"/>
      <c r="M56" s="88"/>
      <c r="N56" s="1"/>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56"/>
      <c r="ED56" s="56"/>
      <c r="EE56" s="56"/>
      <c r="EF56" s="2"/>
      <c r="EG56" s="2"/>
      <c r="EH56" s="2"/>
      <c r="EI56" s="2"/>
      <c r="EJ56" s="2"/>
      <c r="EK56" s="2"/>
      <c r="EL56" s="2"/>
      <c r="EM56" s="2"/>
      <c r="EN56" s="2"/>
      <c r="EO56" s="2"/>
      <c r="EP56" s="2"/>
      <c r="EQ56" s="2"/>
      <c r="ER56" s="2"/>
      <c r="ES56" s="2"/>
      <c r="ET56" s="2"/>
      <c r="EU56" s="2"/>
      <c r="EV56" s="2"/>
      <c r="EW56" s="2"/>
      <c r="EX56" s="2"/>
      <c r="EY56" s="2"/>
      <c r="EZ56" s="2"/>
      <c r="FA56" s="2"/>
      <c r="FB56" s="2"/>
    </row>
    <row r="57" spans="1:158" x14ac:dyDescent="0.2">
      <c r="A57" s="1"/>
      <c r="B57" s="32" t="s">
        <v>58</v>
      </c>
      <c r="C57" s="1"/>
      <c r="D57" s="1"/>
      <c r="E57" s="1"/>
      <c r="F57" s="1"/>
      <c r="G57" s="1"/>
      <c r="H57" s="1"/>
      <c r="I57" s="1"/>
      <c r="J57" s="1"/>
      <c r="K57" s="1"/>
      <c r="L57" s="1"/>
      <c r="M57" s="1"/>
      <c r="N57" s="1"/>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56"/>
      <c r="ED57" s="56"/>
      <c r="EE57" s="56"/>
      <c r="EF57" s="2"/>
      <c r="EG57" s="2"/>
      <c r="EH57" s="2"/>
      <c r="EI57" s="2"/>
      <c r="EJ57" s="2"/>
      <c r="EK57" s="2"/>
      <c r="EL57" s="2"/>
      <c r="EM57" s="2"/>
      <c r="EN57" s="2"/>
      <c r="EO57" s="2"/>
      <c r="EP57" s="2"/>
      <c r="EQ57" s="2"/>
      <c r="ER57" s="2"/>
      <c r="ES57" s="2"/>
      <c r="ET57" s="2"/>
      <c r="EU57" s="2"/>
      <c r="EV57" s="2"/>
      <c r="EW57" s="2"/>
      <c r="EX57" s="2"/>
      <c r="EY57" s="2"/>
      <c r="EZ57" s="2"/>
      <c r="FA57" s="2"/>
      <c r="FB57" s="2"/>
    </row>
    <row r="58" spans="1:158" x14ac:dyDescent="0.2">
      <c r="A58" s="1"/>
      <c r="B58" s="1"/>
      <c r="C58" s="1"/>
      <c r="D58" s="1"/>
      <c r="E58" s="1"/>
      <c r="F58" s="1"/>
      <c r="G58" s="1"/>
      <c r="H58" s="1"/>
      <c r="I58" s="1"/>
      <c r="J58" s="1"/>
      <c r="K58" s="1"/>
      <c r="L58" s="1"/>
      <c r="M58" s="1"/>
      <c r="N58" s="1"/>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56"/>
      <c r="ED58" s="56"/>
      <c r="EE58" s="56"/>
      <c r="EF58" s="2"/>
      <c r="EG58" s="2"/>
      <c r="EH58" s="2"/>
      <c r="EI58" s="2"/>
      <c r="EJ58" s="2"/>
      <c r="EK58" s="2"/>
      <c r="EL58" s="2"/>
      <c r="EM58" s="2"/>
      <c r="EN58" s="2"/>
      <c r="EO58" s="2"/>
      <c r="EP58" s="2"/>
      <c r="EQ58" s="2"/>
      <c r="ER58" s="2"/>
      <c r="ES58" s="2"/>
      <c r="ET58" s="2"/>
      <c r="EU58" s="2"/>
      <c r="EV58" s="2"/>
      <c r="EW58" s="2"/>
      <c r="EX58" s="2"/>
      <c r="EY58" s="2"/>
      <c r="EZ58" s="2"/>
      <c r="FA58" s="2"/>
      <c r="FB58" s="2"/>
    </row>
    <row r="59" spans="1:158" x14ac:dyDescent="0.2">
      <c r="A59" s="1"/>
      <c r="B59" s="55"/>
      <c r="C59" s="55"/>
      <c r="D59" s="55"/>
      <c r="E59" s="55"/>
      <c r="F59" s="55"/>
      <c r="G59" s="55"/>
      <c r="H59" s="55"/>
      <c r="I59" s="55"/>
      <c r="J59" s="55"/>
      <c r="K59" s="55"/>
      <c r="L59" s="55"/>
      <c r="M59" s="1"/>
      <c r="N59" s="1"/>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56"/>
      <c r="ED59" s="56"/>
      <c r="EE59" s="56"/>
      <c r="EF59" s="2"/>
      <c r="EG59" s="2"/>
      <c r="EH59" s="2"/>
      <c r="EI59" s="2"/>
      <c r="EJ59" s="2"/>
      <c r="EK59" s="2"/>
      <c r="EL59" s="2"/>
      <c r="EM59" s="2"/>
      <c r="EN59" s="2"/>
      <c r="EO59" s="2"/>
      <c r="EP59" s="2"/>
      <c r="EQ59" s="2"/>
      <c r="ER59" s="2"/>
      <c r="ES59" s="2"/>
      <c r="ET59" s="2"/>
      <c r="EU59" s="2"/>
      <c r="EV59" s="2"/>
      <c r="EW59" s="2"/>
      <c r="EX59" s="2"/>
      <c r="EY59" s="2"/>
      <c r="EZ59" s="2"/>
      <c r="FA59" s="2"/>
      <c r="FB59" s="2"/>
    </row>
    <row r="60" spans="1:158" x14ac:dyDescent="0.2">
      <c r="A60" s="1"/>
      <c r="B60" s="55"/>
      <c r="C60" s="55"/>
      <c r="D60" s="55"/>
      <c r="E60" s="55"/>
      <c r="F60" s="55"/>
      <c r="G60" s="55"/>
      <c r="H60" s="55"/>
      <c r="I60" s="55"/>
      <c r="J60" s="55"/>
      <c r="K60" s="55"/>
      <c r="L60" s="55"/>
      <c r="M60" s="1"/>
      <c r="N60" s="1"/>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56"/>
      <c r="ED60" s="56"/>
      <c r="EE60" s="56"/>
      <c r="EF60" s="2"/>
      <c r="EG60" s="2"/>
      <c r="EH60" s="2"/>
      <c r="EI60" s="2"/>
      <c r="EJ60" s="2"/>
      <c r="EK60" s="2"/>
      <c r="EL60" s="2"/>
      <c r="EM60" s="2"/>
      <c r="EN60" s="2"/>
      <c r="EO60" s="2"/>
      <c r="EP60" s="2"/>
      <c r="EQ60" s="2"/>
      <c r="ER60" s="2"/>
      <c r="ES60" s="2"/>
      <c r="ET60" s="2"/>
      <c r="EU60" s="2"/>
      <c r="EV60" s="2"/>
      <c r="EW60" s="2"/>
      <c r="EX60" s="2"/>
      <c r="EY60" s="2"/>
      <c r="EZ60" s="2"/>
      <c r="FA60" s="2"/>
      <c r="FB60" s="2"/>
    </row>
    <row r="61" spans="1:158" x14ac:dyDescent="0.2">
      <c r="A61" s="1"/>
      <c r="B61" s="55"/>
      <c r="C61" s="55"/>
      <c r="D61" s="55"/>
      <c r="E61" s="55"/>
      <c r="F61" s="55"/>
      <c r="G61" s="55"/>
      <c r="H61" s="55"/>
      <c r="I61" s="55"/>
      <c r="J61" s="55"/>
      <c r="K61" s="55"/>
      <c r="L61" s="55"/>
      <c r="M61" s="1"/>
      <c r="N61" s="1"/>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56"/>
      <c r="ED61" s="56"/>
      <c r="EE61" s="56"/>
      <c r="EF61" s="2"/>
      <c r="EG61" s="2"/>
      <c r="EH61" s="2"/>
      <c r="EI61" s="2"/>
      <c r="EJ61" s="2"/>
      <c r="EK61" s="2"/>
      <c r="EL61" s="2"/>
      <c r="EM61" s="2"/>
      <c r="EN61" s="2"/>
      <c r="EO61" s="2"/>
      <c r="EP61" s="2"/>
      <c r="EQ61" s="2"/>
      <c r="ER61" s="2"/>
      <c r="ES61" s="2"/>
      <c r="ET61" s="2"/>
      <c r="EU61" s="2"/>
      <c r="EV61" s="2"/>
      <c r="EW61" s="2"/>
      <c r="EX61" s="2"/>
      <c r="EY61" s="2"/>
      <c r="EZ61" s="2"/>
      <c r="FA61" s="2"/>
      <c r="FB61" s="2"/>
    </row>
    <row r="62" spans="1:158" x14ac:dyDescent="0.2">
      <c r="A62" s="1"/>
      <c r="B62" s="55"/>
      <c r="C62" s="55"/>
      <c r="D62" s="55"/>
      <c r="E62" s="55"/>
      <c r="F62" s="55"/>
      <c r="G62" s="55"/>
      <c r="H62" s="55"/>
      <c r="I62" s="55"/>
      <c r="J62" s="55"/>
      <c r="K62" s="55"/>
      <c r="L62" s="55"/>
      <c r="M62" s="1"/>
      <c r="N62" s="1"/>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56"/>
      <c r="ED62" s="56"/>
      <c r="EE62" s="56"/>
      <c r="EF62" s="2"/>
      <c r="EG62" s="2"/>
      <c r="EH62" s="2"/>
      <c r="EI62" s="2"/>
      <c r="EJ62" s="2"/>
      <c r="EK62" s="2"/>
      <c r="EL62" s="2"/>
      <c r="EM62" s="2"/>
      <c r="EN62" s="2"/>
      <c r="EO62" s="2"/>
      <c r="EP62" s="2"/>
      <c r="EQ62" s="2"/>
      <c r="ER62" s="2"/>
      <c r="ES62" s="2"/>
      <c r="ET62" s="2"/>
      <c r="EU62" s="2"/>
      <c r="EV62" s="2"/>
      <c r="EW62" s="2"/>
      <c r="EX62" s="2"/>
      <c r="EY62" s="2"/>
      <c r="EZ62" s="2"/>
      <c r="FA62" s="2"/>
      <c r="FB62" s="2"/>
    </row>
    <row r="63" spans="1:158" x14ac:dyDescent="0.2">
      <c r="A63" s="1"/>
      <c r="B63" s="55"/>
      <c r="C63" s="55"/>
      <c r="D63" s="55"/>
      <c r="E63" s="55"/>
      <c r="F63" s="55"/>
      <c r="G63" s="55"/>
      <c r="H63" s="55"/>
      <c r="I63" s="55"/>
      <c r="J63" s="55"/>
      <c r="K63" s="55"/>
      <c r="L63" s="55"/>
      <c r="M63" s="1"/>
      <c r="N63" s="1"/>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56"/>
      <c r="ED63" s="56"/>
      <c r="EE63" s="56"/>
      <c r="EF63" s="2"/>
      <c r="EG63" s="2"/>
      <c r="EH63" s="2"/>
      <c r="EI63" s="2"/>
      <c r="EJ63" s="2"/>
      <c r="EK63" s="2"/>
      <c r="EL63" s="2"/>
      <c r="EM63" s="2"/>
      <c r="EN63" s="2"/>
      <c r="EO63" s="2"/>
      <c r="EP63" s="2"/>
      <c r="EQ63" s="2"/>
      <c r="ER63" s="2"/>
      <c r="ES63" s="2"/>
      <c r="ET63" s="2"/>
      <c r="EU63" s="2"/>
      <c r="EV63" s="2"/>
      <c r="EW63" s="2"/>
      <c r="EX63" s="2"/>
      <c r="EY63" s="2"/>
      <c r="EZ63" s="2"/>
      <c r="FA63" s="2"/>
      <c r="FB63" s="2"/>
    </row>
    <row r="64" spans="1:158" x14ac:dyDescent="0.2">
      <c r="A64" s="1"/>
      <c r="B64" s="55"/>
      <c r="C64" s="55"/>
      <c r="D64" s="55"/>
      <c r="E64" s="55"/>
      <c r="F64" s="55"/>
      <c r="G64" s="55"/>
      <c r="H64" s="55"/>
      <c r="I64" s="55"/>
      <c r="J64" s="55"/>
      <c r="K64" s="55"/>
      <c r="L64" s="55"/>
      <c r="M64" s="1"/>
      <c r="N64" s="1"/>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56"/>
      <c r="ED64" s="56"/>
      <c r="EE64" s="56"/>
      <c r="EF64" s="2"/>
      <c r="EG64" s="2"/>
      <c r="EH64" s="2"/>
      <c r="EI64" s="2"/>
      <c r="EJ64" s="2"/>
      <c r="EK64" s="2"/>
      <c r="EL64" s="2"/>
      <c r="EM64" s="2"/>
      <c r="EN64" s="2"/>
      <c r="EO64" s="2"/>
      <c r="EP64" s="2"/>
      <c r="EQ64" s="2"/>
      <c r="ER64" s="2"/>
      <c r="ES64" s="2"/>
      <c r="ET64" s="2"/>
      <c r="EU64" s="2"/>
      <c r="EV64" s="2"/>
      <c r="EW64" s="2"/>
      <c r="EX64" s="2"/>
      <c r="EY64" s="2"/>
      <c r="EZ64" s="2"/>
      <c r="FA64" s="2"/>
      <c r="FB64" s="2"/>
    </row>
    <row r="65" spans="1:161" x14ac:dyDescent="0.2">
      <c r="A65" s="1"/>
      <c r="B65" s="55"/>
      <c r="C65" s="55"/>
      <c r="D65" s="55"/>
      <c r="E65" s="55"/>
      <c r="F65" s="55"/>
      <c r="G65" s="55"/>
      <c r="H65" s="55"/>
      <c r="I65" s="55"/>
      <c r="J65" s="55"/>
      <c r="K65" s="55"/>
      <c r="L65" s="55"/>
      <c r="M65" s="1"/>
      <c r="N65" s="1"/>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56"/>
      <c r="ED65" s="56"/>
      <c r="EE65" s="56"/>
      <c r="EF65" s="2"/>
      <c r="EG65" s="2"/>
      <c r="EH65" s="2"/>
      <c r="EI65" s="2"/>
      <c r="EJ65" s="2"/>
      <c r="EK65" s="2"/>
      <c r="EL65" s="2"/>
      <c r="EM65" s="2"/>
      <c r="EN65" s="2"/>
      <c r="EO65" s="2"/>
      <c r="EP65" s="2"/>
      <c r="EQ65" s="2"/>
      <c r="ER65" s="2"/>
      <c r="ES65" s="2"/>
      <c r="ET65" s="2"/>
      <c r="EU65" s="2"/>
      <c r="EV65" s="2"/>
      <c r="EW65" s="2"/>
      <c r="EX65" s="2"/>
      <c r="EY65" s="2"/>
      <c r="EZ65" s="2"/>
      <c r="FA65" s="2"/>
      <c r="FB65" s="2"/>
    </row>
    <row r="66" spans="1:161" x14ac:dyDescent="0.2">
      <c r="A66" s="1"/>
      <c r="B66" s="55"/>
      <c r="C66" s="55"/>
      <c r="D66" s="55"/>
      <c r="E66" s="55"/>
      <c r="F66" s="55"/>
      <c r="G66" s="55"/>
      <c r="H66" s="55"/>
      <c r="I66" s="55"/>
      <c r="J66" s="55"/>
      <c r="K66" s="55"/>
      <c r="L66" s="55"/>
      <c r="M66" s="1"/>
      <c r="N66" s="1"/>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56"/>
      <c r="ED66" s="56"/>
      <c r="EE66" s="56"/>
      <c r="EF66" s="2"/>
      <c r="EG66" s="2"/>
      <c r="EH66" s="2"/>
      <c r="EI66" s="2"/>
      <c r="EJ66" s="2"/>
      <c r="EK66" s="2"/>
      <c r="EL66" s="2"/>
      <c r="EM66" s="2"/>
      <c r="EN66" s="2"/>
      <c r="EO66" s="2"/>
      <c r="EP66" s="2"/>
      <c r="EQ66" s="2"/>
      <c r="ER66" s="2"/>
      <c r="ES66" s="2"/>
      <c r="ET66" s="2"/>
      <c r="EU66" s="2"/>
      <c r="EV66" s="2"/>
      <c r="EW66" s="2"/>
      <c r="EX66" s="2"/>
      <c r="EY66" s="2"/>
      <c r="EZ66" s="2"/>
      <c r="FA66" s="2"/>
      <c r="FB66" s="2"/>
    </row>
    <row r="67" spans="1:161" x14ac:dyDescent="0.2">
      <c r="A67" s="1"/>
      <c r="B67" s="55"/>
      <c r="C67" s="55"/>
      <c r="D67" s="55"/>
      <c r="E67" s="55"/>
      <c r="F67" s="55"/>
      <c r="G67" s="55"/>
      <c r="H67" s="55"/>
      <c r="I67" s="55"/>
      <c r="J67" s="55"/>
      <c r="K67" s="55"/>
      <c r="L67" s="55"/>
      <c r="M67" s="1"/>
      <c r="N67" s="1"/>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56"/>
      <c r="ED67" s="56"/>
      <c r="EE67" s="56"/>
      <c r="EF67" s="2"/>
      <c r="EG67" s="2"/>
      <c r="EH67" s="2"/>
      <c r="EI67" s="2"/>
      <c r="EJ67" s="2"/>
      <c r="EK67" s="2"/>
      <c r="EL67" s="2"/>
      <c r="EM67" s="2"/>
      <c r="EN67" s="2"/>
      <c r="EO67" s="2"/>
      <c r="EP67" s="2"/>
      <c r="EQ67" s="2"/>
      <c r="ER67" s="2"/>
      <c r="ES67" s="2"/>
      <c r="ET67" s="2"/>
      <c r="EU67" s="2"/>
      <c r="EV67" s="2"/>
      <c r="EW67" s="2"/>
      <c r="EX67" s="2"/>
      <c r="EY67" s="2"/>
      <c r="EZ67" s="2"/>
      <c r="FA67" s="2"/>
      <c r="FB67" s="2"/>
    </row>
    <row r="68" spans="1:161" ht="22" customHeight="1" x14ac:dyDescent="0.2">
      <c r="A68" s="1"/>
      <c r="B68" s="55"/>
      <c r="C68" s="55"/>
      <c r="D68" s="55"/>
      <c r="E68" s="55"/>
      <c r="F68" s="55"/>
      <c r="G68" s="55"/>
      <c r="H68" s="55"/>
      <c r="I68" s="55"/>
      <c r="J68" s="55"/>
      <c r="K68" s="55"/>
      <c r="L68" s="55"/>
      <c r="M68" s="1"/>
      <c r="N68" s="1"/>
      <c r="O68" s="2"/>
      <c r="P68" s="5" t="s">
        <v>61</v>
      </c>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f>COUNTIF(BG70:BG83,"?*")</f>
        <v>11</v>
      </c>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56"/>
      <c r="ED68" s="56"/>
      <c r="EE68" s="56"/>
      <c r="EF68" s="2"/>
      <c r="EG68" s="2"/>
      <c r="EH68" s="2"/>
      <c r="EI68" s="2"/>
      <c r="EJ68" s="2"/>
      <c r="EK68" s="2"/>
      <c r="EL68" s="2"/>
      <c r="EM68" s="2"/>
      <c r="EN68" s="2"/>
      <c r="EO68" s="2"/>
      <c r="EP68" s="2"/>
      <c r="EQ68" s="2"/>
      <c r="ER68" s="2"/>
      <c r="ES68" s="2"/>
      <c r="ET68" s="2"/>
      <c r="EU68" s="2"/>
      <c r="EV68" s="2"/>
      <c r="EW68" s="2"/>
      <c r="EX68" s="2"/>
      <c r="EY68" s="2"/>
      <c r="EZ68" s="2"/>
      <c r="FA68" s="2"/>
      <c r="FB68" s="2"/>
      <c r="FC68" s="48" t="s">
        <v>63</v>
      </c>
      <c r="FD68" s="48" t="s">
        <v>26</v>
      </c>
      <c r="FE68" s="48" t="s">
        <v>318</v>
      </c>
    </row>
    <row r="69" spans="1:161" ht="28" customHeight="1" x14ac:dyDescent="0.2">
      <c r="A69" s="1"/>
      <c r="B69" s="55"/>
      <c r="C69" s="55"/>
      <c r="D69" s="55"/>
      <c r="E69" s="55"/>
      <c r="F69" s="55"/>
      <c r="G69" s="55"/>
      <c r="H69" s="55"/>
      <c r="I69" s="55"/>
      <c r="J69" s="55"/>
      <c r="K69" s="55"/>
      <c r="L69" s="55"/>
      <c r="M69" s="1"/>
      <c r="N69" s="1"/>
      <c r="O69" s="2"/>
      <c r="P69" s="8" t="s">
        <v>62</v>
      </c>
      <c r="Q69" s="8" t="s">
        <v>70</v>
      </c>
      <c r="R69" s="7" t="s">
        <v>71</v>
      </c>
      <c r="S69" s="7" t="s">
        <v>72</v>
      </c>
      <c r="T69" s="8" t="s">
        <v>73</v>
      </c>
      <c r="U69" s="8" t="s">
        <v>74</v>
      </c>
      <c r="V69" s="8" t="s">
        <v>75</v>
      </c>
      <c r="W69" s="8" t="s">
        <v>76</v>
      </c>
      <c r="X69" s="8" t="s">
        <v>77</v>
      </c>
      <c r="Y69" s="8" t="s">
        <v>78</v>
      </c>
      <c r="Z69" s="8" t="s">
        <v>79</v>
      </c>
      <c r="AA69" s="8" t="s">
        <v>80</v>
      </c>
      <c r="AB69" s="8" t="s">
        <v>81</v>
      </c>
      <c r="AC69" s="8" t="s">
        <v>82</v>
      </c>
      <c r="AD69" s="8" t="s">
        <v>83</v>
      </c>
      <c r="AE69" s="8" t="s">
        <v>84</v>
      </c>
      <c r="AF69" s="8" t="s">
        <v>85</v>
      </c>
      <c r="AG69" s="8" t="s">
        <v>86</v>
      </c>
      <c r="AH69" s="8" t="s">
        <v>87</v>
      </c>
      <c r="AI69" s="8" t="s">
        <v>88</v>
      </c>
      <c r="AJ69" s="8" t="s">
        <v>89</v>
      </c>
      <c r="AK69" s="8" t="s">
        <v>90</v>
      </c>
      <c r="AL69" s="8" t="s">
        <v>91</v>
      </c>
      <c r="AM69" s="8" t="s">
        <v>92</v>
      </c>
      <c r="AN69" s="8" t="s">
        <v>93</v>
      </c>
      <c r="AO69" s="8" t="s">
        <v>94</v>
      </c>
      <c r="AP69" s="8" t="s">
        <v>95</v>
      </c>
      <c r="AQ69" s="7" t="s">
        <v>69</v>
      </c>
      <c r="AR69" s="2"/>
      <c r="AS69" s="2"/>
      <c r="AT69" s="2"/>
      <c r="AU69" s="2"/>
      <c r="AV69" s="2"/>
      <c r="AW69" s="2"/>
      <c r="AX69" s="2"/>
      <c r="AY69" s="2"/>
      <c r="AZ69" s="2"/>
      <c r="BA69" s="2"/>
      <c r="BB69" s="2"/>
      <c r="BC69" s="2"/>
      <c r="BD69" s="2"/>
      <c r="BE69" s="2"/>
      <c r="BF69" s="2"/>
      <c r="BG69" s="2" t="s">
        <v>63</v>
      </c>
      <c r="BH69" s="2" t="s">
        <v>26</v>
      </c>
      <c r="BI69" s="2" t="s">
        <v>318</v>
      </c>
      <c r="BJ69" s="2"/>
      <c r="BK69" s="2"/>
      <c r="BL69" s="2"/>
      <c r="BM69" s="2"/>
      <c r="BN69" s="2"/>
      <c r="BO69" s="2"/>
      <c r="BP69" s="2"/>
      <c r="BQ69" s="2"/>
      <c r="BR69" s="2" t="s">
        <v>63</v>
      </c>
      <c r="BS69" s="2" t="s">
        <v>26</v>
      </c>
      <c r="BT69" s="2" t="s">
        <v>117</v>
      </c>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9" t="s">
        <v>96</v>
      </c>
      <c r="DB69" s="29" t="s">
        <v>97</v>
      </c>
      <c r="DC69" s="29" t="s">
        <v>98</v>
      </c>
      <c r="DD69" s="2"/>
      <c r="DE69" s="29" t="s">
        <v>99</v>
      </c>
      <c r="DF69" s="29" t="s">
        <v>100</v>
      </c>
      <c r="DG69" s="29" t="s">
        <v>101</v>
      </c>
      <c r="DH69" s="29" t="s">
        <v>102</v>
      </c>
      <c r="DI69" s="2"/>
      <c r="DJ69" s="29" t="s">
        <v>103</v>
      </c>
      <c r="DK69" s="29" t="s">
        <v>104</v>
      </c>
      <c r="DL69" s="29" t="s">
        <v>105</v>
      </c>
      <c r="DM69" s="29" t="s">
        <v>106</v>
      </c>
      <c r="DN69" s="29" t="s">
        <v>91</v>
      </c>
      <c r="DO69" s="2"/>
      <c r="DP69" s="29" t="s">
        <v>107</v>
      </c>
      <c r="DQ69" s="29" t="s">
        <v>108</v>
      </c>
      <c r="DR69" s="29" t="s">
        <v>109</v>
      </c>
      <c r="DS69" s="29" t="s">
        <v>110</v>
      </c>
      <c r="DT69" s="29" t="s">
        <v>111</v>
      </c>
      <c r="DU69" s="29" t="s">
        <v>112</v>
      </c>
      <c r="DV69" s="29" t="s">
        <v>113</v>
      </c>
      <c r="DW69" s="29" t="s">
        <v>114</v>
      </c>
      <c r="DX69" s="29" t="s">
        <v>115</v>
      </c>
      <c r="DY69" s="29" t="s">
        <v>116</v>
      </c>
      <c r="DZ69" s="29" t="s">
        <v>26</v>
      </c>
      <c r="EA69" s="29" t="s">
        <v>117</v>
      </c>
      <c r="EB69" s="2"/>
      <c r="EC69" s="56" t="s">
        <v>309</v>
      </c>
      <c r="ED69" s="56" t="s">
        <v>310</v>
      </c>
      <c r="EE69" s="56" t="s">
        <v>311</v>
      </c>
      <c r="EF69" s="2" t="s">
        <v>312</v>
      </c>
      <c r="EG69" s="2" t="s">
        <v>313</v>
      </c>
      <c r="EH69" s="2" t="s">
        <v>314</v>
      </c>
      <c r="EI69" s="2"/>
      <c r="EJ69" s="2"/>
      <c r="EK69" s="2"/>
      <c r="EL69" s="2"/>
      <c r="EM69" s="2"/>
      <c r="EN69" s="2"/>
      <c r="EO69" s="2"/>
      <c r="EP69" s="2"/>
      <c r="EQ69" s="2"/>
      <c r="ER69" s="2"/>
      <c r="ES69" s="2"/>
      <c r="ET69" s="2"/>
      <c r="EU69" s="2"/>
      <c r="EV69" s="2"/>
      <c r="EW69" s="2"/>
      <c r="EX69" s="2"/>
      <c r="EY69" s="2"/>
      <c r="EZ69" s="2"/>
      <c r="FA69" s="2"/>
      <c r="FB69" s="2"/>
      <c r="FC69" s="48" t="str" cm="1">
        <f t="array" ref="FC69:FC79">IFERROR(_xlfn._xlws.FILTER(_xlfn.SORTBY($R$70:$R$83,$BF$70:$BF$83,-1),_xlfn.SORTBY($BF$70:$BF$83,$BF$70:$BF$83,-1)&gt;-1000000000),"")</f>
        <v>Midweight Designer</v>
      </c>
      <c r="FD69" s="48" cm="1">
        <f t="array" ref="FD69:FD79">IFERROR(_xlfn._xlws.FILTER(_xlfn.SORTBY($AL$70:$AL$83,$BF$70:$BF$83,-1),_xlfn.SORTBY($BF$70:$BF$83,$BF$70:$BF$83,-1)&gt;-1000000000),"")</f>
        <v>0.58161789724396051</v>
      </c>
      <c r="FE69" s="48" cm="1">
        <f t="array" ref="FE69:FE79">IFERROR(_xlfn._xlws.FILTER(_xlfn.SORTBY($BD$70:$BD$83,$BF$70:$BF$83,-1),_xlfn.SORTBY($BF$70:$BF$83,$BF$70:$BF$83,-1)&gt;-1000000000),"")</f>
        <v>0.50542986425339365</v>
      </c>
    </row>
    <row r="70" spans="1:161" ht="22" customHeight="1" x14ac:dyDescent="0.2">
      <c r="A70" s="1"/>
      <c r="B70" s="55"/>
      <c r="C70" s="55"/>
      <c r="D70" s="55"/>
      <c r="E70" s="55"/>
      <c r="F70" s="55"/>
      <c r="G70" s="55"/>
      <c r="H70" s="55"/>
      <c r="I70" s="55"/>
      <c r="J70" s="55"/>
      <c r="K70" s="55"/>
      <c r="L70" s="55"/>
      <c r="M70" s="1"/>
      <c r="N70" s="1"/>
      <c r="O70" s="2"/>
      <c r="P70" s="11">
        <v>1</v>
      </c>
      <c r="Q70" s="11">
        <f>N('Sample Roster'!$B$20)</f>
        <v>1</v>
      </c>
      <c r="R70" s="9" t="str">
        <f>'Sample Roster'!$C$20&amp;""</f>
        <v>Managing Director</v>
      </c>
      <c r="S70" s="12" t="str">
        <f>'Sample Roster'!$D$20&amp;""</f>
        <v>Leadership</v>
      </c>
      <c r="T70" s="35">
        <f>IFERROR(N('Sample Roster'!$E$20),0)</f>
        <v>1</v>
      </c>
      <c r="U70" s="10">
        <f>IFERROR(N('Sample Roster'!$F$20),0)</f>
        <v>260000</v>
      </c>
      <c r="V70" s="6">
        <f>IFERROR(N('Sample Roster'!$G$20),0)</f>
        <v>0.185</v>
      </c>
      <c r="W70" s="10">
        <f>IFERROR(N('Sample Roster'!$H$20),0)</f>
        <v>100</v>
      </c>
      <c r="X70" s="11">
        <f>IFERROR(N('Sample Roster'!$I$20),0)</f>
        <v>1700</v>
      </c>
      <c r="Y70" s="6">
        <f>IFERROR(N('Sample Roster'!$J$20),0)</f>
        <v>0.2</v>
      </c>
      <c r="Z70" s="6">
        <f>IFERROR(IF('Sample Roster'!$D$12=0,0,(N('Sample Roster'!$L$20)*12/'Sample Roster'!$D$12)/(X70*T70)),0)</f>
        <v>0.2</v>
      </c>
      <c r="AA70" s="10">
        <f>IFERROR(N('Sample Roster'!$K$20),0)</f>
        <v>380</v>
      </c>
      <c r="AB70" s="6">
        <f>IFERROR(IF(OR(N('Sample Roster'!$L$20)=0,AA70=0),0,(N('Sample Roster'!$M$20)/N('Sample Roster'!$L$20))/AA70),0)</f>
        <v>0.89783281733746134</v>
      </c>
      <c r="AC70" s="10">
        <f t="shared" ref="AC70:AC83" si="3">U70*(1+V70)+W70*12</f>
        <v>309300</v>
      </c>
      <c r="AD70" s="10">
        <f t="shared" ref="AD70:AD83" si="4">IF(Q70=1,AC70*T70,0)</f>
        <v>309300</v>
      </c>
      <c r="AE70" s="11">
        <f t="shared" ref="AE70:AE83" si="5">IF(Q70=1,X70*T70,0)</f>
        <v>1700</v>
      </c>
      <c r="AF70" s="11">
        <f t="shared" ref="AF70:AF83" si="6">IF(Q70=1,X70*T70*Z70,0)</f>
        <v>340</v>
      </c>
      <c r="AG70" s="11">
        <f t="shared" ref="AG70:AG83" si="7">IF(Q70=1,X70*T70*Y70,0)</f>
        <v>340</v>
      </c>
      <c r="AH70" s="10">
        <f t="shared" ref="AH70:AH83" si="8">IF(Q70=0,0,IF(AF70&gt;0,AD70/AF70,IF(AG70&gt;0,AD70/AG70,0)))</f>
        <v>909.70588235294122</v>
      </c>
      <c r="AI70" s="10">
        <f t="shared" ref="AI70:AI83" si="9">AA70</f>
        <v>380</v>
      </c>
      <c r="AJ70" s="10">
        <f t="shared" ref="AJ70:AJ83" si="10">AA70*AB70</f>
        <v>341.1764705882353</v>
      </c>
      <c r="AK70" s="10">
        <f t="shared" ref="AK70:AK83" si="11">AJ70*AF70</f>
        <v>116000</v>
      </c>
      <c r="AL70" s="6">
        <f t="shared" ref="AL70:AL83" si="12">IF(Q70=0,0,IF(AJ70=0,0,(AJ70-AH70)/AJ70))</f>
        <v>-1.6663793103448274</v>
      </c>
      <c r="AM70" s="6">
        <f t="shared" ref="AM70:AM83" si="13">IF(Q70=0,0,1-AB70)</f>
        <v>0.10216718266253866</v>
      </c>
      <c r="AN70" s="10">
        <f t="shared" ref="AN70:AN83" si="14">IF(Q70=0,0,(AA70-AJ70)*AF70)</f>
        <v>13199.999999999996</v>
      </c>
      <c r="AO70" s="6">
        <f t="shared" ref="AO70:AO83" si="15">IF(Q70=0,0,Y70-Z70)</f>
        <v>0</v>
      </c>
      <c r="AP70" s="10">
        <f t="shared" ref="AP70:AP83" si="16">IF(Q70=0,0,AJ70*X70*T70*MAX(Y70-Z70,0))</f>
        <v>0</v>
      </c>
      <c r="AQ70" s="28" t="str">
        <f t="shared" ref="AQ70:AQ83" si="17">IF(Q70=0,"INACTIVE",IF(OR(S70="Overhead",S70="Leadership"),"OVERHEAD",IF(AJ70=0,"NO RATE",IF(AL70&gt;=ref_bench_margin_target,"PASS",IF(AL70&gt;=ref_bench_margin_warn,"WARN","FAIL")))))</f>
        <v>OVERHEAD</v>
      </c>
      <c r="AR70" s="6">
        <f t="shared" ref="AR70:AR83" si="18">ref_bench_margin_target</f>
        <v>0.5</v>
      </c>
      <c r="AS70" s="6">
        <f t="shared" ref="AS70:AS83" si="19">IF(AND(Q70=1,S70="Delivery",AJ70&gt;0),AL70,99)</f>
        <v>99</v>
      </c>
      <c r="AT70" s="2"/>
      <c r="AU70" s="6" t="e">
        <f t="shared" ref="AU70:AU83" si="20">IF(AND(AND(Q70=1,S70="Delivery",AJ70&gt;0),AL70&gt;=ref_bench_margin_target),Z70,NA())</f>
        <v>#N/A</v>
      </c>
      <c r="AV70" s="6" t="e">
        <f t="shared" ref="AV70:AV83" si="21">IF(AND(AND(Q70=1,S70="Delivery",AJ70&gt;0),AL70&gt;=ref_bench_margin_target),AB70,NA())</f>
        <v>#N/A</v>
      </c>
      <c r="AW70" s="11" t="e">
        <f t="shared" ref="AW70:AW83" si="22">IF(AND(AND(Q70=1,S70="Delivery",AJ70&gt;0),AL70&gt;=ref_bench_margin_target),AK70/1000,NA())</f>
        <v>#N/A</v>
      </c>
      <c r="AX70" s="6" t="e">
        <f t="shared" ref="AX70:AX83" si="23">IF(AND(AND(Q70=1,S70="Delivery",AJ70&gt;0),AND(AL70&gt;=0.3,AL70&lt;ref_bench_margin_target)),Z70,NA())</f>
        <v>#N/A</v>
      </c>
      <c r="AY70" s="6" t="e">
        <f t="shared" ref="AY70:AY83" si="24">IF(AND(AND(Q70=1,S70="Delivery",AJ70&gt;0),AND(AL70&gt;=0.3,AL70&lt;ref_bench_margin_target)),AB70,NA())</f>
        <v>#N/A</v>
      </c>
      <c r="AZ70" s="11" t="e">
        <f t="shared" ref="AZ70:AZ83" si="25">IF(AND(AND(Q70=1,S70="Delivery",AJ70&gt;0),AND(AL70&gt;=0.3,AL70&lt;ref_bench_margin_target)),AK70/1000,NA())</f>
        <v>#N/A</v>
      </c>
      <c r="BA70" s="6" t="e">
        <f t="shared" ref="BA70:BA83" si="26">IF(AND(AND(Q70=1,S70="Delivery",AJ70&gt;0),AL70&lt;0.3),Z70,NA())</f>
        <v>#N/A</v>
      </c>
      <c r="BB70" s="6" t="e">
        <f t="shared" ref="BB70:BB83" si="27">IF(AND(AND(Q70=1,S70="Delivery",AJ70&gt;0),AL70&lt;0.3),AB70,NA())</f>
        <v>#N/A</v>
      </c>
      <c r="BC70" s="11" t="e">
        <f t="shared" ref="BC70:BC83" si="28">IF(AND(AND(Q70=1,S70="Delivery",AJ70&gt;0),AL70&lt;0.3),AK70/1000,NA())</f>
        <v>#N/A</v>
      </c>
      <c r="BD70" s="6" t="str">
        <f t="shared" ref="BD70:BD83" si="29">IFERROR(IF(AND(AND(Q70=1,S70="Delivery",AJ70&gt;0),AA70&gt;0,X70*T70&gt;0),(AA70*ref_bench_realisation-AD70/(X70*T70*ref_bench_util_avg))/(AA70*ref_bench_realisation),""),"")</f>
        <v/>
      </c>
      <c r="BE70" s="11">
        <f>IF(AND(Q70=1,S70="Delivery",AJ70&gt;0),AP70+AN70+0*0.001,-1000000000)</f>
        <v>-1000000000</v>
      </c>
      <c r="BF70" s="2">
        <f>IF(AND(Q70=1,S70="Delivery",AJ70&gt;0),AL70+(70-70)*0.00001,-1000000000)</f>
        <v>-1000000000</v>
      </c>
      <c r="BG70" s="9" t="str">
        <f>IF(LARGE($BF$70:$BF$83,1)&gt;-1000000000,INDEX($R$70:$R$83,MATCH(LARGE($BF$70:$BF$83,1),$BF$70:$BF$83,0)),"")</f>
        <v>Midweight Designer</v>
      </c>
      <c r="BH70" s="6">
        <f>IF(LARGE($BF$70:$BF$83,1)&gt;-1000000000,INDEX($AL$70:$AL$83,MATCH(LARGE($BF$70:$BF$83,1),$BF$70:$BF$83,0)),NA())</f>
        <v>0.58161789724396051</v>
      </c>
      <c r="BI70" s="6">
        <f>IF(LARGE($BF$70:$BF$83,1)&gt;-1000000000,INDEX($BD$70:$BD$83,MATCH(LARGE($BF$70:$BF$83,1),$BF$70:$BF$83,0)),NA())</f>
        <v>0.50542986425339365</v>
      </c>
      <c r="BJ70" s="11">
        <f>IF(LARGE(BE70:BE83,1)&gt;=0,INDEX(BE70:BE83,MATCH(LARGE(BE70:BE83,1),BE70:BE83,0)),"")</f>
        <v>210600.00599999996</v>
      </c>
      <c r="BK70" s="2"/>
      <c r="BL70" s="6"/>
      <c r="BM70" s="6"/>
      <c r="BN70" s="11">
        <v>1</v>
      </c>
      <c r="BO70" s="2"/>
      <c r="BP70" s="6">
        <f>IFERROR(INDEX($AU$70:$AU$83,MATCH(1,$BY$70:$BY$83,0)),"")</f>
        <v>0.75</v>
      </c>
      <c r="BQ70" s="6">
        <f>IFERROR(INDEX($AV$70:$AV$83,MATCH(1,$BY$70:$BY$83,0)),"")</f>
        <v>0.95993179880647905</v>
      </c>
      <c r="BR70" s="11" t="s">
        <v>316</v>
      </c>
      <c r="BS70" s="6">
        <v>0.61839999999999995</v>
      </c>
      <c r="BT70" s="6">
        <v>0.39601139601139601</v>
      </c>
      <c r="BU70" s="11">
        <f>IFERROR(INDEX($AZ$70:$AZ$83,MATCH(1,$BZ$70:$BZ$83,0)),"")</f>
        <v>962.00000000000011</v>
      </c>
      <c r="BV70" s="6"/>
      <c r="BW70" s="6">
        <f>IFERROR(INDEX($BB$70:$BB$83,MATCH(1,$CA$70:$CA$83,0)),"")</f>
        <v>0.8</v>
      </c>
      <c r="BX70" s="11">
        <f>IFERROR(INDEX($BC$70:$BC$83,MATCH(1,$CA$70:$CA$83,0)),"")</f>
        <v>451.20000000000005</v>
      </c>
      <c r="BY70" s="11" t="str">
        <f>IF(ISNUMBER(AU70),COUNT($AU$70:$AU70),"")</f>
        <v/>
      </c>
      <c r="BZ70" s="11" t="str">
        <f>IF(ISNUMBER(AX70),COUNT($AX$70:$AX70),"")</f>
        <v/>
      </c>
      <c r="CA70" s="11" t="str">
        <f>IF(ISNUMBER(BA70),COUNT($BA$70:$BA70),"")</f>
        <v/>
      </c>
      <c r="CB70" s="2"/>
      <c r="CC70" s="2"/>
      <c r="CD70" s="2"/>
      <c r="CE70" s="2"/>
      <c r="CF70" s="2"/>
      <c r="CG70" s="2"/>
      <c r="CH70" s="2"/>
      <c r="CI70" s="2"/>
      <c r="CJ70" s="2"/>
      <c r="CK70" s="2"/>
      <c r="CL70" s="2"/>
      <c r="CM70" s="2"/>
      <c r="CN70" s="2"/>
      <c r="CO70" s="2"/>
      <c r="CP70" s="2"/>
      <c r="CQ70" s="2"/>
      <c r="CR70" s="2"/>
      <c r="CS70" s="2"/>
      <c r="CT70" s="2"/>
      <c r="CU70" s="2"/>
      <c r="CV70" s="2"/>
      <c r="CW70" s="2"/>
      <c r="CX70" s="2"/>
      <c r="CY70" s="29">
        <f t="shared" ref="CY70:CY83" si="30">IF(AND(AND(Q70=1,S70="Delivery",AJ70&gt;0),AL70&gt;=0.5),1,0)</f>
        <v>0</v>
      </c>
      <c r="CZ70" s="29">
        <f t="shared" ref="CZ70:CZ83" si="31">IF(AND(AND(Q70=1,S70="Delivery",AJ70&gt;0),AL70&gt;=0.3,AL70&lt;0.5),1,0)</f>
        <v>0</v>
      </c>
      <c r="DA70" s="29">
        <f t="shared" ref="DA70:DA83" si="32">IF(AND(AND(Q70=1,S70="Delivery",AJ70&gt;0),AL70&lt;0.3),1,0)</f>
        <v>0</v>
      </c>
      <c r="DB70" s="29" t="str">
        <f>IF(CY70=1,SUM($CY$70:CY70),"")</f>
        <v/>
      </c>
      <c r="DC70" s="29" t="str">
        <f>IF(CZ70=1,SUM($CZ$70:CZ70),"")</f>
        <v/>
      </c>
      <c r="DD70" s="29" t="str">
        <f>IF(DA70=1,SUM($DA$70:DA70),"")</f>
        <v/>
      </c>
      <c r="DE70" s="29">
        <f>ref_bench_util_avg</f>
        <v>0.65</v>
      </c>
      <c r="DF70" s="29">
        <v>0</v>
      </c>
      <c r="DG70" s="29">
        <v>0</v>
      </c>
      <c r="DH70" s="29">
        <f>ref_bench_realisation</f>
        <v>0.9</v>
      </c>
      <c r="DI70" s="2"/>
      <c r="DJ70" s="29" t="e">
        <f t="shared" ref="DJ70:DJ83" si="33">IF(AND(Q70=1,S70="Delivery",AJ70&gt;0),Z70,NA())</f>
        <v>#N/A</v>
      </c>
      <c r="DK70" s="29" t="e">
        <f t="shared" ref="DK70:DK83" si="34">IF(AND(Q70=1,S70="Delivery",AJ70&gt;0),AB70,NA())</f>
        <v>#N/A</v>
      </c>
      <c r="DL70" s="29" t="e">
        <f t="shared" ref="DL70:DL83" si="35">IF(AND(Q70=1,S70="Delivery",AJ70&gt;0),SQRT(AK70)/80,NA())</f>
        <v>#N/A</v>
      </c>
      <c r="DM70" s="29" t="str">
        <f t="shared" ref="DM70:DM83" si="36">IF(AND(Q70=1,S70="Delivery",AJ70&gt;0),R70,"")</f>
        <v/>
      </c>
      <c r="DN70" s="29" t="e">
        <f t="shared" ref="DN70:DN83" si="37">IF(AND(Q70=1,S70="Delivery",AJ70&gt;0),AL70,NA())</f>
        <v>#N/A</v>
      </c>
      <c r="DO70" s="2"/>
      <c r="DP70" s="29" cm="1">
        <f t="array" ref="DP70">IFERROR(INDEX($Z$70:$Z$83,SMALL($EF$70:$EF$83,ROW()-69)),NA())</f>
        <v>0.75</v>
      </c>
      <c r="DQ70" s="29" cm="1">
        <f t="array" ref="DQ70">IFERROR(INDEX($AB$70:$AB$83,SMALL($EF$70:$EF$83,ROW()-69)),NA())</f>
        <v>0.95993179880647905</v>
      </c>
      <c r="DR70" s="29" cm="1">
        <f t="array" ref="DR70">IFERROR(INDEX($AK$70:$AK$83,SMALL($EF$70:$EF$83,ROW()-69))^0.5/80,NA())</f>
        <v>13.264143394882311</v>
      </c>
      <c r="DS70" s="29" cm="1">
        <f t="array" ref="DS70">IFERROR(INDEX($Z$70:$Z$83,SMALL($EG$70:$EG$83,ROW()-69)),NA())</f>
        <v>0.7</v>
      </c>
      <c r="DT70" s="29" cm="1">
        <f t="array" ref="DT70">IFERROR(INDEX($AB$70:$AB$83,SMALL($EG$70:$EG$83,ROW()-69)),NA())</f>
        <v>0.86000357589844456</v>
      </c>
      <c r="DU70" s="29" cm="1">
        <f t="array" ref="DU70">IFERROR(INDEX($AK$70:$AK$83,SMALL($EG$70:$EG$83,ROW()-69))^0.5/80,NA())</f>
        <v>12.260199835239229</v>
      </c>
      <c r="DV70" s="29" cm="1">
        <f t="array" ref="DV70">IFERROR(INDEX($Z$70:$Z$83,SMALL($EH$70:$EH$83,ROW()-69)),NA())</f>
        <v>0.55294117647058827</v>
      </c>
      <c r="DW70" s="29" cm="1">
        <f t="array" ref="DW70">IFERROR(INDEX($AB$70:$AB$83,SMALL($EH$70:$EH$83,ROW()-69)),NA())</f>
        <v>0.8</v>
      </c>
      <c r="DX70" s="29" cm="1">
        <f t="array" ref="DX70">IFERROR(INDEX($AK$70:$AK$83,SMALL($EH$70:$EH$83,ROW()-69))^0.5/80,NA())</f>
        <v>8.396427811873334</v>
      </c>
      <c r="DY70" s="29" t="str">
        <f t="shared" ref="DY70:DY83" si="38">IF(OR(BG70="",ISBLANK(BG70)),"",BG70)</f>
        <v>Midweight Designer</v>
      </c>
      <c r="DZ70" s="29">
        <f t="shared" ref="DZ70:DZ83" si="39">IF(OR(BG70="",ISBLANK(BG70)),NA(),BH70)</f>
        <v>0.58161789724396051</v>
      </c>
      <c r="EA70" s="29">
        <f t="shared" ref="EA70:EA83" si="40">IF(OR(BG70="",ISBLANK(BG70)),NA(),BI70)</f>
        <v>0.50542986425339365</v>
      </c>
      <c r="EB70" s="2" t="str">
        <f>IF(LARGE($BF$70:$BF$83,1)&gt;-1000000000,TEXT(INDEX($AL$70:$AL$83,MATCH(LARGE($BF$70:$BF$83,1),$BF$70:$BF$83,0)),"0.0%"),"")</f>
        <v>58.2%</v>
      </c>
      <c r="EC70" s="56" t="str" cm="1">
        <f t="array" ref="EC70">IFERROR(INDEX($R$70:$R$83,SMALL($EF$70:$EF$83,ROW()-69)),"")</f>
        <v>Senior Designer</v>
      </c>
      <c r="ED70" s="56" t="str" cm="1">
        <f t="array" ref="ED70">IFERROR(INDEX($R$70:$R$83,SMALL($EG$70:$EG$83,ROW()-69)),"")</f>
        <v>Senior Account Manager</v>
      </c>
      <c r="EE70" s="56" t="str" cm="1">
        <f t="array" ref="EE70">IFERROR(INDEX($R$70:$R$83,SMALL($EH$70:$EH$83,ROW()-69)),"")</f>
        <v>Group Account Director</v>
      </c>
      <c r="EF70" s="2" t="str">
        <f>IF(AND(Q70=1,S70="Delivery",AJ70&gt;0,AL70&gt;=0.5),ROW()-69,"")</f>
        <v/>
      </c>
      <c r="EG70" s="2" t="str">
        <f>IF(AND(Q70=1,S70="Delivery",AJ70&gt;0,AL70&gt;=0.3,AL70&lt;0.5),ROW()-69,"")</f>
        <v/>
      </c>
      <c r="EH70" s="2" t="str">
        <f>IF(AND(Q70=1,S70="Delivery",AJ70&gt;0,AL70&lt;0.3),ROW()-69,"")</f>
        <v/>
      </c>
      <c r="EI70" s="2"/>
      <c r="EJ70" s="2"/>
      <c r="EK70" s="2"/>
      <c r="EL70" s="2"/>
      <c r="EM70" s="2"/>
      <c r="EN70" s="2"/>
      <c r="EO70" s="2"/>
      <c r="EP70" s="2"/>
      <c r="EQ70" s="2"/>
      <c r="ER70" s="2"/>
      <c r="ES70" s="2"/>
      <c r="ET70" s="2"/>
      <c r="EU70" s="2"/>
      <c r="EV70" s="2"/>
      <c r="EW70" s="2"/>
      <c r="EX70" s="2"/>
      <c r="EY70" s="2"/>
      <c r="EZ70" s="2"/>
      <c r="FA70" s="2"/>
      <c r="FB70" s="2"/>
      <c r="FC70" s="48" t="str">
        <v>Developer</v>
      </c>
      <c r="FD70" s="48">
        <v>0.57984949832775912</v>
      </c>
      <c r="FE70" s="48">
        <v>0.4844091482746945</v>
      </c>
    </row>
    <row r="71" spans="1:161" ht="22" customHeight="1" x14ac:dyDescent="0.2">
      <c r="A71" s="1"/>
      <c r="B71" s="55"/>
      <c r="C71" s="55"/>
      <c r="D71" s="55"/>
      <c r="E71" s="55"/>
      <c r="F71" s="55"/>
      <c r="G71" s="55"/>
      <c r="H71" s="55"/>
      <c r="I71" s="55"/>
      <c r="J71" s="55"/>
      <c r="K71" s="55"/>
      <c r="L71" s="55"/>
      <c r="M71" s="1"/>
      <c r="N71" s="1"/>
      <c r="O71" s="2"/>
      <c r="P71" s="11">
        <v>2</v>
      </c>
      <c r="Q71" s="11">
        <f>N('Sample Roster'!$B$21)</f>
        <v>1</v>
      </c>
      <c r="R71" s="9" t="str">
        <f>'Sample Roster'!$C$21&amp;""</f>
        <v>Group Account Director</v>
      </c>
      <c r="S71" s="12" t="str">
        <f>'Sample Roster'!$D$21&amp;""</f>
        <v>Delivery</v>
      </c>
      <c r="T71" s="35">
        <f>IFERROR(N('Sample Roster'!$E$21),0)</f>
        <v>2</v>
      </c>
      <c r="U71" s="10">
        <f>IFERROR(N('Sample Roster'!$F$21),0)</f>
        <v>175000</v>
      </c>
      <c r="V71" s="6">
        <f>IFERROR(N('Sample Roster'!$G$21),0)</f>
        <v>0.185</v>
      </c>
      <c r="W71" s="10">
        <f>IFERROR(N('Sample Roster'!$H$21),0)</f>
        <v>100</v>
      </c>
      <c r="X71" s="11">
        <f>IFERROR(N('Sample Roster'!$I$21),0)</f>
        <v>1700</v>
      </c>
      <c r="Y71" s="6">
        <f>IFERROR(N('Sample Roster'!$J$21),0)</f>
        <v>0.55000000000000004</v>
      </c>
      <c r="Z71" s="6">
        <f>IFERROR(IF('Sample Roster'!$D$12=0,0,(N('Sample Roster'!$L$21)*12/'Sample Roster'!$D$12)/(X71*T71)),0)</f>
        <v>0.55294117647058827</v>
      </c>
      <c r="AA71" s="10">
        <f>IFERROR(N('Sample Roster'!$K$21),0)</f>
        <v>300</v>
      </c>
      <c r="AB71" s="6">
        <f>IFERROR(IF(OR(N('Sample Roster'!$L$21)=0,AA71=0),0,(N('Sample Roster'!$M$21)/N('Sample Roster'!$L$21))/AA71),0)</f>
        <v>0.8</v>
      </c>
      <c r="AC71" s="10">
        <f t="shared" si="3"/>
        <v>208575</v>
      </c>
      <c r="AD71" s="10">
        <f t="shared" si="4"/>
        <v>417150</v>
      </c>
      <c r="AE71" s="11">
        <f t="shared" si="5"/>
        <v>3400</v>
      </c>
      <c r="AF71" s="11">
        <f t="shared" si="6"/>
        <v>1880.0000000000002</v>
      </c>
      <c r="AG71" s="11">
        <f t="shared" si="7"/>
        <v>1870.0000000000002</v>
      </c>
      <c r="AH71" s="10">
        <f t="shared" si="8"/>
        <v>221.88829787234039</v>
      </c>
      <c r="AI71" s="10">
        <f t="shared" si="9"/>
        <v>300</v>
      </c>
      <c r="AJ71" s="10">
        <f t="shared" si="10"/>
        <v>240</v>
      </c>
      <c r="AK71" s="10">
        <f t="shared" si="11"/>
        <v>451200.00000000006</v>
      </c>
      <c r="AL71" s="6">
        <f t="shared" si="12"/>
        <v>7.5465425531915056E-2</v>
      </c>
      <c r="AM71" s="6">
        <f t="shared" si="13"/>
        <v>0.19999999999999996</v>
      </c>
      <c r="AN71" s="10">
        <f t="shared" si="14"/>
        <v>112800.00000000001</v>
      </c>
      <c r="AO71" s="6">
        <f t="shared" si="15"/>
        <v>-2.9411764705882248E-3</v>
      </c>
      <c r="AP71" s="10">
        <f t="shared" si="16"/>
        <v>0</v>
      </c>
      <c r="AQ71" s="28" t="str">
        <f t="shared" si="17"/>
        <v>FAIL</v>
      </c>
      <c r="AR71" s="6">
        <f t="shared" si="18"/>
        <v>0.5</v>
      </c>
      <c r="AS71" s="6">
        <f t="shared" si="19"/>
        <v>7.5465425531915056E-2</v>
      </c>
      <c r="AT71" s="2"/>
      <c r="AU71" s="6" t="e">
        <f t="shared" si="20"/>
        <v>#N/A</v>
      </c>
      <c r="AV71" s="6" t="e">
        <f t="shared" si="21"/>
        <v>#N/A</v>
      </c>
      <c r="AW71" s="11" t="e">
        <f t="shared" si="22"/>
        <v>#N/A</v>
      </c>
      <c r="AX71" s="6" t="e">
        <f t="shared" si="23"/>
        <v>#N/A</v>
      </c>
      <c r="AY71" s="6" t="e">
        <f t="shared" si="24"/>
        <v>#N/A</v>
      </c>
      <c r="AZ71" s="11" t="e">
        <f t="shared" si="25"/>
        <v>#N/A</v>
      </c>
      <c r="BA71" s="6">
        <f t="shared" si="26"/>
        <v>0.55294117647058827</v>
      </c>
      <c r="BB71" s="6">
        <f t="shared" si="27"/>
        <v>0.8</v>
      </c>
      <c r="BC71" s="11">
        <f t="shared" si="28"/>
        <v>451.20000000000005</v>
      </c>
      <c r="BD71" s="6">
        <f t="shared" si="29"/>
        <v>0.3009049773755656</v>
      </c>
      <c r="BE71" s="11">
        <f>IF(AND(Q71=1,S71="Delivery",AJ71&gt;0),AP71+AN71+1*0.001,-1000000000)</f>
        <v>112800.00100000002</v>
      </c>
      <c r="BF71" s="2">
        <f>IF(AND(Q71=1,S71="Delivery",AJ71&gt;0),AL71+(71-70)*0.00001,-1000000000)</f>
        <v>7.5475425531915052E-2</v>
      </c>
      <c r="BG71" s="9" t="str">
        <f>IF(LARGE($BF$70:$BF$83,2)&gt;-1000000000,INDEX($R$70:$R$83,MATCH(LARGE($BF$70:$BF$83,2),$BF$70:$BF$83,0)),"")</f>
        <v>Developer</v>
      </c>
      <c r="BH71" s="6">
        <f>IF(LARGE($BF$70:$BF$83,2)&gt;-1000000000,INDEX($AL$70:$AL$83,MATCH(LARGE($BF$70:$BF$83,2),$BF$70:$BF$83,0)),NA())</f>
        <v>0.57984949832775912</v>
      </c>
      <c r="BI71" s="6">
        <f>IF(LARGE($BF$70:$BF$83,2)&gt;-1000000000,INDEX($BD$70:$BD$83,MATCH(LARGE($BF$70:$BF$83,2),$BF$70:$BF$83,0)),NA())</f>
        <v>0.4844091482746945</v>
      </c>
      <c r="BJ71" s="11">
        <f>IF(LARGE(BE70:BE83,2)&gt;=0,INDEX(BE70:BE83,MATCH(LARGE(BE70:BE83,2),BE70:BE83,0)),"")</f>
        <v>156600.00299999994</v>
      </c>
      <c r="BK71" s="2"/>
      <c r="BL71" s="6"/>
      <c r="BM71" s="6"/>
      <c r="BN71" s="11">
        <v>1</v>
      </c>
      <c r="BO71" s="2"/>
      <c r="BP71" s="6">
        <f>IFERROR(INDEX($AU$70:$AU$83,MATCH(2,$BY$70:$BY$83,0)),"")</f>
        <v>0.72</v>
      </c>
      <c r="BQ71" s="6">
        <f>IFERROR(INDEX($AV$70:$AV$83,MATCH(2,$BY$70:$BY$83,0)),"")</f>
        <v>0.83994528043775651</v>
      </c>
      <c r="BR71" s="11" t="s">
        <v>315</v>
      </c>
      <c r="BS71" s="6">
        <v>0.43322010869565197</v>
      </c>
      <c r="BT71" s="6">
        <v>0.31697612732095498</v>
      </c>
      <c r="BU71" s="11">
        <f>IFERROR(INDEX($AZ$70:$AZ$83,MATCH(2,$BZ$70:$BZ$83,0)),"")</f>
        <v>531.20000000000005</v>
      </c>
      <c r="BV71" s="6"/>
      <c r="BW71" s="6">
        <f>IFERROR(INDEX($BB$70:$BB$83,MATCH(2,$CA$70:$CA$83,0)),"")</f>
        <v>0.82913165266106448</v>
      </c>
      <c r="BX71" s="11">
        <f>IFERROR(INDEX($BC$70:$BC$83,MATCH(2,$CA$70:$CA$83,0)),"")</f>
        <v>236.80000000000004</v>
      </c>
      <c r="BY71" s="11" t="str">
        <f>IF(ISNUMBER(AU71),COUNT($AU$70:$AU71),"")</f>
        <v/>
      </c>
      <c r="BZ71" s="11" t="str">
        <f>IF(ISNUMBER(AX71),COUNT($AX$70:$AX71),"")</f>
        <v/>
      </c>
      <c r="CA71" s="11">
        <f>IF(ISNUMBER(BA71),COUNT($BA$70:$BA71),"")</f>
        <v>1</v>
      </c>
      <c r="CB71" s="2"/>
      <c r="CC71" s="2"/>
      <c r="CD71" s="2"/>
      <c r="CE71" s="2"/>
      <c r="CF71" s="2"/>
      <c r="CG71" s="2"/>
      <c r="CH71" s="2"/>
      <c r="CI71" s="2"/>
      <c r="CJ71" s="2"/>
      <c r="CK71" s="2"/>
      <c r="CL71" s="2"/>
      <c r="CM71" s="2"/>
      <c r="CN71" s="2"/>
      <c r="CO71" s="2"/>
      <c r="CP71" s="2"/>
      <c r="CQ71" s="2"/>
      <c r="CR71" s="2"/>
      <c r="CS71" s="2"/>
      <c r="CT71" s="2"/>
      <c r="CU71" s="2"/>
      <c r="CV71" s="2"/>
      <c r="CW71" s="2"/>
      <c r="CX71" s="2"/>
      <c r="CY71" s="29">
        <f t="shared" si="30"/>
        <v>0</v>
      </c>
      <c r="CZ71" s="29">
        <f t="shared" si="31"/>
        <v>0</v>
      </c>
      <c r="DA71" s="29">
        <f t="shared" si="32"/>
        <v>1</v>
      </c>
      <c r="DB71" s="29" t="str">
        <f>IF(CY71=1,SUM($CY$70:CY71),"")</f>
        <v/>
      </c>
      <c r="DC71" s="29" t="str">
        <f>IF(CZ71=1,SUM($CZ$70:CZ71),"")</f>
        <v/>
      </c>
      <c r="DD71" s="29">
        <f>IF(DA71=1,SUM($DA$70:DA71),"")</f>
        <v>1</v>
      </c>
      <c r="DE71" s="29">
        <f>ref_bench_util_avg</f>
        <v>0.65</v>
      </c>
      <c r="DF71" s="29">
        <v>1.2</v>
      </c>
      <c r="DG71" s="29">
        <v>1</v>
      </c>
      <c r="DH71" s="29">
        <f>ref_bench_realisation</f>
        <v>0.9</v>
      </c>
      <c r="DI71" s="2"/>
      <c r="DJ71" s="29">
        <f t="shared" si="33"/>
        <v>0.55294117647058827</v>
      </c>
      <c r="DK71" s="29">
        <f t="shared" si="34"/>
        <v>0.8</v>
      </c>
      <c r="DL71" s="29">
        <f t="shared" si="35"/>
        <v>8.396427811873334</v>
      </c>
      <c r="DM71" s="29" t="str">
        <f t="shared" si="36"/>
        <v>Group Account Director</v>
      </c>
      <c r="DN71" s="29">
        <f t="shared" si="37"/>
        <v>7.5465425531915056E-2</v>
      </c>
      <c r="DO71" s="2"/>
      <c r="DP71" s="29" cm="1">
        <f t="array" ref="DP71">IFERROR(INDEX($Z$70:$Z$83,SMALL($EF$70:$EF$83,ROW()-69)),NA())</f>
        <v>0.72</v>
      </c>
      <c r="DQ71" s="29" cm="1">
        <f t="array" ref="DQ71">IFERROR(INDEX($AB$70:$AB$83,SMALL($EF$70:$EF$83,ROW()-69)),NA())</f>
        <v>0.83994528043775651</v>
      </c>
      <c r="DR71" s="29" cm="1">
        <f t="array" ref="DR71">IFERROR(INDEX($AK$70:$AK$83,SMALL($EF$70:$EF$83,ROW()-69))^0.5/80,NA())</f>
        <v>13.141061600951423</v>
      </c>
      <c r="DS71" s="29" cm="1">
        <f t="array" ref="DS71">IFERROR(INDEX($Z$70:$Z$83,SMALL($EG$70:$EG$83,ROW()-69)),NA())</f>
        <v>0.65294117647058825</v>
      </c>
      <c r="DT71" s="29" cm="1">
        <f t="array" ref="DT71">IFERROR(INDEX($AB$70:$AB$83,SMALL($EG$70:$EG$83,ROW()-69)),NA())</f>
        <v>0.92030492030492028</v>
      </c>
      <c r="DU71" s="29" cm="1">
        <f t="array" ref="DU71">IFERROR(INDEX($AK$70:$AK$83,SMALL($EG$70:$EG$83,ROW()-69))^0.5/80,NA())</f>
        <v>9.1104335791442992</v>
      </c>
      <c r="DV71" s="29" cm="1">
        <f t="array" ref="DV71">IFERROR(INDEX($Z$70:$Z$83,SMALL($EH$70:$EH$83,ROW()-69)),NA())</f>
        <v>0.6</v>
      </c>
      <c r="DW71" s="29" cm="1">
        <f t="array" ref="DW71">IFERROR(INDEX($AB$70:$AB$83,SMALL($EH$70:$EH$83,ROW()-69)),NA())</f>
        <v>0.82913165266106448</v>
      </c>
      <c r="DX71" s="29" cm="1">
        <f t="array" ref="DX71">IFERROR(INDEX($AK$70:$AK$83,SMALL($EH$70:$EH$83,ROW()-69))^0.5/80,NA())</f>
        <v>6.0827625302982202</v>
      </c>
      <c r="DY71" s="29" t="str">
        <f t="shared" si="38"/>
        <v>Developer</v>
      </c>
      <c r="DZ71" s="29">
        <f t="shared" si="39"/>
        <v>0.57984949832775912</v>
      </c>
      <c r="EA71" s="29">
        <f t="shared" si="40"/>
        <v>0.4844091482746945</v>
      </c>
      <c r="EB71" s="2" t="str">
        <f>IF(LARGE($BF$70:$BF$83,2)&gt;-1000000000,TEXT(INDEX($AL$70:$AL$83,MATCH(LARGE($BF$70:$BF$83,2),$BF$70:$BF$83,0)),"0.0%"),"")</f>
        <v>58.0%</v>
      </c>
      <c r="EC71" s="56" t="str" cm="1">
        <f t="array" ref="EC71">IFERROR(INDEX($R$70:$R$83,SMALL($EF$70:$EF$83,ROW()-69)),"")</f>
        <v>Account Manager</v>
      </c>
      <c r="ED71" s="56" t="str" cm="1">
        <f t="array" ref="ED71">IFERROR(INDEX($R$70:$R$83,SMALL($EG$70:$EG$83,ROW()-69)),"")</f>
        <v>Strategy Lead</v>
      </c>
      <c r="EE71" s="56" t="str" cm="1">
        <f t="array" ref="EE71">IFERROR(INDEX($R$70:$R$83,SMALL($EH$70:$EH$83,ROW()-69)),"")</f>
        <v>Creative Director</v>
      </c>
      <c r="EF71" s="2" t="str">
        <f t="shared" ref="EF71:EF83" si="41">IF(AND(Q71=1,S71="Delivery",AJ71&gt;0,AL71&gt;=0.5),ROW()-69,"")</f>
        <v/>
      </c>
      <c r="EG71" s="2" t="str">
        <f t="shared" ref="EG71:EG83" si="42">IF(AND(Q71=1,S71="Delivery",AJ71&gt;0,AL71&gt;=0.3,AL71&lt;0.5),ROW()-69,"")</f>
        <v/>
      </c>
      <c r="EH71" s="2">
        <f t="shared" ref="EH71:EH83" si="43">IF(AND(Q71=1,S71="Delivery",AJ71&gt;0,AL71&lt;0.3),ROW()-69,"")</f>
        <v>2</v>
      </c>
      <c r="EI71" s="2"/>
      <c r="EJ71" s="2"/>
      <c r="EK71" s="2"/>
      <c r="EL71" s="2"/>
      <c r="EM71" s="2"/>
      <c r="EN71" s="2"/>
      <c r="EO71" s="2"/>
      <c r="EP71" s="2"/>
      <c r="EQ71" s="2"/>
      <c r="ER71" s="2"/>
      <c r="ES71" s="2"/>
      <c r="ET71" s="2"/>
      <c r="EU71" s="2"/>
      <c r="EV71" s="2"/>
      <c r="EW71" s="2"/>
      <c r="EX71" s="2"/>
      <c r="EY71" s="2"/>
      <c r="EZ71" s="2"/>
      <c r="FA71" s="2"/>
      <c r="FB71" s="2"/>
      <c r="FC71" s="48" t="str">
        <v>Senior Designer</v>
      </c>
      <c r="FD71" s="48">
        <v>0.53268206039076382</v>
      </c>
      <c r="FE71" s="48">
        <v>0.42488032002098503</v>
      </c>
    </row>
    <row r="72" spans="1:161" ht="22" customHeight="1" x14ac:dyDescent="0.2">
      <c r="A72" s="1"/>
      <c r="B72" s="55"/>
      <c r="C72" s="55"/>
      <c r="D72" s="55"/>
      <c r="E72" s="55"/>
      <c r="F72" s="55"/>
      <c r="G72" s="55"/>
      <c r="H72" s="55"/>
      <c r="I72" s="55"/>
      <c r="J72" s="55"/>
      <c r="K72" s="55"/>
      <c r="L72" s="55"/>
      <c r="M72" s="1"/>
      <c r="N72" s="1"/>
      <c r="O72" s="2"/>
      <c r="P72" s="11">
        <v>3</v>
      </c>
      <c r="Q72" s="11">
        <f>N('Sample Roster'!$B$22)</f>
        <v>1</v>
      </c>
      <c r="R72" s="9" t="str">
        <f>'Sample Roster'!$C$22&amp;""</f>
        <v>Creative Director</v>
      </c>
      <c r="S72" s="12" t="str">
        <f>'Sample Roster'!$D$22&amp;""</f>
        <v>Delivery</v>
      </c>
      <c r="T72" s="35">
        <f>IFERROR(N('Sample Roster'!$E$22),0)</f>
        <v>1</v>
      </c>
      <c r="U72" s="10">
        <f>IFERROR(N('Sample Roster'!$F$22),0)</f>
        <v>165000</v>
      </c>
      <c r="V72" s="6">
        <f>IFERROR(N('Sample Roster'!$G$22),0)</f>
        <v>0.185</v>
      </c>
      <c r="W72" s="10">
        <f>IFERROR(N('Sample Roster'!$H$22),0)</f>
        <v>100</v>
      </c>
      <c r="X72" s="11">
        <f>IFERROR(N('Sample Roster'!$I$22),0)</f>
        <v>1700</v>
      </c>
      <c r="Y72" s="6">
        <f>IFERROR(N('Sample Roster'!$J$22),0)</f>
        <v>0.6</v>
      </c>
      <c r="Z72" s="6">
        <f>IFERROR(IF('Sample Roster'!$D$12=0,0,(N('Sample Roster'!$L$22)*12/'Sample Roster'!$D$12)/(X72*T72)),0)</f>
        <v>0.6</v>
      </c>
      <c r="AA72" s="10">
        <f>IFERROR(N('Sample Roster'!$K$22),0)</f>
        <v>280</v>
      </c>
      <c r="AB72" s="6">
        <f>IFERROR(IF(OR(N('Sample Roster'!$L$22)=0,AA72=0),0,(N('Sample Roster'!$M$22)/N('Sample Roster'!$L$22))/AA72),0)</f>
        <v>0.82913165266106448</v>
      </c>
      <c r="AC72" s="10">
        <f t="shared" si="3"/>
        <v>196725</v>
      </c>
      <c r="AD72" s="10">
        <f t="shared" si="4"/>
        <v>196725</v>
      </c>
      <c r="AE72" s="11">
        <f t="shared" si="5"/>
        <v>1700</v>
      </c>
      <c r="AF72" s="11">
        <f t="shared" si="6"/>
        <v>1020</v>
      </c>
      <c r="AG72" s="11">
        <f t="shared" si="7"/>
        <v>1020</v>
      </c>
      <c r="AH72" s="10">
        <f t="shared" si="8"/>
        <v>192.86764705882354</v>
      </c>
      <c r="AI72" s="10">
        <f t="shared" si="9"/>
        <v>280</v>
      </c>
      <c r="AJ72" s="10">
        <f t="shared" si="10"/>
        <v>232.15686274509807</v>
      </c>
      <c r="AK72" s="10">
        <f t="shared" si="11"/>
        <v>236800.00000000003</v>
      </c>
      <c r="AL72" s="6">
        <f t="shared" si="12"/>
        <v>0.16923564189189197</v>
      </c>
      <c r="AM72" s="6">
        <f t="shared" si="13"/>
        <v>0.17086834733893552</v>
      </c>
      <c r="AN72" s="10">
        <f t="shared" si="14"/>
        <v>48799.999999999971</v>
      </c>
      <c r="AO72" s="6">
        <f t="shared" si="15"/>
        <v>0</v>
      </c>
      <c r="AP72" s="10">
        <f t="shared" si="16"/>
        <v>0</v>
      </c>
      <c r="AQ72" s="28" t="str">
        <f t="shared" si="17"/>
        <v>FAIL</v>
      </c>
      <c r="AR72" s="6">
        <f t="shared" si="18"/>
        <v>0.5</v>
      </c>
      <c r="AS72" s="6">
        <f t="shared" si="19"/>
        <v>0.16923564189189197</v>
      </c>
      <c r="AT72" s="2"/>
      <c r="AU72" s="6" t="e">
        <f t="shared" si="20"/>
        <v>#N/A</v>
      </c>
      <c r="AV72" s="6" t="e">
        <f t="shared" si="21"/>
        <v>#N/A</v>
      </c>
      <c r="AW72" s="11" t="e">
        <f t="shared" si="22"/>
        <v>#N/A</v>
      </c>
      <c r="AX72" s="6" t="e">
        <f t="shared" si="23"/>
        <v>#N/A</v>
      </c>
      <c r="AY72" s="6" t="e">
        <f t="shared" si="24"/>
        <v>#N/A</v>
      </c>
      <c r="AZ72" s="11" t="e">
        <f t="shared" si="25"/>
        <v>#N/A</v>
      </c>
      <c r="BA72" s="6">
        <f t="shared" si="26"/>
        <v>0.6</v>
      </c>
      <c r="BB72" s="6">
        <f t="shared" si="27"/>
        <v>0.82913165266106448</v>
      </c>
      <c r="BC72" s="11">
        <f t="shared" si="28"/>
        <v>236.80000000000004</v>
      </c>
      <c r="BD72" s="6">
        <f t="shared" si="29"/>
        <v>0.29352510234863172</v>
      </c>
      <c r="BE72" s="11">
        <f>IF(AND(Q72=1,S72="Delivery",AJ72&gt;0),AP72+AN72+2*0.001,-1000000000)</f>
        <v>48800.001999999971</v>
      </c>
      <c r="BF72" s="2">
        <f>IF(AND(Q72=1,S72="Delivery",AJ72&gt;0),AL72+(72-70)*0.00001,-1000000000)</f>
        <v>0.16925564189189196</v>
      </c>
      <c r="BG72" s="9" t="str">
        <f>IF(LARGE($BF$70:$BF$83,3)&gt;-1000000000,INDEX($R$70:$R$83,MATCH(LARGE($BF$70:$BF$83,3),$BF$70:$BF$83,0)),"")</f>
        <v>Senior Designer</v>
      </c>
      <c r="BH72" s="6">
        <f>IF(LARGE($BF$70:$BF$83,3)&gt;-1000000000,INDEX($AL$70:$AL$83,MATCH(LARGE($BF$70:$BF$83,3),$BF$70:$BF$83,0)),NA())</f>
        <v>0.53268206039076382</v>
      </c>
      <c r="BI72" s="6">
        <f>IF(LARGE($BF$70:$BF$83,3)&gt;-1000000000,INDEX($BD$70:$BD$83,MATCH(LARGE($BF$70:$BF$83,3),$BF$70:$BF$83,0)),NA())</f>
        <v>0.42488032002098503</v>
      </c>
      <c r="BJ72" s="11">
        <f>IF(LARGE(BE70:BE83,3)&gt;=0,INDEX(BE70:BE83,MATCH(LARGE(BE70:BE83,3),BE70:BE83,0)),"")</f>
        <v>125600.01000000002</v>
      </c>
      <c r="BK72" s="2"/>
      <c r="BL72" s="6"/>
      <c r="BM72" s="6"/>
      <c r="BN72" s="11">
        <v>1</v>
      </c>
      <c r="BO72" s="2"/>
      <c r="BP72" s="6">
        <f>IFERROR(INDEX($AU$70:$AU$83,MATCH(3,$BY$70:$BY$83,0)),"")</f>
        <v>0.76</v>
      </c>
      <c r="BQ72" s="6">
        <f>IFERROR(INDEX($AV$70:$AV$83,MATCH(3,$BY$70:$BY$83,0)),"")</f>
        <v>0.90990712074303404</v>
      </c>
      <c r="BR72" s="11" t="s">
        <v>301</v>
      </c>
      <c r="BS72" s="6">
        <v>0.41603260869565201</v>
      </c>
      <c r="BT72" s="6">
        <v>0.30426055426055398</v>
      </c>
      <c r="BU72" s="11">
        <f>IFERROR(INDEX($AZ$70:$AZ$83,MATCH(3,$BZ$70:$BZ$83,0)),"")</f>
        <v>445.6</v>
      </c>
      <c r="BV72" s="6"/>
      <c r="BW72" s="6" t="str">
        <f>IFERROR(INDEX($BB$70:$BB$83,MATCH(3,$CA$70:$CA$83,0)),"")</f>
        <v/>
      </c>
      <c r="BX72" s="11" t="str">
        <f>IFERROR(INDEX($BC$70:$BC$83,MATCH(3,$CA$70:$CA$83,0)),"")</f>
        <v/>
      </c>
      <c r="BY72" s="11" t="str">
        <f>IF(ISNUMBER(AU72),COUNT($AU$70:$AU72),"")</f>
        <v/>
      </c>
      <c r="BZ72" s="11" t="str">
        <f>IF(ISNUMBER(AX72),COUNT($AX$70:$AX72),"")</f>
        <v/>
      </c>
      <c r="CA72" s="11">
        <f>IF(ISNUMBER(BA72),COUNT($BA$70:$BA72),"")</f>
        <v>2</v>
      </c>
      <c r="CB72" s="2"/>
      <c r="CC72" s="2"/>
      <c r="CD72" s="2"/>
      <c r="CE72" s="2"/>
      <c r="CF72" s="2"/>
      <c r="CG72" s="2"/>
      <c r="CH72" s="2"/>
      <c r="CI72" s="2"/>
      <c r="CJ72" s="2"/>
      <c r="CK72" s="2"/>
      <c r="CL72" s="2"/>
      <c r="CM72" s="2"/>
      <c r="CN72" s="2"/>
      <c r="CO72" s="2"/>
      <c r="CP72" s="2"/>
      <c r="CQ72" s="2"/>
      <c r="CR72" s="2"/>
      <c r="CS72" s="2"/>
      <c r="CT72" s="2"/>
      <c r="CU72" s="2"/>
      <c r="CV72" s="2"/>
      <c r="CW72" s="2"/>
      <c r="CX72" s="2"/>
      <c r="CY72" s="29">
        <f t="shared" si="30"/>
        <v>0</v>
      </c>
      <c r="CZ72" s="29">
        <f t="shared" si="31"/>
        <v>0</v>
      </c>
      <c r="DA72" s="29">
        <f t="shared" si="32"/>
        <v>1</v>
      </c>
      <c r="DB72" s="29" t="str">
        <f>IF(CY72=1,SUM($CY$70:CY72),"")</f>
        <v/>
      </c>
      <c r="DC72" s="29" t="str">
        <f>IF(CZ72=1,SUM($CZ$70:CZ72),"")</f>
        <v/>
      </c>
      <c r="DD72" s="29">
        <f>IF(DA72=1,SUM($DA$70:DA72),"")</f>
        <v>2</v>
      </c>
      <c r="DE72" s="2"/>
      <c r="DF72" s="2"/>
      <c r="DG72" s="2"/>
      <c r="DH72" s="2"/>
      <c r="DI72" s="2"/>
      <c r="DJ72" s="29">
        <f t="shared" si="33"/>
        <v>0.6</v>
      </c>
      <c r="DK72" s="29">
        <f t="shared" si="34"/>
        <v>0.82913165266106448</v>
      </c>
      <c r="DL72" s="29">
        <f t="shared" si="35"/>
        <v>6.0827625302982202</v>
      </c>
      <c r="DM72" s="29" t="str">
        <f t="shared" si="36"/>
        <v>Creative Director</v>
      </c>
      <c r="DN72" s="29">
        <f t="shared" si="37"/>
        <v>0.16923564189189197</v>
      </c>
      <c r="DO72" s="2"/>
      <c r="DP72" s="29" cm="1">
        <f t="array" ref="DP72">IFERROR(INDEX($Z$70:$Z$83,SMALL($EF$70:$EF$83,ROW()-69)),NA())</f>
        <v>0.76</v>
      </c>
      <c r="DQ72" s="29" cm="1">
        <f t="array" ref="DQ72">IFERROR(INDEX($AB$70:$AB$83,SMALL($EF$70:$EF$83,ROW()-69)),NA())</f>
        <v>0.90990712074303404</v>
      </c>
      <c r="DR72" s="29" cm="1">
        <f t="array" ref="DR72">IFERROR(INDEX($AK$70:$AK$83,SMALL($EF$70:$EF$83,ROW()-69))^0.5/80,NA())</f>
        <v>13.553136168429798</v>
      </c>
      <c r="DS72" s="29" cm="1">
        <f t="array" ref="DS72">IFERROR(INDEX($Z$70:$Z$83,SMALL($EG$70:$EG$83,ROW()-69)),NA())</f>
        <v>0.7</v>
      </c>
      <c r="DT72" s="29" cm="1">
        <f t="array" ref="DT72">IFERROR(INDEX($AB$70:$AB$83,SMALL($EG$70:$EG$83,ROW()-69)),NA())</f>
        <v>0.78011204481792717</v>
      </c>
      <c r="DU72" s="29" cm="1">
        <f t="array" ref="DU72">IFERROR(INDEX($AK$70:$AK$83,SMALL($EG$70:$EG$83,ROW()-69))^0.5/80,NA())</f>
        <v>8.3441596341393183</v>
      </c>
      <c r="DV72" s="29" t="e" cm="1">
        <f t="array" ref="DV72">IFERROR(INDEX($Z$70:$Z$83,SMALL($EH$70:$EH$83,ROW()-69)),NA())</f>
        <v>#N/A</v>
      </c>
      <c r="DW72" s="29" t="e" cm="1">
        <f t="array" ref="DW72">IFERROR(INDEX($AB$70:$AB$83,SMALL($EH$70:$EH$83,ROW()-69)),NA())</f>
        <v>#N/A</v>
      </c>
      <c r="DX72" s="29" t="e" cm="1">
        <f t="array" ref="DX72">IFERROR(INDEX($AK$70:$AK$83,SMALL($EH$70:$EH$83,ROW()-69))^0.5/80,NA())</f>
        <v>#N/A</v>
      </c>
      <c r="DY72" s="29" t="str">
        <f t="shared" si="38"/>
        <v>Senior Designer</v>
      </c>
      <c r="DZ72" s="29">
        <f t="shared" si="39"/>
        <v>0.53268206039076382</v>
      </c>
      <c r="EA72" s="29">
        <f t="shared" si="40"/>
        <v>0.42488032002098503</v>
      </c>
      <c r="EB72" s="2" t="str">
        <f>IF(LARGE($BF$70:$BF$83,3)&gt;-1000000000,TEXT(INDEX($AL$70:$AL$83,MATCH(LARGE($BF$70:$BF$83,3),$BF$70:$BF$83,0)),"0.0%"),"")</f>
        <v>53.3%</v>
      </c>
      <c r="EC72" s="56" t="str" cm="1">
        <f t="array" ref="EC72">IFERROR(INDEX($R$70:$R$83,SMALL($EF$70:$EF$83,ROW()-69)),"")</f>
        <v>Midweight Designer</v>
      </c>
      <c r="ED72" s="56" t="str" cm="1">
        <f t="array" ref="ED72">IFERROR(INDEX($R$70:$R$83,SMALL($EG$70:$EG$83,ROW()-69)),"")</f>
        <v>Junior Designer</v>
      </c>
      <c r="EE72" s="56" t="str" cm="1">
        <f t="array" ref="EE72">IFERROR(INDEX($R$70:$R$83,SMALL($EH$70:$EH$83,ROW()-69)),"")</f>
        <v/>
      </c>
      <c r="EF72" s="2" t="str">
        <f t="shared" si="41"/>
        <v/>
      </c>
      <c r="EG72" s="2" t="str">
        <f t="shared" si="42"/>
        <v/>
      </c>
      <c r="EH72" s="2">
        <f t="shared" si="43"/>
        <v>3</v>
      </c>
      <c r="EI72" s="2"/>
      <c r="EJ72" s="2"/>
      <c r="EK72" s="2"/>
      <c r="EL72" s="2"/>
      <c r="EM72" s="2"/>
      <c r="EN72" s="2"/>
      <c r="EO72" s="2"/>
      <c r="EP72" s="2"/>
      <c r="EQ72" s="2"/>
      <c r="ER72" s="2"/>
      <c r="ES72" s="2"/>
      <c r="ET72" s="2"/>
      <c r="EU72" s="2"/>
      <c r="EV72" s="2"/>
      <c r="EW72" s="2"/>
      <c r="EX72" s="2"/>
      <c r="EY72" s="2"/>
      <c r="EZ72" s="2"/>
      <c r="FA72" s="2"/>
      <c r="FB72" s="2"/>
      <c r="FC72" s="48" t="str">
        <v>Account Manager</v>
      </c>
      <c r="FD72" s="48">
        <v>0.5228013029315961</v>
      </c>
      <c r="FE72" s="48">
        <v>0.50668210038935069</v>
      </c>
    </row>
    <row r="73" spans="1:161" ht="22" customHeight="1" x14ac:dyDescent="0.2">
      <c r="A73" s="1"/>
      <c r="B73" s="55"/>
      <c r="C73" s="55"/>
      <c r="D73" s="55"/>
      <c r="E73" s="55"/>
      <c r="F73" s="55"/>
      <c r="G73" s="55"/>
      <c r="H73" s="55"/>
      <c r="I73" s="55"/>
      <c r="J73" s="55"/>
      <c r="K73" s="55"/>
      <c r="L73" s="55"/>
      <c r="M73" s="1"/>
      <c r="N73" s="1"/>
      <c r="O73" s="2"/>
      <c r="P73" s="11">
        <v>4</v>
      </c>
      <c r="Q73" s="11">
        <f>N('Sample Roster'!$B$23)</f>
        <v>1</v>
      </c>
      <c r="R73" s="9" t="str">
        <f>'Sample Roster'!$C$23&amp;""</f>
        <v>Senior Account Manager</v>
      </c>
      <c r="S73" s="12" t="str">
        <f>'Sample Roster'!$D$23&amp;""</f>
        <v>Delivery</v>
      </c>
      <c r="T73" s="35">
        <f>IFERROR(N('Sample Roster'!$E$23),0)</f>
        <v>4</v>
      </c>
      <c r="U73" s="10">
        <f>IFERROR(N('Sample Roster'!$F$23),0)</f>
        <v>115000</v>
      </c>
      <c r="V73" s="6">
        <f>IFERROR(N('Sample Roster'!$G$23),0)</f>
        <v>0.185</v>
      </c>
      <c r="W73" s="10">
        <f>IFERROR(N('Sample Roster'!$H$23),0)</f>
        <v>100</v>
      </c>
      <c r="X73" s="11">
        <f>IFERROR(N('Sample Roster'!$I$23),0)</f>
        <v>1700</v>
      </c>
      <c r="Y73" s="6">
        <f>IFERROR(N('Sample Roster'!$J$23),0)</f>
        <v>0.7</v>
      </c>
      <c r="Z73" s="6">
        <f>IFERROR(IF('Sample Roster'!$D$12=0,0,(N('Sample Roster'!$L$23)*12/'Sample Roster'!$D$12)/(X73*T73)),0)</f>
        <v>0.7</v>
      </c>
      <c r="AA73" s="10">
        <f>IFERROR(N('Sample Roster'!$K$23),0)</f>
        <v>235</v>
      </c>
      <c r="AB73" s="6">
        <f>IFERROR(IF(OR(N('Sample Roster'!$L$23)=0,AA73=0),0,(N('Sample Roster'!$M$23)/N('Sample Roster'!$L$23))/AA73),0)</f>
        <v>0.86000357589844456</v>
      </c>
      <c r="AC73" s="10">
        <f t="shared" si="3"/>
        <v>137475</v>
      </c>
      <c r="AD73" s="10">
        <f t="shared" si="4"/>
        <v>549900</v>
      </c>
      <c r="AE73" s="11">
        <f t="shared" si="5"/>
        <v>6800</v>
      </c>
      <c r="AF73" s="11">
        <f t="shared" si="6"/>
        <v>4760</v>
      </c>
      <c r="AG73" s="11">
        <f t="shared" si="7"/>
        <v>4760</v>
      </c>
      <c r="AH73" s="10">
        <f t="shared" si="8"/>
        <v>115.52521008403362</v>
      </c>
      <c r="AI73" s="10">
        <f t="shared" si="9"/>
        <v>235</v>
      </c>
      <c r="AJ73" s="10">
        <f t="shared" si="10"/>
        <v>202.10084033613447</v>
      </c>
      <c r="AK73" s="10">
        <f t="shared" si="11"/>
        <v>962000.00000000012</v>
      </c>
      <c r="AL73" s="6">
        <f t="shared" si="12"/>
        <v>0.42837837837837839</v>
      </c>
      <c r="AM73" s="6">
        <f t="shared" si="13"/>
        <v>0.13999642410155544</v>
      </c>
      <c r="AN73" s="10">
        <f t="shared" si="14"/>
        <v>156599.99999999994</v>
      </c>
      <c r="AO73" s="6">
        <f t="shared" si="15"/>
        <v>0</v>
      </c>
      <c r="AP73" s="10">
        <f t="shared" si="16"/>
        <v>0</v>
      </c>
      <c r="AQ73" s="28" t="str">
        <f t="shared" si="17"/>
        <v>WARN</v>
      </c>
      <c r="AR73" s="6">
        <f t="shared" si="18"/>
        <v>0.5</v>
      </c>
      <c r="AS73" s="6">
        <f t="shared" si="19"/>
        <v>0.42837837837837839</v>
      </c>
      <c r="AT73" s="2"/>
      <c r="AU73" s="6" t="e">
        <f t="shared" si="20"/>
        <v>#N/A</v>
      </c>
      <c r="AV73" s="6" t="e">
        <f t="shared" si="21"/>
        <v>#N/A</v>
      </c>
      <c r="AW73" s="11" t="e">
        <f t="shared" si="22"/>
        <v>#N/A</v>
      </c>
      <c r="AX73" s="6">
        <f t="shared" si="23"/>
        <v>0.7</v>
      </c>
      <c r="AY73" s="6">
        <f t="shared" si="24"/>
        <v>0.86000357589844456</v>
      </c>
      <c r="AZ73" s="11">
        <f t="shared" si="25"/>
        <v>962.00000000000011</v>
      </c>
      <c r="BA73" s="6" t="e">
        <f t="shared" si="26"/>
        <v>#N/A</v>
      </c>
      <c r="BB73" s="6" t="e">
        <f t="shared" si="27"/>
        <v>#N/A</v>
      </c>
      <c r="BC73" s="11" t="e">
        <f t="shared" si="28"/>
        <v>#N/A</v>
      </c>
      <c r="BD73" s="6">
        <f t="shared" si="29"/>
        <v>0.41176470588235298</v>
      </c>
      <c r="BE73" s="11">
        <f>IF(AND(Q73=1,S73="Delivery",AJ73&gt;0),AP73+AN73+3*0.001,-1000000000)</f>
        <v>156600.00299999994</v>
      </c>
      <c r="BF73" s="2">
        <f>IF(AND(Q73=1,S73="Delivery",AJ73&gt;0),AL73+(73-70)*0.00001,-1000000000)</f>
        <v>0.42840837837837836</v>
      </c>
      <c r="BG73" s="9" t="str">
        <f>IF(LARGE($BF$70:$BF$83,4)&gt;-1000000000,INDEX($R$70:$R$83,MATCH(LARGE($BF$70:$BF$83,4),$BF$70:$BF$83,0)),"")</f>
        <v>Account Manager</v>
      </c>
      <c r="BH73" s="6">
        <f>IF(LARGE($BF$70:$BF$83,4)&gt;-1000000000,INDEX($AL$70:$AL$83,MATCH(LARGE($BF$70:$BF$83,4),$BF$70:$BF$83,0)),NA())</f>
        <v>0.5228013029315961</v>
      </c>
      <c r="BI73" s="6">
        <f>IF(LARGE($BF$70:$BF$83,4)&gt;-1000000000,INDEX($BD$70:$BD$83,MATCH(LARGE($BF$70:$BF$83,4),$BF$70:$BF$83,0)),NA())</f>
        <v>0.50668210038935069</v>
      </c>
      <c r="BJ73" s="11">
        <f>IF(LARGE(BE70:BE83,4)&gt;=0,INDEX(BE70:BE83,MATCH(LARGE(BE70:BE83,4),BE70:BE83,0)),"")</f>
        <v>116400.00700000003</v>
      </c>
      <c r="BK73" s="2"/>
      <c r="BL73" s="6"/>
      <c r="BM73" s="6"/>
      <c r="BN73" s="11">
        <v>1</v>
      </c>
      <c r="BO73" s="2"/>
      <c r="BP73" s="6">
        <f>IFERROR(INDEX($AU$70:$AU$83,MATCH(4,$BY$70:$BY$83,0)),"")</f>
        <v>0.68</v>
      </c>
      <c r="BQ73" s="6">
        <f>IFERROR(INDEX($AV$70:$AV$83,MATCH(4,$BY$70:$BY$83,0)),"")</f>
        <v>0.93974844839896743</v>
      </c>
      <c r="BR73" s="11" t="s">
        <v>317</v>
      </c>
      <c r="BS73" s="6">
        <v>0.39980769230769198</v>
      </c>
      <c r="BT73" s="6">
        <v>0.40721747388414098</v>
      </c>
      <c r="BU73" s="11">
        <f>IFERROR(INDEX($AZ$70:$AZ$83,MATCH(4,$BZ$70:$BZ$83,0)),"")</f>
        <v>404.8</v>
      </c>
      <c r="BV73" s="6"/>
      <c r="BW73" s="6" t="str">
        <f>IFERROR(INDEX($BB$70:$BB$83,MATCH(4,$CA$70:$CA$83,0)),"")</f>
        <v/>
      </c>
      <c r="BX73" s="11" t="str">
        <f>IFERROR(INDEX($BC$70:$BC$83,MATCH(4,$CA$70:$CA$83,0)),"")</f>
        <v/>
      </c>
      <c r="BY73" s="11" t="str">
        <f>IF(ISNUMBER(AU73),COUNT($AU$70:$AU73),"")</f>
        <v/>
      </c>
      <c r="BZ73" s="11">
        <f>IF(ISNUMBER(AX73),COUNT($AX$70:$AX73),"")</f>
        <v>1</v>
      </c>
      <c r="CA73" s="11" t="str">
        <f>IF(ISNUMBER(BA73),COUNT($BA$70:$BA73),"")</f>
        <v/>
      </c>
      <c r="CB73" s="2"/>
      <c r="CC73" s="2"/>
      <c r="CD73" s="2"/>
      <c r="CE73" s="2"/>
      <c r="CF73" s="2"/>
      <c r="CG73" s="2"/>
      <c r="CH73" s="2"/>
      <c r="CI73" s="2"/>
      <c r="CJ73" s="2"/>
      <c r="CK73" s="2"/>
      <c r="CL73" s="2"/>
      <c r="CM73" s="2"/>
      <c r="CN73" s="2"/>
      <c r="CO73" s="2"/>
      <c r="CP73" s="2"/>
      <c r="CQ73" s="2"/>
      <c r="CR73" s="2"/>
      <c r="CS73" s="2"/>
      <c r="CT73" s="2"/>
      <c r="CU73" s="2"/>
      <c r="CV73" s="2"/>
      <c r="CW73" s="2"/>
      <c r="CX73" s="2"/>
      <c r="CY73" s="29">
        <f t="shared" si="30"/>
        <v>0</v>
      </c>
      <c r="CZ73" s="29">
        <f t="shared" si="31"/>
        <v>1</v>
      </c>
      <c r="DA73" s="29">
        <f t="shared" si="32"/>
        <v>0</v>
      </c>
      <c r="DB73" s="29" t="str">
        <f>IF(CY73=1,SUM($CY$70:CY73),"")</f>
        <v/>
      </c>
      <c r="DC73" s="29">
        <f>IF(CZ73=1,SUM($CZ$70:CZ73),"")</f>
        <v>1</v>
      </c>
      <c r="DD73" s="29" t="str">
        <f>IF(DA73=1,SUM($DA$70:DA73),"")</f>
        <v/>
      </c>
      <c r="DE73" s="2"/>
      <c r="DF73" s="2"/>
      <c r="DG73" s="2"/>
      <c r="DH73" s="2"/>
      <c r="DI73" s="2"/>
      <c r="DJ73" s="29">
        <f t="shared" si="33"/>
        <v>0.7</v>
      </c>
      <c r="DK73" s="29">
        <f t="shared" si="34"/>
        <v>0.86000357589844456</v>
      </c>
      <c r="DL73" s="29">
        <f t="shared" si="35"/>
        <v>12.260199835239229</v>
      </c>
      <c r="DM73" s="29" t="str">
        <f t="shared" si="36"/>
        <v>Senior Account Manager</v>
      </c>
      <c r="DN73" s="29">
        <f t="shared" si="37"/>
        <v>0.42837837837837839</v>
      </c>
      <c r="DO73" s="2"/>
      <c r="DP73" s="29" cm="1">
        <f t="array" ref="DP73">IFERROR(INDEX($Z$70:$Z$83,SMALL($EF$70:$EF$83,ROW()-69)),NA())</f>
        <v>0.68</v>
      </c>
      <c r="DQ73" s="29" cm="1">
        <f t="array" ref="DQ73">IFERROR(INDEX($AB$70:$AB$83,SMALL($EF$70:$EF$83,ROW()-69)),NA())</f>
        <v>0.93974844839896743</v>
      </c>
      <c r="DR73" s="29" cm="1">
        <f t="array" ref="DR73">IFERROR(INDEX($AK$70:$AK$83,SMALL($EF$70:$EF$83,ROW()-69))^0.5/80,NA())</f>
        <v>10.34105893997322</v>
      </c>
      <c r="DS73" s="29" cm="1">
        <f t="array" ref="DS73">IFERROR(INDEX($Z$70:$Z$83,SMALL($EG$70:$EG$83,ROW()-69)),NA())</f>
        <v>0.66</v>
      </c>
      <c r="DT73" s="29" cm="1">
        <f t="array" ref="DT73">IFERROR(INDEX($AB$70:$AB$83,SMALL($EG$70:$EG$83,ROW()-69)),NA())</f>
        <v>0.81996434937611418</v>
      </c>
      <c r="DU73" s="29" cm="1">
        <f t="array" ref="DU73">IFERROR(INDEX($AK$70:$AK$83,SMALL($EG$70:$EG$83,ROW()-69))^0.5/80,NA())</f>
        <v>7.952986860293433</v>
      </c>
      <c r="DV73" s="29" t="e" cm="1">
        <f t="array" ref="DV73">IFERROR(INDEX($Z$70:$Z$83,SMALL($EH$70:$EH$83,ROW()-69)),NA())</f>
        <v>#N/A</v>
      </c>
      <c r="DW73" s="29" t="e" cm="1">
        <f t="array" ref="DW73">IFERROR(INDEX($AB$70:$AB$83,SMALL($EH$70:$EH$83,ROW()-69)),NA())</f>
        <v>#N/A</v>
      </c>
      <c r="DX73" s="29" t="e" cm="1">
        <f t="array" ref="DX73">IFERROR(INDEX($AK$70:$AK$83,SMALL($EH$70:$EH$83,ROW()-69))^0.5/80,NA())</f>
        <v>#N/A</v>
      </c>
      <c r="DY73" s="29" t="str">
        <f t="shared" si="38"/>
        <v>Account Manager</v>
      </c>
      <c r="DZ73" s="29">
        <f t="shared" si="39"/>
        <v>0.5228013029315961</v>
      </c>
      <c r="EA73" s="29">
        <f t="shared" si="40"/>
        <v>0.50668210038935069</v>
      </c>
      <c r="EB73" s="2" t="str">
        <f>IF(LARGE($BF$70:$BF$83,4)&gt;-1000000000,TEXT(INDEX($AL$70:$AL$83,MATCH(LARGE($BF$70:$BF$83,4),$BF$70:$BF$83,0)),"0.0%"),"")</f>
        <v>52.3%</v>
      </c>
      <c r="EC73" s="56" t="str" cm="1">
        <f t="array" ref="EC73">IFERROR(INDEX($R$70:$R$83,SMALL($EF$70:$EF$83,ROW()-69)),"")</f>
        <v>Digital Strategist</v>
      </c>
      <c r="ED73" s="56" t="str" cm="1">
        <f t="array" ref="ED73">IFERROR(INDEX($R$70:$R$83,SMALL($EG$70:$EG$83,ROW()-69)),"")</f>
        <v>Account Executive</v>
      </c>
      <c r="EE73" s="56" t="str" cm="1">
        <f t="array" ref="EE73">IFERROR(INDEX($R$70:$R$83,SMALL($EH$70:$EH$83,ROW()-69)),"")</f>
        <v/>
      </c>
      <c r="EF73" s="2" t="str">
        <f t="shared" si="41"/>
        <v/>
      </c>
      <c r="EG73" s="2">
        <f t="shared" si="42"/>
        <v>4</v>
      </c>
      <c r="EH73" s="2" t="str">
        <f t="shared" si="43"/>
        <v/>
      </c>
      <c r="EI73" s="2"/>
      <c r="EJ73" s="2"/>
      <c r="EK73" s="2"/>
      <c r="EL73" s="2"/>
      <c r="EM73" s="2"/>
      <c r="EN73" s="2"/>
      <c r="EO73" s="2"/>
      <c r="EP73" s="2"/>
      <c r="EQ73" s="2"/>
      <c r="ER73" s="2"/>
      <c r="ES73" s="2"/>
      <c r="ET73" s="2"/>
      <c r="EU73" s="2"/>
      <c r="EV73" s="2"/>
      <c r="EW73" s="2"/>
      <c r="EX73" s="2"/>
      <c r="EY73" s="2"/>
      <c r="EZ73" s="2"/>
      <c r="FA73" s="2"/>
      <c r="FB73" s="2"/>
      <c r="FC73" s="48" t="str">
        <v>Digital Strategist</v>
      </c>
      <c r="FD73" s="48">
        <v>0.50127849210987729</v>
      </c>
      <c r="FE73" s="48">
        <v>0.45521798462974933</v>
      </c>
    </row>
    <row r="74" spans="1:161" ht="22" customHeight="1" x14ac:dyDescent="0.2">
      <c r="A74" s="1"/>
      <c r="B74" s="55"/>
      <c r="C74" s="55"/>
      <c r="D74" s="55"/>
      <c r="E74" s="55"/>
      <c r="F74" s="55"/>
      <c r="G74" s="55"/>
      <c r="H74" s="55"/>
      <c r="I74" s="55"/>
      <c r="J74" s="55"/>
      <c r="K74" s="55"/>
      <c r="L74" s="55"/>
      <c r="M74" s="1"/>
      <c r="N74" s="1"/>
      <c r="O74" s="2"/>
      <c r="P74" s="11">
        <v>5</v>
      </c>
      <c r="Q74" s="11">
        <f>N('Sample Roster'!$B$24)</f>
        <v>1</v>
      </c>
      <c r="R74" s="9" t="str">
        <f>'Sample Roster'!$C$24&amp;""</f>
        <v>Strategy Lead</v>
      </c>
      <c r="S74" s="12" t="str">
        <f>'Sample Roster'!$D$24&amp;""</f>
        <v>Delivery</v>
      </c>
      <c r="T74" s="35">
        <f>IFERROR(N('Sample Roster'!$E$24),0)</f>
        <v>2</v>
      </c>
      <c r="U74" s="10">
        <f>IFERROR(N('Sample Roster'!$F$24),0)</f>
        <v>140000</v>
      </c>
      <c r="V74" s="6">
        <f>IFERROR(N('Sample Roster'!$G$24),0)</f>
        <v>0.185</v>
      </c>
      <c r="W74" s="10">
        <f>IFERROR(N('Sample Roster'!$H$24),0)</f>
        <v>100</v>
      </c>
      <c r="X74" s="11">
        <f>IFERROR(N('Sample Roster'!$I$24),0)</f>
        <v>1700</v>
      </c>
      <c r="Y74" s="6">
        <f>IFERROR(N('Sample Roster'!$J$24),0)</f>
        <v>0.65</v>
      </c>
      <c r="Z74" s="6">
        <f>IFERROR(IF('Sample Roster'!$D$12=0,0,(N('Sample Roster'!$L$24)*12/'Sample Roster'!$D$12)/(X74*T74)),0)</f>
        <v>0.65294117647058825</v>
      </c>
      <c r="AA74" s="10">
        <f>IFERROR(N('Sample Roster'!$K$24),0)</f>
        <v>260</v>
      </c>
      <c r="AB74" s="6">
        <f>IFERROR(IF(OR(N('Sample Roster'!$L$24)=0,AA74=0),0,(N('Sample Roster'!$M$24)/N('Sample Roster'!$L$24))/AA74),0)</f>
        <v>0.92030492030492028</v>
      </c>
      <c r="AC74" s="10">
        <f t="shared" si="3"/>
        <v>167100</v>
      </c>
      <c r="AD74" s="10">
        <f t="shared" si="4"/>
        <v>334200</v>
      </c>
      <c r="AE74" s="11">
        <f t="shared" si="5"/>
        <v>3400</v>
      </c>
      <c r="AF74" s="11">
        <f t="shared" si="6"/>
        <v>2220</v>
      </c>
      <c r="AG74" s="11">
        <f t="shared" si="7"/>
        <v>2210</v>
      </c>
      <c r="AH74" s="10">
        <f t="shared" si="8"/>
        <v>150.54054054054055</v>
      </c>
      <c r="AI74" s="10">
        <f t="shared" si="9"/>
        <v>260</v>
      </c>
      <c r="AJ74" s="10">
        <f t="shared" si="10"/>
        <v>239.27927927927928</v>
      </c>
      <c r="AK74" s="10">
        <f t="shared" si="11"/>
        <v>531200</v>
      </c>
      <c r="AL74" s="6">
        <f t="shared" si="12"/>
        <v>0.37085843373493971</v>
      </c>
      <c r="AM74" s="6">
        <f t="shared" si="13"/>
        <v>7.9695079695079718E-2</v>
      </c>
      <c r="AN74" s="10">
        <f t="shared" si="14"/>
        <v>46000</v>
      </c>
      <c r="AO74" s="6">
        <f t="shared" si="15"/>
        <v>-2.9411764705882248E-3</v>
      </c>
      <c r="AP74" s="10">
        <f t="shared" si="16"/>
        <v>0</v>
      </c>
      <c r="AQ74" s="28" t="str">
        <f t="shared" si="17"/>
        <v>WARN</v>
      </c>
      <c r="AR74" s="6">
        <f t="shared" si="18"/>
        <v>0.5</v>
      </c>
      <c r="AS74" s="6">
        <f t="shared" si="19"/>
        <v>0.37085843373493971</v>
      </c>
      <c r="AT74" s="2"/>
      <c r="AU74" s="6" t="e">
        <f t="shared" si="20"/>
        <v>#N/A</v>
      </c>
      <c r="AV74" s="6" t="e">
        <f t="shared" si="21"/>
        <v>#N/A</v>
      </c>
      <c r="AW74" s="11" t="e">
        <f t="shared" si="22"/>
        <v>#N/A</v>
      </c>
      <c r="AX74" s="6">
        <f t="shared" si="23"/>
        <v>0.65294117647058825</v>
      </c>
      <c r="AY74" s="6">
        <f t="shared" si="24"/>
        <v>0.92030492030492028</v>
      </c>
      <c r="AZ74" s="11">
        <f t="shared" si="25"/>
        <v>531.20000000000005</v>
      </c>
      <c r="BA74" s="6" t="e">
        <f t="shared" si="26"/>
        <v>#N/A</v>
      </c>
      <c r="BB74" s="6" t="e">
        <f t="shared" si="27"/>
        <v>#N/A</v>
      </c>
      <c r="BC74" s="11" t="e">
        <f t="shared" si="28"/>
        <v>#N/A</v>
      </c>
      <c r="BD74" s="6">
        <f t="shared" si="29"/>
        <v>0.35375333565378819</v>
      </c>
      <c r="BE74" s="11">
        <f>IF(AND(Q74=1,S74="Delivery",AJ74&gt;0),AP74+AN74+4*0.001,-1000000000)</f>
        <v>46000.004000000001</v>
      </c>
      <c r="BF74" s="2">
        <f>IF(AND(Q74=1,S74="Delivery",AJ74&gt;0),AL74+(74-70)*0.00001,-1000000000)</f>
        <v>0.37089843373493969</v>
      </c>
      <c r="BG74" s="9" t="str">
        <f>IF(LARGE($BF$70:$BF$83,5)&gt;-1000000000,INDEX($R$70:$R$83,MATCH(LARGE($BF$70:$BF$83,5),$BF$70:$BF$83,0)),"")</f>
        <v>Digital Strategist</v>
      </c>
      <c r="BH74" s="6">
        <f>IF(LARGE($BF$70:$BF$83,5)&gt;-1000000000,INDEX($AL$70:$AL$83,MATCH(LARGE($BF$70:$BF$83,5),$BF$70:$BF$83,0)),NA())</f>
        <v>0.50127849210987729</v>
      </c>
      <c r="BI74" s="6">
        <f>IF(LARGE($BF$70:$BF$83,5)&gt;-1000000000,INDEX($BD$70:$BD$83,MATCH(LARGE($BF$70:$BF$83,5),$BF$70:$BF$83,0)),NA())</f>
        <v>0.45521798462974933</v>
      </c>
      <c r="BJ74" s="11">
        <f>IF(LARGE(BE70:BE83,5)&gt;=0,INDEX(BE70:BE83,MATCH(LARGE(BE70:BE83,5),BE70:BE83,0)),"")</f>
        <v>112800.00100000002</v>
      </c>
      <c r="BK74" s="2"/>
      <c r="BL74" s="2"/>
      <c r="BM74" s="2"/>
      <c r="BN74" s="2"/>
      <c r="BO74" s="2"/>
      <c r="BP74" s="6">
        <f>IFERROR(INDEX($AU$70:$AU$83,MATCH(5,$BY$70:$BY$83,0)),"")</f>
        <v>0.74</v>
      </c>
      <c r="BQ74" s="6">
        <f>IFERROR(INDEX($AV$70:$AV$83,MATCH(5,$BY$70:$BY$83,0)),"")</f>
        <v>0.97011777684046596</v>
      </c>
      <c r="BR74" s="11" t="s">
        <v>302</v>
      </c>
      <c r="BS74" s="6">
        <v>0.28457317073170701</v>
      </c>
      <c r="BT74" s="6">
        <v>0.36328856328856302</v>
      </c>
      <c r="BU74" s="11" t="str">
        <f>IFERROR(INDEX($AZ$70:$AZ$83,MATCH(5,$BZ$70:$BZ$83,0)),"")</f>
        <v/>
      </c>
      <c r="BV74" s="6" t="str">
        <f>IFERROR(INDEX($BA$70:$BA$83,MATCH(5,$CA$70:$CA$83,0)),"")</f>
        <v/>
      </c>
      <c r="BW74" s="6" t="str">
        <f>IFERROR(INDEX($BB$70:$BB$83,MATCH(5,$CA$70:$CA$83,0)),"")</f>
        <v/>
      </c>
      <c r="BX74" s="11" t="str">
        <f>IFERROR(INDEX($BC$70:$BC$83,MATCH(5,$CA$70:$CA$83,0)),"")</f>
        <v/>
      </c>
      <c r="BY74" s="11" t="str">
        <f>IF(ISNUMBER(AU74),COUNT($AU$70:$AU74),"")</f>
        <v/>
      </c>
      <c r="BZ74" s="11">
        <f>IF(ISNUMBER(AX74),COUNT($AX$70:$AX74),"")</f>
        <v>2</v>
      </c>
      <c r="CA74" s="11" t="str">
        <f>IF(ISNUMBER(BA74),COUNT($BA$70:$BA74),"")</f>
        <v/>
      </c>
      <c r="CB74" s="2"/>
      <c r="CC74" s="2"/>
      <c r="CD74" s="2"/>
      <c r="CE74" s="2"/>
      <c r="CF74" s="2"/>
      <c r="CG74" s="2"/>
      <c r="CH74" s="2"/>
      <c r="CI74" s="2"/>
      <c r="CJ74" s="2"/>
      <c r="CK74" s="2"/>
      <c r="CL74" s="2"/>
      <c r="CM74" s="2"/>
      <c r="CN74" s="2"/>
      <c r="CO74" s="2"/>
      <c r="CP74" s="2"/>
      <c r="CQ74" s="2"/>
      <c r="CR74" s="2"/>
      <c r="CS74" s="2"/>
      <c r="CT74" s="2"/>
      <c r="CU74" s="2"/>
      <c r="CV74" s="2"/>
      <c r="CW74" s="2"/>
      <c r="CX74" s="2"/>
      <c r="CY74" s="29">
        <f t="shared" si="30"/>
        <v>0</v>
      </c>
      <c r="CZ74" s="29">
        <f t="shared" si="31"/>
        <v>1</v>
      </c>
      <c r="DA74" s="29">
        <f t="shared" si="32"/>
        <v>0</v>
      </c>
      <c r="DB74" s="29" t="str">
        <f>IF(CY74=1,SUM($CY$70:CY74),"")</f>
        <v/>
      </c>
      <c r="DC74" s="29">
        <f>IF(CZ74=1,SUM($CZ$70:CZ74),"")</f>
        <v>2</v>
      </c>
      <c r="DD74" s="29" t="str">
        <f>IF(DA74=1,SUM($DA$70:DA74),"")</f>
        <v/>
      </c>
      <c r="DE74" s="2"/>
      <c r="DF74" s="2"/>
      <c r="DG74" s="2"/>
      <c r="DH74" s="2"/>
      <c r="DI74" s="2"/>
      <c r="DJ74" s="29">
        <f t="shared" si="33"/>
        <v>0.65294117647058825</v>
      </c>
      <c r="DK74" s="29">
        <f t="shared" si="34"/>
        <v>0.92030492030492028</v>
      </c>
      <c r="DL74" s="29">
        <f t="shared" si="35"/>
        <v>9.1104335791442992</v>
      </c>
      <c r="DM74" s="29" t="str">
        <f t="shared" si="36"/>
        <v>Strategy Lead</v>
      </c>
      <c r="DN74" s="29">
        <f t="shared" si="37"/>
        <v>0.37085843373493971</v>
      </c>
      <c r="DO74" s="2"/>
      <c r="DP74" s="29" cm="1">
        <f t="array" ref="DP74">IFERROR(INDEX($Z$70:$Z$83,SMALL($EF$70:$EF$83,ROW()-69)),NA())</f>
        <v>0.74</v>
      </c>
      <c r="DQ74" s="29" cm="1">
        <f t="array" ref="DQ74">IFERROR(INDEX($AB$70:$AB$83,SMALL($EF$70:$EF$83,ROW()-69)),NA())</f>
        <v>0.97011777684046596</v>
      </c>
      <c r="DR74" s="29" cm="1">
        <f t="array" ref="DR74">IFERROR(INDEX($AK$70:$AK$83,SMALL($EF$70:$EF$83,ROW()-69))^0.5/80,NA())</f>
        <v>13.670223114492316</v>
      </c>
      <c r="DS74" s="29" t="e" cm="1">
        <f t="array" ref="DS74">IFERROR(INDEX($Z$70:$Z$83,SMALL($EG$70:$EG$83,ROW()-69)),NA())</f>
        <v>#N/A</v>
      </c>
      <c r="DT74" s="29" t="e" cm="1">
        <f t="array" ref="DT74">IFERROR(INDEX($AB$70:$AB$83,SMALL($EG$70:$EG$83,ROW()-69)),NA())</f>
        <v>#N/A</v>
      </c>
      <c r="DU74" s="29" t="e" cm="1">
        <f t="array" ref="DU74">IFERROR(INDEX($AK$70:$AK$83,SMALL($EG$70:$EG$83,ROW()-69))^0.5/80,NA())</f>
        <v>#N/A</v>
      </c>
      <c r="DV74" s="29" t="e" cm="1">
        <f t="array" ref="DV74">IFERROR(INDEX($Z$70:$Z$83,SMALL($EH$70:$EH$83,ROW()-69)),NA())</f>
        <v>#N/A</v>
      </c>
      <c r="DW74" s="29" t="e" cm="1">
        <f t="array" ref="DW74">IFERROR(INDEX($AB$70:$AB$83,SMALL($EH$70:$EH$83,ROW()-69)),NA())</f>
        <v>#N/A</v>
      </c>
      <c r="DX74" s="29" t="e" cm="1">
        <f t="array" ref="DX74">IFERROR(INDEX($AK$70:$AK$83,SMALL($EH$70:$EH$83,ROW()-69))^0.5/80,NA())</f>
        <v>#N/A</v>
      </c>
      <c r="DY74" s="29" t="str">
        <f t="shared" si="38"/>
        <v>Digital Strategist</v>
      </c>
      <c r="DZ74" s="29">
        <f t="shared" si="39"/>
        <v>0.50127849210987729</v>
      </c>
      <c r="EA74" s="29">
        <f t="shared" si="40"/>
        <v>0.45521798462974933</v>
      </c>
      <c r="EB74" s="2" t="str">
        <f>IF(LARGE($BF$70:$BF$83,5)&gt;-1000000000,TEXT(INDEX($AL$70:$AL$83,MATCH(LARGE($BF$70:$BF$83,5),$BF$70:$BF$83,0)),"0.0%"),"")</f>
        <v>50.1%</v>
      </c>
      <c r="EC74" s="56" t="str" cm="1">
        <f t="array" ref="EC74">IFERROR(INDEX($R$70:$R$83,SMALL($EF$70:$EF$83,ROW()-69)),"")</f>
        <v>Developer</v>
      </c>
      <c r="ED74" s="56" t="str" cm="1">
        <f t="array" ref="ED74">IFERROR(INDEX($R$70:$R$83,SMALL($EG$70:$EG$83,ROW()-69)),"")</f>
        <v/>
      </c>
      <c r="EE74" s="56" t="str" cm="1">
        <f t="array" ref="EE74">IFERROR(INDEX($R$70:$R$83,SMALL($EH$70:$EH$83,ROW()-69)),"")</f>
        <v/>
      </c>
      <c r="EF74" s="2" t="str">
        <f t="shared" si="41"/>
        <v/>
      </c>
      <c r="EG74" s="2">
        <f t="shared" si="42"/>
        <v>5</v>
      </c>
      <c r="EH74" s="2" t="str">
        <f t="shared" si="43"/>
        <v/>
      </c>
      <c r="EI74" s="2"/>
      <c r="EJ74" s="2"/>
      <c r="EK74" s="2"/>
      <c r="EL74" s="2"/>
      <c r="EM74" s="2"/>
      <c r="EN74" s="2"/>
      <c r="EO74" s="2"/>
      <c r="EP74" s="2"/>
      <c r="EQ74" s="2"/>
      <c r="ER74" s="2"/>
      <c r="ES74" s="2"/>
      <c r="ET74" s="2"/>
      <c r="EU74" s="2"/>
      <c r="EV74" s="2"/>
      <c r="EW74" s="2"/>
      <c r="EX74" s="2"/>
      <c r="EY74" s="2"/>
      <c r="EZ74" s="2"/>
      <c r="FA74" s="2"/>
      <c r="FB74" s="2"/>
      <c r="FC74" s="48" t="str">
        <v>Senior Account Manager</v>
      </c>
      <c r="FD74" s="48">
        <v>0.42837837837837839</v>
      </c>
      <c r="FE74" s="48">
        <v>0.41176470588235298</v>
      </c>
    </row>
    <row r="75" spans="1:161" ht="22" customHeight="1" x14ac:dyDescent="0.2">
      <c r="A75" s="1"/>
      <c r="B75" s="55"/>
      <c r="C75" s="55"/>
      <c r="D75" s="55"/>
      <c r="E75" s="55"/>
      <c r="F75" s="55"/>
      <c r="G75" s="55"/>
      <c r="H75" s="55"/>
      <c r="I75" s="55"/>
      <c r="J75" s="55"/>
      <c r="K75" s="55"/>
      <c r="L75" s="55"/>
      <c r="M75" s="1"/>
      <c r="N75" s="1"/>
      <c r="O75" s="2"/>
      <c r="P75" s="11">
        <v>6</v>
      </c>
      <c r="Q75" s="11">
        <f>N('Sample Roster'!$B$25)</f>
        <v>1</v>
      </c>
      <c r="R75" s="9" t="str">
        <f>'Sample Roster'!$C$25&amp;""</f>
        <v>Senior Designer</v>
      </c>
      <c r="S75" s="12" t="str">
        <f>'Sample Roster'!$D$25&amp;""</f>
        <v>Delivery</v>
      </c>
      <c r="T75" s="35">
        <f>IFERROR(N('Sample Roster'!$E$25),0)</f>
        <v>4</v>
      </c>
      <c r="U75" s="10">
        <f>IFERROR(N('Sample Roster'!$F$25),0)</f>
        <v>110000</v>
      </c>
      <c r="V75" s="6">
        <f>IFERROR(N('Sample Roster'!$G$25),0)</f>
        <v>0.185</v>
      </c>
      <c r="W75" s="10">
        <f>IFERROR(N('Sample Roster'!$H$25),0)</f>
        <v>100</v>
      </c>
      <c r="X75" s="11">
        <f>IFERROR(N('Sample Roster'!$I$25),0)</f>
        <v>1700</v>
      </c>
      <c r="Y75" s="6">
        <f>IFERROR(N('Sample Roster'!$J$25),0)</f>
        <v>0.75</v>
      </c>
      <c r="Z75" s="6">
        <f>IFERROR(IF('Sample Roster'!$D$12=0,0,(N('Sample Roster'!$L$25)*12/'Sample Roster'!$D$12)/(X75*T75)),0)</f>
        <v>0.75</v>
      </c>
      <c r="AA75" s="10">
        <f>IFERROR(N('Sample Roster'!$K$25),0)</f>
        <v>230</v>
      </c>
      <c r="AB75" s="6">
        <f>IFERROR(IF(OR(N('Sample Roster'!$L$25)=0,AA75=0),0,(N('Sample Roster'!$M$25)/N('Sample Roster'!$L$25))/AA75),0)</f>
        <v>0.95993179880647905</v>
      </c>
      <c r="AC75" s="10">
        <f t="shared" si="3"/>
        <v>131550</v>
      </c>
      <c r="AD75" s="10">
        <f t="shared" si="4"/>
        <v>526200</v>
      </c>
      <c r="AE75" s="11">
        <f t="shared" si="5"/>
        <v>6800</v>
      </c>
      <c r="AF75" s="11">
        <f t="shared" si="6"/>
        <v>5100</v>
      </c>
      <c r="AG75" s="11">
        <f t="shared" si="7"/>
        <v>5100</v>
      </c>
      <c r="AH75" s="10">
        <f t="shared" si="8"/>
        <v>103.17647058823529</v>
      </c>
      <c r="AI75" s="10">
        <f t="shared" si="9"/>
        <v>230</v>
      </c>
      <c r="AJ75" s="10">
        <f t="shared" si="10"/>
        <v>220.78431372549019</v>
      </c>
      <c r="AK75" s="10">
        <f t="shared" si="11"/>
        <v>1126000</v>
      </c>
      <c r="AL75" s="6">
        <f t="shared" si="12"/>
        <v>0.53268206039076382</v>
      </c>
      <c r="AM75" s="6">
        <f t="shared" si="13"/>
        <v>4.0068201193520947E-2</v>
      </c>
      <c r="AN75" s="10">
        <f t="shared" si="14"/>
        <v>47000.000000000015</v>
      </c>
      <c r="AO75" s="6">
        <f t="shared" si="15"/>
        <v>0</v>
      </c>
      <c r="AP75" s="10">
        <f t="shared" si="16"/>
        <v>0</v>
      </c>
      <c r="AQ75" s="28" t="str">
        <f t="shared" si="17"/>
        <v>PASS</v>
      </c>
      <c r="AR75" s="6">
        <f t="shared" si="18"/>
        <v>0.5</v>
      </c>
      <c r="AS75" s="6">
        <f t="shared" si="19"/>
        <v>0.53268206039076382</v>
      </c>
      <c r="AT75" s="2"/>
      <c r="AU75" s="6">
        <f t="shared" si="20"/>
        <v>0.75</v>
      </c>
      <c r="AV75" s="6">
        <f t="shared" si="21"/>
        <v>0.95993179880647905</v>
      </c>
      <c r="AW75" s="11">
        <f t="shared" si="22"/>
        <v>1126</v>
      </c>
      <c r="AX75" s="6" t="e">
        <f t="shared" si="23"/>
        <v>#N/A</v>
      </c>
      <c r="AY75" s="6" t="e">
        <f t="shared" si="24"/>
        <v>#N/A</v>
      </c>
      <c r="AZ75" s="11" t="e">
        <f t="shared" si="25"/>
        <v>#N/A</v>
      </c>
      <c r="BA75" s="6" t="e">
        <f t="shared" si="26"/>
        <v>#N/A</v>
      </c>
      <c r="BB75" s="6" t="e">
        <f t="shared" si="27"/>
        <v>#N/A</v>
      </c>
      <c r="BC75" s="11" t="e">
        <f t="shared" si="28"/>
        <v>#N/A</v>
      </c>
      <c r="BD75" s="6">
        <f t="shared" si="29"/>
        <v>0.42488032002098503</v>
      </c>
      <c r="BE75" s="11">
        <f>IF(AND(Q75=1,S75="Delivery",AJ75&gt;0),AP75+AN75+5*0.001,-1000000000)</f>
        <v>47000.005000000012</v>
      </c>
      <c r="BF75" s="2">
        <f>IF(AND(Q75=1,S75="Delivery",AJ75&gt;0),AL75+(75-70)*0.00001,-1000000000)</f>
        <v>0.53273206039076382</v>
      </c>
      <c r="BG75" s="9" t="str">
        <f>IF(LARGE($BF$70:$BF$83,6)&gt;-1000000000,INDEX($R$70:$R$83,MATCH(LARGE($BF$70:$BF$83,6),$BF$70:$BF$83,0)),"")</f>
        <v>Senior Account Manager</v>
      </c>
      <c r="BH75" s="6">
        <f>IF(LARGE($BF$70:$BF$83,6)&gt;-1000000000,INDEX($AL$70:$AL$83,MATCH(LARGE($BF$70:$BF$83,6),$BF$70:$BF$83,0)),NA())</f>
        <v>0.42837837837837839</v>
      </c>
      <c r="BI75" s="6">
        <f>IF(LARGE($BF$70:$BF$83,6)&gt;-1000000000,INDEX($BD$70:$BD$83,MATCH(LARGE($BF$70:$BF$83,6),$BF$70:$BF$83,0)),NA())</f>
        <v>0.41176470588235298</v>
      </c>
      <c r="BJ75" s="11">
        <f>IF(LARGE(BE70:BE83,6)&gt;=0,INDEX(BE70:BE83,MATCH(LARGE(BE70:BE83,6),BE70:BE83,0)),"")</f>
        <v>88880.010999999969</v>
      </c>
      <c r="BK75" s="2"/>
      <c r="BL75" s="2"/>
      <c r="BM75" s="2"/>
      <c r="BN75" s="2"/>
      <c r="BO75" s="2"/>
      <c r="BP75" s="6" t="str">
        <f>IFERROR(INDEX($AU$70:$AU$83,MATCH(6,$BY$70:$BY$83,0)),"")</f>
        <v/>
      </c>
      <c r="BQ75" s="6" t="str">
        <f>IFERROR(INDEX($AV$70:$AV$83,MATCH(6,$BY$70:$BY$83,0)),"")</f>
        <v/>
      </c>
      <c r="BR75" s="11" t="s">
        <v>264</v>
      </c>
      <c r="BS75" s="6">
        <v>-0.50267857142857197</v>
      </c>
      <c r="BT75" s="6">
        <v>0.38527284681130802</v>
      </c>
      <c r="BU75" s="11" t="str">
        <f>IFERROR(INDEX($AZ$70:$AZ$83,MATCH(6,$BZ$70:$BZ$83,0)),"")</f>
        <v/>
      </c>
      <c r="BV75" s="6" t="str">
        <f>IFERROR(INDEX($BA$70:$BA$83,MATCH(6,$CA$70:$CA$83,0)),"")</f>
        <v/>
      </c>
      <c r="BW75" s="6" t="str">
        <f>IFERROR(INDEX($BB$70:$BB$83,MATCH(6,$CA$70:$CA$83,0)),"")</f>
        <v/>
      </c>
      <c r="BX75" s="11" t="str">
        <f>IFERROR(INDEX($BC$70:$BC$83,MATCH(6,$CA$70:$CA$83,0)),"")</f>
        <v/>
      </c>
      <c r="BY75" s="11">
        <f>IF(ISNUMBER(AU75),COUNT($AU$70:$AU75),"")</f>
        <v>1</v>
      </c>
      <c r="BZ75" s="11" t="str">
        <f>IF(ISNUMBER(AX75),COUNT($AX$70:$AX75),"")</f>
        <v/>
      </c>
      <c r="CA75" s="11" t="str">
        <f>IF(ISNUMBER(BA75),COUNT($BA$70:$BA75),"")</f>
        <v/>
      </c>
      <c r="CB75" s="2"/>
      <c r="CC75" s="2"/>
      <c r="CD75" s="2"/>
      <c r="CE75" s="2"/>
      <c r="CF75" s="2"/>
      <c r="CG75" s="2"/>
      <c r="CH75" s="2"/>
      <c r="CI75" s="2"/>
      <c r="CJ75" s="2"/>
      <c r="CK75" s="2"/>
      <c r="CL75" s="2"/>
      <c r="CM75" s="2"/>
      <c r="CN75" s="2"/>
      <c r="CO75" s="2"/>
      <c r="CP75" s="2"/>
      <c r="CQ75" s="2"/>
      <c r="CR75" s="2"/>
      <c r="CS75" s="2"/>
      <c r="CT75" s="2"/>
      <c r="CU75" s="2"/>
      <c r="CV75" s="2"/>
      <c r="CW75" s="2"/>
      <c r="CX75" s="2"/>
      <c r="CY75" s="29">
        <f t="shared" si="30"/>
        <v>1</v>
      </c>
      <c r="CZ75" s="29">
        <f t="shared" si="31"/>
        <v>0</v>
      </c>
      <c r="DA75" s="29">
        <f t="shared" si="32"/>
        <v>0</v>
      </c>
      <c r="DB75" s="29">
        <f>IF(CY75=1,SUM($CY$70:CY75),"")</f>
        <v>1</v>
      </c>
      <c r="DC75" s="29" t="str">
        <f>IF(CZ75=1,SUM($CZ$70:CZ75),"")</f>
        <v/>
      </c>
      <c r="DD75" s="29" t="str">
        <f>IF(DA75=1,SUM($DA$70:DA75),"")</f>
        <v/>
      </c>
      <c r="DE75" s="2"/>
      <c r="DF75" s="2"/>
      <c r="DG75" s="2"/>
      <c r="DH75" s="2"/>
      <c r="DI75" s="2"/>
      <c r="DJ75" s="29">
        <f t="shared" si="33"/>
        <v>0.75</v>
      </c>
      <c r="DK75" s="29">
        <f t="shared" si="34"/>
        <v>0.95993179880647905</v>
      </c>
      <c r="DL75" s="29">
        <f t="shared" si="35"/>
        <v>13.264143394882311</v>
      </c>
      <c r="DM75" s="29" t="str">
        <f t="shared" si="36"/>
        <v>Senior Designer</v>
      </c>
      <c r="DN75" s="29">
        <f t="shared" si="37"/>
        <v>0.53268206039076382</v>
      </c>
      <c r="DO75" s="2"/>
      <c r="DP75" s="29" t="e" cm="1">
        <f t="array" ref="DP75">IFERROR(INDEX($Z$70:$Z$83,SMALL($EF$70:$EF$83,ROW()-69)),NA())</f>
        <v>#N/A</v>
      </c>
      <c r="DQ75" s="29" t="e" cm="1">
        <f t="array" ref="DQ75">IFERROR(INDEX($AB$70:$AB$83,SMALL($EF$70:$EF$83,ROW()-69)),NA())</f>
        <v>#N/A</v>
      </c>
      <c r="DR75" s="29" t="e" cm="1">
        <f t="array" ref="DR75">IFERROR(INDEX($AK$70:$AK$83,SMALL($EF$70:$EF$83,ROW()-69))^0.5/80,NA())</f>
        <v>#N/A</v>
      </c>
      <c r="DS75" s="29" t="e" cm="1">
        <f t="array" ref="DS75">IFERROR(INDEX($Z$70:$Z$83,SMALL($EG$70:$EG$83,ROW()-69)),NA())</f>
        <v>#N/A</v>
      </c>
      <c r="DT75" s="29" t="e" cm="1">
        <f t="array" ref="DT75">IFERROR(INDEX($AB$70:$AB$83,SMALL($EG$70:$EG$83,ROW()-69)),NA())</f>
        <v>#N/A</v>
      </c>
      <c r="DU75" s="29" t="e" cm="1">
        <f t="array" ref="DU75">IFERROR(INDEX($AK$70:$AK$83,SMALL($EG$70:$EG$83,ROW()-69))^0.5/80,NA())</f>
        <v>#N/A</v>
      </c>
      <c r="DV75" s="29" t="e" cm="1">
        <f t="array" ref="DV75">IFERROR(INDEX($Z$70:$Z$83,SMALL($EH$70:$EH$83,ROW()-69)),NA())</f>
        <v>#N/A</v>
      </c>
      <c r="DW75" s="29" t="e" cm="1">
        <f t="array" ref="DW75">IFERROR(INDEX($AB$70:$AB$83,SMALL($EH$70:$EH$83,ROW()-69)),NA())</f>
        <v>#N/A</v>
      </c>
      <c r="DX75" s="29" t="e" cm="1">
        <f t="array" ref="DX75">IFERROR(INDEX($AK$70:$AK$83,SMALL($EH$70:$EH$83,ROW()-69))^0.5/80,NA())</f>
        <v>#N/A</v>
      </c>
      <c r="DY75" s="29" t="str">
        <f t="shared" si="38"/>
        <v>Senior Account Manager</v>
      </c>
      <c r="DZ75" s="29">
        <f t="shared" si="39"/>
        <v>0.42837837837837839</v>
      </c>
      <c r="EA75" s="29">
        <f t="shared" si="40"/>
        <v>0.41176470588235298</v>
      </c>
      <c r="EB75" s="2" t="str">
        <f>IF(LARGE($BF$70:$BF$83,6)&gt;-1000000000,TEXT(INDEX($AL$70:$AL$83,MATCH(LARGE($BF$70:$BF$83,6),$BF$70:$BF$83,0)),"0.0%"),"")</f>
        <v>42.8%</v>
      </c>
      <c r="EC75" s="56" t="str" cm="1">
        <f t="array" ref="EC75">IFERROR(INDEX($R$70:$R$83,SMALL($EF$70:$EF$83,ROW()-69)),"")</f>
        <v/>
      </c>
      <c r="ED75" s="56" t="str" cm="1">
        <f t="array" ref="ED75">IFERROR(INDEX($R$70:$R$83,SMALL($EG$70:$EG$83,ROW()-69)),"")</f>
        <v/>
      </c>
      <c r="EE75" s="56" t="str" cm="1">
        <f t="array" ref="EE75">IFERROR(INDEX($R$70:$R$83,SMALL($EH$70:$EH$83,ROW()-69)),"")</f>
        <v/>
      </c>
      <c r="EF75" s="2">
        <f t="shared" si="41"/>
        <v>6</v>
      </c>
      <c r="EG75" s="2" t="str">
        <f t="shared" si="42"/>
        <v/>
      </c>
      <c r="EH75" s="2" t="str">
        <f t="shared" si="43"/>
        <v/>
      </c>
      <c r="EI75" s="2"/>
      <c r="EJ75" s="2"/>
      <c r="EK75" s="2"/>
      <c r="EL75" s="2"/>
      <c r="EM75" s="2"/>
      <c r="EN75" s="2"/>
      <c r="EO75" s="2"/>
      <c r="EP75" s="2"/>
      <c r="EQ75" s="2"/>
      <c r="ER75" s="2"/>
      <c r="ES75" s="2"/>
      <c r="ET75" s="2"/>
      <c r="EU75" s="2"/>
      <c r="EV75" s="2"/>
      <c r="EW75" s="2"/>
      <c r="EX75" s="2"/>
      <c r="EY75" s="2"/>
      <c r="EZ75" s="2"/>
      <c r="FA75" s="2"/>
      <c r="FB75" s="2"/>
      <c r="FC75" s="48" t="str">
        <v>Strategy Lead</v>
      </c>
      <c r="FD75" s="48">
        <v>0.37085843373493971</v>
      </c>
      <c r="FE75" s="48">
        <v>0.35375333565378819</v>
      </c>
    </row>
    <row r="76" spans="1:161" ht="22" customHeight="1" x14ac:dyDescent="0.2">
      <c r="A76" s="1"/>
      <c r="B76" s="55"/>
      <c r="C76" s="55"/>
      <c r="D76" s="55"/>
      <c r="E76" s="55"/>
      <c r="F76" s="55"/>
      <c r="G76" s="55"/>
      <c r="H76" s="55"/>
      <c r="I76" s="55"/>
      <c r="J76" s="55"/>
      <c r="K76" s="55"/>
      <c r="L76" s="55"/>
      <c r="M76" s="1"/>
      <c r="N76" s="1"/>
      <c r="O76" s="2"/>
      <c r="P76" s="11">
        <v>7</v>
      </c>
      <c r="Q76" s="11">
        <f>N('Sample Roster'!$B$26)</f>
        <v>1</v>
      </c>
      <c r="R76" s="9" t="str">
        <f>'Sample Roster'!$C$26&amp;""</f>
        <v>Account Manager</v>
      </c>
      <c r="S76" s="12" t="str">
        <f>'Sample Roster'!$D$26&amp;""</f>
        <v>Delivery</v>
      </c>
      <c r="T76" s="35">
        <f>IFERROR(N('Sample Roster'!$E$26),0)</f>
        <v>5</v>
      </c>
      <c r="U76" s="10">
        <f>IFERROR(N('Sample Roster'!$F$26),0)</f>
        <v>88000</v>
      </c>
      <c r="V76" s="6">
        <f>IFERROR(N('Sample Roster'!$G$26),0)</f>
        <v>0.185</v>
      </c>
      <c r="W76" s="10">
        <f>IFERROR(N('Sample Roster'!$H$26),0)</f>
        <v>100</v>
      </c>
      <c r="X76" s="11">
        <f>IFERROR(N('Sample Roster'!$I$26),0)</f>
        <v>1700</v>
      </c>
      <c r="Y76" s="6">
        <f>IFERROR(N('Sample Roster'!$J$26),0)</f>
        <v>0.72</v>
      </c>
      <c r="Z76" s="6">
        <f>IFERROR(IF('Sample Roster'!$D$12=0,0,(N('Sample Roster'!$L$26)*12/'Sample Roster'!$D$12)/(X76*T76)),0)</f>
        <v>0.72</v>
      </c>
      <c r="AA76" s="10">
        <f>IFERROR(N('Sample Roster'!$K$26),0)</f>
        <v>215</v>
      </c>
      <c r="AB76" s="6">
        <f>IFERROR(IF(OR(N('Sample Roster'!$L$26)=0,AA76=0),0,(N('Sample Roster'!$M$26)/N('Sample Roster'!$L$26))/AA76),0)</f>
        <v>0.83994528043775651</v>
      </c>
      <c r="AC76" s="10">
        <f t="shared" si="3"/>
        <v>105480</v>
      </c>
      <c r="AD76" s="10">
        <f t="shared" si="4"/>
        <v>527400</v>
      </c>
      <c r="AE76" s="11">
        <f t="shared" si="5"/>
        <v>8500</v>
      </c>
      <c r="AF76" s="11">
        <f t="shared" si="6"/>
        <v>6120</v>
      </c>
      <c r="AG76" s="11">
        <f t="shared" si="7"/>
        <v>6120</v>
      </c>
      <c r="AH76" s="10">
        <f t="shared" si="8"/>
        <v>86.17647058823529</v>
      </c>
      <c r="AI76" s="10">
        <f t="shared" si="9"/>
        <v>215</v>
      </c>
      <c r="AJ76" s="10">
        <f t="shared" si="10"/>
        <v>180.58823529411765</v>
      </c>
      <c r="AK76" s="10">
        <f t="shared" si="11"/>
        <v>1105200</v>
      </c>
      <c r="AL76" s="6">
        <f t="shared" si="12"/>
        <v>0.5228013029315961</v>
      </c>
      <c r="AM76" s="6">
        <f t="shared" si="13"/>
        <v>0.16005471956224349</v>
      </c>
      <c r="AN76" s="10">
        <f t="shared" si="14"/>
        <v>210599.99999999997</v>
      </c>
      <c r="AO76" s="6">
        <f t="shared" si="15"/>
        <v>0</v>
      </c>
      <c r="AP76" s="10">
        <f t="shared" si="16"/>
        <v>0</v>
      </c>
      <c r="AQ76" s="28" t="str">
        <f t="shared" si="17"/>
        <v>PASS</v>
      </c>
      <c r="AR76" s="6">
        <f t="shared" si="18"/>
        <v>0.5</v>
      </c>
      <c r="AS76" s="6">
        <f t="shared" si="19"/>
        <v>0.5228013029315961</v>
      </c>
      <c r="AT76" s="2"/>
      <c r="AU76" s="6">
        <f t="shared" si="20"/>
        <v>0.72</v>
      </c>
      <c r="AV76" s="6">
        <f t="shared" si="21"/>
        <v>0.83994528043775651</v>
      </c>
      <c r="AW76" s="11">
        <f t="shared" si="22"/>
        <v>1105.2</v>
      </c>
      <c r="AX76" s="6" t="e">
        <f t="shared" si="23"/>
        <v>#N/A</v>
      </c>
      <c r="AY76" s="6" t="e">
        <f t="shared" si="24"/>
        <v>#N/A</v>
      </c>
      <c r="AZ76" s="11" t="e">
        <f t="shared" si="25"/>
        <v>#N/A</v>
      </c>
      <c r="BA76" s="6" t="e">
        <f t="shared" si="26"/>
        <v>#N/A</v>
      </c>
      <c r="BB76" s="6" t="e">
        <f t="shared" si="27"/>
        <v>#N/A</v>
      </c>
      <c r="BC76" s="11" t="e">
        <f t="shared" si="28"/>
        <v>#N/A</v>
      </c>
      <c r="BD76" s="6">
        <f t="shared" si="29"/>
        <v>0.50668210038935069</v>
      </c>
      <c r="BE76" s="11">
        <f>IF(AND(Q76=1,S76="Delivery",AJ76&gt;0),AP76+AN76+6*0.001,-1000000000)</f>
        <v>210600.00599999996</v>
      </c>
      <c r="BF76" s="2">
        <f>IF(AND(Q76=1,S76="Delivery",AJ76&gt;0),AL76+(76-70)*0.00001,-1000000000)</f>
        <v>0.52286130293159605</v>
      </c>
      <c r="BG76" s="9" t="str">
        <f>IF(LARGE($BF$70:$BF$83,7)&gt;-1000000000,INDEX($R$70:$R$83,MATCH(LARGE($BF$70:$BF$83,7),$BF$70:$BF$83,0)),"")</f>
        <v>Strategy Lead</v>
      </c>
      <c r="BH76" s="6">
        <f>IF(LARGE($BF$70:$BF$83,7)&gt;-1000000000,INDEX($AL$70:$AL$83,MATCH(LARGE($BF$70:$BF$83,7),$BF$70:$BF$83,0)),NA())</f>
        <v>0.37085843373493971</v>
      </c>
      <c r="BI76" s="6">
        <f>IF(LARGE($BF$70:$BF$83,7)&gt;-1000000000,INDEX($BD$70:$BD$83,MATCH(LARGE($BF$70:$BF$83,7),$BF$70:$BF$83,0)),NA())</f>
        <v>0.35375333565378819</v>
      </c>
      <c r="BJ76" s="11">
        <f>IF(LARGE(BE70:BE83,7)&gt;=0,INDEX(BE70:BE83,MATCH(LARGE(BE70:BE83,7),BE70:BE83,0)),"")</f>
        <v>48800.001999999971</v>
      </c>
      <c r="BK76" s="2"/>
      <c r="BL76" s="2"/>
      <c r="BM76" s="2"/>
      <c r="BN76" s="2"/>
      <c r="BO76" s="2"/>
      <c r="BP76" s="6" t="str">
        <f>IFERROR(INDEX($AU$70:$AU$83,MATCH(7,$BY$70:$BY$83,0)),"")</f>
        <v/>
      </c>
      <c r="BQ76" s="6" t="str">
        <f>IFERROR(INDEX($AV$70:$AV$83,MATCH(7,$BY$70:$BY$83,0)),"")</f>
        <v/>
      </c>
      <c r="BR76" s="11"/>
      <c r="BS76" s="6"/>
      <c r="BT76" s="6"/>
      <c r="BU76" s="11" t="str">
        <f>IFERROR(INDEX($AZ$70:$AZ$83,MATCH(7,$BZ$70:$BZ$83,0)),"")</f>
        <v/>
      </c>
      <c r="BV76" s="6" t="str">
        <f>IFERROR(INDEX($BA$70:$BA$83,MATCH(7,$CA$70:$CA$83,0)),"")</f>
        <v/>
      </c>
      <c r="BW76" s="6" t="str">
        <f>IFERROR(INDEX($BB$70:$BB$83,MATCH(7,$CA$70:$CA$83,0)),"")</f>
        <v/>
      </c>
      <c r="BX76" s="11" t="str">
        <f>IFERROR(INDEX($BC$70:$BC$83,MATCH(7,$CA$70:$CA$83,0)),"")</f>
        <v/>
      </c>
      <c r="BY76" s="11">
        <f>IF(ISNUMBER(AU76),COUNT($AU$70:$AU76),"")</f>
        <v>2</v>
      </c>
      <c r="BZ76" s="11" t="str">
        <f>IF(ISNUMBER(AX76),COUNT($AX$70:$AX76),"")</f>
        <v/>
      </c>
      <c r="CA76" s="11" t="str">
        <f>IF(ISNUMBER(BA76),COUNT($BA$70:$BA76),"")</f>
        <v/>
      </c>
      <c r="CB76" s="2"/>
      <c r="CC76" s="2"/>
      <c r="CD76" s="2"/>
      <c r="CE76" s="2"/>
      <c r="CF76" s="2"/>
      <c r="CG76" s="2"/>
      <c r="CH76" s="2"/>
      <c r="CI76" s="2"/>
      <c r="CJ76" s="2"/>
      <c r="CK76" s="2"/>
      <c r="CL76" s="2"/>
      <c r="CM76" s="2"/>
      <c r="CN76" s="2"/>
      <c r="CO76" s="2"/>
      <c r="CP76" s="2"/>
      <c r="CQ76" s="2"/>
      <c r="CR76" s="2"/>
      <c r="CS76" s="2"/>
      <c r="CT76" s="2"/>
      <c r="CU76" s="2"/>
      <c r="CV76" s="2"/>
      <c r="CW76" s="2"/>
      <c r="CX76" s="2"/>
      <c r="CY76" s="29">
        <f t="shared" si="30"/>
        <v>1</v>
      </c>
      <c r="CZ76" s="29">
        <f t="shared" si="31"/>
        <v>0</v>
      </c>
      <c r="DA76" s="29">
        <f t="shared" si="32"/>
        <v>0</v>
      </c>
      <c r="DB76" s="29">
        <f>IF(CY76=1,SUM($CY$70:CY76),"")</f>
        <v>2</v>
      </c>
      <c r="DC76" s="29" t="str">
        <f>IF(CZ76=1,SUM($CZ$70:CZ76),"")</f>
        <v/>
      </c>
      <c r="DD76" s="29" t="str">
        <f>IF(DA76=1,SUM($DA$70:DA76),"")</f>
        <v/>
      </c>
      <c r="DE76" s="2"/>
      <c r="DF76" s="2"/>
      <c r="DG76" s="2"/>
      <c r="DH76" s="2"/>
      <c r="DI76" s="2"/>
      <c r="DJ76" s="29">
        <f t="shared" si="33"/>
        <v>0.72</v>
      </c>
      <c r="DK76" s="29">
        <f t="shared" si="34"/>
        <v>0.83994528043775651</v>
      </c>
      <c r="DL76" s="29">
        <f t="shared" si="35"/>
        <v>13.141061600951423</v>
      </c>
      <c r="DM76" s="29" t="str">
        <f t="shared" si="36"/>
        <v>Account Manager</v>
      </c>
      <c r="DN76" s="29">
        <f t="shared" si="37"/>
        <v>0.5228013029315961</v>
      </c>
      <c r="DO76" s="2"/>
      <c r="DP76" s="29" t="e" cm="1">
        <f t="array" ref="DP76">IFERROR(INDEX($Z$70:$Z$83,SMALL($EF$70:$EF$83,ROW()-69)),NA())</f>
        <v>#N/A</v>
      </c>
      <c r="DQ76" s="29" t="e" cm="1">
        <f t="array" ref="DQ76">IFERROR(INDEX($AB$70:$AB$83,SMALL($EF$70:$EF$83,ROW()-69)),NA())</f>
        <v>#N/A</v>
      </c>
      <c r="DR76" s="29" t="e" cm="1">
        <f t="array" ref="DR76">IFERROR(INDEX($AK$70:$AK$83,SMALL($EF$70:$EF$83,ROW()-69))^0.5/80,NA())</f>
        <v>#N/A</v>
      </c>
      <c r="DS76" s="29" t="e" cm="1">
        <f t="array" ref="DS76">IFERROR(INDEX($Z$70:$Z$83,SMALL($EG$70:$EG$83,ROW()-69)),NA())</f>
        <v>#N/A</v>
      </c>
      <c r="DT76" s="29" t="e" cm="1">
        <f t="array" ref="DT76">IFERROR(INDEX($AB$70:$AB$83,SMALL($EG$70:$EG$83,ROW()-69)),NA())</f>
        <v>#N/A</v>
      </c>
      <c r="DU76" s="29" t="e" cm="1">
        <f t="array" ref="DU76">IFERROR(INDEX($AK$70:$AK$83,SMALL($EG$70:$EG$83,ROW()-69))^0.5/80,NA())</f>
        <v>#N/A</v>
      </c>
      <c r="DV76" s="29" t="e" cm="1">
        <f t="array" ref="DV76">IFERROR(INDEX($Z$70:$Z$83,SMALL($EH$70:$EH$83,ROW()-69)),NA())</f>
        <v>#N/A</v>
      </c>
      <c r="DW76" s="29" t="e" cm="1">
        <f t="array" ref="DW76">IFERROR(INDEX($AB$70:$AB$83,SMALL($EH$70:$EH$83,ROW()-69)),NA())</f>
        <v>#N/A</v>
      </c>
      <c r="DX76" s="29" t="e" cm="1">
        <f t="array" ref="DX76">IFERROR(INDEX($AK$70:$AK$83,SMALL($EH$70:$EH$83,ROW()-69))^0.5/80,NA())</f>
        <v>#N/A</v>
      </c>
      <c r="DY76" s="29" t="str">
        <f t="shared" si="38"/>
        <v>Strategy Lead</v>
      </c>
      <c r="DZ76" s="29">
        <f t="shared" si="39"/>
        <v>0.37085843373493971</v>
      </c>
      <c r="EA76" s="29">
        <f t="shared" si="40"/>
        <v>0.35375333565378819</v>
      </c>
      <c r="EB76" s="2" t="str">
        <f>IF(LARGE($BF$70:$BF$83,7)&gt;-1000000000,TEXT(INDEX($AL$70:$AL$83,MATCH(LARGE($BF$70:$BF$83,7),$BF$70:$BF$83,0)),"0.0%"),"")</f>
        <v>37.1%</v>
      </c>
      <c r="EC76" s="56" t="str" cm="1">
        <f t="array" ref="EC76">IFERROR(INDEX($R$70:$R$83,SMALL($EF$70:$EF$83,ROW()-69)),"")</f>
        <v/>
      </c>
      <c r="ED76" s="56" t="str" cm="1">
        <f t="array" ref="ED76">IFERROR(INDEX($R$70:$R$83,SMALL($EG$70:$EG$83,ROW()-69)),"")</f>
        <v/>
      </c>
      <c r="EE76" s="56" t="str" cm="1">
        <f t="array" ref="EE76">IFERROR(INDEX($R$70:$R$83,SMALL($EH$70:$EH$83,ROW()-69)),"")</f>
        <v/>
      </c>
      <c r="EF76" s="2">
        <f t="shared" si="41"/>
        <v>7</v>
      </c>
      <c r="EG76" s="2" t="str">
        <f t="shared" si="42"/>
        <v/>
      </c>
      <c r="EH76" s="2" t="str">
        <f t="shared" si="43"/>
        <v/>
      </c>
      <c r="EI76" s="2"/>
      <c r="EJ76" s="2"/>
      <c r="EK76" s="2"/>
      <c r="EL76" s="2"/>
      <c r="EM76" s="2"/>
      <c r="EN76" s="2"/>
      <c r="EO76" s="2"/>
      <c r="EP76" s="2"/>
      <c r="EQ76" s="2"/>
      <c r="ER76" s="2"/>
      <c r="ES76" s="2"/>
      <c r="ET76" s="2"/>
      <c r="EU76" s="2"/>
      <c r="EV76" s="2"/>
      <c r="EW76" s="2"/>
      <c r="EX76" s="2"/>
      <c r="EY76" s="2"/>
      <c r="EZ76" s="2"/>
      <c r="FA76" s="2"/>
      <c r="FB76" s="2"/>
      <c r="FC76" s="48" t="str">
        <v>Junior Designer</v>
      </c>
      <c r="FD76" s="48">
        <v>0.3297127468581687</v>
      </c>
      <c r="FE76" s="48">
        <v>0.37430869783810966</v>
      </c>
    </row>
    <row r="77" spans="1:161" ht="22" customHeight="1" x14ac:dyDescent="0.2">
      <c r="A77" s="1"/>
      <c r="B77" s="55"/>
      <c r="C77" s="55"/>
      <c r="D77" s="55"/>
      <c r="E77" s="55"/>
      <c r="F77" s="55"/>
      <c r="G77" s="55"/>
      <c r="H77" s="55"/>
      <c r="I77" s="55"/>
      <c r="J77" s="55"/>
      <c r="K77" s="55"/>
      <c r="L77" s="55"/>
      <c r="M77" s="1"/>
      <c r="N77" s="1"/>
      <c r="O77" s="2"/>
      <c r="P77" s="11">
        <v>8</v>
      </c>
      <c r="Q77" s="11">
        <f>N('Sample Roster'!$B$27)</f>
        <v>1</v>
      </c>
      <c r="R77" s="9" t="str">
        <f>'Sample Roster'!$C$27&amp;""</f>
        <v>Midweight Designer</v>
      </c>
      <c r="S77" s="12" t="str">
        <f>'Sample Roster'!$D$27&amp;""</f>
        <v>Delivery</v>
      </c>
      <c r="T77" s="35">
        <f>IFERROR(N('Sample Roster'!$E$27),0)</f>
        <v>5</v>
      </c>
      <c r="U77" s="10">
        <f>IFERROR(N('Sample Roster'!$F$27),0)</f>
        <v>82000</v>
      </c>
      <c r="V77" s="6">
        <f>IFERROR(N('Sample Roster'!$G$27),0)</f>
        <v>0.185</v>
      </c>
      <c r="W77" s="10">
        <f>IFERROR(N('Sample Roster'!$H$27),0)</f>
        <v>100</v>
      </c>
      <c r="X77" s="11">
        <f>IFERROR(N('Sample Roster'!$I$27),0)</f>
        <v>1700</v>
      </c>
      <c r="Y77" s="6">
        <f>IFERROR(N('Sample Roster'!$J$27),0)</f>
        <v>0.76</v>
      </c>
      <c r="Z77" s="6">
        <f>IFERROR(IF('Sample Roster'!$D$12=0,0,(N('Sample Roster'!$L$27)*12/'Sample Roster'!$D$12)/(X77*T77)),0)</f>
        <v>0.76</v>
      </c>
      <c r="AA77" s="10">
        <f>IFERROR(N('Sample Roster'!$K$27),0)</f>
        <v>200</v>
      </c>
      <c r="AB77" s="6">
        <f>IFERROR(IF(OR(N('Sample Roster'!$L$27)=0,AA77=0),0,(N('Sample Roster'!$M$27)/N('Sample Roster'!$L$27))/AA77),0)</f>
        <v>0.90990712074303404</v>
      </c>
      <c r="AC77" s="10">
        <f t="shared" si="3"/>
        <v>98370</v>
      </c>
      <c r="AD77" s="10">
        <f t="shared" si="4"/>
        <v>491850</v>
      </c>
      <c r="AE77" s="11">
        <f t="shared" si="5"/>
        <v>8500</v>
      </c>
      <c r="AF77" s="11">
        <f t="shared" si="6"/>
        <v>6460</v>
      </c>
      <c r="AG77" s="11">
        <f t="shared" si="7"/>
        <v>6460</v>
      </c>
      <c r="AH77" s="10">
        <f t="shared" si="8"/>
        <v>76.137770897832823</v>
      </c>
      <c r="AI77" s="10">
        <f t="shared" si="9"/>
        <v>200</v>
      </c>
      <c r="AJ77" s="10">
        <f t="shared" si="10"/>
        <v>181.98142414860681</v>
      </c>
      <c r="AK77" s="10">
        <f t="shared" si="11"/>
        <v>1175600</v>
      </c>
      <c r="AL77" s="6">
        <f t="shared" si="12"/>
        <v>0.58161789724396051</v>
      </c>
      <c r="AM77" s="6">
        <f t="shared" si="13"/>
        <v>9.0092879256965963E-2</v>
      </c>
      <c r="AN77" s="10">
        <f t="shared" si="14"/>
        <v>116400.00000000003</v>
      </c>
      <c r="AO77" s="6">
        <f t="shared" si="15"/>
        <v>0</v>
      </c>
      <c r="AP77" s="10">
        <f t="shared" si="16"/>
        <v>0</v>
      </c>
      <c r="AQ77" s="28" t="str">
        <f t="shared" si="17"/>
        <v>PASS</v>
      </c>
      <c r="AR77" s="6">
        <f t="shared" si="18"/>
        <v>0.5</v>
      </c>
      <c r="AS77" s="6">
        <f t="shared" si="19"/>
        <v>0.58161789724396051</v>
      </c>
      <c r="AT77" s="2"/>
      <c r="AU77" s="6">
        <f t="shared" si="20"/>
        <v>0.76</v>
      </c>
      <c r="AV77" s="6">
        <f t="shared" si="21"/>
        <v>0.90990712074303404</v>
      </c>
      <c r="AW77" s="11">
        <f t="shared" si="22"/>
        <v>1175.5999999999999</v>
      </c>
      <c r="AX77" s="6" t="e">
        <f t="shared" si="23"/>
        <v>#N/A</v>
      </c>
      <c r="AY77" s="6" t="e">
        <f t="shared" si="24"/>
        <v>#N/A</v>
      </c>
      <c r="AZ77" s="11" t="e">
        <f t="shared" si="25"/>
        <v>#N/A</v>
      </c>
      <c r="BA77" s="6" t="e">
        <f t="shared" si="26"/>
        <v>#N/A</v>
      </c>
      <c r="BB77" s="6" t="e">
        <f t="shared" si="27"/>
        <v>#N/A</v>
      </c>
      <c r="BC77" s="11" t="e">
        <f t="shared" si="28"/>
        <v>#N/A</v>
      </c>
      <c r="BD77" s="6">
        <f t="shared" si="29"/>
        <v>0.50542986425339365</v>
      </c>
      <c r="BE77" s="11">
        <f>IF(AND(Q77=1,S77="Delivery",AJ77&gt;0),AP77+AN77+7*0.001,-1000000000)</f>
        <v>116400.00700000003</v>
      </c>
      <c r="BF77" s="2">
        <f>IF(AND(Q77=1,S77="Delivery",AJ77&gt;0),AL77+(77-70)*0.00001,-1000000000)</f>
        <v>0.58168789724396053</v>
      </c>
      <c r="BG77" s="9" t="str">
        <f>IF(LARGE($BF$70:$BF$83,8)&gt;-1000000000,INDEX($R$70:$R$83,MATCH(LARGE($BF$70:$BF$83,8),$BF$70:$BF$83,0)),"")</f>
        <v>Junior Designer</v>
      </c>
      <c r="BH77" s="6">
        <f>IF(LARGE($BF$70:$BF$83,8)&gt;-1000000000,INDEX($AL$70:$AL$83,MATCH(LARGE($BF$70:$BF$83,8),$BF$70:$BF$83,0)),NA())</f>
        <v>0.3297127468581687</v>
      </c>
      <c r="BI77" s="6">
        <f>IF(LARGE($BF$70:$BF$83,8)&gt;-1000000000,INDEX($BD$70:$BD$83,MATCH(LARGE($BF$70:$BF$83,8),$BF$70:$BF$83,0)),NA())</f>
        <v>0.37430869783810966</v>
      </c>
      <c r="BJ77" s="11">
        <f>IF(LARGE(BE70:BE83,8)&gt;=0,INDEX(BE70:BE83,MATCH(LARGE(BE70:BE83,8),BE70:BE83,0)),"")</f>
        <v>47000.005000000012</v>
      </c>
      <c r="BK77" s="2"/>
      <c r="BL77" s="2"/>
      <c r="BM77" s="2"/>
      <c r="BN77" s="2"/>
      <c r="BO77" s="2"/>
      <c r="BP77" s="6" t="str">
        <f>IFERROR(INDEX($AU$70:$AU$83,MATCH(8,$BY$70:$BY$83,0)),"")</f>
        <v/>
      </c>
      <c r="BQ77" s="6" t="str">
        <f>IFERROR(INDEX($AV$70:$AV$83,MATCH(8,$BY$70:$BY$83,0)),"")</f>
        <v/>
      </c>
      <c r="BR77" s="11"/>
      <c r="BS77" s="6"/>
      <c r="BT77" s="6"/>
      <c r="BU77" s="11" t="str">
        <f>IFERROR(INDEX($AZ$70:$AZ$83,MATCH(8,$BZ$70:$BZ$83,0)),"")</f>
        <v/>
      </c>
      <c r="BV77" s="6" t="str">
        <f>IFERROR(INDEX($BA$70:$BA$83,MATCH(8,$CA$70:$CA$83,0)),"")</f>
        <v/>
      </c>
      <c r="BW77" s="6" t="str">
        <f>IFERROR(INDEX($BB$70:$BB$83,MATCH(8,$CA$70:$CA$83,0)),"")</f>
        <v/>
      </c>
      <c r="BX77" s="11" t="str">
        <f>IFERROR(INDEX($BC$70:$BC$83,MATCH(8,$CA$70:$CA$83,0)),"")</f>
        <v/>
      </c>
      <c r="BY77" s="11">
        <f>IF(ISNUMBER(AU77),COUNT($AU$70:$AU77),"")</f>
        <v>3</v>
      </c>
      <c r="BZ77" s="11" t="str">
        <f>IF(ISNUMBER(AX77),COUNT($AX$70:$AX77),"")</f>
        <v/>
      </c>
      <c r="CA77" s="11" t="str">
        <f>IF(ISNUMBER(BA77),COUNT($BA$70:$BA77),"")</f>
        <v/>
      </c>
      <c r="CB77" s="2"/>
      <c r="CC77" s="2"/>
      <c r="CD77" s="2"/>
      <c r="CE77" s="2"/>
      <c r="CF77" s="2"/>
      <c r="CG77" s="2"/>
      <c r="CH77" s="2"/>
      <c r="CI77" s="2"/>
      <c r="CJ77" s="2"/>
      <c r="CK77" s="2"/>
      <c r="CL77" s="2"/>
      <c r="CM77" s="2"/>
      <c r="CN77" s="2"/>
      <c r="CO77" s="2"/>
      <c r="CP77" s="2"/>
      <c r="CQ77" s="2"/>
      <c r="CR77" s="2"/>
      <c r="CS77" s="2"/>
      <c r="CT77" s="2"/>
      <c r="CU77" s="2"/>
      <c r="CV77" s="2"/>
      <c r="CW77" s="2"/>
      <c r="CX77" s="2"/>
      <c r="CY77" s="29">
        <f t="shared" si="30"/>
        <v>1</v>
      </c>
      <c r="CZ77" s="29">
        <f t="shared" si="31"/>
        <v>0</v>
      </c>
      <c r="DA77" s="29">
        <f t="shared" si="32"/>
        <v>0</v>
      </c>
      <c r="DB77" s="29">
        <f>IF(CY77=1,SUM($CY$70:CY77),"")</f>
        <v>3</v>
      </c>
      <c r="DC77" s="29" t="str">
        <f>IF(CZ77=1,SUM($CZ$70:CZ77),"")</f>
        <v/>
      </c>
      <c r="DD77" s="29" t="str">
        <f>IF(DA77=1,SUM($DA$70:DA77),"")</f>
        <v/>
      </c>
      <c r="DE77" s="2"/>
      <c r="DF77" s="2"/>
      <c r="DG77" s="2"/>
      <c r="DH77" s="2"/>
      <c r="DI77" s="2"/>
      <c r="DJ77" s="29">
        <f t="shared" si="33"/>
        <v>0.76</v>
      </c>
      <c r="DK77" s="29">
        <f t="shared" si="34"/>
        <v>0.90990712074303404</v>
      </c>
      <c r="DL77" s="29">
        <f t="shared" si="35"/>
        <v>13.553136168429798</v>
      </c>
      <c r="DM77" s="29" t="str">
        <f t="shared" si="36"/>
        <v>Midweight Designer</v>
      </c>
      <c r="DN77" s="29">
        <f t="shared" si="37"/>
        <v>0.58161789724396051</v>
      </c>
      <c r="DO77" s="2"/>
      <c r="DP77" s="29" t="e" cm="1">
        <f t="array" ref="DP77">IFERROR(INDEX($Z$70:$Z$83,SMALL($EF$70:$EF$83,ROW()-69)),NA())</f>
        <v>#N/A</v>
      </c>
      <c r="DQ77" s="29" t="e" cm="1">
        <f t="array" ref="DQ77">IFERROR(INDEX($AB$70:$AB$83,SMALL($EF$70:$EF$83,ROW()-69)),NA())</f>
        <v>#N/A</v>
      </c>
      <c r="DR77" s="29" t="e" cm="1">
        <f t="array" ref="DR77">IFERROR(INDEX($AK$70:$AK$83,SMALL($EF$70:$EF$83,ROW()-69))^0.5/80,NA())</f>
        <v>#N/A</v>
      </c>
      <c r="DS77" s="29" t="e" cm="1">
        <f t="array" ref="DS77">IFERROR(INDEX($Z$70:$Z$83,SMALL($EG$70:$EG$83,ROW()-69)),NA())</f>
        <v>#N/A</v>
      </c>
      <c r="DT77" s="29" t="e" cm="1">
        <f t="array" ref="DT77">IFERROR(INDEX($AB$70:$AB$83,SMALL($EG$70:$EG$83,ROW()-69)),NA())</f>
        <v>#N/A</v>
      </c>
      <c r="DU77" s="29" t="e" cm="1">
        <f t="array" ref="DU77">IFERROR(INDEX($AK$70:$AK$83,SMALL($EG$70:$EG$83,ROW()-69))^0.5/80,NA())</f>
        <v>#N/A</v>
      </c>
      <c r="DV77" s="29" t="e" cm="1">
        <f t="array" ref="DV77">IFERROR(INDEX($Z$70:$Z$83,SMALL($EH$70:$EH$83,ROW()-69)),NA())</f>
        <v>#N/A</v>
      </c>
      <c r="DW77" s="29" t="e" cm="1">
        <f t="array" ref="DW77">IFERROR(INDEX($AB$70:$AB$83,SMALL($EH$70:$EH$83,ROW()-69)),NA())</f>
        <v>#N/A</v>
      </c>
      <c r="DX77" s="29" t="e" cm="1">
        <f t="array" ref="DX77">IFERROR(INDEX($AK$70:$AK$83,SMALL($EH$70:$EH$83,ROW()-69))^0.5/80,NA())</f>
        <v>#N/A</v>
      </c>
      <c r="DY77" s="29" t="str">
        <f t="shared" si="38"/>
        <v>Junior Designer</v>
      </c>
      <c r="DZ77" s="29">
        <f t="shared" si="39"/>
        <v>0.3297127468581687</v>
      </c>
      <c r="EA77" s="29">
        <f t="shared" si="40"/>
        <v>0.37430869783810966</v>
      </c>
      <c r="EB77" s="2" t="str">
        <f>IF(LARGE($BF$70:$BF$83,8)&gt;-1000000000,TEXT(INDEX($AL$70:$AL$83,MATCH(LARGE($BF$70:$BF$83,8),$BF$70:$BF$83,0)),"0.0%"),"")</f>
        <v>33.0%</v>
      </c>
      <c r="EC77" s="56" t="str" cm="1">
        <f t="array" ref="EC77">IFERROR(INDEX($R$70:$R$83,SMALL($EF$70:$EF$83,ROW()-69)),"")</f>
        <v/>
      </c>
      <c r="ED77" s="56" t="str" cm="1">
        <f t="array" ref="ED77">IFERROR(INDEX($R$70:$R$83,SMALL($EG$70:$EG$83,ROW()-69)),"")</f>
        <v/>
      </c>
      <c r="EE77" s="56" t="str" cm="1">
        <f t="array" ref="EE77">IFERROR(INDEX($R$70:$R$83,SMALL($EH$70:$EH$83,ROW()-69)),"")</f>
        <v/>
      </c>
      <c r="EF77" s="2">
        <f t="shared" si="41"/>
        <v>8</v>
      </c>
      <c r="EG77" s="2" t="str">
        <f t="shared" si="42"/>
        <v/>
      </c>
      <c r="EH77" s="2" t="str">
        <f t="shared" si="43"/>
        <v/>
      </c>
      <c r="EI77" s="2"/>
      <c r="EJ77" s="2"/>
      <c r="EK77" s="2"/>
      <c r="EL77" s="2"/>
      <c r="EM77" s="2"/>
      <c r="EN77" s="2"/>
      <c r="EO77" s="2"/>
      <c r="EP77" s="2"/>
      <c r="EQ77" s="2"/>
      <c r="ER77" s="2"/>
      <c r="ES77" s="2"/>
      <c r="ET77" s="2"/>
      <c r="EU77" s="2"/>
      <c r="EV77" s="2"/>
      <c r="EW77" s="2"/>
      <c r="EX77" s="2"/>
      <c r="EY77" s="2"/>
      <c r="EZ77" s="2"/>
      <c r="FA77" s="2"/>
      <c r="FB77" s="2"/>
      <c r="FC77" s="48" t="str">
        <v>Account Executive</v>
      </c>
      <c r="FD77" s="48">
        <v>0.30899209486166013</v>
      </c>
      <c r="FE77" s="48">
        <v>0.36075689016865486</v>
      </c>
    </row>
    <row r="78" spans="1:161" ht="22" customHeight="1" x14ac:dyDescent="0.2">
      <c r="A78" s="1"/>
      <c r="B78" s="55"/>
      <c r="C78" s="55"/>
      <c r="D78" s="55"/>
      <c r="E78" s="55"/>
      <c r="F78" s="55"/>
      <c r="G78" s="55"/>
      <c r="H78" s="55"/>
      <c r="I78" s="55"/>
      <c r="J78" s="55"/>
      <c r="K78" s="55"/>
      <c r="L78" s="55"/>
      <c r="M78" s="1"/>
      <c r="N78" s="1"/>
      <c r="O78" s="2"/>
      <c r="P78" s="11">
        <v>9</v>
      </c>
      <c r="Q78" s="11">
        <f>N('Sample Roster'!$B$28)</f>
        <v>1</v>
      </c>
      <c r="R78" s="9" t="str">
        <f>'Sample Roster'!$C$28&amp;""</f>
        <v>Digital Strategist</v>
      </c>
      <c r="S78" s="12" t="str">
        <f>'Sample Roster'!$D$28&amp;""</f>
        <v>Delivery</v>
      </c>
      <c r="T78" s="35">
        <f>IFERROR(N('Sample Roster'!$E$28),0)</f>
        <v>3</v>
      </c>
      <c r="U78" s="10">
        <f>IFERROR(N('Sample Roster'!$F$28),0)</f>
        <v>95000</v>
      </c>
      <c r="V78" s="6">
        <f>IFERROR(N('Sample Roster'!$G$28),0)</f>
        <v>0.185</v>
      </c>
      <c r="W78" s="10">
        <f>IFERROR(N('Sample Roster'!$H$28),0)</f>
        <v>100</v>
      </c>
      <c r="X78" s="11">
        <f>IFERROR(N('Sample Roster'!$I$28),0)</f>
        <v>1700</v>
      </c>
      <c r="Y78" s="6">
        <f>IFERROR(N('Sample Roster'!$J$28),0)</f>
        <v>0.68</v>
      </c>
      <c r="Z78" s="6">
        <f>IFERROR(IF('Sample Roster'!$D$12=0,0,(N('Sample Roster'!$L$28)*12/'Sample Roster'!$D$12)/(X78*T78)),0)</f>
        <v>0.68</v>
      </c>
      <c r="AA78" s="10">
        <f>IFERROR(N('Sample Roster'!$K$28),0)</f>
        <v>210</v>
      </c>
      <c r="AB78" s="6">
        <f>IFERROR(IF(OR(N('Sample Roster'!$L$28)=0,AA78=0),0,(N('Sample Roster'!$M$28)/N('Sample Roster'!$L$28))/AA78),0)</f>
        <v>0.93974844839896743</v>
      </c>
      <c r="AC78" s="10">
        <f t="shared" si="3"/>
        <v>113775</v>
      </c>
      <c r="AD78" s="10">
        <f t="shared" si="4"/>
        <v>341325</v>
      </c>
      <c r="AE78" s="11">
        <f t="shared" si="5"/>
        <v>5100</v>
      </c>
      <c r="AF78" s="11">
        <f t="shared" si="6"/>
        <v>3468.0000000000005</v>
      </c>
      <c r="AG78" s="11">
        <f t="shared" si="7"/>
        <v>3468.0000000000005</v>
      </c>
      <c r="AH78" s="10">
        <f t="shared" si="8"/>
        <v>98.421280276816603</v>
      </c>
      <c r="AI78" s="10">
        <f t="shared" si="9"/>
        <v>210</v>
      </c>
      <c r="AJ78" s="10">
        <f t="shared" si="10"/>
        <v>197.34717416378317</v>
      </c>
      <c r="AK78" s="10">
        <f t="shared" si="11"/>
        <v>684400.00000000012</v>
      </c>
      <c r="AL78" s="6">
        <f t="shared" si="12"/>
        <v>0.50127849210987729</v>
      </c>
      <c r="AM78" s="6">
        <f t="shared" si="13"/>
        <v>6.0251551601032571E-2</v>
      </c>
      <c r="AN78" s="10">
        <f t="shared" si="14"/>
        <v>43879.999999999985</v>
      </c>
      <c r="AO78" s="6">
        <f t="shared" si="15"/>
        <v>0</v>
      </c>
      <c r="AP78" s="10">
        <f t="shared" si="16"/>
        <v>0</v>
      </c>
      <c r="AQ78" s="28" t="str">
        <f t="shared" si="17"/>
        <v>PASS</v>
      </c>
      <c r="AR78" s="6">
        <f t="shared" si="18"/>
        <v>0.5</v>
      </c>
      <c r="AS78" s="6">
        <f t="shared" si="19"/>
        <v>0.50127849210987729</v>
      </c>
      <c r="AT78" s="2"/>
      <c r="AU78" s="6">
        <f t="shared" si="20"/>
        <v>0.68</v>
      </c>
      <c r="AV78" s="6">
        <f t="shared" si="21"/>
        <v>0.93974844839896743</v>
      </c>
      <c r="AW78" s="11">
        <f t="shared" si="22"/>
        <v>684.40000000000009</v>
      </c>
      <c r="AX78" s="6" t="e">
        <f t="shared" si="23"/>
        <v>#N/A</v>
      </c>
      <c r="AY78" s="6" t="e">
        <f t="shared" si="24"/>
        <v>#N/A</v>
      </c>
      <c r="AZ78" s="11" t="e">
        <f t="shared" si="25"/>
        <v>#N/A</v>
      </c>
      <c r="BA78" s="6" t="e">
        <f t="shared" si="26"/>
        <v>#N/A</v>
      </c>
      <c r="BB78" s="6" t="e">
        <f t="shared" si="27"/>
        <v>#N/A</v>
      </c>
      <c r="BC78" s="11" t="e">
        <f t="shared" si="28"/>
        <v>#N/A</v>
      </c>
      <c r="BD78" s="6">
        <f t="shared" si="29"/>
        <v>0.45521798462974933</v>
      </c>
      <c r="BE78" s="11">
        <f>IF(AND(Q78=1,S78="Delivery",AJ78&gt;0),AP78+AN78+8*0.001,-1000000000)</f>
        <v>43880.007999999987</v>
      </c>
      <c r="BF78" s="2">
        <f>IF(AND(Q78=1,S78="Delivery",AJ78&gt;0),AL78+(78-70)*0.00001,-1000000000)</f>
        <v>0.50135849210987726</v>
      </c>
      <c r="BG78" s="9" t="str">
        <f>IF(LARGE($BF$70:$BF$83,9)&gt;-1000000000,INDEX($R$70:$R$83,MATCH(LARGE($BF$70:$BF$83,9),$BF$70:$BF$83,0)),"")</f>
        <v>Account Executive</v>
      </c>
      <c r="BH78" s="6">
        <f>IF(LARGE($BF$70:$BF$83,9)&gt;-1000000000,INDEX($AL$70:$AL$83,MATCH(LARGE($BF$70:$BF$83,9),$BF$70:$BF$83,0)),NA())</f>
        <v>0.30899209486166013</v>
      </c>
      <c r="BI78" s="6">
        <f>IF(LARGE($BF$70:$BF$83,9)&gt;-1000000000,INDEX($BD$70:$BD$83,MATCH(LARGE($BF$70:$BF$83,9),$BF$70:$BF$83,0)),NA())</f>
        <v>0.36075689016865486</v>
      </c>
      <c r="BJ78" s="11">
        <f>IF(LARGE(BE70:BE83,9)&gt;=0,INDEX(BE70:BE83,MATCH(LARGE(BE70:BE83,9),BE70:BE83,0)),"")</f>
        <v>46000.004000000001</v>
      </c>
      <c r="BK78" s="2"/>
      <c r="BL78" s="2"/>
      <c r="BM78" s="2"/>
      <c r="BN78" s="2"/>
      <c r="BO78" s="2"/>
      <c r="BP78" s="6" t="str">
        <f>IFERROR(INDEX($AU$70:$AU$83,MATCH(9,$BY$70:$BY$83,0)),"")</f>
        <v/>
      </c>
      <c r="BQ78" s="6" t="str">
        <f>IFERROR(INDEX($AV$70:$AV$83,MATCH(9,$BY$70:$BY$83,0)),"")</f>
        <v/>
      </c>
      <c r="BR78" s="11"/>
      <c r="BS78" s="6"/>
      <c r="BT78" s="6"/>
      <c r="BU78" s="11" t="str">
        <f>IFERROR(INDEX($AZ$70:$AZ$83,MATCH(9,$BZ$70:$BZ$83,0)),"")</f>
        <v/>
      </c>
      <c r="BV78" s="6" t="str">
        <f>IFERROR(INDEX($BA$70:$BA$83,MATCH(9,$CA$70:$CA$83,0)),"")</f>
        <v/>
      </c>
      <c r="BW78" s="6" t="str">
        <f>IFERROR(INDEX($BB$70:$BB$83,MATCH(9,$CA$70:$CA$83,0)),"")</f>
        <v/>
      </c>
      <c r="BX78" s="11" t="str">
        <f>IFERROR(INDEX($BC$70:$BC$83,MATCH(9,$CA$70:$CA$83,0)),"")</f>
        <v/>
      </c>
      <c r="BY78" s="11">
        <f>IF(ISNUMBER(AU78),COUNT($AU$70:$AU78),"")</f>
        <v>4</v>
      </c>
      <c r="BZ78" s="11" t="str">
        <f>IF(ISNUMBER(AX78),COUNT($AX$70:$AX78),"")</f>
        <v/>
      </c>
      <c r="CA78" s="11" t="str">
        <f>IF(ISNUMBER(BA78),COUNT($BA$70:$BA78),"")</f>
        <v/>
      </c>
      <c r="CB78" s="2"/>
      <c r="CC78" s="2"/>
      <c r="CD78" s="2"/>
      <c r="CE78" s="2"/>
      <c r="CF78" s="2"/>
      <c r="CG78" s="2"/>
      <c r="CH78" s="2"/>
      <c r="CI78" s="2"/>
      <c r="CJ78" s="2"/>
      <c r="CK78" s="2"/>
      <c r="CL78" s="2"/>
      <c r="CM78" s="2"/>
      <c r="CN78" s="2"/>
      <c r="CO78" s="2"/>
      <c r="CP78" s="2"/>
      <c r="CQ78" s="2"/>
      <c r="CR78" s="2"/>
      <c r="CS78" s="2"/>
      <c r="CT78" s="2"/>
      <c r="CU78" s="2"/>
      <c r="CV78" s="2"/>
      <c r="CW78" s="2"/>
      <c r="CX78" s="2"/>
      <c r="CY78" s="29">
        <f t="shared" si="30"/>
        <v>1</v>
      </c>
      <c r="CZ78" s="29">
        <f t="shared" si="31"/>
        <v>0</v>
      </c>
      <c r="DA78" s="29">
        <f t="shared" si="32"/>
        <v>0</v>
      </c>
      <c r="DB78" s="29">
        <f>IF(CY78=1,SUM($CY$70:CY78),"")</f>
        <v>4</v>
      </c>
      <c r="DC78" s="29" t="str">
        <f>IF(CZ78=1,SUM($CZ$70:CZ78),"")</f>
        <v/>
      </c>
      <c r="DD78" s="29" t="str">
        <f>IF(DA78=1,SUM($DA$70:DA78),"")</f>
        <v/>
      </c>
      <c r="DE78" s="2"/>
      <c r="DF78" s="2"/>
      <c r="DG78" s="2"/>
      <c r="DH78" s="2"/>
      <c r="DI78" s="2"/>
      <c r="DJ78" s="29">
        <f t="shared" si="33"/>
        <v>0.68</v>
      </c>
      <c r="DK78" s="29">
        <f t="shared" si="34"/>
        <v>0.93974844839896743</v>
      </c>
      <c r="DL78" s="29">
        <f t="shared" si="35"/>
        <v>10.34105893997322</v>
      </c>
      <c r="DM78" s="29" t="str">
        <f t="shared" si="36"/>
        <v>Digital Strategist</v>
      </c>
      <c r="DN78" s="29">
        <f t="shared" si="37"/>
        <v>0.50127849210987729</v>
      </c>
      <c r="DO78" s="2"/>
      <c r="DP78" s="29" t="e" cm="1">
        <f t="array" ref="DP78">IFERROR(INDEX($Z$70:$Z$83,SMALL($EF$70:$EF$83,ROW()-69)),NA())</f>
        <v>#N/A</v>
      </c>
      <c r="DQ78" s="29" t="e" cm="1">
        <f t="array" ref="DQ78">IFERROR(INDEX($AB$70:$AB$83,SMALL($EF$70:$EF$83,ROW()-69)),NA())</f>
        <v>#N/A</v>
      </c>
      <c r="DR78" s="29" t="e" cm="1">
        <f t="array" ref="DR78">IFERROR(INDEX($AK$70:$AK$83,SMALL($EF$70:$EF$83,ROW()-69))^0.5/80,NA())</f>
        <v>#N/A</v>
      </c>
      <c r="DS78" s="29" t="e" cm="1">
        <f t="array" ref="DS78">IFERROR(INDEX($Z$70:$Z$83,SMALL($EG$70:$EG$83,ROW()-69)),NA())</f>
        <v>#N/A</v>
      </c>
      <c r="DT78" s="29" t="e" cm="1">
        <f t="array" ref="DT78">IFERROR(INDEX($AB$70:$AB$83,SMALL($EG$70:$EG$83,ROW()-69)),NA())</f>
        <v>#N/A</v>
      </c>
      <c r="DU78" s="29" t="e" cm="1">
        <f t="array" ref="DU78">IFERROR(INDEX($AK$70:$AK$83,SMALL($EG$70:$EG$83,ROW()-69))^0.5/80,NA())</f>
        <v>#N/A</v>
      </c>
      <c r="DV78" s="29" t="e" cm="1">
        <f t="array" ref="DV78">IFERROR(INDEX($Z$70:$Z$83,SMALL($EH$70:$EH$83,ROW()-69)),NA())</f>
        <v>#N/A</v>
      </c>
      <c r="DW78" s="29" t="e" cm="1">
        <f t="array" ref="DW78">IFERROR(INDEX($AB$70:$AB$83,SMALL($EH$70:$EH$83,ROW()-69)),NA())</f>
        <v>#N/A</v>
      </c>
      <c r="DX78" s="29" t="e" cm="1">
        <f t="array" ref="DX78">IFERROR(INDEX($AK$70:$AK$83,SMALL($EH$70:$EH$83,ROW()-69))^0.5/80,NA())</f>
        <v>#N/A</v>
      </c>
      <c r="DY78" s="29" t="str">
        <f t="shared" si="38"/>
        <v>Account Executive</v>
      </c>
      <c r="DZ78" s="29">
        <f t="shared" si="39"/>
        <v>0.30899209486166013</v>
      </c>
      <c r="EA78" s="29">
        <f t="shared" si="40"/>
        <v>0.36075689016865486</v>
      </c>
      <c r="EB78" s="2" t="str">
        <f>IF(LARGE($BF$70:$BF$83,9)&gt;-1000000000,TEXT(INDEX($AL$70:$AL$83,MATCH(LARGE($BF$70:$BF$83,9),$BF$70:$BF$83,0)),"0.0%"),"")</f>
        <v>30.9%</v>
      </c>
      <c r="EC78" s="56" t="str" cm="1">
        <f t="array" ref="EC78">IFERROR(INDEX($R$70:$R$83,SMALL($EF$70:$EF$83,ROW()-69)),"")</f>
        <v/>
      </c>
      <c r="ED78" s="56" t="str" cm="1">
        <f t="array" ref="ED78">IFERROR(INDEX($R$70:$R$83,SMALL($EG$70:$EG$83,ROW()-69)),"")</f>
        <v/>
      </c>
      <c r="EE78" s="56" t="str" cm="1">
        <f t="array" ref="EE78">IFERROR(INDEX($R$70:$R$83,SMALL($EH$70:$EH$83,ROW()-69)),"")</f>
        <v/>
      </c>
      <c r="EF78" s="2">
        <f t="shared" si="41"/>
        <v>9</v>
      </c>
      <c r="EG78" s="2" t="str">
        <f t="shared" si="42"/>
        <v/>
      </c>
      <c r="EH78" s="2" t="str">
        <f t="shared" si="43"/>
        <v/>
      </c>
      <c r="EI78" s="2"/>
      <c r="EJ78" s="2"/>
      <c r="EK78" s="2"/>
      <c r="EL78" s="2"/>
      <c r="EM78" s="2"/>
      <c r="EN78" s="2"/>
      <c r="EO78" s="2"/>
      <c r="EP78" s="2"/>
      <c r="EQ78" s="2"/>
      <c r="ER78" s="2"/>
      <c r="ES78" s="2"/>
      <c r="ET78" s="2"/>
      <c r="EU78" s="2"/>
      <c r="EV78" s="2"/>
      <c r="EW78" s="2"/>
      <c r="EX78" s="2"/>
      <c r="EY78" s="2"/>
      <c r="EZ78" s="2"/>
      <c r="FA78" s="2"/>
      <c r="FB78" s="2"/>
      <c r="FC78" s="48" t="str">
        <v>Creative Director</v>
      </c>
      <c r="FD78" s="48">
        <v>0.16923564189189197</v>
      </c>
      <c r="FE78" s="48">
        <v>0.29352510234863172</v>
      </c>
    </row>
    <row r="79" spans="1:161" ht="22" customHeight="1" x14ac:dyDescent="0.2">
      <c r="A79" s="1"/>
      <c r="B79" s="55"/>
      <c r="C79" s="55"/>
      <c r="D79" s="55"/>
      <c r="E79" s="55"/>
      <c r="F79" s="55"/>
      <c r="G79" s="55"/>
      <c r="H79" s="55"/>
      <c r="I79" s="55"/>
      <c r="J79" s="55"/>
      <c r="K79" s="55"/>
      <c r="L79" s="55"/>
      <c r="M79" s="1"/>
      <c r="N79" s="1"/>
      <c r="O79" s="2"/>
      <c r="P79" s="11">
        <v>10</v>
      </c>
      <c r="Q79" s="11">
        <f>N('Sample Roster'!$B$29)</f>
        <v>1</v>
      </c>
      <c r="R79" s="9" t="str">
        <f>'Sample Roster'!$C$29&amp;""</f>
        <v>Developer</v>
      </c>
      <c r="S79" s="12" t="str">
        <f>'Sample Roster'!$D$29&amp;""</f>
        <v>Delivery</v>
      </c>
      <c r="T79" s="35">
        <f>IFERROR(N('Sample Roster'!$E$29),0)</f>
        <v>4</v>
      </c>
      <c r="U79" s="10">
        <f>IFERROR(N('Sample Roster'!$F$29),0)</f>
        <v>105000</v>
      </c>
      <c r="V79" s="6">
        <f>IFERROR(N('Sample Roster'!$G$29),0)</f>
        <v>0.185</v>
      </c>
      <c r="W79" s="10">
        <f>IFERROR(N('Sample Roster'!$H$29),0)</f>
        <v>100</v>
      </c>
      <c r="X79" s="11">
        <f>IFERROR(N('Sample Roster'!$I$29),0)</f>
        <v>1700</v>
      </c>
      <c r="Y79" s="6">
        <f>IFERROR(N('Sample Roster'!$J$29),0)</f>
        <v>0.74</v>
      </c>
      <c r="Z79" s="6">
        <f>IFERROR(IF('Sample Roster'!$D$12=0,0,(N('Sample Roster'!$L$29)*12/'Sample Roster'!$D$12)/(X79*T79)),0)</f>
        <v>0.74</v>
      </c>
      <c r="AA79" s="10">
        <f>IFERROR(N('Sample Roster'!$K$29),0)</f>
        <v>245</v>
      </c>
      <c r="AB79" s="6">
        <f>IFERROR(IF(OR(N('Sample Roster'!$L$29)=0,AA79=0),0,(N('Sample Roster'!$M$29)/N('Sample Roster'!$L$29))/AA79),0)</f>
        <v>0.97011777684046596</v>
      </c>
      <c r="AC79" s="10">
        <f t="shared" si="3"/>
        <v>125625</v>
      </c>
      <c r="AD79" s="10">
        <f t="shared" si="4"/>
        <v>502500</v>
      </c>
      <c r="AE79" s="11">
        <f t="shared" si="5"/>
        <v>6800</v>
      </c>
      <c r="AF79" s="11">
        <f t="shared" si="6"/>
        <v>5032</v>
      </c>
      <c r="AG79" s="11">
        <f t="shared" si="7"/>
        <v>5032</v>
      </c>
      <c r="AH79" s="10">
        <f t="shared" si="8"/>
        <v>99.860890302066778</v>
      </c>
      <c r="AI79" s="10">
        <f t="shared" si="9"/>
        <v>245</v>
      </c>
      <c r="AJ79" s="10">
        <f t="shared" si="10"/>
        <v>237.67885532591416</v>
      </c>
      <c r="AK79" s="10">
        <f t="shared" si="11"/>
        <v>1196000</v>
      </c>
      <c r="AL79" s="6">
        <f t="shared" si="12"/>
        <v>0.57984949832775912</v>
      </c>
      <c r="AM79" s="6">
        <f t="shared" si="13"/>
        <v>2.9882223159534038E-2</v>
      </c>
      <c r="AN79" s="10">
        <f t="shared" si="14"/>
        <v>36839.999999999964</v>
      </c>
      <c r="AO79" s="6">
        <f t="shared" si="15"/>
        <v>0</v>
      </c>
      <c r="AP79" s="10">
        <f t="shared" si="16"/>
        <v>0</v>
      </c>
      <c r="AQ79" s="28" t="str">
        <f t="shared" si="17"/>
        <v>PASS</v>
      </c>
      <c r="AR79" s="6">
        <f t="shared" si="18"/>
        <v>0.5</v>
      </c>
      <c r="AS79" s="6">
        <f t="shared" si="19"/>
        <v>0.57984949832775912</v>
      </c>
      <c r="AT79" s="2"/>
      <c r="AU79" s="6">
        <f t="shared" si="20"/>
        <v>0.74</v>
      </c>
      <c r="AV79" s="6">
        <f t="shared" si="21"/>
        <v>0.97011777684046596</v>
      </c>
      <c r="AW79" s="11">
        <f t="shared" si="22"/>
        <v>1196</v>
      </c>
      <c r="AX79" s="6" t="e">
        <f t="shared" si="23"/>
        <v>#N/A</v>
      </c>
      <c r="AY79" s="6" t="e">
        <f t="shared" si="24"/>
        <v>#N/A</v>
      </c>
      <c r="AZ79" s="11" t="e">
        <f t="shared" si="25"/>
        <v>#N/A</v>
      </c>
      <c r="BA79" s="6" t="e">
        <f t="shared" si="26"/>
        <v>#N/A</v>
      </c>
      <c r="BB79" s="6" t="e">
        <f t="shared" si="27"/>
        <v>#N/A</v>
      </c>
      <c r="BC79" s="11" t="e">
        <f t="shared" si="28"/>
        <v>#N/A</v>
      </c>
      <c r="BD79" s="6">
        <f t="shared" si="29"/>
        <v>0.4844091482746945</v>
      </c>
      <c r="BE79" s="11">
        <f>IF(AND(Q79=1,S79="Delivery",AJ79&gt;0),AP79+AN79+9*0.001,-1000000000)</f>
        <v>36840.008999999962</v>
      </c>
      <c r="BF79" s="2">
        <f>IF(AND(Q79=1,S79="Delivery",AJ79&gt;0),AL79+(79-70)*0.00001,-1000000000)</f>
        <v>0.57993949832775915</v>
      </c>
      <c r="BG79" s="9" t="str">
        <f>IF(LARGE($BF$70:$BF$83,10)&gt;-1000000000,INDEX($R$70:$R$83,MATCH(LARGE($BF$70:$BF$83,10),$BF$70:$BF$83,0)),"")</f>
        <v>Creative Director</v>
      </c>
      <c r="BH79" s="6">
        <f>IF(LARGE($BF$70:$BF$83,10)&gt;-1000000000,INDEX($AL$70:$AL$83,MATCH(LARGE($BF$70:$BF$83,10),$BF$70:$BF$83,0)),NA())</f>
        <v>0.16923564189189197</v>
      </c>
      <c r="BI79" s="6">
        <f>IF(LARGE($BF$70:$BF$83,10)&gt;-1000000000,INDEX($BD$70:$BD$83,MATCH(LARGE($BF$70:$BF$83,10),$BF$70:$BF$83,0)),NA())</f>
        <v>0.29352510234863172</v>
      </c>
      <c r="BJ79" s="11">
        <f>IF(LARGE(BE70:BE83,10)&gt;=0,INDEX(BE70:BE83,MATCH(LARGE(BE70:BE83,10),BE70:BE83,0)),"")</f>
        <v>43880.007999999987</v>
      </c>
      <c r="BK79" s="2"/>
      <c r="BL79" s="2"/>
      <c r="BM79" s="2"/>
      <c r="BN79" s="2"/>
      <c r="BO79" s="2"/>
      <c r="BP79" s="6" t="str">
        <f>IFERROR(INDEX($AU$70:$AU$83,MATCH(10,$BY$70:$BY$83,0)),"")</f>
        <v/>
      </c>
      <c r="BQ79" s="6" t="str">
        <f>IFERROR(INDEX($AV$70:$AV$83,MATCH(10,$BY$70:$BY$83,0)),"")</f>
        <v/>
      </c>
      <c r="BR79" s="11"/>
      <c r="BS79" s="6"/>
      <c r="BT79" s="6"/>
      <c r="BU79" s="11" t="str">
        <f>IFERROR(INDEX($AZ$70:$AZ$83,MATCH(10,$BZ$70:$BZ$83,0)),"")</f>
        <v/>
      </c>
      <c r="BV79" s="6" t="str">
        <f>IFERROR(INDEX($BA$70:$BA$83,MATCH(10,$CA$70:$CA$83,0)),"")</f>
        <v/>
      </c>
      <c r="BW79" s="6" t="str">
        <f>IFERROR(INDEX($BB$70:$BB$83,MATCH(10,$CA$70:$CA$83,0)),"")</f>
        <v/>
      </c>
      <c r="BX79" s="11" t="str">
        <f>IFERROR(INDEX($BC$70:$BC$83,MATCH(10,$CA$70:$CA$83,0)),"")</f>
        <v/>
      </c>
      <c r="BY79" s="11">
        <f>IF(ISNUMBER(AU79),COUNT($AU$70:$AU79),"")</f>
        <v>5</v>
      </c>
      <c r="BZ79" s="11" t="str">
        <f>IF(ISNUMBER(AX79),COUNT($AX$70:$AX79),"")</f>
        <v/>
      </c>
      <c r="CA79" s="11" t="str">
        <f>IF(ISNUMBER(BA79),COUNT($BA$70:$BA79),"")</f>
        <v/>
      </c>
      <c r="CB79" s="2"/>
      <c r="CC79" s="2"/>
      <c r="CD79" s="2"/>
      <c r="CE79" s="2"/>
      <c r="CF79" s="2"/>
      <c r="CG79" s="2"/>
      <c r="CH79" s="2"/>
      <c r="CI79" s="2"/>
      <c r="CJ79" s="2"/>
      <c r="CK79" s="2"/>
      <c r="CL79" s="2"/>
      <c r="CM79" s="2"/>
      <c r="CN79" s="2"/>
      <c r="CO79" s="2"/>
      <c r="CP79" s="2"/>
      <c r="CQ79" s="2"/>
      <c r="CR79" s="2"/>
      <c r="CS79" s="2"/>
      <c r="CT79" s="2"/>
      <c r="CU79" s="2"/>
      <c r="CV79" s="2"/>
      <c r="CW79" s="2"/>
      <c r="CX79" s="2"/>
      <c r="CY79" s="29">
        <f t="shared" si="30"/>
        <v>1</v>
      </c>
      <c r="CZ79" s="29">
        <f t="shared" si="31"/>
        <v>0</v>
      </c>
      <c r="DA79" s="29">
        <f t="shared" si="32"/>
        <v>0</v>
      </c>
      <c r="DB79" s="29">
        <f>IF(CY79=1,SUM($CY$70:CY79),"")</f>
        <v>5</v>
      </c>
      <c r="DC79" s="29" t="str">
        <f>IF(CZ79=1,SUM($CZ$70:CZ79),"")</f>
        <v/>
      </c>
      <c r="DD79" s="29" t="str">
        <f>IF(DA79=1,SUM($DA$70:DA79),"")</f>
        <v/>
      </c>
      <c r="DE79" s="2"/>
      <c r="DF79" s="2"/>
      <c r="DG79" s="2"/>
      <c r="DH79" s="2"/>
      <c r="DI79" s="2"/>
      <c r="DJ79" s="29">
        <f t="shared" si="33"/>
        <v>0.74</v>
      </c>
      <c r="DK79" s="29">
        <f t="shared" si="34"/>
        <v>0.97011777684046596</v>
      </c>
      <c r="DL79" s="29">
        <f t="shared" si="35"/>
        <v>13.670223114492316</v>
      </c>
      <c r="DM79" s="29" t="str">
        <f t="shared" si="36"/>
        <v>Developer</v>
      </c>
      <c r="DN79" s="29">
        <f t="shared" si="37"/>
        <v>0.57984949832775912</v>
      </c>
      <c r="DO79" s="2"/>
      <c r="DP79" s="29" t="e" cm="1">
        <f t="array" ref="DP79">IFERROR(INDEX($Z$70:$Z$83,SMALL($EF$70:$EF$83,ROW()-69)),NA())</f>
        <v>#N/A</v>
      </c>
      <c r="DQ79" s="29" t="e" cm="1">
        <f t="array" ref="DQ79">IFERROR(INDEX($AB$70:$AB$83,SMALL($EF$70:$EF$83,ROW()-69)),NA())</f>
        <v>#N/A</v>
      </c>
      <c r="DR79" s="29" t="e" cm="1">
        <f t="array" ref="DR79">IFERROR(INDEX($AK$70:$AK$83,SMALL($EF$70:$EF$83,ROW()-69))^0.5/80,NA())</f>
        <v>#N/A</v>
      </c>
      <c r="DS79" s="29" t="e" cm="1">
        <f t="array" ref="DS79">IFERROR(INDEX($Z$70:$Z$83,SMALL($EG$70:$EG$83,ROW()-69)),NA())</f>
        <v>#N/A</v>
      </c>
      <c r="DT79" s="29" t="e" cm="1">
        <f t="array" ref="DT79">IFERROR(INDEX($AB$70:$AB$83,SMALL($EG$70:$EG$83,ROW()-69)),NA())</f>
        <v>#N/A</v>
      </c>
      <c r="DU79" s="29" t="e" cm="1">
        <f t="array" ref="DU79">IFERROR(INDEX($AK$70:$AK$83,SMALL($EG$70:$EG$83,ROW()-69))^0.5/80,NA())</f>
        <v>#N/A</v>
      </c>
      <c r="DV79" s="29" t="e" cm="1">
        <f t="array" ref="DV79">IFERROR(INDEX($Z$70:$Z$83,SMALL($EH$70:$EH$83,ROW()-69)),NA())</f>
        <v>#N/A</v>
      </c>
      <c r="DW79" s="29" t="e" cm="1">
        <f t="array" ref="DW79">IFERROR(INDEX($AB$70:$AB$83,SMALL($EH$70:$EH$83,ROW()-69)),NA())</f>
        <v>#N/A</v>
      </c>
      <c r="DX79" s="29" t="e" cm="1">
        <f t="array" ref="DX79">IFERROR(INDEX($AK$70:$AK$83,SMALL($EH$70:$EH$83,ROW()-69))^0.5/80,NA())</f>
        <v>#N/A</v>
      </c>
      <c r="DY79" s="29" t="str">
        <f t="shared" si="38"/>
        <v>Creative Director</v>
      </c>
      <c r="DZ79" s="29">
        <f t="shared" si="39"/>
        <v>0.16923564189189197</v>
      </c>
      <c r="EA79" s="29">
        <f t="shared" si="40"/>
        <v>0.29352510234863172</v>
      </c>
      <c r="EB79" s="2" t="str">
        <f>IF(LARGE($BF$70:$BF$83,10)&gt;-1000000000,TEXT(INDEX($AL$70:$AL$83,MATCH(LARGE($BF$70:$BF$83,10),$BF$70:$BF$83,0)),"0.0%"),"")</f>
        <v>16.9%</v>
      </c>
      <c r="EC79" s="56" t="str" cm="1">
        <f t="array" ref="EC79">IFERROR(INDEX($R$70:$R$83,SMALL($EF$70:$EF$83,ROW()-69)),"")</f>
        <v/>
      </c>
      <c r="ED79" s="56" t="str" cm="1">
        <f t="array" ref="ED79">IFERROR(INDEX($R$70:$R$83,SMALL($EG$70:$EG$83,ROW()-69)),"")</f>
        <v/>
      </c>
      <c r="EE79" s="56" t="str" cm="1">
        <f t="array" ref="EE79">IFERROR(INDEX($R$70:$R$83,SMALL($EH$70:$EH$83,ROW()-69)),"")</f>
        <v/>
      </c>
      <c r="EF79" s="2">
        <f t="shared" si="41"/>
        <v>10</v>
      </c>
      <c r="EG79" s="2" t="str">
        <f t="shared" si="42"/>
        <v/>
      </c>
      <c r="EH79" s="2" t="str">
        <f t="shared" si="43"/>
        <v/>
      </c>
      <c r="EI79" s="2"/>
      <c r="EJ79" s="2"/>
      <c r="EK79" s="2"/>
      <c r="EL79" s="2"/>
      <c r="EM79" s="2"/>
      <c r="EN79" s="2"/>
      <c r="EO79" s="2"/>
      <c r="EP79" s="2"/>
      <c r="EQ79" s="2"/>
      <c r="ER79" s="2"/>
      <c r="ES79" s="2"/>
      <c r="ET79" s="2"/>
      <c r="EU79" s="2"/>
      <c r="EV79" s="2"/>
      <c r="EW79" s="2"/>
      <c r="EX79" s="2"/>
      <c r="EY79" s="2"/>
      <c r="EZ79" s="2"/>
      <c r="FA79" s="2"/>
      <c r="FB79" s="2"/>
      <c r="FC79" s="48" t="str">
        <v>Group Account Director</v>
      </c>
      <c r="FD79" s="48">
        <v>7.5465425531915056E-2</v>
      </c>
      <c r="FE79" s="48">
        <v>0.3009049773755656</v>
      </c>
    </row>
    <row r="80" spans="1:161" ht="22" customHeight="1" x14ac:dyDescent="0.2">
      <c r="A80" s="1"/>
      <c r="B80" s="55"/>
      <c r="C80" s="55"/>
      <c r="D80" s="55"/>
      <c r="E80" s="55"/>
      <c r="F80" s="55"/>
      <c r="G80" s="55"/>
      <c r="H80" s="55"/>
      <c r="I80" s="55"/>
      <c r="J80" s="55"/>
      <c r="K80" s="55"/>
      <c r="L80" s="55"/>
      <c r="M80" s="1"/>
      <c r="N80" s="1"/>
      <c r="O80" s="2"/>
      <c r="P80" s="11">
        <v>11</v>
      </c>
      <c r="Q80" s="11">
        <f>N('Sample Roster'!$B$30)</f>
        <v>1</v>
      </c>
      <c r="R80" s="9" t="str">
        <f>'Sample Roster'!$C$30&amp;""</f>
        <v>Junior Designer</v>
      </c>
      <c r="S80" s="12" t="str">
        <f>'Sample Roster'!$D$30&amp;""</f>
        <v>Delivery</v>
      </c>
      <c r="T80" s="35">
        <f>IFERROR(N('Sample Roster'!$E$30),0)</f>
        <v>4</v>
      </c>
      <c r="U80" s="10">
        <f>IFERROR(N('Sample Roster'!$F$30),0)</f>
        <v>62000</v>
      </c>
      <c r="V80" s="6">
        <f>IFERROR(N('Sample Roster'!$G$30),0)</f>
        <v>0.185</v>
      </c>
      <c r="W80" s="10">
        <f>IFERROR(N('Sample Roster'!$H$30),0)</f>
        <v>100</v>
      </c>
      <c r="X80" s="11">
        <f>IFERROR(N('Sample Roster'!$I$30),0)</f>
        <v>1700</v>
      </c>
      <c r="Y80" s="6">
        <f>IFERROR(N('Sample Roster'!$J$30),0)</f>
        <v>0.7</v>
      </c>
      <c r="Z80" s="6">
        <f>IFERROR(IF('Sample Roster'!$D$12=0,0,(N('Sample Roster'!$L$30)*12/'Sample Roster'!$D$12)/(X80*T80)),0)</f>
        <v>0.7</v>
      </c>
      <c r="AA80" s="10">
        <f>IFERROR(N('Sample Roster'!$K$30),0)</f>
        <v>120</v>
      </c>
      <c r="AB80" s="6">
        <f>IFERROR(IF(OR(N('Sample Roster'!$L$30)=0,AA80=0),0,(N('Sample Roster'!$M$30)/N('Sample Roster'!$L$30))/AA80),0)</f>
        <v>0.78011204481792717</v>
      </c>
      <c r="AC80" s="10">
        <f t="shared" si="3"/>
        <v>74670</v>
      </c>
      <c r="AD80" s="10">
        <f t="shared" si="4"/>
        <v>298680</v>
      </c>
      <c r="AE80" s="11">
        <f t="shared" si="5"/>
        <v>6800</v>
      </c>
      <c r="AF80" s="11">
        <f t="shared" si="6"/>
        <v>4760</v>
      </c>
      <c r="AG80" s="11">
        <f t="shared" si="7"/>
        <v>4760</v>
      </c>
      <c r="AH80" s="10">
        <f t="shared" si="8"/>
        <v>62.747899159663866</v>
      </c>
      <c r="AI80" s="10">
        <f t="shared" si="9"/>
        <v>120</v>
      </c>
      <c r="AJ80" s="10">
        <f t="shared" si="10"/>
        <v>93.613445378151255</v>
      </c>
      <c r="AK80" s="10">
        <f t="shared" si="11"/>
        <v>445600</v>
      </c>
      <c r="AL80" s="6">
        <f t="shared" si="12"/>
        <v>0.3297127468581687</v>
      </c>
      <c r="AM80" s="6">
        <f t="shared" si="13"/>
        <v>0.21988795518207283</v>
      </c>
      <c r="AN80" s="10">
        <f t="shared" si="14"/>
        <v>125600.00000000003</v>
      </c>
      <c r="AO80" s="6">
        <f t="shared" si="15"/>
        <v>0</v>
      </c>
      <c r="AP80" s="10">
        <f t="shared" si="16"/>
        <v>0</v>
      </c>
      <c r="AQ80" s="28" t="str">
        <f t="shared" si="17"/>
        <v>WARN</v>
      </c>
      <c r="AR80" s="6">
        <f t="shared" si="18"/>
        <v>0.5</v>
      </c>
      <c r="AS80" s="6">
        <f t="shared" si="19"/>
        <v>0.3297127468581687</v>
      </c>
      <c r="AT80" s="2"/>
      <c r="AU80" s="6" t="e">
        <f t="shared" si="20"/>
        <v>#N/A</v>
      </c>
      <c r="AV80" s="6" t="e">
        <f t="shared" si="21"/>
        <v>#N/A</v>
      </c>
      <c r="AW80" s="11" t="e">
        <f t="shared" si="22"/>
        <v>#N/A</v>
      </c>
      <c r="AX80" s="6">
        <f t="shared" si="23"/>
        <v>0.7</v>
      </c>
      <c r="AY80" s="6">
        <f t="shared" si="24"/>
        <v>0.78011204481792717</v>
      </c>
      <c r="AZ80" s="11">
        <f t="shared" si="25"/>
        <v>445.6</v>
      </c>
      <c r="BA80" s="6" t="e">
        <f t="shared" si="26"/>
        <v>#N/A</v>
      </c>
      <c r="BB80" s="6" t="e">
        <f t="shared" si="27"/>
        <v>#N/A</v>
      </c>
      <c r="BC80" s="11" t="e">
        <f t="shared" si="28"/>
        <v>#N/A</v>
      </c>
      <c r="BD80" s="6">
        <f t="shared" si="29"/>
        <v>0.37430869783810966</v>
      </c>
      <c r="BE80" s="11">
        <f>IF(AND(Q80=1,S80="Delivery",AJ80&gt;0),AP80+AN80+10*0.001,-1000000000)</f>
        <v>125600.01000000002</v>
      </c>
      <c r="BF80" s="2">
        <f>IF(AND(Q80=1,S80="Delivery",AJ80&gt;0),AL80+(80-70)*0.00001,-1000000000)</f>
        <v>0.32981274685816869</v>
      </c>
      <c r="BG80" s="9" t="str">
        <f>IF(LARGE($BF$70:$BF$83,11)&gt;-1000000000,INDEX($R$70:$R$83,MATCH(LARGE($BF$70:$BF$83,11),$BF$70:$BF$83,0)),"")</f>
        <v>Group Account Director</v>
      </c>
      <c r="BH80" s="6">
        <f>IF(LARGE($BF$70:$BF$83,11)&gt;-1000000000,INDEX($AL$70:$AL$83,MATCH(LARGE($BF$70:$BF$83,11),$BF$70:$BF$83,0)),NA())</f>
        <v>7.5465425531915056E-2</v>
      </c>
      <c r="BI80" s="6">
        <f>IF(LARGE($BF$70:$BF$83,11)&gt;-1000000000,INDEX($BD$70:$BD$83,MATCH(LARGE($BF$70:$BF$83,11),$BF$70:$BF$83,0)),NA())</f>
        <v>0.3009049773755656</v>
      </c>
      <c r="BJ80" s="11">
        <f>IF(LARGE(BE70:BE83,11)&gt;=0,INDEX(BE70:BE83,MATCH(LARGE(BE70:BE83,11),BE70:BE83,0)),"")</f>
        <v>36840.008999999962</v>
      </c>
      <c r="BK80" s="2"/>
      <c r="BL80" s="2"/>
      <c r="BM80" s="2"/>
      <c r="BN80" s="2"/>
      <c r="BO80" s="2"/>
      <c r="BP80" s="6" t="str">
        <f>IFERROR(INDEX($AU$70:$AU$83,MATCH(11,$BY$70:$BY$83,0)),"")</f>
        <v/>
      </c>
      <c r="BQ80" s="6" t="str">
        <f>IFERROR(INDEX($AV$70:$AV$83,MATCH(11,$BY$70:$BY$83,0)),"")</f>
        <v/>
      </c>
      <c r="BR80" s="11"/>
      <c r="BS80" s="6"/>
      <c r="BT80" s="6"/>
      <c r="BU80" s="11" t="str">
        <f>IFERROR(INDEX($AZ$70:$AZ$83,MATCH(11,$BZ$70:$BZ$83,0)),"")</f>
        <v/>
      </c>
      <c r="BV80" s="6" t="str">
        <f>IFERROR(INDEX($BA$70:$BA$83,MATCH(11,$CA$70:$CA$83,0)),"")</f>
        <v/>
      </c>
      <c r="BW80" s="6" t="str">
        <f>IFERROR(INDEX($BB$70:$BB$83,MATCH(11,$CA$70:$CA$83,0)),"")</f>
        <v/>
      </c>
      <c r="BX80" s="11" t="str">
        <f>IFERROR(INDEX($BC$70:$BC$83,MATCH(11,$CA$70:$CA$83,0)),"")</f>
        <v/>
      </c>
      <c r="BY80" s="11" t="str">
        <f>IF(ISNUMBER(AU80),COUNT($AU$70:$AU80),"")</f>
        <v/>
      </c>
      <c r="BZ80" s="11">
        <f>IF(ISNUMBER(AX80),COUNT($AX$70:$AX80),"")</f>
        <v>3</v>
      </c>
      <c r="CA80" s="11" t="str">
        <f>IF(ISNUMBER(BA80),COUNT($BA$70:$BA80),"")</f>
        <v/>
      </c>
      <c r="CB80" s="2"/>
      <c r="CC80" s="2"/>
      <c r="CD80" s="2"/>
      <c r="CE80" s="2"/>
      <c r="CF80" s="2"/>
      <c r="CG80" s="2"/>
      <c r="CH80" s="2"/>
      <c r="CI80" s="2"/>
      <c r="CJ80" s="2"/>
      <c r="CK80" s="2"/>
      <c r="CL80" s="2"/>
      <c r="CM80" s="2"/>
      <c r="CN80" s="2"/>
      <c r="CO80" s="2"/>
      <c r="CP80" s="2"/>
      <c r="CQ80" s="2"/>
      <c r="CR80" s="2"/>
      <c r="CS80" s="2"/>
      <c r="CT80" s="2"/>
      <c r="CU80" s="2"/>
      <c r="CV80" s="2"/>
      <c r="CW80" s="2"/>
      <c r="CX80" s="2"/>
      <c r="CY80" s="29">
        <f t="shared" si="30"/>
        <v>0</v>
      </c>
      <c r="CZ80" s="29">
        <f t="shared" si="31"/>
        <v>1</v>
      </c>
      <c r="DA80" s="29">
        <f t="shared" si="32"/>
        <v>0</v>
      </c>
      <c r="DB80" s="29" t="str">
        <f>IF(CY80=1,SUM($CY$70:CY80),"")</f>
        <v/>
      </c>
      <c r="DC80" s="29">
        <f>IF(CZ80=1,SUM($CZ$70:CZ80),"")</f>
        <v>3</v>
      </c>
      <c r="DD80" s="29" t="str">
        <f>IF(DA80=1,SUM($DA$70:DA80),"")</f>
        <v/>
      </c>
      <c r="DE80" s="2"/>
      <c r="DF80" s="2"/>
      <c r="DG80" s="2"/>
      <c r="DH80" s="2"/>
      <c r="DI80" s="2"/>
      <c r="DJ80" s="29">
        <f t="shared" si="33"/>
        <v>0.7</v>
      </c>
      <c r="DK80" s="29">
        <f t="shared" si="34"/>
        <v>0.78011204481792717</v>
      </c>
      <c r="DL80" s="29">
        <f t="shared" si="35"/>
        <v>8.3441596341393183</v>
      </c>
      <c r="DM80" s="29" t="str">
        <f t="shared" si="36"/>
        <v>Junior Designer</v>
      </c>
      <c r="DN80" s="29">
        <f t="shared" si="37"/>
        <v>0.3297127468581687</v>
      </c>
      <c r="DO80" s="2"/>
      <c r="DP80" s="29" t="e" cm="1">
        <f t="array" ref="DP80">IFERROR(INDEX($Z$70:$Z$83,SMALL($EF$70:$EF$83,ROW()-69)),NA())</f>
        <v>#N/A</v>
      </c>
      <c r="DQ80" s="29" t="e" cm="1">
        <f t="array" ref="DQ80">IFERROR(INDEX($AB$70:$AB$83,SMALL($EF$70:$EF$83,ROW()-69)),NA())</f>
        <v>#N/A</v>
      </c>
      <c r="DR80" s="29" t="e" cm="1">
        <f t="array" ref="DR80">IFERROR(INDEX($AK$70:$AK$83,SMALL($EF$70:$EF$83,ROW()-69))^0.5/80,NA())</f>
        <v>#N/A</v>
      </c>
      <c r="DS80" s="29" t="e" cm="1">
        <f t="array" ref="DS80">IFERROR(INDEX($Z$70:$Z$83,SMALL($EG$70:$EG$83,ROW()-69)),NA())</f>
        <v>#N/A</v>
      </c>
      <c r="DT80" s="29" t="e" cm="1">
        <f t="array" ref="DT80">IFERROR(INDEX($AB$70:$AB$83,SMALL($EG$70:$EG$83,ROW()-69)),NA())</f>
        <v>#N/A</v>
      </c>
      <c r="DU80" s="29" t="e" cm="1">
        <f t="array" ref="DU80">IFERROR(INDEX($AK$70:$AK$83,SMALL($EG$70:$EG$83,ROW()-69))^0.5/80,NA())</f>
        <v>#N/A</v>
      </c>
      <c r="DV80" s="29" t="e" cm="1">
        <f t="array" ref="DV80">IFERROR(INDEX($Z$70:$Z$83,SMALL($EH$70:$EH$83,ROW()-69)),NA())</f>
        <v>#N/A</v>
      </c>
      <c r="DW80" s="29" t="e" cm="1">
        <f t="array" ref="DW80">IFERROR(INDEX($AB$70:$AB$83,SMALL($EH$70:$EH$83,ROW()-69)),NA())</f>
        <v>#N/A</v>
      </c>
      <c r="DX80" s="29" t="e" cm="1">
        <f t="array" ref="DX80">IFERROR(INDEX($AK$70:$AK$83,SMALL($EH$70:$EH$83,ROW()-69))^0.5/80,NA())</f>
        <v>#N/A</v>
      </c>
      <c r="DY80" s="29" t="str">
        <f t="shared" si="38"/>
        <v>Group Account Director</v>
      </c>
      <c r="DZ80" s="29">
        <f t="shared" si="39"/>
        <v>7.5465425531915056E-2</v>
      </c>
      <c r="EA80" s="29">
        <f t="shared" si="40"/>
        <v>0.3009049773755656</v>
      </c>
      <c r="EB80" s="2" t="str">
        <f>IF(LARGE($BF$70:$BF$83,11)&gt;-1000000000,TEXT(INDEX($AL$70:$AL$83,MATCH(LARGE($BF$70:$BF$83,11),$BF$70:$BF$83,0)),"0.0%"),"")</f>
        <v>7.5%</v>
      </c>
      <c r="EC80" s="56" t="str" cm="1">
        <f t="array" ref="EC80">IFERROR(INDEX($R$70:$R$83,SMALL($EF$70:$EF$83,ROW()-69)),"")</f>
        <v/>
      </c>
      <c r="ED80" s="56" t="str" cm="1">
        <f t="array" ref="ED80">IFERROR(INDEX($R$70:$R$83,SMALL($EG$70:$EG$83,ROW()-69)),"")</f>
        <v/>
      </c>
      <c r="EE80" s="56" t="str" cm="1">
        <f t="array" ref="EE80">IFERROR(INDEX($R$70:$R$83,SMALL($EH$70:$EH$83,ROW()-69)),"")</f>
        <v/>
      </c>
      <c r="EF80" s="2" t="str">
        <f t="shared" si="41"/>
        <v/>
      </c>
      <c r="EG80" s="2">
        <f t="shared" si="42"/>
        <v>11</v>
      </c>
      <c r="EH80" s="2" t="str">
        <f t="shared" si="43"/>
        <v/>
      </c>
      <c r="EI80" s="2"/>
      <c r="EJ80" s="2"/>
      <c r="EK80" s="2"/>
      <c r="EL80" s="2"/>
      <c r="EM80" s="2"/>
      <c r="EN80" s="2"/>
      <c r="EO80" s="2"/>
      <c r="EP80" s="2"/>
      <c r="EQ80" s="2"/>
      <c r="ER80" s="2"/>
      <c r="ES80" s="2"/>
      <c r="ET80" s="2"/>
      <c r="EU80" s="2"/>
      <c r="EV80" s="2"/>
      <c r="EW80" s="2"/>
      <c r="EX80" s="2"/>
      <c r="EY80" s="2"/>
      <c r="EZ80" s="2"/>
      <c r="FA80" s="2"/>
      <c r="FB80" s="2"/>
    </row>
    <row r="81" spans="1:158" ht="22" customHeight="1" x14ac:dyDescent="0.2">
      <c r="A81" s="1"/>
      <c r="B81" s="55"/>
      <c r="C81" s="55"/>
      <c r="D81" s="55"/>
      <c r="E81" s="55"/>
      <c r="F81" s="55"/>
      <c r="G81" s="55"/>
      <c r="H81" s="55"/>
      <c r="I81" s="55"/>
      <c r="J81" s="55"/>
      <c r="K81" s="55"/>
      <c r="L81" s="55"/>
      <c r="M81" s="1"/>
      <c r="N81" s="1"/>
      <c r="O81" s="2"/>
      <c r="P81" s="11">
        <v>12</v>
      </c>
      <c r="Q81" s="11">
        <f>N('Sample Roster'!$B$31)</f>
        <v>1</v>
      </c>
      <c r="R81" s="9" t="str">
        <f>'Sample Roster'!$C$31&amp;""</f>
        <v>Account Executive</v>
      </c>
      <c r="S81" s="12" t="str">
        <f>'Sample Roster'!$D$31&amp;""</f>
        <v>Delivery</v>
      </c>
      <c r="T81" s="35">
        <f>IFERROR(N('Sample Roster'!$E$31),0)</f>
        <v>4</v>
      </c>
      <c r="U81" s="10">
        <f>IFERROR(N('Sample Roster'!$F$31),0)</f>
        <v>58000</v>
      </c>
      <c r="V81" s="6">
        <f>IFERROR(N('Sample Roster'!$G$31),0)</f>
        <v>0.185</v>
      </c>
      <c r="W81" s="10">
        <f>IFERROR(N('Sample Roster'!$H$31),0)</f>
        <v>100</v>
      </c>
      <c r="X81" s="11">
        <f>IFERROR(N('Sample Roster'!$I$31),0)</f>
        <v>1700</v>
      </c>
      <c r="Y81" s="6">
        <f>IFERROR(N('Sample Roster'!$J$31),0)</f>
        <v>0.66</v>
      </c>
      <c r="Z81" s="6">
        <f>IFERROR(IF('Sample Roster'!$D$12=0,0,(N('Sample Roster'!$L$31)*12/'Sample Roster'!$D$12)/(X81*T81)),0)</f>
        <v>0.66</v>
      </c>
      <c r="AA81" s="10">
        <f>IFERROR(N('Sample Roster'!$K$31),0)</f>
        <v>110</v>
      </c>
      <c r="AB81" s="6">
        <f>IFERROR(IF(OR(N('Sample Roster'!$L$31)=0,AA81=0),0,(N('Sample Roster'!$M$31)/N('Sample Roster'!$L$31))/AA81),0)</f>
        <v>0.81996434937611418</v>
      </c>
      <c r="AC81" s="10">
        <f t="shared" si="3"/>
        <v>69930</v>
      </c>
      <c r="AD81" s="10">
        <f t="shared" si="4"/>
        <v>279720</v>
      </c>
      <c r="AE81" s="11">
        <f t="shared" si="5"/>
        <v>6800</v>
      </c>
      <c r="AF81" s="11">
        <f t="shared" si="6"/>
        <v>4488</v>
      </c>
      <c r="AG81" s="11">
        <f t="shared" si="7"/>
        <v>4488</v>
      </c>
      <c r="AH81" s="10">
        <f t="shared" si="8"/>
        <v>62.326203208556151</v>
      </c>
      <c r="AI81" s="10">
        <f t="shared" si="9"/>
        <v>110</v>
      </c>
      <c r="AJ81" s="10">
        <f t="shared" si="10"/>
        <v>90.196078431372555</v>
      </c>
      <c r="AK81" s="10">
        <f t="shared" si="11"/>
        <v>404800</v>
      </c>
      <c r="AL81" s="6">
        <f t="shared" si="12"/>
        <v>0.30899209486166013</v>
      </c>
      <c r="AM81" s="6">
        <f t="shared" si="13"/>
        <v>0.18003565062388582</v>
      </c>
      <c r="AN81" s="10">
        <f t="shared" si="14"/>
        <v>88879.999999999971</v>
      </c>
      <c r="AO81" s="6">
        <f t="shared" si="15"/>
        <v>0</v>
      </c>
      <c r="AP81" s="10">
        <f t="shared" si="16"/>
        <v>0</v>
      </c>
      <c r="AQ81" s="28" t="str">
        <f t="shared" si="17"/>
        <v>WARN</v>
      </c>
      <c r="AR81" s="6">
        <f t="shared" si="18"/>
        <v>0.5</v>
      </c>
      <c r="AS81" s="6">
        <f t="shared" si="19"/>
        <v>0.30899209486166013</v>
      </c>
      <c r="AT81" s="2"/>
      <c r="AU81" s="6" t="e">
        <f t="shared" si="20"/>
        <v>#N/A</v>
      </c>
      <c r="AV81" s="6" t="e">
        <f t="shared" si="21"/>
        <v>#N/A</v>
      </c>
      <c r="AW81" s="11" t="e">
        <f t="shared" si="22"/>
        <v>#N/A</v>
      </c>
      <c r="AX81" s="6">
        <f t="shared" si="23"/>
        <v>0.66</v>
      </c>
      <c r="AY81" s="6">
        <f t="shared" si="24"/>
        <v>0.81996434937611418</v>
      </c>
      <c r="AZ81" s="11">
        <f t="shared" si="25"/>
        <v>404.8</v>
      </c>
      <c r="BA81" s="6" t="e">
        <f t="shared" si="26"/>
        <v>#N/A</v>
      </c>
      <c r="BB81" s="6" t="e">
        <f t="shared" si="27"/>
        <v>#N/A</v>
      </c>
      <c r="BC81" s="11" t="e">
        <f t="shared" si="28"/>
        <v>#N/A</v>
      </c>
      <c r="BD81" s="6">
        <f t="shared" si="29"/>
        <v>0.36075689016865486</v>
      </c>
      <c r="BE81" s="11">
        <f>IF(AND(Q81=1,S81="Delivery",AJ81&gt;0),AP81+AN81+11*0.001,-1000000000)</f>
        <v>88880.010999999969</v>
      </c>
      <c r="BF81" s="2">
        <f>IF(AND(Q81=1,S81="Delivery",AJ81&gt;0),AL81+(81-70)*0.00001,-1000000000)</f>
        <v>0.30910209486166013</v>
      </c>
      <c r="BG81" s="9" t="str">
        <f>IF(LARGE($BF$70:$BF$83,12)&gt;-1000000000,INDEX($R$70:$R$83,MATCH(LARGE($BF$70:$BF$83,12),$BF$70:$BF$83,0)),"")</f>
        <v/>
      </c>
      <c r="BH81" s="6" t="e">
        <f>IF(LARGE($BF$70:$BF$83,12)&gt;-1000000000,INDEX($AL$70:$AL$83,MATCH(LARGE($BF$70:$BF$83,12),$BF$70:$BF$83,0)),NA())</f>
        <v>#N/A</v>
      </c>
      <c r="BI81" s="6" t="e">
        <f>IF(LARGE($BF$70:$BF$83,12)&gt;-1000000000,INDEX($BD$70:$BD$83,MATCH(LARGE($BF$70:$BF$83,12),$BF$70:$BF$83,0)),NA())</f>
        <v>#N/A</v>
      </c>
      <c r="BJ81" s="11" t="str">
        <f>IF(LARGE(BE70:BE83,12)&gt;=0,INDEX(BE70:BE83,MATCH(LARGE(BE70:BE83,12),BE70:BE83,0)),"")</f>
        <v/>
      </c>
      <c r="BK81" s="2"/>
      <c r="BL81" s="2"/>
      <c r="BM81" s="2"/>
      <c r="BN81" s="2"/>
      <c r="BO81" s="2"/>
      <c r="BP81" s="6" t="str">
        <f>IFERROR(INDEX($AU$70:$AU$83,MATCH(12,$BY$70:$BY$83,0)),"")</f>
        <v/>
      </c>
      <c r="BQ81" s="6" t="str">
        <f>IFERROR(INDEX($AV$70:$AV$83,MATCH(12,$BY$70:$BY$83,0)),"")</f>
        <v/>
      </c>
      <c r="BR81" s="11"/>
      <c r="BS81" s="6"/>
      <c r="BT81" s="6"/>
      <c r="BU81" s="11" t="str">
        <f>IFERROR(INDEX($AZ$70:$AZ$83,MATCH(12,$BZ$70:$BZ$83,0)),"")</f>
        <v/>
      </c>
      <c r="BV81" s="6" t="str">
        <f>IFERROR(INDEX($BA$70:$BA$83,MATCH(12,$CA$70:$CA$83,0)),"")</f>
        <v/>
      </c>
      <c r="BW81" s="6" t="str">
        <f>IFERROR(INDEX($BB$70:$BB$83,MATCH(12,$CA$70:$CA$83,0)),"")</f>
        <v/>
      </c>
      <c r="BX81" s="11" t="str">
        <f>IFERROR(INDEX($BC$70:$BC$83,MATCH(12,$CA$70:$CA$83,0)),"")</f>
        <v/>
      </c>
      <c r="BY81" s="11" t="str">
        <f>IF(ISNUMBER(AU81),COUNT($AU$70:$AU81),"")</f>
        <v/>
      </c>
      <c r="BZ81" s="11">
        <f>IF(ISNUMBER(AX81),COUNT($AX$70:$AX81),"")</f>
        <v>4</v>
      </c>
      <c r="CA81" s="11" t="str">
        <f>IF(ISNUMBER(BA81),COUNT($BA$70:$BA81),"")</f>
        <v/>
      </c>
      <c r="CB81" s="2"/>
      <c r="CC81" s="2"/>
      <c r="CD81" s="2"/>
      <c r="CE81" s="2"/>
      <c r="CF81" s="2"/>
      <c r="CG81" s="2"/>
      <c r="CH81" s="2"/>
      <c r="CI81" s="2"/>
      <c r="CJ81" s="2"/>
      <c r="CK81" s="2"/>
      <c r="CL81" s="2"/>
      <c r="CM81" s="2"/>
      <c r="CN81" s="2"/>
      <c r="CO81" s="2"/>
      <c r="CP81" s="2"/>
      <c r="CQ81" s="2"/>
      <c r="CR81" s="2"/>
      <c r="CS81" s="2"/>
      <c r="CT81" s="2"/>
      <c r="CU81" s="2"/>
      <c r="CV81" s="2"/>
      <c r="CW81" s="2"/>
      <c r="CX81" s="2"/>
      <c r="CY81" s="29">
        <f t="shared" si="30"/>
        <v>0</v>
      </c>
      <c r="CZ81" s="29">
        <f t="shared" si="31"/>
        <v>1</v>
      </c>
      <c r="DA81" s="29">
        <f t="shared" si="32"/>
        <v>0</v>
      </c>
      <c r="DB81" s="29" t="str">
        <f>IF(CY81=1,SUM($CY$70:CY81),"")</f>
        <v/>
      </c>
      <c r="DC81" s="29">
        <f>IF(CZ81=1,SUM($CZ$70:CZ81),"")</f>
        <v>4</v>
      </c>
      <c r="DD81" s="29" t="str">
        <f>IF(DA81=1,SUM($DA$70:DA81),"")</f>
        <v/>
      </c>
      <c r="DE81" s="2"/>
      <c r="DF81" s="2"/>
      <c r="DG81" s="2"/>
      <c r="DH81" s="2"/>
      <c r="DI81" s="2"/>
      <c r="DJ81" s="29">
        <f t="shared" si="33"/>
        <v>0.66</v>
      </c>
      <c r="DK81" s="29">
        <f t="shared" si="34"/>
        <v>0.81996434937611418</v>
      </c>
      <c r="DL81" s="29">
        <f t="shared" si="35"/>
        <v>7.952986860293433</v>
      </c>
      <c r="DM81" s="29" t="str">
        <f t="shared" si="36"/>
        <v>Account Executive</v>
      </c>
      <c r="DN81" s="29">
        <f t="shared" si="37"/>
        <v>0.30899209486166013</v>
      </c>
      <c r="DO81" s="2"/>
      <c r="DP81" s="29" t="e" cm="1">
        <f t="array" ref="DP81">IFERROR(INDEX($Z$70:$Z$83,SMALL($EF$70:$EF$83,ROW()-69)),NA())</f>
        <v>#N/A</v>
      </c>
      <c r="DQ81" s="29" t="e" cm="1">
        <f t="array" ref="DQ81">IFERROR(INDEX($AB$70:$AB$83,SMALL($EF$70:$EF$83,ROW()-69)),NA())</f>
        <v>#N/A</v>
      </c>
      <c r="DR81" s="29" t="e" cm="1">
        <f t="array" ref="DR81">IFERROR(INDEX($AK$70:$AK$83,SMALL($EF$70:$EF$83,ROW()-69))^0.5/80,NA())</f>
        <v>#N/A</v>
      </c>
      <c r="DS81" s="29" t="e" cm="1">
        <f t="array" ref="DS81">IFERROR(INDEX($Z$70:$Z$83,SMALL($EG$70:$EG$83,ROW()-69)),NA())</f>
        <v>#N/A</v>
      </c>
      <c r="DT81" s="29" t="e" cm="1">
        <f t="array" ref="DT81">IFERROR(INDEX($AB$70:$AB$83,SMALL($EG$70:$EG$83,ROW()-69)),NA())</f>
        <v>#N/A</v>
      </c>
      <c r="DU81" s="29" t="e" cm="1">
        <f t="array" ref="DU81">IFERROR(INDEX($AK$70:$AK$83,SMALL($EG$70:$EG$83,ROW()-69))^0.5/80,NA())</f>
        <v>#N/A</v>
      </c>
      <c r="DV81" s="29" t="e" cm="1">
        <f t="array" ref="DV81">IFERROR(INDEX($Z$70:$Z$83,SMALL($EH$70:$EH$83,ROW()-69)),NA())</f>
        <v>#N/A</v>
      </c>
      <c r="DW81" s="29" t="e" cm="1">
        <f t="array" ref="DW81">IFERROR(INDEX($AB$70:$AB$83,SMALL($EH$70:$EH$83,ROW()-69)),NA())</f>
        <v>#N/A</v>
      </c>
      <c r="DX81" s="29" t="e" cm="1">
        <f t="array" ref="DX81">IFERROR(INDEX($AK$70:$AK$83,SMALL($EH$70:$EH$83,ROW()-69))^0.5/80,NA())</f>
        <v>#N/A</v>
      </c>
      <c r="DY81" s="29" t="str">
        <f t="shared" si="38"/>
        <v/>
      </c>
      <c r="DZ81" s="29" t="e">
        <f t="shared" si="39"/>
        <v>#N/A</v>
      </c>
      <c r="EA81" s="29" t="e">
        <f t="shared" si="40"/>
        <v>#N/A</v>
      </c>
      <c r="EB81" s="2" t="str">
        <f>IF(LARGE($BF$70:$BF$83,12)&gt;-1000000000,TEXT(INDEX($AL$70:$AL$83,MATCH(LARGE($BF$70:$BF$83,12),$BF$70:$BF$83,0)),"0.0%"),"")</f>
        <v/>
      </c>
      <c r="EC81" s="56" t="str" cm="1">
        <f t="array" ref="EC81">IFERROR(INDEX($R$70:$R$83,SMALL($EF$70:$EF$83,ROW()-69)),"")</f>
        <v/>
      </c>
      <c r="ED81" s="56" t="str" cm="1">
        <f t="array" ref="ED81">IFERROR(INDEX($R$70:$R$83,SMALL($EG$70:$EG$83,ROW()-69)),"")</f>
        <v/>
      </c>
      <c r="EE81" s="56" t="str" cm="1">
        <f t="array" ref="EE81">IFERROR(INDEX($R$70:$R$83,SMALL($EH$70:$EH$83,ROW()-69)),"")</f>
        <v/>
      </c>
      <c r="EF81" s="2" t="str">
        <f t="shared" si="41"/>
        <v/>
      </c>
      <c r="EG81" s="2">
        <f t="shared" si="42"/>
        <v>12</v>
      </c>
      <c r="EH81" s="2" t="str">
        <f t="shared" si="43"/>
        <v/>
      </c>
      <c r="EI81" s="2"/>
      <c r="EJ81" s="2"/>
      <c r="EK81" s="2"/>
      <c r="EL81" s="2"/>
      <c r="EM81" s="2"/>
      <c r="EN81" s="2"/>
      <c r="EO81" s="2"/>
      <c r="EP81" s="2"/>
      <c r="EQ81" s="2"/>
      <c r="ER81" s="2"/>
      <c r="ES81" s="2"/>
      <c r="ET81" s="2"/>
      <c r="EU81" s="2"/>
      <c r="EV81" s="2"/>
      <c r="EW81" s="2"/>
      <c r="EX81" s="2"/>
      <c r="EY81" s="2"/>
      <c r="EZ81" s="2"/>
      <c r="FA81" s="2"/>
      <c r="FB81" s="2"/>
    </row>
    <row r="82" spans="1:158" ht="22" customHeight="1" x14ac:dyDescent="0.2">
      <c r="A82" s="1"/>
      <c r="B82" s="55"/>
      <c r="C82" s="55"/>
      <c r="D82" s="55"/>
      <c r="E82" s="55"/>
      <c r="F82" s="55"/>
      <c r="G82" s="55"/>
      <c r="H82" s="55"/>
      <c r="I82" s="55"/>
      <c r="J82" s="55"/>
      <c r="K82" s="55"/>
      <c r="L82" s="55"/>
      <c r="M82" s="1"/>
      <c r="N82" s="1"/>
      <c r="O82" s="2"/>
      <c r="P82" s="11">
        <v>13</v>
      </c>
      <c r="Q82" s="11">
        <f>N('Sample Roster'!$B$32)</f>
        <v>1</v>
      </c>
      <c r="R82" s="9" t="str">
        <f>'Sample Roster'!$C$32&amp;""</f>
        <v>Operations &amp; Finance</v>
      </c>
      <c r="S82" s="12" t="str">
        <f>'Sample Roster'!$D$32&amp;""</f>
        <v>Overhead</v>
      </c>
      <c r="T82" s="35">
        <f>IFERROR(N('Sample Roster'!$E$32),0)</f>
        <v>3</v>
      </c>
      <c r="U82" s="10">
        <f>IFERROR(N('Sample Roster'!$F$32),0)</f>
        <v>92000</v>
      </c>
      <c r="V82" s="6">
        <f>IFERROR(N('Sample Roster'!$G$32),0)</f>
        <v>0.185</v>
      </c>
      <c r="W82" s="10">
        <f>IFERROR(N('Sample Roster'!$H$32),0)</f>
        <v>100</v>
      </c>
      <c r="X82" s="11">
        <f>IFERROR(N('Sample Roster'!$I$32),0)</f>
        <v>1700</v>
      </c>
      <c r="Y82" s="6">
        <f>IFERROR(N('Sample Roster'!$J$32),0)</f>
        <v>0</v>
      </c>
      <c r="Z82" s="6">
        <f>IFERROR(IF('Sample Roster'!$D$12=0,0,(N('Sample Roster'!$L$32)*12/'Sample Roster'!$D$12)/(X82*T82)),0)</f>
        <v>0</v>
      </c>
      <c r="AA82" s="10">
        <f>IFERROR(N('Sample Roster'!$K$32),0)</f>
        <v>0</v>
      </c>
      <c r="AB82" s="6">
        <f>IFERROR(IF(OR(N('Sample Roster'!$L$32)=0,AA82=0),0,(N('Sample Roster'!$M$32)/N('Sample Roster'!$L$32))/AA82),0)</f>
        <v>0</v>
      </c>
      <c r="AC82" s="10">
        <f t="shared" si="3"/>
        <v>110220</v>
      </c>
      <c r="AD82" s="10">
        <f t="shared" si="4"/>
        <v>330660</v>
      </c>
      <c r="AE82" s="11">
        <f t="shared" si="5"/>
        <v>5100</v>
      </c>
      <c r="AF82" s="11">
        <f t="shared" si="6"/>
        <v>0</v>
      </c>
      <c r="AG82" s="11">
        <f t="shared" si="7"/>
        <v>0</v>
      </c>
      <c r="AH82" s="10">
        <f t="shared" si="8"/>
        <v>0</v>
      </c>
      <c r="AI82" s="10">
        <f t="shared" si="9"/>
        <v>0</v>
      </c>
      <c r="AJ82" s="10">
        <f t="shared" si="10"/>
        <v>0</v>
      </c>
      <c r="AK82" s="10">
        <f t="shared" si="11"/>
        <v>0</v>
      </c>
      <c r="AL82" s="6">
        <f t="shared" si="12"/>
        <v>0</v>
      </c>
      <c r="AM82" s="6">
        <f t="shared" si="13"/>
        <v>1</v>
      </c>
      <c r="AN82" s="10">
        <f t="shared" si="14"/>
        <v>0</v>
      </c>
      <c r="AO82" s="6">
        <f t="shared" si="15"/>
        <v>0</v>
      </c>
      <c r="AP82" s="10">
        <f t="shared" si="16"/>
        <v>0</v>
      </c>
      <c r="AQ82" s="28" t="str">
        <f t="shared" si="17"/>
        <v>OVERHEAD</v>
      </c>
      <c r="AR82" s="6">
        <f t="shared" si="18"/>
        <v>0.5</v>
      </c>
      <c r="AS82" s="6">
        <f t="shared" si="19"/>
        <v>99</v>
      </c>
      <c r="AT82" s="2"/>
      <c r="AU82" s="6" t="e">
        <f t="shared" si="20"/>
        <v>#N/A</v>
      </c>
      <c r="AV82" s="6" t="e">
        <f t="shared" si="21"/>
        <v>#N/A</v>
      </c>
      <c r="AW82" s="11" t="e">
        <f t="shared" si="22"/>
        <v>#N/A</v>
      </c>
      <c r="AX82" s="6" t="e">
        <f t="shared" si="23"/>
        <v>#N/A</v>
      </c>
      <c r="AY82" s="6" t="e">
        <f t="shared" si="24"/>
        <v>#N/A</v>
      </c>
      <c r="AZ82" s="11" t="e">
        <f t="shared" si="25"/>
        <v>#N/A</v>
      </c>
      <c r="BA82" s="6" t="e">
        <f t="shared" si="26"/>
        <v>#N/A</v>
      </c>
      <c r="BB82" s="6" t="e">
        <f t="shared" si="27"/>
        <v>#N/A</v>
      </c>
      <c r="BC82" s="11" t="e">
        <f t="shared" si="28"/>
        <v>#N/A</v>
      </c>
      <c r="BD82" s="6" t="str">
        <f t="shared" si="29"/>
        <v/>
      </c>
      <c r="BE82" s="11">
        <f>IF(AND(Q82=1,S82="Delivery",AJ82&gt;0),AP82+AN82+12*0.001,-1000000000)</f>
        <v>-1000000000</v>
      </c>
      <c r="BF82" s="2">
        <f>IF(AND(Q82=1,S82="Delivery",AJ82&gt;0),AL82+(82-70)*0.00001,-1000000000)</f>
        <v>-1000000000</v>
      </c>
      <c r="BG82" s="9" t="str">
        <f>IF(LARGE($BF$70:$BF$83,13)&gt;-1000000000,INDEX($R$70:$R$83,MATCH(LARGE($BF$70:$BF$83,13),$BF$70:$BF$83,0)),"")</f>
        <v/>
      </c>
      <c r="BH82" s="6" t="e">
        <f>IF(LARGE($BF$70:$BF$83,13)&gt;-1000000000,INDEX($AL$70:$AL$83,MATCH(LARGE($BF$70:$BF$83,13),$BF$70:$BF$83,0)),NA())</f>
        <v>#N/A</v>
      </c>
      <c r="BI82" s="6" t="e">
        <f>IF(LARGE($BF$70:$BF$83,13)&gt;-1000000000,INDEX($BD$70:$BD$83,MATCH(LARGE($BF$70:$BF$83,13),$BF$70:$BF$83,0)),NA())</f>
        <v>#N/A</v>
      </c>
      <c r="BJ82" s="11" t="str">
        <f>IF(LARGE(BE70:BE83,13)&gt;=0,INDEX(BE70:BE83,MATCH(LARGE(BE70:BE83,13),BE70:BE83,0)),"")</f>
        <v/>
      </c>
      <c r="BK82" s="2"/>
      <c r="BL82" s="2"/>
      <c r="BM82" s="2"/>
      <c r="BN82" s="2"/>
      <c r="BO82" s="2"/>
      <c r="BP82" s="6" t="str">
        <f>IFERROR(INDEX($AU$70:$AU$83,MATCH(13,$BY$70:$BY$83,0)),"")</f>
        <v/>
      </c>
      <c r="BQ82" s="6" t="str">
        <f>IFERROR(INDEX($AV$70:$AV$83,MATCH(13,$BY$70:$BY$83,0)),"")</f>
        <v/>
      </c>
      <c r="BR82" s="11"/>
      <c r="BS82" s="6"/>
      <c r="BT82" s="6"/>
      <c r="BU82" s="11" t="str">
        <f>IFERROR(INDEX($AZ$70:$AZ$83,MATCH(13,$BZ$70:$BZ$83,0)),"")</f>
        <v/>
      </c>
      <c r="BV82" s="6" t="str">
        <f>IFERROR(INDEX($BA$70:$BA$83,MATCH(13,$CA$70:$CA$83,0)),"")</f>
        <v/>
      </c>
      <c r="BW82" s="6" t="str">
        <f>IFERROR(INDEX($BB$70:$BB$83,MATCH(13,$CA$70:$CA$83,0)),"")</f>
        <v/>
      </c>
      <c r="BX82" s="11" t="str">
        <f>IFERROR(INDEX($BC$70:$BC$83,MATCH(13,$CA$70:$CA$83,0)),"")</f>
        <v/>
      </c>
      <c r="BY82" s="11" t="str">
        <f>IF(ISNUMBER(AU82),COUNT($AU$70:$AU82),"")</f>
        <v/>
      </c>
      <c r="BZ82" s="11" t="str">
        <f>IF(ISNUMBER(AX82),COUNT($AX$70:$AX82),"")</f>
        <v/>
      </c>
      <c r="CA82" s="11" t="str">
        <f>IF(ISNUMBER(BA82),COUNT($BA$70:$BA82),"")</f>
        <v/>
      </c>
      <c r="CB82" s="2"/>
      <c r="CC82" s="2"/>
      <c r="CD82" s="2"/>
      <c r="CE82" s="2"/>
      <c r="CF82" s="2"/>
      <c r="CG82" s="2"/>
      <c r="CH82" s="2"/>
      <c r="CI82" s="2"/>
      <c r="CJ82" s="2"/>
      <c r="CK82" s="2"/>
      <c r="CL82" s="2"/>
      <c r="CM82" s="2"/>
      <c r="CN82" s="2"/>
      <c r="CO82" s="2"/>
      <c r="CP82" s="2"/>
      <c r="CQ82" s="2"/>
      <c r="CR82" s="2"/>
      <c r="CS82" s="2"/>
      <c r="CT82" s="2"/>
      <c r="CU82" s="2"/>
      <c r="CV82" s="2"/>
      <c r="CW82" s="2"/>
      <c r="CX82" s="2"/>
      <c r="CY82" s="29">
        <f t="shared" si="30"/>
        <v>0</v>
      </c>
      <c r="CZ82" s="29">
        <f t="shared" si="31"/>
        <v>0</v>
      </c>
      <c r="DA82" s="29">
        <f t="shared" si="32"/>
        <v>0</v>
      </c>
      <c r="DB82" s="29" t="str">
        <f>IF(CY82=1,SUM($CY$70:CY82),"")</f>
        <v/>
      </c>
      <c r="DC82" s="29" t="str">
        <f>IF(CZ82=1,SUM($CZ$70:CZ82),"")</f>
        <v/>
      </c>
      <c r="DD82" s="29" t="str">
        <f>IF(DA82=1,SUM($DA$70:DA82),"")</f>
        <v/>
      </c>
      <c r="DE82" s="2"/>
      <c r="DF82" s="2"/>
      <c r="DG82" s="2"/>
      <c r="DH82" s="2"/>
      <c r="DI82" s="2"/>
      <c r="DJ82" s="29" t="e">
        <f t="shared" si="33"/>
        <v>#N/A</v>
      </c>
      <c r="DK82" s="29" t="e">
        <f t="shared" si="34"/>
        <v>#N/A</v>
      </c>
      <c r="DL82" s="29" t="e">
        <f t="shared" si="35"/>
        <v>#N/A</v>
      </c>
      <c r="DM82" s="29" t="str">
        <f t="shared" si="36"/>
        <v/>
      </c>
      <c r="DN82" s="29" t="e">
        <f t="shared" si="37"/>
        <v>#N/A</v>
      </c>
      <c r="DO82" s="2"/>
      <c r="DP82" s="29" t="e" cm="1">
        <f t="array" ref="DP82">IFERROR(INDEX($Z$70:$Z$83,SMALL($EF$70:$EF$83,ROW()-69)),NA())</f>
        <v>#N/A</v>
      </c>
      <c r="DQ82" s="29" t="e" cm="1">
        <f t="array" ref="DQ82">IFERROR(INDEX($AB$70:$AB$83,SMALL($EF$70:$EF$83,ROW()-69)),NA())</f>
        <v>#N/A</v>
      </c>
      <c r="DR82" s="29" t="e" cm="1">
        <f t="array" ref="DR82">IFERROR(INDEX($AK$70:$AK$83,SMALL($EF$70:$EF$83,ROW()-69))^0.5/80,NA())</f>
        <v>#N/A</v>
      </c>
      <c r="DS82" s="29" t="e" cm="1">
        <f t="array" ref="DS82">IFERROR(INDEX($Z$70:$Z$83,SMALL($EG$70:$EG$83,ROW()-69)),NA())</f>
        <v>#N/A</v>
      </c>
      <c r="DT82" s="29" t="e" cm="1">
        <f t="array" ref="DT82">IFERROR(INDEX($AB$70:$AB$83,SMALL($EG$70:$EG$83,ROW()-69)),NA())</f>
        <v>#N/A</v>
      </c>
      <c r="DU82" s="29" t="e" cm="1">
        <f t="array" ref="DU82">IFERROR(INDEX($AK$70:$AK$83,SMALL($EG$70:$EG$83,ROW()-69))^0.5/80,NA())</f>
        <v>#N/A</v>
      </c>
      <c r="DV82" s="29" t="e" cm="1">
        <f t="array" ref="DV82">IFERROR(INDEX($Z$70:$Z$83,SMALL($EH$70:$EH$83,ROW()-69)),NA())</f>
        <v>#N/A</v>
      </c>
      <c r="DW82" s="29" t="e" cm="1">
        <f t="array" ref="DW82">IFERROR(INDEX($AB$70:$AB$83,SMALL($EH$70:$EH$83,ROW()-69)),NA())</f>
        <v>#N/A</v>
      </c>
      <c r="DX82" s="29" t="e" cm="1">
        <f t="array" ref="DX82">IFERROR(INDEX($AK$70:$AK$83,SMALL($EH$70:$EH$83,ROW()-69))^0.5/80,NA())</f>
        <v>#N/A</v>
      </c>
      <c r="DY82" s="29" t="str">
        <f t="shared" si="38"/>
        <v/>
      </c>
      <c r="DZ82" s="29" t="e">
        <f t="shared" si="39"/>
        <v>#N/A</v>
      </c>
      <c r="EA82" s="29" t="e">
        <f t="shared" si="40"/>
        <v>#N/A</v>
      </c>
      <c r="EB82" s="2" t="str">
        <f>IF(LARGE($BF$70:$BF$83,13)&gt;-1000000000,TEXT(INDEX($AL$70:$AL$83,MATCH(LARGE($BF$70:$BF$83,13),$BF$70:$BF$83,0)),"0.0%"),"")</f>
        <v/>
      </c>
      <c r="EC82" s="56" t="str" cm="1">
        <f t="array" ref="EC82">IFERROR(INDEX($R$70:$R$83,SMALL($EF$70:$EF$83,ROW()-69)),"")</f>
        <v/>
      </c>
      <c r="ED82" s="56" t="str" cm="1">
        <f t="array" ref="ED82">IFERROR(INDEX($R$70:$R$83,SMALL($EG$70:$EG$83,ROW()-69)),"")</f>
        <v/>
      </c>
      <c r="EE82" s="56" t="str" cm="1">
        <f t="array" ref="EE82">IFERROR(INDEX($R$70:$R$83,SMALL($EH$70:$EH$83,ROW()-69)),"")</f>
        <v/>
      </c>
      <c r="EF82" s="2" t="str">
        <f t="shared" si="41"/>
        <v/>
      </c>
      <c r="EG82" s="2" t="str">
        <f t="shared" si="42"/>
        <v/>
      </c>
      <c r="EH82" s="2" t="str">
        <f t="shared" si="43"/>
        <v/>
      </c>
      <c r="EI82" s="2"/>
      <c r="EJ82" s="2"/>
      <c r="EK82" s="2"/>
      <c r="EL82" s="2"/>
      <c r="EM82" s="2"/>
      <c r="EN82" s="2"/>
      <c r="EO82" s="2"/>
      <c r="EP82" s="2"/>
      <c r="EQ82" s="2"/>
      <c r="ER82" s="2"/>
      <c r="ES82" s="2"/>
      <c r="ET82" s="2"/>
      <c r="EU82" s="2"/>
      <c r="EV82" s="2"/>
      <c r="EW82" s="2"/>
      <c r="EX82" s="2"/>
      <c r="EY82" s="2"/>
      <c r="EZ82" s="2"/>
      <c r="FA82" s="2"/>
      <c r="FB82" s="2"/>
    </row>
    <row r="83" spans="1:158" ht="22" customHeight="1" x14ac:dyDescent="0.2">
      <c r="A83" s="1"/>
      <c r="B83" s="5" t="s">
        <v>59</v>
      </c>
      <c r="C83" s="1"/>
      <c r="D83" s="1"/>
      <c r="E83" s="1"/>
      <c r="F83" s="1"/>
      <c r="G83" s="1"/>
      <c r="H83" s="1"/>
      <c r="I83" s="1"/>
      <c r="J83" s="1"/>
      <c r="K83" s="1"/>
      <c r="L83" s="4" t="s">
        <v>60</v>
      </c>
      <c r="M83" s="33" t="str">
        <f>TEXT(ref_bench_margin_target,"0%")</f>
        <v>50%</v>
      </c>
      <c r="N83" s="1"/>
      <c r="O83" s="2"/>
      <c r="P83" s="11">
        <v>14</v>
      </c>
      <c r="Q83" s="11">
        <f>N('Sample Roster'!$B$33)</f>
        <v>1</v>
      </c>
      <c r="R83" s="9" t="str">
        <f>'Sample Roster'!$C$33&amp;""</f>
        <v>Studio &amp; Admin</v>
      </c>
      <c r="S83" s="12" t="str">
        <f>'Sample Roster'!$D$33&amp;""</f>
        <v>Overhead</v>
      </c>
      <c r="T83" s="35">
        <f>IFERROR(N('Sample Roster'!$E$33),0)</f>
        <v>2</v>
      </c>
      <c r="U83" s="10">
        <f>IFERROR(N('Sample Roster'!$F$33),0)</f>
        <v>68000</v>
      </c>
      <c r="V83" s="6">
        <f>IFERROR(N('Sample Roster'!$G$33),0)</f>
        <v>0.185</v>
      </c>
      <c r="W83" s="10">
        <f>IFERROR(N('Sample Roster'!$H$33),0)</f>
        <v>100</v>
      </c>
      <c r="X83" s="11">
        <f>IFERROR(N('Sample Roster'!$I$33),0)</f>
        <v>1700</v>
      </c>
      <c r="Y83" s="6">
        <f>IFERROR(N('Sample Roster'!$J$33),0)</f>
        <v>0</v>
      </c>
      <c r="Z83" s="6">
        <f>IFERROR(IF('Sample Roster'!$D$12=0,0,(N('Sample Roster'!$L$33)*12/'Sample Roster'!$D$12)/(X83*T83)),0)</f>
        <v>0</v>
      </c>
      <c r="AA83" s="10">
        <f>IFERROR(N('Sample Roster'!$K$33),0)</f>
        <v>0</v>
      </c>
      <c r="AB83" s="6">
        <f>IFERROR(IF(OR(N('Sample Roster'!$L$33)=0,AA83=0),0,(N('Sample Roster'!$M$33)/N('Sample Roster'!$L$33))/AA83),0)</f>
        <v>0</v>
      </c>
      <c r="AC83" s="10">
        <f t="shared" si="3"/>
        <v>81780</v>
      </c>
      <c r="AD83" s="10">
        <f t="shared" si="4"/>
        <v>163560</v>
      </c>
      <c r="AE83" s="11">
        <f t="shared" si="5"/>
        <v>3400</v>
      </c>
      <c r="AF83" s="11">
        <f t="shared" si="6"/>
        <v>0</v>
      </c>
      <c r="AG83" s="11">
        <f t="shared" si="7"/>
        <v>0</v>
      </c>
      <c r="AH83" s="10">
        <f t="shared" si="8"/>
        <v>0</v>
      </c>
      <c r="AI83" s="10">
        <f t="shared" si="9"/>
        <v>0</v>
      </c>
      <c r="AJ83" s="10">
        <f t="shared" si="10"/>
        <v>0</v>
      </c>
      <c r="AK83" s="10">
        <f t="shared" si="11"/>
        <v>0</v>
      </c>
      <c r="AL83" s="6">
        <f t="shared" si="12"/>
        <v>0</v>
      </c>
      <c r="AM83" s="6">
        <f t="shared" si="13"/>
        <v>1</v>
      </c>
      <c r="AN83" s="10">
        <f t="shared" si="14"/>
        <v>0</v>
      </c>
      <c r="AO83" s="6">
        <f t="shared" si="15"/>
        <v>0</v>
      </c>
      <c r="AP83" s="10">
        <f t="shared" si="16"/>
        <v>0</v>
      </c>
      <c r="AQ83" s="28" t="str">
        <f t="shared" si="17"/>
        <v>OVERHEAD</v>
      </c>
      <c r="AR83" s="6">
        <f t="shared" si="18"/>
        <v>0.5</v>
      </c>
      <c r="AS83" s="6">
        <f t="shared" si="19"/>
        <v>99</v>
      </c>
      <c r="AT83" s="2"/>
      <c r="AU83" s="6" t="e">
        <f t="shared" si="20"/>
        <v>#N/A</v>
      </c>
      <c r="AV83" s="6" t="e">
        <f t="shared" si="21"/>
        <v>#N/A</v>
      </c>
      <c r="AW83" s="11" t="e">
        <f t="shared" si="22"/>
        <v>#N/A</v>
      </c>
      <c r="AX83" s="6" t="e">
        <f t="shared" si="23"/>
        <v>#N/A</v>
      </c>
      <c r="AY83" s="6" t="e">
        <f t="shared" si="24"/>
        <v>#N/A</v>
      </c>
      <c r="AZ83" s="11" t="e">
        <f t="shared" si="25"/>
        <v>#N/A</v>
      </c>
      <c r="BA83" s="6" t="e">
        <f t="shared" si="26"/>
        <v>#N/A</v>
      </c>
      <c r="BB83" s="6" t="e">
        <f t="shared" si="27"/>
        <v>#N/A</v>
      </c>
      <c r="BC83" s="11" t="e">
        <f t="shared" si="28"/>
        <v>#N/A</v>
      </c>
      <c r="BD83" s="6" t="str">
        <f t="shared" si="29"/>
        <v/>
      </c>
      <c r="BE83" s="11">
        <f>IF(AND(Q83=1,S83="Delivery",AJ83&gt;0),AP83+AN83+13*0.001,-1000000000)</f>
        <v>-1000000000</v>
      </c>
      <c r="BF83" s="2">
        <f>IF(AND(Q83=1,S83="Delivery",AJ83&gt;0),AL83+(83-70)*0.00001,-1000000000)</f>
        <v>-1000000000</v>
      </c>
      <c r="BG83" s="9" t="str">
        <f>IF(LARGE($BF$70:$BF$83,14)&gt;-1000000000,INDEX($R$70:$R$83,MATCH(LARGE($BF$70:$BF$83,14),$BF$70:$BF$83,0)),"")</f>
        <v/>
      </c>
      <c r="BH83" s="6" t="e">
        <f>IF(LARGE($BF$70:$BF$83,14)&gt;-1000000000,INDEX($AL$70:$AL$83,MATCH(LARGE($BF$70:$BF$83,14),$BF$70:$BF$83,0)),NA())</f>
        <v>#N/A</v>
      </c>
      <c r="BI83" s="6" t="e">
        <f>IF(LARGE($BF$70:$BF$83,14)&gt;-1000000000,INDEX($BD$70:$BD$83,MATCH(LARGE($BF$70:$BF$83,14),$BF$70:$BF$83,0)),NA())</f>
        <v>#N/A</v>
      </c>
      <c r="BJ83" s="11" t="str">
        <f>IF(LARGE(BE70:BE83,14)&gt;=0,INDEX(BE70:BE83,MATCH(LARGE(BE70:BE83,14),BE70:BE83,0)),"")</f>
        <v/>
      </c>
      <c r="BK83" s="2"/>
      <c r="BL83" s="2"/>
      <c r="BM83" s="2"/>
      <c r="BN83" s="2"/>
      <c r="BO83" s="2"/>
      <c r="BP83" s="6" t="str">
        <f>IFERROR(INDEX($AU$70:$AU$83,MATCH(14,$BY$70:$BY$83,0)),"")</f>
        <v/>
      </c>
      <c r="BQ83" s="6" t="str">
        <f>IFERROR(INDEX($AV$70:$AV$83,MATCH(14,$BY$70:$BY$83,0)),"")</f>
        <v/>
      </c>
      <c r="BR83" s="11"/>
      <c r="BS83" s="6"/>
      <c r="BT83" s="6"/>
      <c r="BU83" s="11" t="str">
        <f>IFERROR(INDEX($AZ$70:$AZ$83,MATCH(14,$BZ$70:$BZ$83,0)),"")</f>
        <v/>
      </c>
      <c r="BV83" s="6" t="str">
        <f>IFERROR(INDEX($BA$70:$BA$83,MATCH(14,$CA$70:$CA$83,0)),"")</f>
        <v/>
      </c>
      <c r="BW83" s="6" t="str">
        <f>IFERROR(INDEX($BB$70:$BB$83,MATCH(14,$CA$70:$CA$83,0)),"")</f>
        <v/>
      </c>
      <c r="BX83" s="11" t="str">
        <f>IFERROR(INDEX($BC$70:$BC$83,MATCH(14,$CA$70:$CA$83,0)),"")</f>
        <v/>
      </c>
      <c r="BY83" s="11" t="str">
        <f>IF(ISNUMBER(AU83),COUNT($AU$70:$AU83),"")</f>
        <v/>
      </c>
      <c r="BZ83" s="11" t="str">
        <f>IF(ISNUMBER(AX83),COUNT($AX$70:$AX83),"")</f>
        <v/>
      </c>
      <c r="CA83" s="11" t="str">
        <f>IF(ISNUMBER(BA83),COUNT($BA$70:$BA83),"")</f>
        <v/>
      </c>
      <c r="CB83" s="2"/>
      <c r="CC83" s="2"/>
      <c r="CD83" s="2"/>
      <c r="CE83" s="2"/>
      <c r="CF83" s="2"/>
      <c r="CG83" s="2"/>
      <c r="CH83" s="2"/>
      <c r="CI83" s="2"/>
      <c r="CJ83" s="2"/>
      <c r="CK83" s="2"/>
      <c r="CL83" s="2"/>
      <c r="CM83" s="2"/>
      <c r="CN83" s="2"/>
      <c r="CO83" s="2"/>
      <c r="CP83" s="2"/>
      <c r="CQ83" s="2"/>
      <c r="CR83" s="2"/>
      <c r="CS83" s="2"/>
      <c r="CT83" s="2"/>
      <c r="CU83" s="2"/>
      <c r="CV83" s="2"/>
      <c r="CW83" s="2"/>
      <c r="CX83" s="2"/>
      <c r="CY83" s="29">
        <f t="shared" si="30"/>
        <v>0</v>
      </c>
      <c r="CZ83" s="29">
        <f t="shared" si="31"/>
        <v>0</v>
      </c>
      <c r="DA83" s="29">
        <f t="shared" si="32"/>
        <v>0</v>
      </c>
      <c r="DB83" s="29" t="str">
        <f>IF(CY83=1,SUM($CY$70:CY83),"")</f>
        <v/>
      </c>
      <c r="DC83" s="29" t="str">
        <f>IF(CZ83=1,SUM($CZ$70:CZ83),"")</f>
        <v/>
      </c>
      <c r="DD83" s="29" t="str">
        <f>IF(DA83=1,SUM($DA$70:DA83),"")</f>
        <v/>
      </c>
      <c r="DE83" s="2"/>
      <c r="DF83" s="2"/>
      <c r="DG83" s="2"/>
      <c r="DH83" s="2"/>
      <c r="DI83" s="2"/>
      <c r="DJ83" s="29" t="e">
        <f t="shared" si="33"/>
        <v>#N/A</v>
      </c>
      <c r="DK83" s="29" t="e">
        <f t="shared" si="34"/>
        <v>#N/A</v>
      </c>
      <c r="DL83" s="29" t="e">
        <f t="shared" si="35"/>
        <v>#N/A</v>
      </c>
      <c r="DM83" s="29" t="str">
        <f t="shared" si="36"/>
        <v/>
      </c>
      <c r="DN83" s="29" t="e">
        <f t="shared" si="37"/>
        <v>#N/A</v>
      </c>
      <c r="DO83" s="2"/>
      <c r="DP83" s="29" t="e" cm="1">
        <f t="array" ref="DP83">IFERROR(INDEX($Z$70:$Z$83,SMALL($EF$70:$EF$83,ROW()-69)),NA())</f>
        <v>#N/A</v>
      </c>
      <c r="DQ83" s="29" t="e" cm="1">
        <f t="array" ref="DQ83">IFERROR(INDEX($AB$70:$AB$83,SMALL($EF$70:$EF$83,ROW()-69)),NA())</f>
        <v>#N/A</v>
      </c>
      <c r="DR83" s="29" t="e" cm="1">
        <f t="array" ref="DR83">IFERROR(INDEX($AK$70:$AK$83,SMALL($EF$70:$EF$83,ROW()-69))^0.5/80,NA())</f>
        <v>#N/A</v>
      </c>
      <c r="DS83" s="29" t="e" cm="1">
        <f t="array" ref="DS83">IFERROR(INDEX($Z$70:$Z$83,SMALL($EG$70:$EG$83,ROW()-69)),NA())</f>
        <v>#N/A</v>
      </c>
      <c r="DT83" s="29" t="e" cm="1">
        <f t="array" ref="DT83">IFERROR(INDEX($AB$70:$AB$83,SMALL($EG$70:$EG$83,ROW()-69)),NA())</f>
        <v>#N/A</v>
      </c>
      <c r="DU83" s="29" t="e" cm="1">
        <f t="array" ref="DU83">IFERROR(INDEX($AK$70:$AK$83,SMALL($EG$70:$EG$83,ROW()-69))^0.5/80,NA())</f>
        <v>#N/A</v>
      </c>
      <c r="DV83" s="29" t="e" cm="1">
        <f t="array" ref="DV83">IFERROR(INDEX($Z$70:$Z$83,SMALL($EH$70:$EH$83,ROW()-69)),NA())</f>
        <v>#N/A</v>
      </c>
      <c r="DW83" s="29" t="e" cm="1">
        <f t="array" ref="DW83">IFERROR(INDEX($AB$70:$AB$83,SMALL($EH$70:$EH$83,ROW()-69)),NA())</f>
        <v>#N/A</v>
      </c>
      <c r="DX83" s="29" t="e" cm="1">
        <f t="array" ref="DX83">IFERROR(INDEX($AK$70:$AK$83,SMALL($EH$70:$EH$83,ROW()-69))^0.5/80,NA())</f>
        <v>#N/A</v>
      </c>
      <c r="DY83" s="29" t="str">
        <f t="shared" si="38"/>
        <v/>
      </c>
      <c r="DZ83" s="29" t="e">
        <f t="shared" si="39"/>
        <v>#N/A</v>
      </c>
      <c r="EA83" s="29" t="e">
        <f t="shared" si="40"/>
        <v>#N/A</v>
      </c>
      <c r="EB83" s="2" t="str">
        <f>IF(LARGE($BF$70:$BF$83,14)&gt;-1000000000,TEXT(INDEX($AL$70:$AL$83,MATCH(LARGE($BF$70:$BF$83,14),$BF$70:$BF$83,0)),"0.0%"),"")</f>
        <v/>
      </c>
      <c r="EC83" s="56" t="str" cm="1">
        <f t="array" ref="EC83">IFERROR(INDEX($R$70:$R$83,SMALL($EF$70:$EF$83,ROW()-69)),"")</f>
        <v/>
      </c>
      <c r="ED83" s="56" t="str" cm="1">
        <f t="array" ref="ED83">IFERROR(INDEX($R$70:$R$83,SMALL($EG$70:$EG$83,ROW()-69)),"")</f>
        <v/>
      </c>
      <c r="EE83" s="56" t="str" cm="1">
        <f t="array" ref="EE83">IFERROR(INDEX($R$70:$R$83,SMALL($EH$70:$EH$83,ROW()-69)),"")</f>
        <v/>
      </c>
      <c r="EF83" s="2" t="str">
        <f t="shared" si="41"/>
        <v/>
      </c>
      <c r="EG83" s="2" t="str">
        <f t="shared" si="42"/>
        <v/>
      </c>
      <c r="EH83" s="2" t="str">
        <f t="shared" si="43"/>
        <v/>
      </c>
      <c r="EI83" s="2"/>
      <c r="EJ83" s="2"/>
      <c r="EK83" s="2"/>
      <c r="EL83" s="2"/>
      <c r="EM83" s="2"/>
      <c r="EN83" s="2"/>
      <c r="EO83" s="2"/>
      <c r="EP83" s="2"/>
      <c r="EQ83" s="2"/>
      <c r="ER83" s="2"/>
      <c r="ES83" s="2"/>
      <c r="ET83" s="2"/>
      <c r="EU83" s="2"/>
      <c r="EV83" s="2"/>
      <c r="EW83" s="2"/>
      <c r="EX83" s="2"/>
      <c r="EY83" s="2"/>
      <c r="EZ83" s="2"/>
      <c r="FA83" s="2"/>
      <c r="FB83" s="2"/>
    </row>
    <row r="84" spans="1:158" ht="28" customHeight="1" x14ac:dyDescent="0.2">
      <c r="A84" s="1"/>
      <c r="B84" s="27" t="s">
        <v>62</v>
      </c>
      <c r="C84" s="7" t="s">
        <v>63</v>
      </c>
      <c r="D84" s="7" t="s">
        <v>64</v>
      </c>
      <c r="E84" s="99" t="s">
        <v>65</v>
      </c>
      <c r="F84" s="100"/>
      <c r="G84" s="100"/>
      <c r="H84" s="8" t="s">
        <v>66</v>
      </c>
      <c r="I84" s="99" t="s">
        <v>67</v>
      </c>
      <c r="J84" s="100"/>
      <c r="K84" s="99" t="s">
        <v>68</v>
      </c>
      <c r="L84" s="100"/>
      <c r="M84" s="27" t="s">
        <v>69</v>
      </c>
      <c r="N84" s="1"/>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9" t="e">
        <f>NA()</f>
        <v>#N/A</v>
      </c>
      <c r="EA84" s="29" t="e">
        <f>NA()</f>
        <v>#N/A</v>
      </c>
      <c r="EB84" s="2"/>
      <c r="EC84" s="56"/>
      <c r="ED84" s="56"/>
      <c r="EE84" s="56"/>
      <c r="EF84" s="2"/>
      <c r="EG84" s="2"/>
      <c r="EH84" s="2"/>
      <c r="EI84" s="2"/>
      <c r="EJ84" s="2"/>
      <c r="EK84" s="2"/>
      <c r="EL84" s="2"/>
      <c r="EM84" s="2"/>
      <c r="EN84" s="2"/>
      <c r="EO84" s="2"/>
      <c r="EP84" s="2"/>
      <c r="EQ84" s="2"/>
      <c r="ER84" s="2"/>
      <c r="ES84" s="2"/>
      <c r="ET84" s="2"/>
      <c r="EU84" s="2"/>
      <c r="EV84" s="2"/>
      <c r="EW84" s="2"/>
      <c r="EX84" s="2"/>
      <c r="EY84" s="2"/>
      <c r="EZ84" s="2"/>
      <c r="FA84" s="2"/>
      <c r="FB84" s="2"/>
    </row>
    <row r="85" spans="1:158" x14ac:dyDescent="0.2">
      <c r="A85" s="1"/>
      <c r="B85" s="34">
        <v>1</v>
      </c>
      <c r="C85" s="9" t="str">
        <f t="shared" ref="C85:D98" si="44">R70</f>
        <v>Managing Director</v>
      </c>
      <c r="D85" s="12" t="str">
        <f t="shared" si="44"/>
        <v>Leadership</v>
      </c>
      <c r="E85" s="98">
        <f t="shared" ref="E85:E98" si="45">IF(Q70=1,AJ70,"")</f>
        <v>341.1764705882353</v>
      </c>
      <c r="F85" s="88"/>
      <c r="G85" s="88"/>
      <c r="H85" s="6">
        <f t="shared" ref="H85:H98" si="46">IF(Q70=1,AL70,"")</f>
        <v>-1.6663793103448274</v>
      </c>
      <c r="I85" s="95">
        <f t="shared" ref="I85:I98" si="47">IF(Q70=1,AM70,"")</f>
        <v>0.10216718266253866</v>
      </c>
      <c r="J85" s="88"/>
      <c r="K85" s="98">
        <f t="shared" ref="K85:K98" si="48">IF(Q70=1,AP70,"")</f>
        <v>0</v>
      </c>
      <c r="L85" s="88"/>
      <c r="M85" s="28" t="str">
        <f t="shared" ref="M85:M98" si="49">AQ70</f>
        <v>OVERHEAD</v>
      </c>
      <c r="N85" s="1"/>
      <c r="O85" s="2"/>
      <c r="P85" s="5" t="s">
        <v>121</v>
      </c>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56"/>
      <c r="ED85" s="56"/>
      <c r="EE85" s="56"/>
      <c r="EF85" s="2"/>
      <c r="EG85" s="2"/>
      <c r="EH85" s="2"/>
      <c r="EI85" s="2"/>
      <c r="EJ85" s="2"/>
      <c r="EK85" s="2"/>
      <c r="EL85" s="2"/>
      <c r="EM85" s="2"/>
      <c r="EN85" s="2"/>
      <c r="EO85" s="2"/>
      <c r="EP85" s="2"/>
      <c r="EQ85" s="2"/>
      <c r="ER85" s="2"/>
      <c r="ES85" s="2"/>
      <c r="ET85" s="2"/>
      <c r="EU85" s="2"/>
      <c r="EV85" s="2"/>
      <c r="EW85" s="2"/>
      <c r="EX85" s="2"/>
      <c r="EY85" s="2"/>
      <c r="EZ85" s="2"/>
      <c r="FA85" s="2"/>
      <c r="FB85" s="2"/>
    </row>
    <row r="86" spans="1:158" ht="22" customHeight="1" x14ac:dyDescent="0.2">
      <c r="A86" s="1"/>
      <c r="B86" s="34">
        <v>2</v>
      </c>
      <c r="C86" s="9" t="str">
        <f t="shared" si="44"/>
        <v>Group Account Director</v>
      </c>
      <c r="D86" s="12" t="str">
        <f t="shared" si="44"/>
        <v>Delivery</v>
      </c>
      <c r="E86" s="98">
        <f t="shared" si="45"/>
        <v>240</v>
      </c>
      <c r="F86" s="88"/>
      <c r="G86" s="88"/>
      <c r="H86" s="6">
        <f t="shared" si="46"/>
        <v>7.5465425531915056E-2</v>
      </c>
      <c r="I86" s="95">
        <f t="shared" si="47"/>
        <v>0.19999999999999996</v>
      </c>
      <c r="J86" s="88"/>
      <c r="K86" s="98">
        <f t="shared" si="48"/>
        <v>0</v>
      </c>
      <c r="L86" s="88"/>
      <c r="M86" s="28" t="str">
        <f t="shared" si="49"/>
        <v>FAIL</v>
      </c>
      <c r="N86" s="1"/>
      <c r="O86" s="2"/>
      <c r="P86" s="8" t="s">
        <v>122</v>
      </c>
      <c r="Q86" s="2"/>
      <c r="R86" s="2"/>
      <c r="S86" s="2"/>
      <c r="T86" s="2"/>
      <c r="U86" s="2"/>
      <c r="V86" s="2"/>
      <c r="W86" s="2"/>
      <c r="X86" s="2"/>
      <c r="Y86" s="2"/>
      <c r="Z86" s="2"/>
      <c r="AA86" s="2"/>
      <c r="AB86" s="2"/>
      <c r="AC86" s="2"/>
      <c r="AD86" s="8" t="s">
        <v>123</v>
      </c>
      <c r="AE86" s="8" t="s">
        <v>124</v>
      </c>
      <c r="AF86" s="8" t="s">
        <v>125</v>
      </c>
      <c r="AG86" s="8" t="s">
        <v>126</v>
      </c>
      <c r="AH86" s="8" t="s">
        <v>127</v>
      </c>
      <c r="AI86" s="8" t="s">
        <v>128</v>
      </c>
      <c r="AJ86" s="8" t="s">
        <v>129</v>
      </c>
      <c r="AK86" s="8" t="s">
        <v>130</v>
      </c>
      <c r="AL86" s="8" t="s">
        <v>131</v>
      </c>
      <c r="AM86" s="8" t="s">
        <v>132</v>
      </c>
      <c r="AN86" s="8" t="s">
        <v>133</v>
      </c>
      <c r="AO86" s="8" t="s">
        <v>134</v>
      </c>
      <c r="AP86" s="8" t="s">
        <v>135</v>
      </c>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56"/>
      <c r="ED86" s="56"/>
      <c r="EE86" s="56"/>
      <c r="EF86" s="2"/>
      <c r="EG86" s="2"/>
      <c r="EH86" s="2"/>
      <c r="EI86" s="2"/>
      <c r="EJ86" s="2"/>
      <c r="EK86" s="2"/>
      <c r="EL86" s="2"/>
      <c r="EM86" s="2"/>
      <c r="EN86" s="2"/>
      <c r="EO86" s="2"/>
      <c r="EP86" s="2"/>
      <c r="EQ86" s="2"/>
      <c r="ER86" s="2"/>
      <c r="ES86" s="2"/>
      <c r="ET86" s="2"/>
      <c r="EU86" s="2"/>
      <c r="EV86" s="2"/>
      <c r="EW86" s="2"/>
      <c r="EX86" s="2"/>
      <c r="EY86" s="2"/>
      <c r="EZ86" s="2"/>
      <c r="FA86" s="2"/>
      <c r="FB86" s="2"/>
    </row>
    <row r="87" spans="1:158" ht="31" customHeight="1" x14ac:dyDescent="0.2">
      <c r="A87" s="1"/>
      <c r="B87" s="34">
        <v>3</v>
      </c>
      <c r="C87" s="9" t="str">
        <f t="shared" si="44"/>
        <v>Creative Director</v>
      </c>
      <c r="D87" s="12" t="str">
        <f t="shared" si="44"/>
        <v>Delivery</v>
      </c>
      <c r="E87" s="98">
        <f t="shared" si="45"/>
        <v>232.15686274509807</v>
      </c>
      <c r="F87" s="88"/>
      <c r="G87" s="88"/>
      <c r="H87" s="6">
        <f t="shared" si="46"/>
        <v>0.16923564189189197</v>
      </c>
      <c r="I87" s="95">
        <f t="shared" si="47"/>
        <v>0.17086834733893552</v>
      </c>
      <c r="J87" s="88"/>
      <c r="K87" s="98">
        <f t="shared" si="48"/>
        <v>0</v>
      </c>
      <c r="L87" s="88"/>
      <c r="M87" s="28" t="str">
        <f t="shared" si="49"/>
        <v>FAIL</v>
      </c>
      <c r="N87" s="1"/>
      <c r="O87" s="2"/>
      <c r="P87" s="12" t="s">
        <v>140</v>
      </c>
      <c r="Q87" s="2"/>
      <c r="R87" s="2"/>
      <c r="S87" s="2"/>
      <c r="T87" s="2"/>
      <c r="U87" s="2"/>
      <c r="V87" s="2"/>
      <c r="W87" s="2"/>
      <c r="X87" s="2"/>
      <c r="Y87" s="2"/>
      <c r="Z87" s="2"/>
      <c r="AA87" s="2"/>
      <c r="AB87" s="2"/>
      <c r="AC87" s="2"/>
      <c r="AD87" s="10">
        <f>SUMIFS(AD70:AD83,S70:S83,"Delivery",Q70:Q83,1)</f>
        <v>4465650</v>
      </c>
      <c r="AE87" s="11">
        <f>SUMIFS(AE70:AE83,S70:S83,"Delivery",Q70:Q83,1)</f>
        <v>64600</v>
      </c>
      <c r="AF87" s="11">
        <f>SUMIFS(AF70:AF83,S70:S83,"Delivery",Q70:Q83,1)</f>
        <v>45308</v>
      </c>
      <c r="AG87" s="11">
        <f>SUMIFS(AG70:AG83,S70:S83,"Delivery",Q70:Q83,1)</f>
        <v>45288</v>
      </c>
      <c r="AH87" s="10">
        <f>IF(AF87&gt;0,AD87/AF87,0)</f>
        <v>98.56206409464113</v>
      </c>
      <c r="AI87" s="10">
        <f>IFERROR(SUMPRODUCT((S70:S83="Delivery")*(Q70:Q83)*AA70:AA83*AF70:AF83)/AF87,0)</f>
        <v>206.41387834378034</v>
      </c>
      <c r="AJ87" s="10">
        <f>IF(AF87&gt;0,AK87/AF87,0)</f>
        <v>183.60554427474176</v>
      </c>
      <c r="AK87" s="10">
        <f>SUMIFS(AK70:AK83,S70:S83,"Delivery",Q70:Q83,1)</f>
        <v>8318800</v>
      </c>
      <c r="AL87" s="6">
        <f>IF(AJ87=0,0,(AJ87-AH87)/AJ87)</f>
        <v>0.46318579602827326</v>
      </c>
      <c r="AM87" s="6">
        <f>IF(AI87=0,0,1-AJ87/AI87)</f>
        <v>0.11049806462650502</v>
      </c>
      <c r="AN87" s="10">
        <f>(AI87-AJ87)*AF87</f>
        <v>1033400</v>
      </c>
      <c r="AO87" s="6">
        <f>IF(AE87&gt;0,(AG87-AF87)/AE87,0)</f>
        <v>-3.0959752321981426E-4</v>
      </c>
      <c r="AP87" s="10">
        <f>SUMIFS(AP70:AP83,S70:S83,"Delivery",Q70:Q83,1)</f>
        <v>0</v>
      </c>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56"/>
      <c r="ED87" s="56"/>
      <c r="EE87" s="56"/>
      <c r="EF87" s="2"/>
      <c r="EG87" s="2"/>
      <c r="EH87" s="2"/>
      <c r="EI87" s="2"/>
      <c r="EJ87" s="2"/>
      <c r="EK87" s="2"/>
      <c r="EL87" s="2"/>
      <c r="EM87" s="2"/>
      <c r="EN87" s="2"/>
      <c r="EO87" s="2"/>
      <c r="EP87" s="2"/>
      <c r="EQ87" s="2"/>
      <c r="ER87" s="2"/>
      <c r="ES87" s="2"/>
      <c r="ET87" s="2"/>
      <c r="EU87" s="2"/>
      <c r="EV87" s="2"/>
      <c r="EW87" s="2"/>
      <c r="EX87" s="2"/>
      <c r="EY87" s="2"/>
      <c r="EZ87" s="2"/>
      <c r="FA87" s="2"/>
      <c r="FB87" s="2"/>
    </row>
    <row r="88" spans="1:158" ht="22" customHeight="1" x14ac:dyDescent="0.2">
      <c r="A88" s="1"/>
      <c r="B88" s="34">
        <v>4</v>
      </c>
      <c r="C88" s="9" t="str">
        <f t="shared" si="44"/>
        <v>Senior Account Manager</v>
      </c>
      <c r="D88" s="12" t="str">
        <f t="shared" si="44"/>
        <v>Delivery</v>
      </c>
      <c r="E88" s="98">
        <f t="shared" si="45"/>
        <v>202.10084033613447</v>
      </c>
      <c r="F88" s="88"/>
      <c r="G88" s="88"/>
      <c r="H88" s="6">
        <f t="shared" si="46"/>
        <v>0.42837837837837839</v>
      </c>
      <c r="I88" s="95">
        <f t="shared" si="47"/>
        <v>0.13999642410155544</v>
      </c>
      <c r="J88" s="88"/>
      <c r="K88" s="98">
        <f t="shared" si="48"/>
        <v>0</v>
      </c>
      <c r="L88" s="88"/>
      <c r="M88" s="28" t="str">
        <f t="shared" si="49"/>
        <v>WARN</v>
      </c>
      <c r="N88" s="1"/>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56"/>
      <c r="ED88" s="56"/>
      <c r="EE88" s="56"/>
      <c r="EF88" s="2"/>
      <c r="EG88" s="2"/>
      <c r="EH88" s="2"/>
      <c r="EI88" s="2"/>
      <c r="EJ88" s="2"/>
      <c r="EK88" s="2"/>
      <c r="EL88" s="2"/>
      <c r="EM88" s="2"/>
      <c r="EN88" s="2"/>
      <c r="EO88" s="2"/>
      <c r="EP88" s="2"/>
      <c r="EQ88" s="2"/>
      <c r="ER88" s="2"/>
      <c r="ES88" s="2"/>
      <c r="ET88" s="2"/>
      <c r="EU88" s="2"/>
      <c r="EV88" s="2"/>
      <c r="EW88" s="2"/>
      <c r="EX88" s="2"/>
      <c r="EY88" s="2"/>
      <c r="EZ88" s="2"/>
      <c r="FA88" s="2"/>
      <c r="FB88" s="2"/>
    </row>
    <row r="89" spans="1:158" ht="22" customHeight="1" x14ac:dyDescent="0.2">
      <c r="A89" s="1"/>
      <c r="B89" s="34">
        <v>5</v>
      </c>
      <c r="C89" s="9" t="str">
        <f t="shared" si="44"/>
        <v>Strategy Lead</v>
      </c>
      <c r="D89" s="12" t="str">
        <f t="shared" si="44"/>
        <v>Delivery</v>
      </c>
      <c r="E89" s="98">
        <f t="shared" si="45"/>
        <v>239.27927927927928</v>
      </c>
      <c r="F89" s="88"/>
      <c r="G89" s="88"/>
      <c r="H89" s="6">
        <f t="shared" si="46"/>
        <v>0.37085843373493971</v>
      </c>
      <c r="I89" s="95">
        <f t="shared" si="47"/>
        <v>7.9695079695079718E-2</v>
      </c>
      <c r="J89" s="88"/>
      <c r="K89" s="98">
        <f t="shared" si="48"/>
        <v>0</v>
      </c>
      <c r="L89" s="88"/>
      <c r="M89" s="28" t="str">
        <f t="shared" si="49"/>
        <v>WARN</v>
      </c>
      <c r="N89" s="1"/>
      <c r="O89" s="2"/>
      <c r="P89" s="12" t="s">
        <v>141</v>
      </c>
      <c r="Q89" s="2"/>
      <c r="R89" s="2"/>
      <c r="S89" s="2"/>
      <c r="T89" s="2"/>
      <c r="U89" s="2"/>
      <c r="V89" s="2"/>
      <c r="W89" s="2"/>
      <c r="X89" s="2"/>
      <c r="Y89" s="2"/>
      <c r="Z89" s="2"/>
      <c r="AA89" s="2"/>
      <c r="AB89" s="2"/>
      <c r="AC89" s="2"/>
      <c r="AD89" s="10">
        <f>SUMIFS(AD70:AD83,Q70:Q83,1)</f>
        <v>5269170</v>
      </c>
      <c r="AE89" s="2"/>
      <c r="AF89" s="2"/>
      <c r="AG89" s="2"/>
      <c r="AH89" s="2"/>
      <c r="AI89" s="2"/>
      <c r="AJ89" s="2"/>
      <c r="AK89" s="10">
        <f>SUMIFS(AD70:AD83,Q70:Q83,1,S70:S83,"Overhead")+SUMIFS(AD70:AD83,Q70:Q83,1,S70:S83,"Leadership")</f>
        <v>803520</v>
      </c>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56"/>
      <c r="ED89" s="56"/>
      <c r="EE89" s="56"/>
      <c r="EF89" s="2"/>
      <c r="EG89" s="2"/>
      <c r="EH89" s="2"/>
      <c r="EI89" s="2"/>
      <c r="EJ89" s="2"/>
      <c r="EK89" s="2"/>
      <c r="EL89" s="2"/>
      <c r="EM89" s="2"/>
      <c r="EN89" s="2"/>
      <c r="EO89" s="2"/>
      <c r="EP89" s="2"/>
      <c r="EQ89" s="2"/>
      <c r="ER89" s="2"/>
      <c r="ES89" s="2"/>
      <c r="ET89" s="2"/>
      <c r="EU89" s="2"/>
      <c r="EV89" s="2"/>
      <c r="EW89" s="2"/>
      <c r="EX89" s="2"/>
      <c r="EY89" s="2"/>
      <c r="EZ89" s="2"/>
      <c r="FA89" s="2"/>
      <c r="FB89" s="2"/>
    </row>
    <row r="90" spans="1:158" ht="22" customHeight="1" x14ac:dyDescent="0.2">
      <c r="A90" s="1"/>
      <c r="B90" s="34">
        <v>6</v>
      </c>
      <c r="C90" s="9" t="str">
        <f t="shared" si="44"/>
        <v>Senior Designer</v>
      </c>
      <c r="D90" s="12" t="str">
        <f t="shared" si="44"/>
        <v>Delivery</v>
      </c>
      <c r="E90" s="98">
        <f t="shared" si="45"/>
        <v>220.78431372549019</v>
      </c>
      <c r="F90" s="88"/>
      <c r="G90" s="88"/>
      <c r="H90" s="6">
        <f t="shared" si="46"/>
        <v>0.53268206039076382</v>
      </c>
      <c r="I90" s="95">
        <f t="shared" si="47"/>
        <v>4.0068201193520947E-2</v>
      </c>
      <c r="J90" s="88"/>
      <c r="K90" s="98">
        <f t="shared" si="48"/>
        <v>0</v>
      </c>
      <c r="L90" s="88"/>
      <c r="M90" s="28" t="str">
        <f t="shared" si="49"/>
        <v>PASS</v>
      </c>
      <c r="N90" s="1"/>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56"/>
      <c r="ED90" s="56"/>
      <c r="EE90" s="56"/>
      <c r="EF90" s="2"/>
      <c r="EG90" s="2"/>
      <c r="EH90" s="2"/>
      <c r="EI90" s="2"/>
      <c r="EJ90" s="2"/>
      <c r="EK90" s="2"/>
      <c r="EL90" s="2"/>
      <c r="EM90" s="2"/>
      <c r="EN90" s="2"/>
      <c r="EO90" s="2"/>
      <c r="EP90" s="2"/>
      <c r="EQ90" s="2"/>
      <c r="ER90" s="2"/>
      <c r="ES90" s="2"/>
      <c r="ET90" s="2"/>
      <c r="EU90" s="2"/>
      <c r="EV90" s="2"/>
      <c r="EW90" s="2"/>
      <c r="EX90" s="2"/>
      <c r="EY90" s="2"/>
      <c r="EZ90" s="2"/>
      <c r="FA90" s="2"/>
      <c r="FB90" s="2"/>
    </row>
    <row r="91" spans="1:158" ht="22" customHeight="1" x14ac:dyDescent="0.2">
      <c r="A91" s="1"/>
      <c r="B91" s="34">
        <v>7</v>
      </c>
      <c r="C91" s="9" t="str">
        <f t="shared" si="44"/>
        <v>Account Manager</v>
      </c>
      <c r="D91" s="12" t="str">
        <f t="shared" si="44"/>
        <v>Delivery</v>
      </c>
      <c r="E91" s="98">
        <f t="shared" si="45"/>
        <v>180.58823529411765</v>
      </c>
      <c r="F91" s="88"/>
      <c r="G91" s="88"/>
      <c r="H91" s="6">
        <f t="shared" si="46"/>
        <v>0.5228013029315961</v>
      </c>
      <c r="I91" s="95">
        <f t="shared" si="47"/>
        <v>0.16005471956224349</v>
      </c>
      <c r="J91" s="88"/>
      <c r="K91" s="98">
        <f t="shared" si="48"/>
        <v>0</v>
      </c>
      <c r="L91" s="88"/>
      <c r="M91" s="28" t="str">
        <f t="shared" si="49"/>
        <v>PASS</v>
      </c>
      <c r="N91" s="1"/>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56"/>
      <c r="ED91" s="56"/>
      <c r="EE91" s="56"/>
      <c r="EF91" s="2"/>
      <c r="EG91" s="2"/>
      <c r="EH91" s="2"/>
      <c r="EI91" s="2"/>
      <c r="EJ91" s="2"/>
      <c r="EK91" s="2"/>
      <c r="EL91" s="2"/>
      <c r="EM91" s="2"/>
      <c r="EN91" s="2"/>
      <c r="EO91" s="2"/>
      <c r="EP91" s="2"/>
      <c r="EQ91" s="2"/>
      <c r="ER91" s="2"/>
      <c r="ES91" s="2"/>
      <c r="ET91" s="2"/>
      <c r="EU91" s="2"/>
      <c r="EV91" s="2"/>
      <c r="EW91" s="2"/>
      <c r="EX91" s="2"/>
      <c r="EY91" s="2"/>
      <c r="EZ91" s="2"/>
      <c r="FA91" s="2"/>
      <c r="FB91" s="2"/>
    </row>
    <row r="92" spans="1:158" ht="22" customHeight="1" x14ac:dyDescent="0.2">
      <c r="A92" s="1"/>
      <c r="B92" s="34">
        <v>8</v>
      </c>
      <c r="C92" s="9" t="str">
        <f t="shared" si="44"/>
        <v>Midweight Designer</v>
      </c>
      <c r="D92" s="12" t="str">
        <f t="shared" si="44"/>
        <v>Delivery</v>
      </c>
      <c r="E92" s="98">
        <f t="shared" si="45"/>
        <v>181.98142414860681</v>
      </c>
      <c r="F92" s="88"/>
      <c r="G92" s="88"/>
      <c r="H92" s="6">
        <f t="shared" si="46"/>
        <v>0.58161789724396051</v>
      </c>
      <c r="I92" s="95">
        <f t="shared" si="47"/>
        <v>9.0092879256965963E-2</v>
      </c>
      <c r="J92" s="88"/>
      <c r="K92" s="98">
        <f t="shared" si="48"/>
        <v>0</v>
      </c>
      <c r="L92" s="88"/>
      <c r="M92" s="28" t="str">
        <f t="shared" si="49"/>
        <v>PASS</v>
      </c>
      <c r="N92" s="1"/>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56"/>
      <c r="ED92" s="56"/>
      <c r="EE92" s="56"/>
      <c r="EF92" s="2"/>
      <c r="EG92" s="2"/>
      <c r="EH92" s="2"/>
      <c r="EI92" s="2"/>
      <c r="EJ92" s="2"/>
      <c r="EK92" s="2"/>
      <c r="EL92" s="2"/>
      <c r="EM92" s="2"/>
      <c r="EN92" s="2"/>
      <c r="EO92" s="2"/>
      <c r="EP92" s="2"/>
      <c r="EQ92" s="2"/>
      <c r="ER92" s="2"/>
      <c r="ES92" s="2"/>
      <c r="ET92" s="2"/>
      <c r="EU92" s="2"/>
      <c r="EV92" s="2"/>
      <c r="EW92" s="2"/>
      <c r="EX92" s="2"/>
      <c r="EY92" s="2"/>
      <c r="EZ92" s="2"/>
      <c r="FA92" s="2"/>
      <c r="FB92" s="2"/>
    </row>
    <row r="93" spans="1:158" ht="22" customHeight="1" x14ac:dyDescent="0.2">
      <c r="A93" s="1"/>
      <c r="B93" s="34">
        <v>9</v>
      </c>
      <c r="C93" s="9" t="str">
        <f t="shared" si="44"/>
        <v>Digital Strategist</v>
      </c>
      <c r="D93" s="12" t="str">
        <f t="shared" si="44"/>
        <v>Delivery</v>
      </c>
      <c r="E93" s="98">
        <f t="shared" si="45"/>
        <v>197.34717416378317</v>
      </c>
      <c r="F93" s="88"/>
      <c r="G93" s="88"/>
      <c r="H93" s="6">
        <f t="shared" si="46"/>
        <v>0.50127849210987729</v>
      </c>
      <c r="I93" s="95">
        <f t="shared" si="47"/>
        <v>6.0251551601032571E-2</v>
      </c>
      <c r="J93" s="88"/>
      <c r="K93" s="98">
        <f t="shared" si="48"/>
        <v>0</v>
      </c>
      <c r="L93" s="88"/>
      <c r="M93" s="28" t="str">
        <f t="shared" si="49"/>
        <v>PASS</v>
      </c>
      <c r="N93" s="1"/>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56"/>
      <c r="ED93" s="56"/>
      <c r="EE93" s="56"/>
      <c r="EF93" s="2"/>
      <c r="EG93" s="2"/>
      <c r="EH93" s="2"/>
      <c r="EI93" s="2"/>
      <c r="EJ93" s="2"/>
      <c r="EK93" s="2"/>
      <c r="EL93" s="2"/>
      <c r="EM93" s="2"/>
      <c r="EN93" s="2"/>
      <c r="EO93" s="2"/>
      <c r="EP93" s="2"/>
      <c r="EQ93" s="2"/>
      <c r="ER93" s="2"/>
      <c r="ES93" s="2"/>
      <c r="ET93" s="2"/>
      <c r="EU93" s="2"/>
      <c r="EV93" s="2"/>
      <c r="EW93" s="2"/>
      <c r="EX93" s="2"/>
      <c r="EY93" s="2"/>
      <c r="EZ93" s="2"/>
      <c r="FA93" s="2"/>
      <c r="FB93" s="2"/>
    </row>
    <row r="94" spans="1:158" ht="22" customHeight="1" x14ac:dyDescent="0.2">
      <c r="A94" s="1"/>
      <c r="B94" s="34">
        <v>10</v>
      </c>
      <c r="C94" s="9" t="str">
        <f t="shared" si="44"/>
        <v>Developer</v>
      </c>
      <c r="D94" s="12" t="str">
        <f t="shared" si="44"/>
        <v>Delivery</v>
      </c>
      <c r="E94" s="98">
        <f t="shared" si="45"/>
        <v>237.67885532591416</v>
      </c>
      <c r="F94" s="88"/>
      <c r="G94" s="88"/>
      <c r="H94" s="6">
        <f t="shared" si="46"/>
        <v>0.57984949832775912</v>
      </c>
      <c r="I94" s="95">
        <f t="shared" si="47"/>
        <v>2.9882223159534038E-2</v>
      </c>
      <c r="J94" s="88"/>
      <c r="K94" s="98">
        <f t="shared" si="48"/>
        <v>0</v>
      </c>
      <c r="L94" s="88"/>
      <c r="M94" s="28" t="str">
        <f t="shared" si="49"/>
        <v>PASS</v>
      </c>
      <c r="N94" s="1"/>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56"/>
      <c r="ED94" s="56"/>
      <c r="EE94" s="56"/>
      <c r="EF94" s="2"/>
      <c r="EG94" s="2"/>
      <c r="EH94" s="2"/>
      <c r="EI94" s="2"/>
      <c r="EJ94" s="2"/>
      <c r="EK94" s="2"/>
      <c r="EL94" s="2"/>
      <c r="EM94" s="2"/>
      <c r="EN94" s="2"/>
      <c r="EO94" s="2"/>
      <c r="EP94" s="2"/>
      <c r="EQ94" s="2"/>
      <c r="ER94" s="2"/>
      <c r="ES94" s="2"/>
      <c r="ET94" s="2"/>
      <c r="EU94" s="2"/>
      <c r="EV94" s="2"/>
      <c r="EW94" s="2"/>
      <c r="EX94" s="2"/>
      <c r="EY94" s="2"/>
      <c r="EZ94" s="2"/>
      <c r="FA94" s="2"/>
      <c r="FB94" s="2"/>
    </row>
    <row r="95" spans="1:158" ht="22" customHeight="1" x14ac:dyDescent="0.2">
      <c r="A95" s="1"/>
      <c r="B95" s="34">
        <v>11</v>
      </c>
      <c r="C95" s="9" t="str">
        <f t="shared" si="44"/>
        <v>Junior Designer</v>
      </c>
      <c r="D95" s="12" t="str">
        <f t="shared" si="44"/>
        <v>Delivery</v>
      </c>
      <c r="E95" s="98">
        <f t="shared" si="45"/>
        <v>93.613445378151255</v>
      </c>
      <c r="F95" s="88"/>
      <c r="G95" s="88"/>
      <c r="H95" s="6">
        <f t="shared" si="46"/>
        <v>0.3297127468581687</v>
      </c>
      <c r="I95" s="95">
        <f t="shared" si="47"/>
        <v>0.21988795518207283</v>
      </c>
      <c r="J95" s="88"/>
      <c r="K95" s="98">
        <f t="shared" si="48"/>
        <v>0</v>
      </c>
      <c r="L95" s="88"/>
      <c r="M95" s="28" t="str">
        <f t="shared" si="49"/>
        <v>WARN</v>
      </c>
      <c r="N95" s="1"/>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56"/>
      <c r="ED95" s="56"/>
      <c r="EE95" s="56"/>
      <c r="EF95" s="2"/>
      <c r="EG95" s="2"/>
      <c r="EH95" s="2"/>
      <c r="EI95" s="2"/>
      <c r="EJ95" s="2"/>
      <c r="EK95" s="2"/>
      <c r="EL95" s="2"/>
      <c r="EM95" s="2"/>
      <c r="EN95" s="2"/>
      <c r="EO95" s="2"/>
      <c r="EP95" s="2"/>
      <c r="EQ95" s="2"/>
      <c r="ER95" s="2"/>
      <c r="ES95" s="2"/>
      <c r="ET95" s="2"/>
      <c r="EU95" s="2"/>
      <c r="EV95" s="2"/>
      <c r="EW95" s="2"/>
      <c r="EX95" s="2"/>
      <c r="EY95" s="2"/>
      <c r="EZ95" s="2"/>
      <c r="FA95" s="2"/>
      <c r="FB95" s="2"/>
    </row>
    <row r="96" spans="1:158" x14ac:dyDescent="0.2">
      <c r="A96" s="1"/>
      <c r="B96" s="34">
        <v>12</v>
      </c>
      <c r="C96" s="9" t="str">
        <f t="shared" si="44"/>
        <v>Account Executive</v>
      </c>
      <c r="D96" s="12" t="str">
        <f t="shared" si="44"/>
        <v>Delivery</v>
      </c>
      <c r="E96" s="98">
        <f t="shared" si="45"/>
        <v>90.196078431372555</v>
      </c>
      <c r="F96" s="88"/>
      <c r="G96" s="88"/>
      <c r="H96" s="6">
        <f t="shared" si="46"/>
        <v>0.30899209486166013</v>
      </c>
      <c r="I96" s="95">
        <f t="shared" si="47"/>
        <v>0.18003565062388582</v>
      </c>
      <c r="J96" s="88"/>
      <c r="K96" s="98">
        <f t="shared" si="48"/>
        <v>0</v>
      </c>
      <c r="L96" s="88"/>
      <c r="M96" s="28" t="str">
        <f t="shared" si="49"/>
        <v>WARN</v>
      </c>
      <c r="N96" s="1"/>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56"/>
      <c r="ED96" s="56"/>
      <c r="EE96" s="56"/>
      <c r="EF96" s="2"/>
      <c r="EG96" s="2"/>
      <c r="EH96" s="2"/>
      <c r="EI96" s="2"/>
      <c r="EJ96" s="2"/>
      <c r="EK96" s="2"/>
      <c r="EL96" s="2"/>
      <c r="EM96" s="2"/>
      <c r="EN96" s="2"/>
      <c r="EO96" s="2"/>
      <c r="EP96" s="2"/>
      <c r="EQ96" s="2"/>
      <c r="ER96" s="2"/>
      <c r="ES96" s="2"/>
      <c r="ET96" s="2"/>
      <c r="EU96" s="2"/>
      <c r="EV96" s="2"/>
      <c r="EW96" s="2"/>
      <c r="EX96" s="2"/>
      <c r="EY96" s="2"/>
      <c r="EZ96" s="2"/>
      <c r="FA96" s="2"/>
      <c r="FB96" s="2"/>
    </row>
    <row r="97" spans="1:158" ht="22" customHeight="1" x14ac:dyDescent="0.2">
      <c r="A97" s="1"/>
      <c r="B97" s="34">
        <v>13</v>
      </c>
      <c r="C97" s="9" t="str">
        <f t="shared" si="44"/>
        <v>Operations &amp; Finance</v>
      </c>
      <c r="D97" s="12" t="str">
        <f t="shared" si="44"/>
        <v>Overhead</v>
      </c>
      <c r="E97" s="98">
        <f t="shared" si="45"/>
        <v>0</v>
      </c>
      <c r="F97" s="88"/>
      <c r="G97" s="88"/>
      <c r="H97" s="6">
        <f t="shared" si="46"/>
        <v>0</v>
      </c>
      <c r="I97" s="95">
        <f t="shared" si="47"/>
        <v>1</v>
      </c>
      <c r="J97" s="88"/>
      <c r="K97" s="98">
        <f t="shared" si="48"/>
        <v>0</v>
      </c>
      <c r="L97" s="88"/>
      <c r="M97" s="28" t="str">
        <f t="shared" si="49"/>
        <v>OVERHEAD</v>
      </c>
      <c r="N97" s="1"/>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56"/>
      <c r="ED97" s="56"/>
      <c r="EE97" s="56"/>
      <c r="EF97" s="2"/>
      <c r="EG97" s="2"/>
      <c r="EH97" s="2"/>
      <c r="EI97" s="2"/>
      <c r="EJ97" s="2"/>
      <c r="EK97" s="2"/>
      <c r="EL97" s="2"/>
      <c r="EM97" s="2"/>
      <c r="EN97" s="2"/>
      <c r="EO97" s="2"/>
      <c r="EP97" s="2"/>
      <c r="EQ97" s="2"/>
      <c r="ER97" s="2"/>
      <c r="ES97" s="2"/>
      <c r="ET97" s="2"/>
      <c r="EU97" s="2"/>
      <c r="EV97" s="2"/>
      <c r="EW97" s="2"/>
      <c r="EX97" s="2"/>
      <c r="EY97" s="2"/>
      <c r="EZ97" s="2"/>
      <c r="FA97" s="2"/>
      <c r="FB97" s="2"/>
    </row>
    <row r="98" spans="1:158" ht="42" customHeight="1" x14ac:dyDescent="0.2">
      <c r="A98" s="1"/>
      <c r="B98" s="34">
        <v>14</v>
      </c>
      <c r="C98" s="9" t="str">
        <f t="shared" si="44"/>
        <v>Studio &amp; Admin</v>
      </c>
      <c r="D98" s="12" t="str">
        <f t="shared" si="44"/>
        <v>Overhead</v>
      </c>
      <c r="E98" s="98">
        <f t="shared" si="45"/>
        <v>0</v>
      </c>
      <c r="F98" s="88"/>
      <c r="G98" s="88"/>
      <c r="H98" s="6">
        <f t="shared" si="46"/>
        <v>0</v>
      </c>
      <c r="I98" s="95">
        <f t="shared" si="47"/>
        <v>1</v>
      </c>
      <c r="J98" s="88"/>
      <c r="K98" s="98">
        <f t="shared" si="48"/>
        <v>0</v>
      </c>
      <c r="L98" s="88"/>
      <c r="M98" s="28" t="str">
        <f t="shared" si="49"/>
        <v>OVERHEAD</v>
      </c>
      <c r="N98" s="1"/>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56"/>
      <c r="ED98" s="56"/>
      <c r="EE98" s="56"/>
      <c r="EF98" s="2"/>
      <c r="EG98" s="2"/>
      <c r="EH98" s="2"/>
      <c r="EI98" s="2"/>
      <c r="EJ98" s="2"/>
      <c r="EK98" s="2"/>
      <c r="EL98" s="2"/>
      <c r="EM98" s="2"/>
      <c r="EN98" s="2"/>
      <c r="EO98" s="2"/>
      <c r="EP98" s="2"/>
      <c r="EQ98" s="2"/>
      <c r="ER98" s="2"/>
      <c r="ES98" s="2"/>
      <c r="ET98" s="2"/>
      <c r="EU98" s="2"/>
      <c r="EV98" s="2"/>
      <c r="EW98" s="2"/>
      <c r="EX98" s="2"/>
      <c r="EY98" s="2"/>
      <c r="EZ98" s="2"/>
      <c r="FA98" s="2"/>
      <c r="FB98" s="2"/>
    </row>
    <row r="99" spans="1:158" ht="22" customHeight="1" x14ac:dyDescent="0.2">
      <c r="A99" s="1"/>
      <c r="B99" s="36" t="s">
        <v>118</v>
      </c>
      <c r="C99" s="37" t="s">
        <v>119</v>
      </c>
      <c r="D99" s="38" t="s">
        <v>120</v>
      </c>
      <c r="E99" s="96">
        <f>AJ87</f>
        <v>183.60554427474176</v>
      </c>
      <c r="F99" s="97"/>
      <c r="G99" s="97"/>
      <c r="H99" s="39">
        <f>AL87</f>
        <v>0.46318579602827326</v>
      </c>
      <c r="I99" s="115">
        <f>AM87</f>
        <v>0.11049806462650502</v>
      </c>
      <c r="J99" s="97"/>
      <c r="K99" s="96">
        <f>AP87</f>
        <v>0</v>
      </c>
      <c r="L99" s="97"/>
      <c r="M99" s="40" t="str">
        <f>IF(AL87&gt;=ref_bench_margin_target,"PASS",IF(AL87&gt;=ref_bench_margin_warn,"WARN","FAIL"))</f>
        <v>WARN</v>
      </c>
      <c r="N99" s="1"/>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56"/>
      <c r="ED99" s="56"/>
      <c r="EE99" s="56"/>
      <c r="EF99" s="2"/>
      <c r="EG99" s="2"/>
      <c r="EH99" s="2"/>
      <c r="EI99" s="2"/>
      <c r="EJ99" s="2"/>
      <c r="EK99" s="2"/>
      <c r="EL99" s="2"/>
      <c r="EM99" s="2"/>
      <c r="EN99" s="2"/>
      <c r="EO99" s="2"/>
      <c r="EP99" s="2"/>
      <c r="EQ99" s="2"/>
      <c r="ER99" s="2"/>
      <c r="ES99" s="2"/>
      <c r="ET99" s="2"/>
      <c r="EU99" s="2"/>
      <c r="EV99" s="2"/>
      <c r="EW99" s="2"/>
      <c r="EX99" s="2"/>
      <c r="EY99" s="2"/>
      <c r="EZ99" s="2"/>
      <c r="FA99" s="2"/>
      <c r="FB99" s="2"/>
    </row>
    <row r="100" spans="1:158" ht="22" customHeight="1" x14ac:dyDescent="0.2">
      <c r="A100" s="1"/>
      <c r="B100" s="64"/>
      <c r="C100" s="65"/>
      <c r="D100" s="58"/>
      <c r="E100" s="66"/>
      <c r="F100" s="2"/>
      <c r="G100" s="2"/>
      <c r="H100" s="67"/>
      <c r="I100" s="67"/>
      <c r="J100" s="2"/>
      <c r="K100" s="66"/>
      <c r="L100" s="2"/>
      <c r="M100" s="68"/>
      <c r="N100" s="1"/>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56"/>
      <c r="ED100" s="56"/>
      <c r="EE100" s="56"/>
      <c r="EF100" s="2"/>
      <c r="EG100" s="2"/>
      <c r="EH100" s="2"/>
      <c r="EI100" s="2"/>
      <c r="EJ100" s="2"/>
      <c r="EK100" s="2"/>
      <c r="EL100" s="2"/>
      <c r="EM100" s="2"/>
      <c r="EN100" s="2"/>
      <c r="EO100" s="2"/>
      <c r="EP100" s="2"/>
      <c r="EQ100" s="2"/>
      <c r="ER100" s="2"/>
      <c r="ES100" s="2"/>
      <c r="ET100" s="2"/>
      <c r="EU100" s="2"/>
      <c r="EV100" s="2"/>
      <c r="EW100" s="2"/>
      <c r="EX100" s="2"/>
      <c r="EY100" s="2"/>
      <c r="EZ100" s="2"/>
      <c r="FA100" s="2"/>
      <c r="FB100" s="2"/>
    </row>
    <row r="101" spans="1:158" ht="22" customHeight="1" x14ac:dyDescent="0.2">
      <c r="A101" s="1"/>
      <c r="B101" s="1"/>
      <c r="C101" s="61">
        <v>0.9</v>
      </c>
      <c r="D101" s="61">
        <v>1</v>
      </c>
      <c r="E101" s="61">
        <v>1.1000000000000001</v>
      </c>
      <c r="F101" s="1"/>
      <c r="G101" s="1"/>
      <c r="H101" s="1"/>
      <c r="I101" s="1"/>
      <c r="J101" s="1"/>
      <c r="K101" s="1"/>
      <c r="L101" s="1"/>
      <c r="M101" s="1"/>
      <c r="N101" s="1"/>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56"/>
      <c r="ED101" s="56"/>
      <c r="EE101" s="56"/>
      <c r="EF101" s="2"/>
      <c r="EG101" s="2"/>
      <c r="EH101" s="2"/>
      <c r="EI101" s="2"/>
      <c r="EJ101" s="2"/>
      <c r="EK101" s="2"/>
      <c r="EL101" s="2"/>
      <c r="EM101" s="2"/>
      <c r="EN101" s="2"/>
      <c r="EO101" s="2"/>
      <c r="EP101" s="2"/>
      <c r="EQ101" s="2"/>
      <c r="ER101" s="2"/>
      <c r="ES101" s="2"/>
      <c r="ET101" s="2"/>
      <c r="EU101" s="2"/>
      <c r="EV101" s="2"/>
      <c r="EW101" s="2"/>
      <c r="EX101" s="2"/>
      <c r="EY101" s="2"/>
      <c r="EZ101" s="2"/>
      <c r="FA101" s="2"/>
      <c r="FB101" s="2"/>
    </row>
    <row r="102" spans="1:158" ht="22" customHeight="1" x14ac:dyDescent="0.2">
      <c r="A102" s="1"/>
      <c r="B102" s="5" t="s">
        <v>320</v>
      </c>
      <c r="C102" s="1"/>
      <c r="D102" s="1"/>
      <c r="E102" s="1"/>
      <c r="F102" s="1"/>
      <c r="G102" s="1"/>
      <c r="H102" s="1"/>
      <c r="I102" s="1"/>
      <c r="J102" s="1"/>
      <c r="K102" s="1"/>
      <c r="L102" s="1"/>
      <c r="M102" s="1"/>
      <c r="N102" s="1"/>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56"/>
      <c r="ED102" s="56"/>
      <c r="EE102" s="56"/>
      <c r="EF102" s="2"/>
      <c r="EG102" s="2"/>
      <c r="EH102" s="2"/>
      <c r="EI102" s="2"/>
      <c r="EJ102" s="2"/>
      <c r="EK102" s="2"/>
      <c r="EL102" s="2"/>
      <c r="EM102" s="2"/>
      <c r="EN102" s="2"/>
      <c r="EO102" s="2"/>
      <c r="EP102" s="2"/>
      <c r="EQ102" s="2"/>
      <c r="ER102" s="2"/>
      <c r="ES102" s="2"/>
      <c r="ET102" s="2"/>
      <c r="EU102" s="2"/>
      <c r="EV102" s="2"/>
      <c r="EW102" s="2"/>
      <c r="EX102" s="2"/>
      <c r="EY102" s="2"/>
      <c r="EZ102" s="2"/>
      <c r="FA102" s="2"/>
      <c r="FB102" s="2"/>
    </row>
    <row r="103" spans="1:158" ht="22" customHeight="1" x14ac:dyDescent="0.2">
      <c r="A103" s="1"/>
      <c r="B103" s="21" t="s">
        <v>351</v>
      </c>
      <c r="C103" s="23" t="s">
        <v>321</v>
      </c>
      <c r="D103" s="23" t="s">
        <v>322</v>
      </c>
      <c r="E103" s="23" t="s">
        <v>324</v>
      </c>
      <c r="F103" s="23" t="s">
        <v>136</v>
      </c>
      <c r="G103" s="23" t="s">
        <v>137</v>
      </c>
      <c r="H103" s="23" t="s">
        <v>138</v>
      </c>
      <c r="I103" s="99" t="s">
        <v>139</v>
      </c>
      <c r="J103" s="100"/>
      <c r="K103" s="100"/>
      <c r="L103" s="100"/>
      <c r="M103" s="100"/>
      <c r="N103" s="1"/>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56"/>
      <c r="ED103" s="56"/>
      <c r="EE103" s="56"/>
      <c r="EF103" s="2"/>
      <c r="EG103" s="2"/>
      <c r="EH103" s="2"/>
      <c r="EI103" s="2"/>
      <c r="EJ103" s="2"/>
      <c r="EK103" s="2"/>
      <c r="EL103" s="2"/>
      <c r="EM103" s="2"/>
      <c r="EN103" s="2"/>
      <c r="EO103" s="2"/>
      <c r="EP103" s="2"/>
      <c r="EQ103" s="2"/>
      <c r="ER103" s="2"/>
      <c r="ES103" s="2"/>
      <c r="ET103" s="2"/>
      <c r="EU103" s="2"/>
      <c r="EV103" s="2"/>
      <c r="EW103" s="2"/>
      <c r="EX103" s="2"/>
      <c r="EY103" s="2"/>
      <c r="EZ103" s="2"/>
      <c r="FA103" s="2"/>
      <c r="FB103" s="2"/>
    </row>
    <row r="104" spans="1:158" ht="22" customHeight="1" x14ac:dyDescent="0.2">
      <c r="A104" s="1"/>
      <c r="B104" s="41">
        <f>B105-0.05</f>
        <v>0.55136222910216703</v>
      </c>
      <c r="C104" s="6">
        <f t="shared" ref="C104:E110" si="50">IF(AND($AE$87&gt;0,$AI$87&gt;0),1-$AD$87/($AE$87*$B104*$AI$87*C$101*(IFERROR($AJ$87/$AI$87,0))),0)</f>
        <v>0.24127070727188504</v>
      </c>
      <c r="D104" s="6">
        <f t="shared" si="50"/>
        <v>0.31714363654469646</v>
      </c>
      <c r="E104" s="6">
        <f t="shared" si="50"/>
        <v>0.37922148776790587</v>
      </c>
      <c r="F104" s="6">
        <f>IF(AND($AE$87&gt;0,$AI$87&gt;0),1-$AD$87/($AE$87*$B104*$AI$87*1.1*(IFERROR($AJ$87/$AI$87,0))),0)</f>
        <v>0.37922148776790587</v>
      </c>
      <c r="G104" s="6">
        <f>IF(AND($AE$87&gt;0,$AI$87&gt;0),1-$AD$87/($AE$87*$B104*$AI$87*1.2*(IFERROR($AJ$87/$AI$87,0))),0)</f>
        <v>0.43095303045391375</v>
      </c>
      <c r="H104" s="6">
        <f>IF(AND($AE$87&gt;0,$AI$87&gt;0),1-$AD$87/($AE$87*$B104*$AI$87*1.3*(IFERROR($AJ$87/$AI$87,0))),0)</f>
        <v>0.47472587426515123</v>
      </c>
      <c r="I104" s="91">
        <f t="shared" ref="I104:I110" si="51">E104-ref_bench_margin_target</f>
        <v>-0.12077851223209413</v>
      </c>
      <c r="J104" s="88"/>
      <c r="K104" s="88"/>
      <c r="L104" s="88"/>
      <c r="M104" s="88"/>
      <c r="N104" s="1"/>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56"/>
      <c r="ED104" s="56"/>
      <c r="EE104" s="56"/>
      <c r="EF104" s="2"/>
      <c r="EG104" s="2"/>
      <c r="EH104" s="2"/>
      <c r="EI104" s="2"/>
      <c r="EJ104" s="2"/>
      <c r="EK104" s="2"/>
      <c r="EL104" s="2"/>
      <c r="EM104" s="2"/>
      <c r="EN104" s="2"/>
      <c r="EO104" s="2"/>
      <c r="EP104" s="2"/>
      <c r="EQ104" s="2"/>
      <c r="ER104" s="2"/>
      <c r="ES104" s="2"/>
      <c r="ET104" s="2"/>
      <c r="EU104" s="2"/>
      <c r="EV104" s="2"/>
      <c r="EW104" s="2"/>
      <c r="EX104" s="2"/>
      <c r="EY104" s="2"/>
      <c r="EZ104" s="2"/>
      <c r="FA104" s="2"/>
      <c r="FB104" s="2"/>
    </row>
    <row r="105" spans="1:158" ht="22" customHeight="1" x14ac:dyDescent="0.2">
      <c r="A105" s="1"/>
      <c r="B105" s="41">
        <f>B106-0.05</f>
        <v>0.60136222910216708</v>
      </c>
      <c r="C105" s="6">
        <f t="shared" si="50"/>
        <v>0.30435492307480438</v>
      </c>
      <c r="D105" s="6">
        <f t="shared" si="50"/>
        <v>0.37391943076732392</v>
      </c>
      <c r="E105" s="6">
        <f t="shared" si="50"/>
        <v>0.43083584615211279</v>
      </c>
      <c r="F105" s="6">
        <f t="shared" ref="F105:F110" si="52">IF(AND($AE$87&gt;0,$AI$87&gt;0),1-$AD$87/($AE$87*$B105*$AI$87*1.1*(IFERROR($AJ$87/$AI$87,0))),0)</f>
        <v>0.43083584615211279</v>
      </c>
      <c r="G105" s="6">
        <f t="shared" ref="G105:G110" si="53">IF(AND($AE$87&gt;0,$AI$87&gt;0),1-$AD$87/($AE$87*$B105*$AI$87*1.2*(IFERROR($AJ$87/$AI$87,0))),0)</f>
        <v>0.47826619230610323</v>
      </c>
      <c r="H105" s="6">
        <f t="shared" ref="H105:H110" si="54">IF(AND($AE$87&gt;0,$AI$87&gt;0),1-$AD$87/($AE$87*$B105*$AI$87*1.3*(IFERROR($AJ$87/$AI$87,0))),0)</f>
        <v>0.51839956212871074</v>
      </c>
      <c r="I105" s="91">
        <f t="shared" si="51"/>
        <v>-6.9164153847887211E-2</v>
      </c>
      <c r="J105" s="88"/>
      <c r="K105" s="88"/>
      <c r="L105" s="88"/>
      <c r="M105" s="88"/>
      <c r="N105" s="1"/>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56"/>
      <c r="ED105" s="56"/>
      <c r="EE105" s="56"/>
      <c r="EF105" s="2"/>
      <c r="EG105" s="2"/>
      <c r="EH105" s="2"/>
      <c r="EI105" s="2"/>
      <c r="EJ105" s="2"/>
      <c r="EK105" s="2"/>
      <c r="EL105" s="2"/>
      <c r="EM105" s="2"/>
      <c r="EN105" s="2"/>
      <c r="EO105" s="2"/>
      <c r="EP105" s="2"/>
      <c r="EQ105" s="2"/>
      <c r="ER105" s="2"/>
      <c r="ES105" s="2"/>
      <c r="ET105" s="2"/>
      <c r="EU105" s="2"/>
      <c r="EV105" s="2"/>
      <c r="EW105" s="2"/>
      <c r="EX105" s="2"/>
      <c r="EY105" s="2"/>
      <c r="EZ105" s="2"/>
      <c r="FA105" s="2"/>
      <c r="FB105" s="2"/>
    </row>
    <row r="106" spans="1:158" ht="22" customHeight="1" thickBot="1" x14ac:dyDescent="0.25">
      <c r="A106" s="1"/>
      <c r="B106" s="41">
        <f>B107-0.05</f>
        <v>0.65136222910216712</v>
      </c>
      <c r="C106" s="6">
        <f t="shared" si="50"/>
        <v>0.35775417205214133</v>
      </c>
      <c r="D106" s="6">
        <f t="shared" si="50"/>
        <v>0.42197875484692715</v>
      </c>
      <c r="E106" s="6">
        <f t="shared" si="50"/>
        <v>0.47452614076993382</v>
      </c>
      <c r="F106" s="6">
        <f t="shared" si="52"/>
        <v>0.47452614076993382</v>
      </c>
      <c r="G106" s="6">
        <f t="shared" si="53"/>
        <v>0.518315629039106</v>
      </c>
      <c r="H106" s="6">
        <f t="shared" si="54"/>
        <v>0.55536827295917479</v>
      </c>
      <c r="I106" s="91">
        <f t="shared" si="51"/>
        <v>-2.5473859230066176E-2</v>
      </c>
      <c r="J106" s="88"/>
      <c r="K106" s="88"/>
      <c r="L106" s="88"/>
      <c r="M106" s="88"/>
      <c r="N106" s="1"/>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56"/>
      <c r="ED106" s="56"/>
      <c r="EE106" s="56"/>
      <c r="EF106" s="2"/>
      <c r="EG106" s="2"/>
      <c r="EH106" s="2"/>
      <c r="EI106" s="2"/>
      <c r="EJ106" s="2"/>
      <c r="EK106" s="2"/>
      <c r="EL106" s="2"/>
      <c r="EM106" s="2"/>
      <c r="EN106" s="2"/>
      <c r="EO106" s="2"/>
      <c r="EP106" s="2"/>
      <c r="EQ106" s="2"/>
      <c r="ER106" s="2"/>
      <c r="ES106" s="2"/>
      <c r="ET106" s="2"/>
      <c r="EU106" s="2"/>
      <c r="EV106" s="2"/>
      <c r="EW106" s="2"/>
      <c r="EX106" s="2"/>
      <c r="EY106" s="2"/>
      <c r="EZ106" s="2"/>
      <c r="FA106" s="2"/>
      <c r="FB106" s="2"/>
    </row>
    <row r="107" spans="1:158" ht="17" thickTop="1" thickBot="1" x14ac:dyDescent="0.25">
      <c r="A107" s="1"/>
      <c r="B107" s="41">
        <f>IFERROR(AF87/AE87,0.65)</f>
        <v>0.70136222910216717</v>
      </c>
      <c r="C107" s="6">
        <f t="shared" si="50"/>
        <v>0.40353977336474811</v>
      </c>
      <c r="D107" s="62">
        <f t="shared" si="50"/>
        <v>0.46318579602827326</v>
      </c>
      <c r="E107" s="6">
        <f t="shared" si="50"/>
        <v>0.51198708729843023</v>
      </c>
      <c r="F107" s="6">
        <f t="shared" si="52"/>
        <v>0.51198708729843023</v>
      </c>
      <c r="G107" s="6">
        <f t="shared" si="53"/>
        <v>0.55265483002356108</v>
      </c>
      <c r="H107" s="6">
        <f t="shared" si="54"/>
        <v>0.58706599694482564</v>
      </c>
      <c r="I107" s="91">
        <f t="shared" si="51"/>
        <v>1.1987087298430232E-2</v>
      </c>
      <c r="J107" s="88"/>
      <c r="K107" s="88"/>
      <c r="L107" s="88"/>
      <c r="M107" s="88"/>
      <c r="N107" s="1"/>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56"/>
      <c r="ED107" s="56"/>
      <c r="EE107" s="56"/>
      <c r="EF107" s="2"/>
      <c r="EG107" s="2"/>
      <c r="EH107" s="2"/>
      <c r="EI107" s="2"/>
      <c r="EJ107" s="2"/>
      <c r="EK107" s="2"/>
      <c r="EL107" s="2"/>
      <c r="EM107" s="2"/>
      <c r="EN107" s="2"/>
      <c r="EO107" s="2"/>
      <c r="EP107" s="2"/>
      <c r="EQ107" s="2"/>
      <c r="ER107" s="2"/>
      <c r="ES107" s="2"/>
      <c r="ET107" s="2"/>
      <c r="EU107" s="2"/>
      <c r="EV107" s="2"/>
      <c r="EW107" s="2"/>
      <c r="EX107" s="2"/>
      <c r="EY107" s="2"/>
      <c r="EZ107" s="2"/>
      <c r="FA107" s="2"/>
      <c r="FB107" s="2"/>
    </row>
    <row r="108" spans="1:158" ht="22" customHeight="1" thickTop="1" x14ac:dyDescent="0.2">
      <c r="A108" s="1"/>
      <c r="B108" s="41">
        <f>B107+0.05</f>
        <v>0.75136222910216721</v>
      </c>
      <c r="C108" s="6">
        <f t="shared" si="50"/>
        <v>0.44323169581791599</v>
      </c>
      <c r="D108" s="6">
        <f t="shared" si="50"/>
        <v>0.49890852623612436</v>
      </c>
      <c r="E108" s="6">
        <f t="shared" si="50"/>
        <v>0.54446229657829481</v>
      </c>
      <c r="F108" s="6">
        <f t="shared" si="52"/>
        <v>0.54446229657829481</v>
      </c>
      <c r="G108" s="6">
        <f t="shared" si="53"/>
        <v>0.58242377186343697</v>
      </c>
      <c r="H108" s="6">
        <f t="shared" si="54"/>
        <v>0.61454502018163415</v>
      </c>
      <c r="I108" s="91">
        <f t="shared" si="51"/>
        <v>4.4462296578294813E-2</v>
      </c>
      <c r="J108" s="88"/>
      <c r="K108" s="88"/>
      <c r="L108" s="88"/>
      <c r="M108" s="88"/>
      <c r="N108" s="1"/>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56"/>
      <c r="ED108" s="56"/>
      <c r="EE108" s="56"/>
      <c r="EF108" s="2"/>
      <c r="EG108" s="2"/>
      <c r="EH108" s="2"/>
      <c r="EI108" s="2"/>
      <c r="EJ108" s="2"/>
      <c r="EK108" s="2"/>
      <c r="EL108" s="2"/>
      <c r="EM108" s="2"/>
      <c r="EN108" s="2"/>
      <c r="EO108" s="2"/>
      <c r="EP108" s="2"/>
      <c r="EQ108" s="2"/>
      <c r="ER108" s="2"/>
      <c r="ES108" s="2"/>
      <c r="ET108" s="2"/>
      <c r="EU108" s="2"/>
      <c r="EV108" s="2"/>
      <c r="EW108" s="2"/>
      <c r="EX108" s="2"/>
      <c r="EY108" s="2"/>
      <c r="EZ108" s="2"/>
      <c r="FA108" s="2"/>
      <c r="FB108" s="2"/>
    </row>
    <row r="109" spans="1:158" ht="28" customHeight="1" x14ac:dyDescent="0.2">
      <c r="A109" s="1"/>
      <c r="B109" s="41">
        <f>B108+0.05</f>
        <v>0.80136222910216726</v>
      </c>
      <c r="C109" s="6">
        <f t="shared" si="50"/>
        <v>0.47797056196125043</v>
      </c>
      <c r="D109" s="6">
        <f t="shared" si="50"/>
        <v>0.53017350576512534</v>
      </c>
      <c r="E109" s="6">
        <f t="shared" si="50"/>
        <v>0.57288500524102304</v>
      </c>
      <c r="F109" s="6">
        <f t="shared" si="52"/>
        <v>0.57288500524102304</v>
      </c>
      <c r="G109" s="6">
        <f t="shared" si="53"/>
        <v>0.60847792147093771</v>
      </c>
      <c r="H109" s="6">
        <f t="shared" si="54"/>
        <v>0.63859500443471184</v>
      </c>
      <c r="I109" s="91">
        <f t="shared" si="51"/>
        <v>7.2885005241023038E-2</v>
      </c>
      <c r="J109" s="88"/>
      <c r="K109" s="88"/>
      <c r="L109" s="88"/>
      <c r="M109" s="88"/>
      <c r="N109" s="1"/>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56"/>
      <c r="ED109" s="56"/>
      <c r="EE109" s="56"/>
      <c r="EF109" s="2"/>
      <c r="EG109" s="2"/>
      <c r="EH109" s="2"/>
      <c r="EI109" s="2"/>
      <c r="EJ109" s="2"/>
      <c r="EK109" s="2"/>
      <c r="EL109" s="2"/>
      <c r="EM109" s="2"/>
      <c r="EN109" s="2"/>
      <c r="EO109" s="2"/>
      <c r="EP109" s="2"/>
      <c r="EQ109" s="2"/>
      <c r="ER109" s="2"/>
      <c r="ES109" s="2"/>
      <c r="ET109" s="2"/>
      <c r="EU109" s="2"/>
      <c r="EV109" s="2"/>
      <c r="EW109" s="2"/>
      <c r="EX109" s="2"/>
      <c r="EY109" s="2"/>
      <c r="EZ109" s="2"/>
      <c r="FA109" s="2"/>
      <c r="FB109" s="2"/>
    </row>
    <row r="110" spans="1:158" ht="28" customHeight="1" x14ac:dyDescent="0.2">
      <c r="A110" s="1"/>
      <c r="B110" s="41">
        <f>B109+0.05</f>
        <v>0.8513622291021673</v>
      </c>
      <c r="C110" s="6">
        <f t="shared" si="50"/>
        <v>0.50862904199443637</v>
      </c>
      <c r="D110" s="6">
        <f t="shared" si="50"/>
        <v>0.55776613779499273</v>
      </c>
      <c r="E110" s="6">
        <f t="shared" si="50"/>
        <v>0.59796921617726606</v>
      </c>
      <c r="F110" s="6">
        <f t="shared" si="52"/>
        <v>0.59796921617726606</v>
      </c>
      <c r="G110" s="6">
        <f t="shared" si="53"/>
        <v>0.63147178149582728</v>
      </c>
      <c r="H110" s="6">
        <f t="shared" si="54"/>
        <v>0.65982010599614827</v>
      </c>
      <c r="I110" s="91">
        <f t="shared" si="51"/>
        <v>9.7969216177266061E-2</v>
      </c>
      <c r="J110" s="88"/>
      <c r="K110" s="88"/>
      <c r="L110" s="88"/>
      <c r="M110" s="88"/>
      <c r="N110" s="1"/>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56"/>
      <c r="ED110" s="56"/>
      <c r="EE110" s="56"/>
      <c r="EF110" s="2"/>
      <c r="EG110" s="2"/>
      <c r="EH110" s="2"/>
      <c r="EI110" s="2"/>
      <c r="EJ110" s="2"/>
      <c r="EK110" s="2"/>
      <c r="EL110" s="2"/>
      <c r="EM110" s="2"/>
      <c r="EN110" s="2"/>
      <c r="EO110" s="2"/>
      <c r="EP110" s="2"/>
      <c r="EQ110" s="2"/>
      <c r="ER110" s="2"/>
      <c r="ES110" s="2"/>
      <c r="ET110" s="2"/>
      <c r="EU110" s="2"/>
      <c r="EV110" s="2"/>
      <c r="EW110" s="2"/>
      <c r="EX110" s="2"/>
      <c r="EY110" s="2"/>
      <c r="EZ110" s="2"/>
      <c r="FA110" s="2"/>
      <c r="FB110" s="2"/>
    </row>
    <row r="111" spans="1:158" ht="28" customHeight="1" x14ac:dyDescent="0.2">
      <c r="A111" s="1"/>
      <c r="B111" s="1"/>
      <c r="C111" s="60">
        <f>IFERROR(MAX(0.4,MIN(AJ87/AI87,1)-0.12),0.8)</f>
        <v>0.76950193537349498</v>
      </c>
      <c r="D111" s="60">
        <f>IFERROR(MIN(AJ87/AI87,1),0.9)</f>
        <v>0.88950193537349498</v>
      </c>
      <c r="E111" s="60">
        <f>IFERROR(MIN(MIN(AJ87/AI87,1)+0.04,1),1)</f>
        <v>0.92950193537349501</v>
      </c>
      <c r="F111" s="1"/>
      <c r="G111" s="1"/>
      <c r="H111" s="1"/>
      <c r="I111" s="1"/>
      <c r="J111" s="1"/>
      <c r="K111" s="1"/>
      <c r="L111" s="1"/>
      <c r="M111" s="1"/>
      <c r="N111" s="1"/>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56"/>
      <c r="ED111" s="56"/>
      <c r="EE111" s="56"/>
      <c r="EF111" s="2"/>
      <c r="EG111" s="2"/>
      <c r="EH111" s="2"/>
      <c r="EI111" s="2"/>
      <c r="EJ111" s="2"/>
      <c r="EK111" s="2"/>
      <c r="EL111" s="2"/>
      <c r="EM111" s="2"/>
      <c r="EN111" s="2"/>
      <c r="EO111" s="2"/>
      <c r="EP111" s="2"/>
      <c r="EQ111" s="2"/>
      <c r="ER111" s="2"/>
      <c r="ES111" s="2"/>
      <c r="ET111" s="2"/>
      <c r="EU111" s="2"/>
      <c r="EV111" s="2"/>
      <c r="EW111" s="2"/>
      <c r="EX111" s="2"/>
      <c r="EY111" s="2"/>
      <c r="EZ111" s="2"/>
      <c r="FA111" s="2"/>
      <c r="FB111" s="2"/>
    </row>
    <row r="112" spans="1:158" ht="28" customHeight="1" x14ac:dyDescent="0.2">
      <c r="A112" s="1"/>
      <c r="B112" s="1"/>
      <c r="C112" s="60"/>
      <c r="D112" s="60"/>
      <c r="E112" s="60"/>
      <c r="F112" s="1"/>
      <c r="G112" s="1"/>
      <c r="H112" s="1"/>
      <c r="I112" s="1"/>
      <c r="J112" s="1"/>
      <c r="K112" s="1"/>
      <c r="L112" s="1"/>
      <c r="M112" s="1"/>
      <c r="N112" s="1"/>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56"/>
      <c r="ED112" s="56"/>
      <c r="EE112" s="56"/>
      <c r="EF112" s="2"/>
      <c r="EG112" s="2"/>
      <c r="EH112" s="2"/>
      <c r="EI112" s="2"/>
      <c r="EJ112" s="2"/>
      <c r="EK112" s="2"/>
      <c r="EL112" s="2"/>
      <c r="EM112" s="2"/>
      <c r="EN112" s="2"/>
      <c r="EO112" s="2"/>
      <c r="EP112" s="2"/>
      <c r="EQ112" s="2"/>
      <c r="ER112" s="2"/>
      <c r="ES112" s="2"/>
      <c r="ET112" s="2"/>
      <c r="EU112" s="2"/>
      <c r="EV112" s="2"/>
      <c r="EW112" s="2"/>
      <c r="EX112" s="2"/>
      <c r="EY112" s="2"/>
      <c r="EZ112" s="2"/>
      <c r="FA112" s="2"/>
      <c r="FB112" s="2"/>
    </row>
    <row r="113" spans="1:158" ht="6" customHeight="1" x14ac:dyDescent="0.2">
      <c r="A113" s="1"/>
      <c r="B113" s="5" t="s">
        <v>323</v>
      </c>
      <c r="C113" s="1"/>
      <c r="D113" s="1"/>
      <c r="E113" s="1"/>
      <c r="F113" s="1"/>
      <c r="G113" s="1"/>
      <c r="H113" s="1"/>
      <c r="I113" s="1"/>
      <c r="J113" s="1"/>
      <c r="K113" s="1"/>
      <c r="L113" s="1"/>
      <c r="M113" s="1"/>
      <c r="N113" s="1"/>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56"/>
      <c r="ED113" s="56"/>
      <c r="EE113" s="56"/>
      <c r="EF113" s="2"/>
      <c r="EG113" s="2"/>
      <c r="EH113" s="2"/>
      <c r="EI113" s="2"/>
      <c r="EJ113" s="2"/>
      <c r="EK113" s="2"/>
      <c r="EL113" s="2"/>
      <c r="EM113" s="2"/>
      <c r="EN113" s="2"/>
      <c r="EO113" s="2"/>
      <c r="EP113" s="2"/>
      <c r="EQ113" s="2"/>
      <c r="ER113" s="2"/>
      <c r="ES113" s="2"/>
      <c r="ET113" s="2"/>
      <c r="EU113" s="2"/>
      <c r="EV113" s="2"/>
      <c r="EW113" s="2"/>
      <c r="EX113" s="2"/>
      <c r="EY113" s="2"/>
      <c r="EZ113" s="2"/>
      <c r="FA113" s="2"/>
      <c r="FB113" s="2"/>
    </row>
    <row r="114" spans="1:158" ht="22" customHeight="1" x14ac:dyDescent="0.2">
      <c r="A114" s="1"/>
      <c r="B114" s="21" t="s">
        <v>351</v>
      </c>
      <c r="C114" s="63" t="str">
        <f>"keep "&amp;TEXT(C111,"0%")</f>
        <v>keep 77%</v>
      </c>
      <c r="D114" s="63" t="str">
        <f>"keep "&amp;TEXT(D111,"0%")&amp;" (today)"</f>
        <v>keep 89% (today)</v>
      </c>
      <c r="E114" s="63" t="str">
        <f>"keep "&amp;TEXT(E111,"0%")</f>
        <v>keep 93%</v>
      </c>
      <c r="F114" s="63">
        <v>0.9</v>
      </c>
      <c r="G114" s="63">
        <v>1</v>
      </c>
      <c r="H114" s="99" t="s">
        <v>139</v>
      </c>
      <c r="I114" s="100"/>
      <c r="J114" s="100"/>
      <c r="K114" s="100"/>
      <c r="L114" s="100"/>
      <c r="M114" s="100"/>
      <c r="N114" s="1"/>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56"/>
      <c r="ED114" s="56"/>
      <c r="EE114" s="56"/>
      <c r="EF114" s="2"/>
      <c r="EG114" s="2"/>
      <c r="EH114" s="2"/>
      <c r="EI114" s="2"/>
      <c r="EJ114" s="2"/>
      <c r="EK114" s="2"/>
      <c r="EL114" s="2"/>
      <c r="EM114" s="2"/>
      <c r="EN114" s="2"/>
      <c r="EO114" s="2"/>
      <c r="EP114" s="2"/>
      <c r="EQ114" s="2"/>
      <c r="ER114" s="2"/>
      <c r="ES114" s="2"/>
      <c r="ET114" s="2"/>
      <c r="EU114" s="2"/>
      <c r="EV114" s="2"/>
      <c r="EW114" s="2"/>
      <c r="EX114" s="2"/>
      <c r="EY114" s="2"/>
      <c r="EZ114" s="2"/>
      <c r="FA114" s="2"/>
      <c r="FB114" s="2"/>
    </row>
    <row r="115" spans="1:158" ht="24" customHeight="1" x14ac:dyDescent="0.2">
      <c r="A115" s="1"/>
      <c r="B115" s="41">
        <f>B116-0.05</f>
        <v>0.55136222910216703</v>
      </c>
      <c r="C115" s="6">
        <f t="shared" ref="C115:E121" si="55">IF(AND($AE$87&gt;0,$AI$87&gt;0),1-$AD$87/($AE$87*$B115*$AI$87*C$111),0)</f>
        <v>0.21065558258695871</v>
      </c>
      <c r="D115" s="6">
        <f t="shared" si="55"/>
        <v>0.31714363654469646</v>
      </c>
      <c r="E115" s="6">
        <f t="shared" si="55"/>
        <v>0.34652954043443573</v>
      </c>
      <c r="F115" s="6">
        <f>IF(AND(AE87&gt;0,AI87&gt;0),1-AD87/(AE87*0.5*AI87*0.9),0)</f>
        <v>0.2557809954662853</v>
      </c>
      <c r="G115" s="6">
        <f>IF(AND(AE87&gt;0,AI87&gt;0),1-AD87/(AE87*0.5*AI87*1),0)</f>
        <v>0.33020289591965679</v>
      </c>
      <c r="H115" s="91">
        <f t="shared" ref="H115:H121" si="56">E115-ref_bench_margin_target</f>
        <v>-0.15347045956556427</v>
      </c>
      <c r="I115" s="88"/>
      <c r="J115" s="88"/>
      <c r="K115" s="88"/>
      <c r="L115" s="88"/>
      <c r="M115" s="88"/>
      <c r="N115" s="1"/>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56"/>
      <c r="ED115" s="56"/>
      <c r="EE115" s="56"/>
      <c r="EF115" s="2"/>
      <c r="EG115" s="2"/>
      <c r="EH115" s="2"/>
      <c r="EI115" s="2"/>
      <c r="EJ115" s="2"/>
      <c r="EK115" s="2"/>
      <c r="EL115" s="2"/>
      <c r="EM115" s="2"/>
      <c r="EN115" s="2"/>
      <c r="EO115" s="2"/>
      <c r="EP115" s="2"/>
      <c r="EQ115" s="2"/>
      <c r="ER115" s="2"/>
      <c r="ES115" s="2"/>
      <c r="ET115" s="2"/>
      <c r="EU115" s="2"/>
      <c r="EV115" s="2"/>
      <c r="EW115" s="2"/>
      <c r="EX115" s="2"/>
      <c r="EY115" s="2"/>
      <c r="EZ115" s="2"/>
      <c r="FA115" s="2"/>
      <c r="FB115" s="2"/>
    </row>
    <row r="116" spans="1:158" ht="20" customHeight="1" x14ac:dyDescent="0.2">
      <c r="A116" s="1"/>
      <c r="B116" s="41">
        <f>B117-0.05</f>
        <v>0.60136222910216708</v>
      </c>
      <c r="C116" s="6">
        <f t="shared" si="55"/>
        <v>0.27628527956605986</v>
      </c>
      <c r="D116" s="6">
        <f t="shared" si="55"/>
        <v>0.37391943076732392</v>
      </c>
      <c r="E116" s="6">
        <f t="shared" si="55"/>
        <v>0.40086205650725215</v>
      </c>
      <c r="F116" s="6">
        <f>IF(AND(AE87&gt;0,AI87&gt;0),1-AD87/(AE87*0.55*AI87*0.9),0)</f>
        <v>0.32343726860571387</v>
      </c>
      <c r="G116" s="6">
        <f>IF(AND(AE87&gt;0,AI87&gt;0),1-AD87/(AE87*0.55*AI87*1),0)</f>
        <v>0.39109354174514244</v>
      </c>
      <c r="H116" s="91">
        <f t="shared" si="56"/>
        <v>-9.9137943492747849E-2</v>
      </c>
      <c r="I116" s="88"/>
      <c r="J116" s="88"/>
      <c r="K116" s="88"/>
      <c r="L116" s="88"/>
      <c r="M116" s="88"/>
      <c r="N116" s="1"/>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56"/>
      <c r="ED116" s="56"/>
      <c r="EE116" s="56"/>
      <c r="EF116" s="2"/>
      <c r="EG116" s="2"/>
      <c r="EH116" s="2"/>
      <c r="EI116" s="2"/>
      <c r="EJ116" s="2"/>
      <c r="EK116" s="2"/>
      <c r="EL116" s="2"/>
      <c r="EM116" s="2"/>
      <c r="EN116" s="2"/>
      <c r="EO116" s="2"/>
      <c r="EP116" s="2"/>
      <c r="EQ116" s="2"/>
      <c r="ER116" s="2"/>
      <c r="ES116" s="2"/>
      <c r="ET116" s="2"/>
      <c r="EU116" s="2"/>
      <c r="EV116" s="2"/>
      <c r="EW116" s="2"/>
      <c r="EX116" s="2"/>
      <c r="EY116" s="2"/>
      <c r="EZ116" s="2"/>
      <c r="FA116" s="2"/>
      <c r="FB116" s="2"/>
    </row>
    <row r="117" spans="1:158" ht="20" customHeight="1" thickBot="1" x14ac:dyDescent="0.25">
      <c r="A117" s="1"/>
      <c r="B117" s="41">
        <f>B118-0.05</f>
        <v>0.65136222910216712</v>
      </c>
      <c r="C117" s="6">
        <f t="shared" si="55"/>
        <v>0.33183921623133938</v>
      </c>
      <c r="D117" s="6">
        <f t="shared" si="55"/>
        <v>0.42197875484692715</v>
      </c>
      <c r="E117" s="6">
        <f t="shared" si="55"/>
        <v>0.44685320526626116</v>
      </c>
      <c r="F117" s="6">
        <f>IF(AND(AE87&gt;0,AI87&gt;0),1-AD87/(AE87*0.6*AI87*0.9),0)</f>
        <v>0.37981749622190442</v>
      </c>
      <c r="G117" s="6">
        <f>IF(AND(AE87&gt;0,AI87&gt;0),1-AD87/(AE87*0.6*AI87*1),0)</f>
        <v>0.44183574659971403</v>
      </c>
      <c r="H117" s="91">
        <f t="shared" si="56"/>
        <v>-5.3146794733738845E-2</v>
      </c>
      <c r="I117" s="88"/>
      <c r="J117" s="88"/>
      <c r="K117" s="88"/>
      <c r="L117" s="88"/>
      <c r="M117" s="88"/>
      <c r="N117" s="1"/>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56"/>
      <c r="ED117" s="56"/>
      <c r="EE117" s="56"/>
      <c r="EF117" s="2"/>
      <c r="EG117" s="2"/>
      <c r="EH117" s="2"/>
      <c r="EI117" s="2"/>
      <c r="EJ117" s="2"/>
      <c r="EK117" s="2"/>
      <c r="EL117" s="2"/>
      <c r="EM117" s="2"/>
      <c r="EN117" s="2"/>
      <c r="EO117" s="2"/>
      <c r="EP117" s="2"/>
      <c r="EQ117" s="2"/>
      <c r="ER117" s="2"/>
      <c r="ES117" s="2"/>
      <c r="ET117" s="2"/>
      <c r="EU117" s="2"/>
      <c r="EV117" s="2"/>
      <c r="EW117" s="2"/>
      <c r="EX117" s="2"/>
      <c r="EY117" s="2"/>
      <c r="EZ117" s="2"/>
      <c r="FA117" s="2"/>
      <c r="FB117" s="2"/>
    </row>
    <row r="118" spans="1:158" ht="20" customHeight="1" thickTop="1" thickBot="1" x14ac:dyDescent="0.25">
      <c r="A118" s="1"/>
      <c r="B118" s="41">
        <f>IFERROR(AF87/AE87,0.65)</f>
        <v>0.70136222910216717</v>
      </c>
      <c r="C118" s="6">
        <f t="shared" si="55"/>
        <v>0.37947229055756826</v>
      </c>
      <c r="D118" s="62">
        <f t="shared" si="55"/>
        <v>0.46318579602827326</v>
      </c>
      <c r="E118" s="6">
        <f t="shared" si="55"/>
        <v>0.48628695089595075</v>
      </c>
      <c r="F118" s="6">
        <f>IF(AND(AE87&gt;0,AI87&gt;0),1-AD87/(AE87*0.65*AI87*0.9),0)</f>
        <v>0.42752384266637333</v>
      </c>
      <c r="G118" s="6">
        <f>IF(AND(AE87&gt;0,AI87&gt;0),1-AD87/(AE87*0.65*AI87*1),0)</f>
        <v>0.48477145839973601</v>
      </c>
      <c r="H118" s="91">
        <f t="shared" si="56"/>
        <v>-1.3713049104049246E-2</v>
      </c>
      <c r="I118" s="88"/>
      <c r="J118" s="88"/>
      <c r="K118" s="88"/>
      <c r="L118" s="88"/>
      <c r="M118" s="88"/>
      <c r="N118" s="1"/>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56"/>
      <c r="ED118" s="56"/>
      <c r="EE118" s="56"/>
      <c r="EF118" s="2"/>
      <c r="EG118" s="2"/>
      <c r="EH118" s="2"/>
      <c r="EI118" s="2"/>
      <c r="EJ118" s="2"/>
      <c r="EK118" s="2"/>
      <c r="EL118" s="2"/>
      <c r="EM118" s="2"/>
      <c r="EN118" s="2"/>
      <c r="EO118" s="2"/>
      <c r="EP118" s="2"/>
      <c r="EQ118" s="2"/>
      <c r="ER118" s="2"/>
      <c r="ES118" s="2"/>
      <c r="ET118" s="2"/>
      <c r="EU118" s="2"/>
      <c r="EV118" s="2"/>
      <c r="EW118" s="2"/>
      <c r="EX118" s="2"/>
      <c r="EY118" s="2"/>
      <c r="EZ118" s="2"/>
      <c r="FA118" s="2"/>
      <c r="FB118" s="2"/>
    </row>
    <row r="119" spans="1:158" ht="20" customHeight="1" thickTop="1" x14ac:dyDescent="0.2">
      <c r="A119" s="1"/>
      <c r="B119" s="41">
        <f>B118+0.05</f>
        <v>0.75136222910216721</v>
      </c>
      <c r="C119" s="6">
        <f t="shared" si="55"/>
        <v>0.42076580288809384</v>
      </c>
      <c r="D119" s="6">
        <f t="shared" si="55"/>
        <v>0.49890852623612436</v>
      </c>
      <c r="E119" s="6">
        <f t="shared" si="55"/>
        <v>0.52047239629143638</v>
      </c>
      <c r="F119" s="6">
        <f>IF(AND(AE87&gt;0,AI87&gt;0),1-AD87/(AE87*0.7*AI87*0.9),0)</f>
        <v>0.46841499676163234</v>
      </c>
      <c r="G119" s="6">
        <f>IF(AND(AE87&gt;0,AI87&gt;0),1-AD87/(AE87*0.7*AI87*1),0)</f>
        <v>0.52157349708546907</v>
      </c>
      <c r="H119" s="91">
        <f t="shared" si="56"/>
        <v>2.0472396291436379E-2</v>
      </c>
      <c r="I119" s="88"/>
      <c r="J119" s="88"/>
      <c r="K119" s="88"/>
      <c r="L119" s="88"/>
      <c r="M119" s="88"/>
      <c r="N119" s="1"/>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56"/>
      <c r="ED119" s="56"/>
      <c r="EE119" s="56"/>
      <c r="EF119" s="2"/>
      <c r="EG119" s="2"/>
      <c r="EH119" s="2"/>
      <c r="EI119" s="2"/>
      <c r="EJ119" s="2"/>
      <c r="EK119" s="2"/>
      <c r="EL119" s="2"/>
      <c r="EM119" s="2"/>
      <c r="EN119" s="2"/>
      <c r="EO119" s="2"/>
      <c r="EP119" s="2"/>
      <c r="EQ119" s="2"/>
      <c r="ER119" s="2"/>
      <c r="ES119" s="2"/>
      <c r="ET119" s="2"/>
      <c r="EU119" s="2"/>
      <c r="EV119" s="2"/>
      <c r="EW119" s="2"/>
      <c r="EX119" s="2"/>
      <c r="EY119" s="2"/>
      <c r="EZ119" s="2"/>
      <c r="FA119" s="2"/>
      <c r="FB119" s="2"/>
    </row>
    <row r="120" spans="1:158" ht="20" customHeight="1" x14ac:dyDescent="0.2">
      <c r="A120" s="1"/>
      <c r="B120" s="41">
        <f>B119+0.05</f>
        <v>0.80136222910216726</v>
      </c>
      <c r="C120" s="6">
        <f t="shared" si="55"/>
        <v>0.45690640049030884</v>
      </c>
      <c r="D120" s="6">
        <f t="shared" si="55"/>
        <v>0.53017350576512534</v>
      </c>
      <c r="E120" s="6">
        <f t="shared" si="55"/>
        <v>0.55039192495738187</v>
      </c>
      <c r="F120" s="6">
        <f>IF(AND(AE87&gt;0,AI87&gt;0),1-AD87/(AE87*0.75*AI87*0.9),0)</f>
        <v>0.50385399697752353</v>
      </c>
      <c r="G120" s="6">
        <f>IF(AND(AE87&gt;0,AI87&gt;0),1-AD87/(AE87*0.75*AI87*1),0)</f>
        <v>0.55346859727977116</v>
      </c>
      <c r="H120" s="91">
        <f t="shared" si="56"/>
        <v>5.0391924957381873E-2</v>
      </c>
      <c r="I120" s="88"/>
      <c r="J120" s="88"/>
      <c r="K120" s="88"/>
      <c r="L120" s="88"/>
      <c r="M120" s="88"/>
      <c r="N120" s="1"/>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56"/>
      <c r="ED120" s="56"/>
      <c r="EE120" s="56"/>
      <c r="EF120" s="2"/>
      <c r="EG120" s="2"/>
      <c r="EH120" s="2"/>
      <c r="EI120" s="2"/>
      <c r="EJ120" s="2"/>
      <c r="EK120" s="2"/>
      <c r="EL120" s="2"/>
      <c r="EM120" s="2"/>
      <c r="EN120" s="2"/>
      <c r="EO120" s="2"/>
      <c r="EP120" s="2"/>
      <c r="EQ120" s="2"/>
      <c r="ER120" s="2"/>
      <c r="ES120" s="2"/>
      <c r="ET120" s="2"/>
      <c r="EU120" s="2"/>
      <c r="EV120" s="2"/>
      <c r="EW120" s="2"/>
      <c r="EX120" s="2"/>
      <c r="EY120" s="2"/>
      <c r="EZ120" s="2"/>
      <c r="FA120" s="2"/>
      <c r="FB120" s="2"/>
    </row>
    <row r="121" spans="1:158" ht="20" customHeight="1" x14ac:dyDescent="0.2">
      <c r="A121" s="1"/>
      <c r="B121" s="41">
        <f>B120+0.05</f>
        <v>0.8513622291021673</v>
      </c>
      <c r="C121" s="6">
        <f t="shared" si="55"/>
        <v>0.48880196626390604</v>
      </c>
      <c r="D121" s="6">
        <f t="shared" si="55"/>
        <v>0.55776613779499273</v>
      </c>
      <c r="E121" s="6">
        <f t="shared" si="55"/>
        <v>0.57679714119047487</v>
      </c>
      <c r="F121" s="6">
        <f>IF(AND(AE87&gt;0,AI87&gt;0),1-AD87/(AE87*0.8*AI87*0.9),0)</f>
        <v>0.53486312216642828</v>
      </c>
      <c r="G121" s="6">
        <f>IF(AND(AE87&gt;0,AI87&gt;0),1-AD87/(AE87*0.8*AI87*1),0)</f>
        <v>0.58137680994978547</v>
      </c>
      <c r="H121" s="91">
        <f t="shared" si="56"/>
        <v>7.6797141190474871E-2</v>
      </c>
      <c r="I121" s="88"/>
      <c r="J121" s="88"/>
      <c r="K121" s="88"/>
      <c r="L121" s="88"/>
      <c r="M121" s="88"/>
      <c r="N121" s="1"/>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56"/>
      <c r="ED121" s="56"/>
      <c r="EE121" s="56"/>
      <c r="EF121" s="2"/>
      <c r="EG121" s="2"/>
      <c r="EH121" s="2"/>
      <c r="EI121" s="2"/>
      <c r="EJ121" s="2"/>
      <c r="EK121" s="2"/>
      <c r="EL121" s="2"/>
      <c r="EM121" s="2"/>
      <c r="EN121" s="2"/>
      <c r="EO121" s="2"/>
      <c r="EP121" s="2"/>
      <c r="EQ121" s="2"/>
      <c r="ER121" s="2"/>
      <c r="ES121" s="2"/>
      <c r="ET121" s="2"/>
      <c r="EU121" s="2"/>
      <c r="EV121" s="2"/>
      <c r="EW121" s="2"/>
      <c r="EX121" s="2"/>
      <c r="EY121" s="2"/>
      <c r="EZ121" s="2"/>
      <c r="FA121" s="2"/>
      <c r="FB121" s="2"/>
    </row>
    <row r="122" spans="1:158" ht="20" customHeight="1" x14ac:dyDescent="0.2">
      <c r="A122" s="1"/>
      <c r="B122" s="1"/>
      <c r="C122" s="1"/>
      <c r="D122" s="1"/>
      <c r="E122" s="1"/>
      <c r="F122" s="1"/>
      <c r="G122" s="1"/>
      <c r="H122" s="1"/>
      <c r="I122" s="1"/>
      <c r="J122" s="1"/>
      <c r="K122" s="1"/>
      <c r="L122" s="1"/>
      <c r="M122" s="1"/>
      <c r="N122" s="1"/>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56"/>
      <c r="ED122" s="56"/>
      <c r="EE122" s="56"/>
      <c r="EF122" s="2"/>
      <c r="EG122" s="2"/>
      <c r="EH122" s="2"/>
      <c r="EI122" s="2"/>
      <c r="EJ122" s="2"/>
      <c r="EK122" s="2"/>
      <c r="EL122" s="2"/>
      <c r="EM122" s="2"/>
      <c r="EN122" s="2"/>
      <c r="EO122" s="2"/>
      <c r="EP122" s="2"/>
      <c r="EQ122" s="2"/>
      <c r="ER122" s="2"/>
      <c r="ES122" s="2"/>
      <c r="ET122" s="2"/>
      <c r="EU122" s="2"/>
      <c r="EV122" s="2"/>
      <c r="EW122" s="2"/>
      <c r="EX122" s="2"/>
      <c r="EY122" s="2"/>
      <c r="EZ122" s="2"/>
      <c r="FA122" s="2"/>
      <c r="FB122" s="2"/>
    </row>
    <row r="123" spans="1:158" ht="20" customHeight="1" x14ac:dyDescent="0.2">
      <c r="A123" s="1"/>
      <c r="B123" s="5" t="s">
        <v>142</v>
      </c>
      <c r="C123" s="1"/>
      <c r="D123" s="1"/>
      <c r="E123" s="1"/>
      <c r="F123" s="1"/>
      <c r="G123" s="1"/>
      <c r="H123" s="1"/>
      <c r="I123" s="1"/>
      <c r="J123" s="1"/>
      <c r="K123" s="1"/>
      <c r="L123" s="1"/>
      <c r="M123" s="1"/>
      <c r="N123" s="1"/>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56"/>
      <c r="ED123" s="56"/>
      <c r="EE123" s="56"/>
      <c r="EF123" s="2"/>
      <c r="EG123" s="2"/>
      <c r="EH123" s="2"/>
      <c r="EI123" s="2"/>
      <c r="EJ123" s="2"/>
      <c r="EK123" s="2"/>
      <c r="EL123" s="2"/>
      <c r="EM123" s="2"/>
      <c r="EN123" s="2"/>
      <c r="EO123" s="2"/>
      <c r="EP123" s="2"/>
      <c r="EQ123" s="2"/>
      <c r="ER123" s="2"/>
      <c r="ES123" s="2"/>
      <c r="ET123" s="2"/>
      <c r="EU123" s="2"/>
      <c r="EV123" s="2"/>
      <c r="EW123" s="2"/>
      <c r="EX123" s="2"/>
      <c r="EY123" s="2"/>
      <c r="EZ123" s="2"/>
      <c r="FA123" s="2"/>
      <c r="FB123" s="2"/>
    </row>
    <row r="124" spans="1:158" ht="20" customHeight="1" x14ac:dyDescent="0.2">
      <c r="A124" s="1"/>
      <c r="B124" s="9" t="s">
        <v>143</v>
      </c>
      <c r="C124" s="1"/>
      <c r="D124" s="6">
        <f>'Sample Roster'!$D$14</f>
        <v>0.5</v>
      </c>
      <c r="E124" s="93" t="s">
        <v>144</v>
      </c>
      <c r="F124" s="88"/>
      <c r="G124" s="88"/>
      <c r="H124" s="117" t="s">
        <v>145</v>
      </c>
      <c r="I124" s="88"/>
      <c r="J124" s="88"/>
      <c r="K124" s="88"/>
      <c r="L124" s="116">
        <f>AL87</f>
        <v>0.46318579602827326</v>
      </c>
      <c r="M124" s="88"/>
      <c r="N124" s="1"/>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56"/>
      <c r="ED124" s="56"/>
      <c r="EE124" s="56"/>
      <c r="EF124" s="2"/>
      <c r="EG124" s="2"/>
      <c r="EH124" s="2"/>
      <c r="EI124" s="2"/>
      <c r="EJ124" s="2"/>
      <c r="EK124" s="2"/>
      <c r="EL124" s="2"/>
      <c r="EM124" s="2"/>
      <c r="EN124" s="2"/>
      <c r="EO124" s="2"/>
      <c r="EP124" s="2"/>
      <c r="EQ124" s="2"/>
      <c r="ER124" s="2"/>
      <c r="ES124" s="2"/>
      <c r="ET124" s="2"/>
      <c r="EU124" s="2"/>
      <c r="EV124" s="2"/>
      <c r="EW124" s="2"/>
      <c r="EX124" s="2"/>
      <c r="EY124" s="2"/>
      <c r="EZ124" s="2"/>
      <c r="FA124" s="2"/>
      <c r="FB124" s="2"/>
    </row>
    <row r="125" spans="1:158" ht="20" customHeight="1" x14ac:dyDescent="0.2">
      <c r="A125" s="1"/>
      <c r="B125" s="9" t="s">
        <v>146</v>
      </c>
      <c r="C125" s="1"/>
      <c r="D125" s="42">
        <f>IF(AND(AE87&gt;0,AJ87&gt;0),AD87/(AE87*AJ87*(1-'Sample Roster'!$D$14)),0)</f>
        <v>0.75300241342263141</v>
      </c>
      <c r="E125" s="94" t="str">
        <f>"vs current "&amp;TEXT(IFERROR(AF87/AE87,0),"0%")</f>
        <v>vs current 70%</v>
      </c>
      <c r="F125" s="88"/>
      <c r="G125" s="88"/>
      <c r="H125" s="93" t="str">
        <f>"lift utilisation by "&amp;TEXT(MAX(0,(D125-(IFERROR(AF87/AE87,0)))*100),"0.0")&amp;" pts to reach target."</f>
        <v>lift utilisation by 5.2 pts to reach target.</v>
      </c>
      <c r="I125" s="88"/>
      <c r="J125" s="88"/>
      <c r="K125" s="88"/>
      <c r="L125" s="88"/>
      <c r="M125" s="88"/>
      <c r="N125" s="1"/>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56"/>
      <c r="ED125" s="56"/>
      <c r="EE125" s="56"/>
      <c r="EF125" s="2"/>
      <c r="EG125" s="2"/>
      <c r="EH125" s="2"/>
      <c r="EI125" s="2"/>
      <c r="EJ125" s="2"/>
      <c r="EK125" s="2"/>
      <c r="EL125" s="2"/>
      <c r="EM125" s="2"/>
      <c r="EN125" s="2"/>
      <c r="EO125" s="2"/>
      <c r="EP125" s="2"/>
      <c r="EQ125" s="2"/>
      <c r="ER125" s="2"/>
      <c r="ES125" s="2"/>
      <c r="ET125" s="2"/>
      <c r="EU125" s="2"/>
      <c r="EV125" s="2"/>
      <c r="EW125" s="2"/>
      <c r="EX125" s="2"/>
      <c r="EY125" s="2"/>
      <c r="EZ125" s="2"/>
      <c r="FA125" s="2"/>
      <c r="FB125" s="2"/>
    </row>
    <row r="126" spans="1:158" ht="20" customHeight="1" x14ac:dyDescent="0.2">
      <c r="A126" s="1"/>
      <c r="B126" s="9" t="s">
        <v>307</v>
      </c>
      <c r="C126" s="1"/>
      <c r="D126" s="43">
        <f>IF(AND(AJ87&gt;0,AF87&gt;0),(IFERROR(AD87/AF87,0))/(AJ87*(1-'Sample Roster'!$D$14)),0)</f>
        <v>1.0736284079434535</v>
      </c>
      <c r="E126" s="94" t="s">
        <v>147</v>
      </c>
      <c r="F126" s="88"/>
      <c r="G126" s="88"/>
      <c r="H126" s="93" t="str">
        <f>IF(D126&gt;=1,"raise","reduce")&amp;" blended earned rate from "&amp;TEXT(AJ87,"$0.00")&amp;"/hr to "&amp;TEXT(AJ87*D126,"$0.00")&amp;"/hr to reach target."</f>
        <v>raise blended earned rate from $183.61/hr to $197.12/hr to reach target.</v>
      </c>
      <c r="I126" s="88"/>
      <c r="J126" s="88"/>
      <c r="K126" s="88"/>
      <c r="L126" s="88"/>
      <c r="M126" s="88"/>
      <c r="N126" s="1"/>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56"/>
      <c r="ED126" s="56"/>
      <c r="EE126" s="56"/>
      <c r="EF126" s="2"/>
      <c r="EG126" s="2"/>
      <c r="EH126" s="2"/>
      <c r="EI126" s="2"/>
      <c r="EJ126" s="2"/>
      <c r="EK126" s="2"/>
      <c r="EL126" s="2"/>
      <c r="EM126" s="2"/>
      <c r="EN126" s="2"/>
      <c r="EO126" s="2"/>
      <c r="EP126" s="2"/>
      <c r="EQ126" s="2"/>
      <c r="ER126" s="2"/>
      <c r="ES126" s="2"/>
      <c r="ET126" s="2"/>
      <c r="EU126" s="2"/>
      <c r="EV126" s="2"/>
      <c r="EW126" s="2"/>
      <c r="EX126" s="2"/>
      <c r="EY126" s="2"/>
      <c r="EZ126" s="2"/>
      <c r="FA126" s="2"/>
      <c r="FB126" s="2"/>
    </row>
    <row r="127" spans="1:158" ht="20" customHeight="1" x14ac:dyDescent="0.2">
      <c r="A127" s="1"/>
      <c r="B127" s="9" t="s">
        <v>148</v>
      </c>
      <c r="C127" s="1"/>
      <c r="D127" s="42">
        <f>IF(AND(AI87&gt;0,AF87&gt;0),AD87/(AF87*AI87*(1-'Sample Roster'!$D$14)),0)</f>
        <v>0.95499454673766604</v>
      </c>
      <c r="E127" s="94" t="str">
        <f>"vs current "&amp;TEXT(IFERROR(AJ87/AI87,0),"0%")</f>
        <v>vs current 89%</v>
      </c>
      <c r="F127" s="88"/>
      <c r="G127" s="88"/>
      <c r="H127" s="93" t="str">
        <f>IF(D127&gt;1,"Realisation needs to exceed 100%, not achievable. Pull a different lever.","close write-offs / scope absorption to reach this realisation.")</f>
        <v>close write-offs / scope absorption to reach this realisation.</v>
      </c>
      <c r="I127" s="88"/>
      <c r="J127" s="88"/>
      <c r="K127" s="88"/>
      <c r="L127" s="88"/>
      <c r="M127" s="88"/>
      <c r="N127" s="1"/>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56"/>
      <c r="ED127" s="56"/>
      <c r="EE127" s="56"/>
      <c r="EF127" s="2"/>
      <c r="EG127" s="2"/>
      <c r="EH127" s="2"/>
      <c r="EI127" s="2"/>
      <c r="EJ127" s="2"/>
      <c r="EK127" s="2"/>
      <c r="EL127" s="2"/>
      <c r="EM127" s="2"/>
      <c r="EN127" s="2"/>
      <c r="EO127" s="2"/>
      <c r="EP127" s="2"/>
      <c r="EQ127" s="2"/>
      <c r="ER127" s="2"/>
      <c r="ES127" s="2"/>
      <c r="ET127" s="2"/>
      <c r="EU127" s="2"/>
      <c r="EV127" s="2"/>
      <c r="EW127" s="2"/>
      <c r="EX127" s="2"/>
      <c r="EY127" s="2"/>
      <c r="EZ127" s="2"/>
      <c r="FA127" s="2"/>
      <c r="FB127" s="2"/>
    </row>
    <row r="128" spans="1:158" ht="20" customHeight="1" x14ac:dyDescent="0.2">
      <c r="A128" s="1"/>
      <c r="B128" s="1"/>
      <c r="C128" s="1"/>
      <c r="D128" s="1"/>
      <c r="E128" s="1"/>
      <c r="F128" s="1"/>
      <c r="G128" s="1"/>
      <c r="H128" s="1"/>
      <c r="I128" s="1"/>
      <c r="J128" s="1"/>
      <c r="K128" s="1"/>
      <c r="L128" s="1"/>
      <c r="M128" s="1"/>
      <c r="N128" s="1"/>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56"/>
      <c r="ED128" s="56"/>
      <c r="EE128" s="56"/>
      <c r="EF128" s="2"/>
      <c r="EG128" s="2"/>
      <c r="EH128" s="2"/>
      <c r="EI128" s="2"/>
      <c r="EJ128" s="2"/>
      <c r="EK128" s="2"/>
      <c r="EL128" s="2"/>
      <c r="EM128" s="2"/>
      <c r="EN128" s="2"/>
      <c r="EO128" s="2"/>
      <c r="EP128" s="2"/>
      <c r="EQ128" s="2"/>
      <c r="ER128" s="2"/>
      <c r="ES128" s="2"/>
      <c r="ET128" s="2"/>
      <c r="EU128" s="2"/>
      <c r="EV128" s="2"/>
      <c r="EW128" s="2"/>
      <c r="EX128" s="2"/>
      <c r="EY128" s="2"/>
      <c r="EZ128" s="2"/>
      <c r="FA128" s="2"/>
      <c r="FB128" s="2"/>
    </row>
    <row r="129" spans="1:158" ht="20" customHeight="1" x14ac:dyDescent="0.2">
      <c r="A129" s="1"/>
      <c r="B129" s="5" t="s">
        <v>149</v>
      </c>
      <c r="C129" s="1"/>
      <c r="D129" s="1"/>
      <c r="E129" s="1"/>
      <c r="F129" s="1"/>
      <c r="G129" s="1"/>
      <c r="H129" s="1"/>
      <c r="I129" s="1"/>
      <c r="J129" s="1"/>
      <c r="K129" s="89" t="s">
        <v>150</v>
      </c>
      <c r="L129" s="88"/>
      <c r="M129" s="44" t="str">
        <f>IF(COUNTIF(M131:M154,"FAIL")=0,"PASS","FAIL ("&amp;COUNTIF(M131:M154,"FAIL")&amp;")")</f>
        <v>PASS</v>
      </c>
      <c r="N129" s="1"/>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56"/>
      <c r="ED129" s="56"/>
      <c r="EE129" s="56"/>
      <c r="EF129" s="2"/>
      <c r="EG129" s="2"/>
      <c r="EH129" s="2"/>
      <c r="EI129" s="2"/>
      <c r="EJ129" s="2"/>
      <c r="EK129" s="2"/>
      <c r="EL129" s="2"/>
      <c r="EM129" s="2"/>
      <c r="EN129" s="2"/>
      <c r="EO129" s="2"/>
      <c r="EP129" s="2"/>
      <c r="EQ129" s="2"/>
      <c r="ER129" s="2"/>
      <c r="ES129" s="2"/>
      <c r="ET129" s="2"/>
      <c r="EU129" s="2"/>
      <c r="EV129" s="2"/>
      <c r="EW129" s="2"/>
      <c r="EX129" s="2"/>
      <c r="EY129" s="2"/>
      <c r="EZ129" s="2"/>
      <c r="FA129" s="2"/>
      <c r="FB129" s="2"/>
    </row>
    <row r="130" spans="1:158" ht="20" customHeight="1" x14ac:dyDescent="0.2">
      <c r="A130" s="1"/>
      <c r="B130" s="7" t="s">
        <v>151</v>
      </c>
      <c r="C130" s="103" t="s">
        <v>152</v>
      </c>
      <c r="D130" s="100"/>
      <c r="E130" s="100"/>
      <c r="F130" s="100"/>
      <c r="G130" s="100"/>
      <c r="H130" s="100"/>
      <c r="I130" s="100"/>
      <c r="J130" s="8" t="s">
        <v>153</v>
      </c>
      <c r="K130" s="8" t="s">
        <v>154</v>
      </c>
      <c r="L130" s="8" t="s">
        <v>155</v>
      </c>
      <c r="M130" s="27" t="s">
        <v>156</v>
      </c>
      <c r="N130" s="1"/>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56"/>
      <c r="ED130" s="56"/>
      <c r="EE130" s="56"/>
      <c r="EF130" s="2"/>
      <c r="EG130" s="2"/>
      <c r="EH130" s="2"/>
      <c r="EI130" s="2"/>
      <c r="EJ130" s="2"/>
      <c r="EK130" s="2"/>
      <c r="EL130" s="2"/>
      <c r="EM130" s="2"/>
      <c r="EN130" s="2"/>
      <c r="EO130" s="2"/>
      <c r="EP130" s="2"/>
      <c r="EQ130" s="2"/>
      <c r="ER130" s="2"/>
      <c r="ES130" s="2"/>
      <c r="ET130" s="2"/>
      <c r="EU130" s="2"/>
      <c r="EV130" s="2"/>
      <c r="EW130" s="2"/>
      <c r="EX130" s="2"/>
      <c r="EY130" s="2"/>
      <c r="EZ130" s="2"/>
      <c r="FA130" s="2"/>
      <c r="FB130" s="2"/>
    </row>
    <row r="131" spans="1:158" ht="20" customHeight="1" x14ac:dyDescent="0.2">
      <c r="A131" s="1"/>
      <c r="B131" s="31" t="s">
        <v>157</v>
      </c>
      <c r="C131" s="87" t="s">
        <v>158</v>
      </c>
      <c r="D131" s="88"/>
      <c r="E131" s="88"/>
      <c r="F131" s="88"/>
      <c r="G131" s="88"/>
      <c r="H131" s="88"/>
      <c r="I131" s="88"/>
      <c r="J131" s="45">
        <f>IF(Q70=1,AC70*T70,0)</f>
        <v>309300</v>
      </c>
      <c r="K131" s="46">
        <f>AD70</f>
        <v>309300</v>
      </c>
      <c r="L131" s="47">
        <f t="shared" ref="L131:L154" si="57">K131-J131</f>
        <v>0</v>
      </c>
      <c r="M131" s="28" t="str">
        <f>IF(ABS(K131-J131)&lt;=1,"PASS","FAIL")</f>
        <v>PASS</v>
      </c>
      <c r="N131" s="1"/>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56"/>
      <c r="ED131" s="56"/>
      <c r="EE131" s="56"/>
      <c r="EF131" s="2"/>
      <c r="EG131" s="2"/>
      <c r="EH131" s="2"/>
      <c r="EI131" s="2"/>
      <c r="EJ131" s="2"/>
      <c r="EK131" s="2"/>
      <c r="EL131" s="2"/>
      <c r="EM131" s="2"/>
      <c r="EN131" s="2"/>
      <c r="EO131" s="2"/>
      <c r="EP131" s="2"/>
      <c r="EQ131" s="2"/>
      <c r="ER131" s="2"/>
      <c r="ES131" s="2"/>
      <c r="ET131" s="2"/>
      <c r="EU131" s="2"/>
      <c r="EV131" s="2"/>
      <c r="EW131" s="2"/>
      <c r="EX131" s="2"/>
      <c r="EY131" s="2"/>
      <c r="EZ131" s="2"/>
      <c r="FA131" s="2"/>
      <c r="FB131" s="2"/>
    </row>
    <row r="132" spans="1:158" ht="20" customHeight="1" x14ac:dyDescent="0.2">
      <c r="A132" s="1"/>
      <c r="B132" s="31" t="s">
        <v>159</v>
      </c>
      <c r="C132" s="87" t="s">
        <v>160</v>
      </c>
      <c r="D132" s="88"/>
      <c r="E132" s="88"/>
      <c r="F132" s="88"/>
      <c r="G132" s="88"/>
      <c r="H132" s="88"/>
      <c r="I132" s="88"/>
      <c r="J132" s="45">
        <f>IF(Q71=1,AC71*T71,0)</f>
        <v>417150</v>
      </c>
      <c r="K132" s="46">
        <f>AD71</f>
        <v>417150</v>
      </c>
      <c r="L132" s="47">
        <f t="shared" si="57"/>
        <v>0</v>
      </c>
      <c r="M132" s="28" t="str">
        <f>IF(ABS(K132-J132)&lt;=1,"PASS","FAIL")</f>
        <v>PASS</v>
      </c>
      <c r="N132" s="1"/>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56"/>
      <c r="ED132" s="56"/>
      <c r="EE132" s="56"/>
      <c r="EF132" s="2"/>
      <c r="EG132" s="2"/>
      <c r="EH132" s="2"/>
      <c r="EI132" s="2"/>
      <c r="EJ132" s="2"/>
      <c r="EK132" s="2"/>
      <c r="EL132" s="2"/>
      <c r="EM132" s="2"/>
      <c r="EN132" s="2"/>
      <c r="EO132" s="2"/>
      <c r="EP132" s="2"/>
      <c r="EQ132" s="2"/>
      <c r="ER132" s="2"/>
      <c r="ES132" s="2"/>
      <c r="ET132" s="2"/>
      <c r="EU132" s="2"/>
      <c r="EV132" s="2"/>
      <c r="EW132" s="2"/>
      <c r="EX132" s="2"/>
      <c r="EY132" s="2"/>
      <c r="EZ132" s="2"/>
      <c r="FA132" s="2"/>
      <c r="FB132" s="2"/>
    </row>
    <row r="133" spans="1:158" ht="20" customHeight="1" x14ac:dyDescent="0.2">
      <c r="A133" s="1"/>
      <c r="B133" s="31" t="s">
        <v>161</v>
      </c>
      <c r="C133" s="87" t="s">
        <v>162</v>
      </c>
      <c r="D133" s="88"/>
      <c r="E133" s="88"/>
      <c r="F133" s="88"/>
      <c r="G133" s="88"/>
      <c r="H133" s="88"/>
      <c r="I133" s="88"/>
      <c r="J133" s="45">
        <f>IF(Q70=1,X70*T70*Z70,0)</f>
        <v>340</v>
      </c>
      <c r="K133" s="46">
        <f>AF70</f>
        <v>340</v>
      </c>
      <c r="L133" s="47">
        <f t="shared" si="57"/>
        <v>0</v>
      </c>
      <c r="M133" s="28" t="str">
        <f>IF(ABS(K133-J133)&lt;=1,"PASS","FAIL")</f>
        <v>PASS</v>
      </c>
      <c r="N133" s="1"/>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56"/>
      <c r="ED133" s="56"/>
      <c r="EE133" s="56"/>
      <c r="EF133" s="2"/>
      <c r="EG133" s="2"/>
      <c r="EH133" s="2"/>
      <c r="EI133" s="2"/>
      <c r="EJ133" s="2"/>
      <c r="EK133" s="2"/>
      <c r="EL133" s="2"/>
      <c r="EM133" s="2"/>
      <c r="EN133" s="2"/>
      <c r="EO133" s="2"/>
      <c r="EP133" s="2"/>
      <c r="EQ133" s="2"/>
      <c r="ER133" s="2"/>
      <c r="ES133" s="2"/>
      <c r="ET133" s="2"/>
      <c r="EU133" s="2"/>
      <c r="EV133" s="2"/>
      <c r="EW133" s="2"/>
      <c r="EX133" s="2"/>
      <c r="EY133" s="2"/>
      <c r="EZ133" s="2"/>
      <c r="FA133" s="2"/>
      <c r="FB133" s="2"/>
    </row>
    <row r="134" spans="1:158" ht="20" customHeight="1" x14ac:dyDescent="0.2">
      <c r="A134" s="1"/>
      <c r="B134" s="31" t="s">
        <v>163</v>
      </c>
      <c r="C134" s="87" t="s">
        <v>164</v>
      </c>
      <c r="D134" s="88"/>
      <c r="E134" s="88"/>
      <c r="F134" s="88"/>
      <c r="G134" s="88"/>
      <c r="H134" s="88"/>
      <c r="I134" s="88"/>
      <c r="J134" s="45">
        <f>AA70*AB70</f>
        <v>341.1764705882353</v>
      </c>
      <c r="K134" s="46">
        <f>AJ70</f>
        <v>341.1764705882353</v>
      </c>
      <c r="L134" s="47">
        <f t="shared" si="57"/>
        <v>0</v>
      </c>
      <c r="M134" s="28" t="str">
        <f>IF(ABS(K134-J134)&lt;=0.01,"PASS","FAIL")</f>
        <v>PASS</v>
      </c>
      <c r="N134" s="1"/>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56"/>
      <c r="ED134" s="56"/>
      <c r="EE134" s="56"/>
      <c r="EF134" s="2"/>
      <c r="EG134" s="2"/>
      <c r="EH134" s="2"/>
      <c r="EI134" s="2"/>
      <c r="EJ134" s="2"/>
      <c r="EK134" s="2"/>
      <c r="EL134" s="2"/>
      <c r="EM134" s="2"/>
      <c r="EN134" s="2"/>
      <c r="EO134" s="2"/>
      <c r="EP134" s="2"/>
      <c r="EQ134" s="2"/>
      <c r="ER134" s="2"/>
      <c r="ES134" s="2"/>
      <c r="ET134" s="2"/>
      <c r="EU134" s="2"/>
      <c r="EV134" s="2"/>
      <c r="EW134" s="2"/>
      <c r="EX134" s="2"/>
      <c r="EY134" s="2"/>
      <c r="EZ134" s="2"/>
      <c r="FA134" s="2"/>
      <c r="FB134" s="2"/>
    </row>
    <row r="135" spans="1:158" ht="20" customHeight="1" x14ac:dyDescent="0.2">
      <c r="A135" s="1"/>
      <c r="B135" s="31" t="s">
        <v>165</v>
      </c>
      <c r="C135" s="87" t="s">
        <v>166</v>
      </c>
      <c r="D135" s="88"/>
      <c r="E135" s="88"/>
      <c r="F135" s="88"/>
      <c r="G135" s="88"/>
      <c r="H135" s="88"/>
      <c r="I135" s="88"/>
      <c r="J135" s="45">
        <f>AJ70*AF70</f>
        <v>116000</v>
      </c>
      <c r="K135" s="46">
        <f>AK70</f>
        <v>116000</v>
      </c>
      <c r="L135" s="47">
        <f t="shared" si="57"/>
        <v>0</v>
      </c>
      <c r="M135" s="28" t="str">
        <f>IF(ABS(K135-J135)&lt;=1,"PASS","FAIL")</f>
        <v>PASS</v>
      </c>
      <c r="N135" s="1"/>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56"/>
      <c r="ED135" s="56"/>
      <c r="EE135" s="56"/>
      <c r="EF135" s="2"/>
      <c r="EG135" s="2"/>
      <c r="EH135" s="2"/>
      <c r="EI135" s="2"/>
      <c r="EJ135" s="2"/>
      <c r="EK135" s="2"/>
      <c r="EL135" s="2"/>
      <c r="EM135" s="2"/>
      <c r="EN135" s="2"/>
      <c r="EO135" s="2"/>
      <c r="EP135" s="2"/>
      <c r="EQ135" s="2"/>
      <c r="ER135" s="2"/>
      <c r="ES135" s="2"/>
      <c r="ET135" s="2"/>
      <c r="EU135" s="2"/>
      <c r="EV135" s="2"/>
      <c r="EW135" s="2"/>
      <c r="EX135" s="2"/>
      <c r="EY135" s="2"/>
      <c r="EZ135" s="2"/>
      <c r="FA135" s="2"/>
      <c r="FB135" s="2"/>
    </row>
    <row r="136" spans="1:158" ht="20" customHeight="1" x14ac:dyDescent="0.2">
      <c r="A136" s="1"/>
      <c r="B136" s="31" t="s">
        <v>167</v>
      </c>
      <c r="C136" s="87" t="s">
        <v>168</v>
      </c>
      <c r="D136" s="88"/>
      <c r="E136" s="88"/>
      <c r="F136" s="88"/>
      <c r="G136" s="88"/>
      <c r="H136" s="88"/>
      <c r="I136" s="88"/>
      <c r="J136" s="45">
        <f>IF(Q70=0,0,IF(AJ70=0,0,1-AH70/AJ70))</f>
        <v>-1.6663793103448277</v>
      </c>
      <c r="K136" s="46">
        <f>AL70</f>
        <v>-1.6663793103448274</v>
      </c>
      <c r="L136" s="47">
        <f t="shared" si="57"/>
        <v>0</v>
      </c>
      <c r="M136" s="28" t="str">
        <f>IF(ABS(K136-J136)&lt;=0.001,"PASS","FAIL")</f>
        <v>PASS</v>
      </c>
      <c r="N136" s="1"/>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56"/>
      <c r="ED136" s="56"/>
      <c r="EE136" s="56"/>
      <c r="EF136" s="2"/>
      <c r="EG136" s="2"/>
      <c r="EH136" s="2"/>
      <c r="EI136" s="2"/>
      <c r="EJ136" s="2"/>
      <c r="EK136" s="2"/>
      <c r="EL136" s="2"/>
      <c r="EM136" s="2"/>
      <c r="EN136" s="2"/>
      <c r="EO136" s="2"/>
      <c r="EP136" s="2"/>
      <c r="EQ136" s="2"/>
      <c r="ER136" s="2"/>
      <c r="ES136" s="2"/>
      <c r="ET136" s="2"/>
      <c r="EU136" s="2"/>
      <c r="EV136" s="2"/>
      <c r="EW136" s="2"/>
      <c r="EX136" s="2"/>
      <c r="EY136" s="2"/>
      <c r="EZ136" s="2"/>
      <c r="FA136" s="2"/>
      <c r="FB136" s="2"/>
    </row>
    <row r="137" spans="1:158" ht="20" customHeight="1" x14ac:dyDescent="0.2">
      <c r="A137" s="1"/>
      <c r="B137" s="31" t="s">
        <v>169</v>
      </c>
      <c r="C137" s="87" t="s">
        <v>170</v>
      </c>
      <c r="D137" s="88"/>
      <c r="E137" s="88"/>
      <c r="F137" s="88"/>
      <c r="G137" s="88"/>
      <c r="H137" s="88"/>
      <c r="I137" s="88"/>
      <c r="J137" s="45">
        <f>IF(Q70=1,(AA70-AJ70)*AF70,0)</f>
        <v>13199.999999999996</v>
      </c>
      <c r="K137" s="46">
        <f>AN70</f>
        <v>13199.999999999996</v>
      </c>
      <c r="L137" s="47">
        <f t="shared" si="57"/>
        <v>0</v>
      </c>
      <c r="M137" s="28" t="str">
        <f>IF(ABS(K137-J137)&lt;=1,"PASS","FAIL")</f>
        <v>PASS</v>
      </c>
      <c r="N137" s="1"/>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56"/>
      <c r="ED137" s="56"/>
      <c r="EE137" s="56"/>
      <c r="EF137" s="2"/>
      <c r="EG137" s="2"/>
      <c r="EH137" s="2"/>
      <c r="EI137" s="2"/>
      <c r="EJ137" s="2"/>
      <c r="EK137" s="2"/>
      <c r="EL137" s="2"/>
      <c r="EM137" s="2"/>
      <c r="EN137" s="2"/>
      <c r="EO137" s="2"/>
      <c r="EP137" s="2"/>
      <c r="EQ137" s="2"/>
      <c r="ER137" s="2"/>
      <c r="ES137" s="2"/>
      <c r="ET137" s="2"/>
      <c r="EU137" s="2"/>
      <c r="EV137" s="2"/>
      <c r="EW137" s="2"/>
      <c r="EX137" s="2"/>
      <c r="EY137" s="2"/>
      <c r="EZ137" s="2"/>
      <c r="FA137" s="2"/>
      <c r="FB137" s="2"/>
    </row>
    <row r="138" spans="1:158" ht="20" customHeight="1" x14ac:dyDescent="0.2">
      <c r="A138" s="1"/>
      <c r="B138" s="31" t="s">
        <v>171</v>
      </c>
      <c r="C138" s="87" t="s">
        <v>172</v>
      </c>
      <c r="D138" s="88"/>
      <c r="E138" s="88"/>
      <c r="F138" s="88"/>
      <c r="G138" s="88"/>
      <c r="H138" s="88"/>
      <c r="I138" s="88"/>
      <c r="J138" s="45">
        <f>SUMIFS(AD70:AD83,S70:S83,"Delivery",Q70:Q83,1)</f>
        <v>4465650</v>
      </c>
      <c r="K138" s="46">
        <f>AD87</f>
        <v>4465650</v>
      </c>
      <c r="L138" s="47">
        <f t="shared" si="57"/>
        <v>0</v>
      </c>
      <c r="M138" s="28" t="str">
        <f>IF(ABS(K138-J138)&lt;=1,"PASS","FAIL")</f>
        <v>PASS</v>
      </c>
      <c r="N138" s="1"/>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56"/>
      <c r="ED138" s="56"/>
      <c r="EE138" s="56"/>
      <c r="EF138" s="2"/>
      <c r="EG138" s="2"/>
      <c r="EH138" s="2"/>
      <c r="EI138" s="2"/>
      <c r="EJ138" s="2"/>
      <c r="EK138" s="2"/>
      <c r="EL138" s="2"/>
      <c r="EM138" s="2"/>
      <c r="EN138" s="2"/>
      <c r="EO138" s="2"/>
      <c r="EP138" s="2"/>
      <c r="EQ138" s="2"/>
      <c r="ER138" s="2"/>
      <c r="ES138" s="2"/>
      <c r="ET138" s="2"/>
      <c r="EU138" s="2"/>
      <c r="EV138" s="2"/>
      <c r="EW138" s="2"/>
      <c r="EX138" s="2"/>
      <c r="EY138" s="2"/>
      <c r="EZ138" s="2"/>
      <c r="FA138" s="2"/>
      <c r="FB138" s="2"/>
    </row>
    <row r="139" spans="1:158" ht="20" customHeight="1" x14ac:dyDescent="0.2">
      <c r="A139" s="1"/>
      <c r="B139" s="31" t="s">
        <v>173</v>
      </c>
      <c r="C139" s="87" t="s">
        <v>174</v>
      </c>
      <c r="D139" s="88"/>
      <c r="E139" s="88"/>
      <c r="F139" s="88"/>
      <c r="G139" s="88"/>
      <c r="H139" s="88"/>
      <c r="I139" s="88"/>
      <c r="J139" s="45">
        <f>SUMIFS(AK70:AK83,S70:S83,"Delivery",Q70:Q83,1)</f>
        <v>8318800</v>
      </c>
      <c r="K139" s="46">
        <f>AK87</f>
        <v>8318800</v>
      </c>
      <c r="L139" s="47">
        <f t="shared" si="57"/>
        <v>0</v>
      </c>
      <c r="M139" s="28" t="str">
        <f>IF(ABS(K139-J139)&lt;=1,"PASS","FAIL")</f>
        <v>PASS</v>
      </c>
      <c r="N139" s="1"/>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56"/>
      <c r="ED139" s="56"/>
      <c r="EE139" s="56"/>
      <c r="EF139" s="2"/>
      <c r="EG139" s="2"/>
      <c r="EH139" s="2"/>
      <c r="EI139" s="2"/>
      <c r="EJ139" s="2"/>
      <c r="EK139" s="2"/>
      <c r="EL139" s="2"/>
      <c r="EM139" s="2"/>
      <c r="EN139" s="2"/>
      <c r="EO139" s="2"/>
      <c r="EP139" s="2"/>
      <c r="EQ139" s="2"/>
      <c r="ER139" s="2"/>
      <c r="ES139" s="2"/>
      <c r="ET139" s="2"/>
      <c r="EU139" s="2"/>
      <c r="EV139" s="2"/>
      <c r="EW139" s="2"/>
      <c r="EX139" s="2"/>
      <c r="EY139" s="2"/>
      <c r="EZ139" s="2"/>
      <c r="FA139" s="2"/>
      <c r="FB139" s="2"/>
    </row>
    <row r="140" spans="1:158" x14ac:dyDescent="0.2">
      <c r="A140" s="1"/>
      <c r="B140" s="31" t="s">
        <v>175</v>
      </c>
      <c r="C140" s="87" t="s">
        <v>176</v>
      </c>
      <c r="D140" s="88"/>
      <c r="E140" s="88"/>
      <c r="F140" s="88"/>
      <c r="G140" s="88"/>
      <c r="H140" s="88"/>
      <c r="I140" s="88"/>
      <c r="J140" s="45">
        <f>IF(AF87&gt;0,AD87/AF87,0)</f>
        <v>98.56206409464113</v>
      </c>
      <c r="K140" s="46">
        <f>AH87</f>
        <v>98.56206409464113</v>
      </c>
      <c r="L140" s="47">
        <f t="shared" si="57"/>
        <v>0</v>
      </c>
      <c r="M140" s="28" t="str">
        <f>IF(ABS(K140-J140)&lt;=0.01,"PASS","FAIL")</f>
        <v>PASS</v>
      </c>
      <c r="N140" s="1"/>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56"/>
      <c r="ED140" s="56"/>
      <c r="EE140" s="56"/>
      <c r="EF140" s="2"/>
      <c r="EG140" s="2"/>
      <c r="EH140" s="2"/>
      <c r="EI140" s="2"/>
      <c r="EJ140" s="2"/>
      <c r="EK140" s="2"/>
      <c r="EL140" s="2"/>
      <c r="EM140" s="2"/>
      <c r="EN140" s="2"/>
      <c r="EO140" s="2"/>
      <c r="EP140" s="2"/>
      <c r="EQ140" s="2"/>
      <c r="ER140" s="2"/>
      <c r="ES140" s="2"/>
      <c r="ET140" s="2"/>
      <c r="EU140" s="2"/>
      <c r="EV140" s="2"/>
      <c r="EW140" s="2"/>
      <c r="EX140" s="2"/>
      <c r="EY140" s="2"/>
      <c r="EZ140" s="2"/>
      <c r="FA140" s="2"/>
      <c r="FB140" s="2"/>
    </row>
    <row r="141" spans="1:158" x14ac:dyDescent="0.2">
      <c r="A141" s="1"/>
      <c r="B141" s="31" t="s">
        <v>177</v>
      </c>
      <c r="C141" s="87" t="s">
        <v>178</v>
      </c>
      <c r="D141" s="88"/>
      <c r="E141" s="88"/>
      <c r="F141" s="88"/>
      <c r="G141" s="88"/>
      <c r="H141" s="88"/>
      <c r="I141" s="88"/>
      <c r="J141" s="45">
        <f>IF(AF87&gt;0,AK87/AF87,0)</f>
        <v>183.60554427474176</v>
      </c>
      <c r="K141" s="46">
        <f>AJ87</f>
        <v>183.60554427474176</v>
      </c>
      <c r="L141" s="47">
        <f t="shared" si="57"/>
        <v>0</v>
      </c>
      <c r="M141" s="28" t="str">
        <f>IF(ABS(K141-J141)&lt;=0.01,"PASS","FAIL")</f>
        <v>PASS</v>
      </c>
      <c r="N141" s="1"/>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56"/>
      <c r="ED141" s="56"/>
      <c r="EE141" s="56"/>
      <c r="EF141" s="2"/>
      <c r="EG141" s="2"/>
      <c r="EH141" s="2"/>
      <c r="EI141" s="2"/>
      <c r="EJ141" s="2"/>
      <c r="EK141" s="2"/>
      <c r="EL141" s="2"/>
      <c r="EM141" s="2"/>
      <c r="EN141" s="2"/>
      <c r="EO141" s="2"/>
      <c r="EP141" s="2"/>
      <c r="EQ141" s="2"/>
      <c r="ER141" s="2"/>
      <c r="ES141" s="2"/>
      <c r="ET141" s="2"/>
      <c r="EU141" s="2"/>
      <c r="EV141" s="2"/>
      <c r="EW141" s="2"/>
      <c r="EX141" s="2"/>
      <c r="EY141" s="2"/>
      <c r="EZ141" s="2"/>
      <c r="FA141" s="2"/>
      <c r="FB141" s="2"/>
    </row>
    <row r="142" spans="1:158" ht="22" customHeight="1" x14ac:dyDescent="0.2">
      <c r="A142" s="1"/>
      <c r="B142" s="31" t="s">
        <v>179</v>
      </c>
      <c r="C142" s="87" t="s">
        <v>180</v>
      </c>
      <c r="D142" s="88"/>
      <c r="E142" s="88"/>
      <c r="F142" s="88"/>
      <c r="G142" s="88"/>
      <c r="H142" s="88"/>
      <c r="I142" s="88"/>
      <c r="J142" s="45">
        <f>IF(AJ87&gt;0,1-AH87/AJ87,0)</f>
        <v>0.46318579602827326</v>
      </c>
      <c r="K142" s="46">
        <f>AL87</f>
        <v>0.46318579602827326</v>
      </c>
      <c r="L142" s="47">
        <f t="shared" si="57"/>
        <v>0</v>
      </c>
      <c r="M142" s="28" t="str">
        <f>IF(ABS(K142-J142)&lt;=0.001,"PASS","FAIL")</f>
        <v>PASS</v>
      </c>
      <c r="N142" s="1"/>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56"/>
      <c r="ED142" s="56"/>
      <c r="EE142" s="56"/>
      <c r="EF142" s="2"/>
      <c r="EG142" s="2"/>
      <c r="EH142" s="2"/>
      <c r="EI142" s="2"/>
      <c r="EJ142" s="2"/>
      <c r="EK142" s="2"/>
      <c r="EL142" s="2"/>
      <c r="EM142" s="2"/>
      <c r="EN142" s="2"/>
      <c r="EO142" s="2"/>
      <c r="EP142" s="2"/>
      <c r="EQ142" s="2"/>
      <c r="ER142" s="2"/>
      <c r="ES142" s="2"/>
      <c r="ET142" s="2"/>
      <c r="EU142" s="2"/>
      <c r="EV142" s="2"/>
      <c r="EW142" s="2"/>
      <c r="EX142" s="2"/>
      <c r="EY142" s="2"/>
      <c r="EZ142" s="2"/>
      <c r="FA142" s="2"/>
      <c r="FB142" s="2"/>
    </row>
    <row r="143" spans="1:158" x14ac:dyDescent="0.2">
      <c r="A143" s="1"/>
      <c r="B143" s="31" t="s">
        <v>181</v>
      </c>
      <c r="C143" s="87" t="s">
        <v>182</v>
      </c>
      <c r="D143" s="88"/>
      <c r="E143" s="88"/>
      <c r="F143" s="88"/>
      <c r="G143" s="88"/>
      <c r="H143" s="88"/>
      <c r="I143" s="88"/>
      <c r="J143" s="45">
        <f>INDEX(ref_region_oncost_all,MATCH("AU",ref_region_codes,0))</f>
        <v>0.185</v>
      </c>
      <c r="K143" s="46">
        <f>ref_au_oncost</f>
        <v>0.185</v>
      </c>
      <c r="L143" s="47">
        <f t="shared" si="57"/>
        <v>0</v>
      </c>
      <c r="M143" s="28" t="str">
        <f>IF(ABS(K143-J143)&lt;=0.0001,"PASS","FAIL")</f>
        <v>PASS</v>
      </c>
      <c r="N143" s="1"/>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56"/>
      <c r="ED143" s="56"/>
      <c r="EE143" s="56"/>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58" x14ac:dyDescent="0.2">
      <c r="A144" s="1"/>
      <c r="B144" s="31" t="s">
        <v>183</v>
      </c>
      <c r="C144" s="87" t="s">
        <v>184</v>
      </c>
      <c r="D144" s="88"/>
      <c r="E144" s="88"/>
      <c r="F144" s="88"/>
      <c r="G144" s="88"/>
      <c r="H144" s="88"/>
      <c r="I144" s="88"/>
      <c r="J144" s="45">
        <f>INDEX(ref_region_oncost_all,MATCH("NZ",ref_region_codes,0))</f>
        <v>4.4999999999999998E-2</v>
      </c>
      <c r="K144" s="46">
        <f>ref_nz_oncost</f>
        <v>4.4999999999999998E-2</v>
      </c>
      <c r="L144" s="47">
        <f t="shared" si="57"/>
        <v>0</v>
      </c>
      <c r="M144" s="28" t="str">
        <f>IF(ABS(K144-J144)&lt;=0.0001,"PASS","FAIL")</f>
        <v>PASS</v>
      </c>
      <c r="N144" s="1"/>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56"/>
      <c r="ED144" s="56"/>
      <c r="EE144" s="56"/>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x14ac:dyDescent="0.2">
      <c r="A145" s="1"/>
      <c r="B145" s="31" t="s">
        <v>185</v>
      </c>
      <c r="C145" s="87" t="s">
        <v>186</v>
      </c>
      <c r="D145" s="88"/>
      <c r="E145" s="88"/>
      <c r="F145" s="88"/>
      <c r="G145" s="88"/>
      <c r="H145" s="88"/>
      <c r="I145" s="88"/>
      <c r="J145" s="45">
        <f>INDEX(ref_region_oncost_all,MATCH("US",ref_region_codes,0))</f>
        <v>0.105</v>
      </c>
      <c r="K145" s="46">
        <f>ref_us_oncost</f>
        <v>0.105</v>
      </c>
      <c r="L145" s="47">
        <f t="shared" si="57"/>
        <v>0</v>
      </c>
      <c r="M145" s="28" t="str">
        <f>IF(ABS(K145-J145)&lt;=0.0001,"PASS","FAIL")</f>
        <v>PASS</v>
      </c>
      <c r="N145" s="1"/>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56"/>
      <c r="ED145" s="56"/>
      <c r="EE145" s="56"/>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x14ac:dyDescent="0.2">
      <c r="A146" s="1"/>
      <c r="B146" s="31" t="s">
        <v>187</v>
      </c>
      <c r="C146" s="87" t="s">
        <v>300</v>
      </c>
      <c r="D146" s="88"/>
      <c r="E146" s="88"/>
      <c r="F146" s="88"/>
      <c r="G146" s="88"/>
      <c r="H146" s="88"/>
      <c r="I146" s="88"/>
      <c r="J146" s="50">
        <f>0</f>
        <v>0</v>
      </c>
      <c r="K146" s="51" cm="1">
        <f t="array" ref="K146">SUMPRODUCT(--(Q70:Q83=1),--((X70:X83&lt;=0)+(X70:X83&gt;2080)))</f>
        <v>0</v>
      </c>
      <c r="L146" s="47">
        <f t="shared" si="57"/>
        <v>0</v>
      </c>
      <c r="M146" s="28" t="str">
        <f>IF(K146=0,"PASS","FAIL")</f>
        <v>PASS</v>
      </c>
      <c r="N146" s="1"/>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56"/>
      <c r="ED146" s="56"/>
      <c r="EE146" s="56"/>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row r="147" spans="1:158" x14ac:dyDescent="0.2">
      <c r="A147" s="1"/>
      <c r="B147" s="31" t="s">
        <v>188</v>
      </c>
      <c r="C147" s="87" t="s">
        <v>189</v>
      </c>
      <c r="D147" s="88"/>
      <c r="E147" s="88"/>
      <c r="F147" s="88"/>
      <c r="G147" s="88"/>
      <c r="H147" s="88"/>
      <c r="I147" s="88"/>
      <c r="J147" s="45">
        <f>0.5</f>
        <v>0.5</v>
      </c>
      <c r="K147" s="46">
        <f>ref_bench_margin_target</f>
        <v>0.5</v>
      </c>
      <c r="L147" s="47">
        <f t="shared" si="57"/>
        <v>0</v>
      </c>
      <c r="M147" s="28" t="str">
        <f>IF(ABS(K147-J147)&lt;=0.0001,"PASS","FAIL")</f>
        <v>PASS</v>
      </c>
      <c r="N147" s="1"/>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56"/>
      <c r="ED147" s="56"/>
      <c r="EE147" s="56"/>
      <c r="EF147" s="2"/>
      <c r="EG147" s="2"/>
      <c r="EH147" s="2"/>
      <c r="EI147" s="2"/>
      <c r="EJ147" s="2"/>
      <c r="EK147" s="2"/>
      <c r="EL147" s="2"/>
      <c r="EM147" s="2"/>
      <c r="EN147" s="2"/>
      <c r="EO147" s="2"/>
      <c r="EP147" s="2"/>
      <c r="EQ147" s="2"/>
      <c r="ER147" s="2"/>
      <c r="ES147" s="2"/>
      <c r="ET147" s="2"/>
      <c r="EU147" s="2"/>
      <c r="EV147" s="2"/>
      <c r="EW147" s="2"/>
      <c r="EX147" s="2"/>
      <c r="EY147" s="2"/>
      <c r="EZ147" s="2"/>
      <c r="FA147" s="2"/>
      <c r="FB147" s="2"/>
    </row>
    <row r="148" spans="1:158" x14ac:dyDescent="0.2">
      <c r="A148" s="1"/>
      <c r="B148" s="31" t="s">
        <v>190</v>
      </c>
      <c r="C148" s="87" t="s">
        <v>191</v>
      </c>
      <c r="D148" s="88"/>
      <c r="E148" s="88"/>
      <c r="F148" s="88"/>
      <c r="G148" s="88"/>
      <c r="H148" s="88"/>
      <c r="I148" s="88"/>
      <c r="J148" s="45">
        <f>0.65</f>
        <v>0.65</v>
      </c>
      <c r="K148" s="46">
        <f>ref_bench_util_avg</f>
        <v>0.65</v>
      </c>
      <c r="L148" s="47">
        <f t="shared" si="57"/>
        <v>0</v>
      </c>
      <c r="M148" s="28" t="str">
        <f>IF(ABS(K148-J148)&lt;=0.0001,"PASS","FAIL")</f>
        <v>PASS</v>
      </c>
      <c r="N148" s="1"/>
    </row>
    <row r="149" spans="1:158" x14ac:dyDescent="0.2">
      <c r="A149" s="1"/>
      <c r="B149" s="31" t="s">
        <v>192</v>
      </c>
      <c r="C149" s="87" t="s">
        <v>193</v>
      </c>
      <c r="D149" s="88"/>
      <c r="E149" s="88"/>
      <c r="F149" s="88"/>
      <c r="G149" s="88"/>
      <c r="H149" s="88"/>
      <c r="I149" s="88"/>
      <c r="J149" s="45">
        <f>0.9</f>
        <v>0.9</v>
      </c>
      <c r="K149" s="46">
        <f>ref_bench_realisation</f>
        <v>0.9</v>
      </c>
      <c r="L149" s="47">
        <f t="shared" si="57"/>
        <v>0</v>
      </c>
      <c r="M149" s="28" t="str">
        <f>IF(ABS(K149-J149)&lt;=0.0001,"PASS","FAIL")</f>
        <v>PASS</v>
      </c>
      <c r="N149" s="1"/>
    </row>
    <row r="150" spans="1:158" x14ac:dyDescent="0.2">
      <c r="A150" s="1"/>
      <c r="B150" s="31" t="s">
        <v>194</v>
      </c>
      <c r="C150" s="87" t="s">
        <v>195</v>
      </c>
      <c r="D150" s="88"/>
      <c r="E150" s="88"/>
      <c r="F150" s="88"/>
      <c r="G150" s="88"/>
      <c r="H150" s="88"/>
      <c r="I150" s="88"/>
      <c r="J150" s="45">
        <f>IF('Sample Roster'!$D$14=0,1,AND('Sample Roster'!$D$14&gt;0,'Sample Roster'!$D$14&lt;0.9)*1)</f>
        <v>1</v>
      </c>
      <c r="K150" s="46">
        <f>1</f>
        <v>1</v>
      </c>
      <c r="L150" s="47">
        <f t="shared" si="57"/>
        <v>0</v>
      </c>
      <c r="M150" s="28" t="str">
        <f>IF(K150=J150,"PASS","FAIL")</f>
        <v>PASS</v>
      </c>
      <c r="N150" s="1"/>
    </row>
    <row r="151" spans="1:158" x14ac:dyDescent="0.2">
      <c r="A151" s="1"/>
      <c r="B151" s="31" t="s">
        <v>196</v>
      </c>
      <c r="C151" s="87" t="s">
        <v>197</v>
      </c>
      <c r="D151" s="88"/>
      <c r="E151" s="88"/>
      <c r="F151" s="88"/>
      <c r="G151" s="88"/>
      <c r="H151" s="88"/>
      <c r="I151" s="88"/>
      <c r="J151" s="45">
        <f>SUMPRODUCT(--(Q70:Q83=1))</f>
        <v>14</v>
      </c>
      <c r="K151" s="46">
        <f>MAX(0,MIN(14,SUMPRODUCT(--(Q70:Q83=1))))</f>
        <v>14</v>
      </c>
      <c r="L151" s="47">
        <f t="shared" si="57"/>
        <v>0</v>
      </c>
      <c r="M151" s="28" t="str">
        <f>IF(K151=J151,"PASS","FAIL")</f>
        <v>PASS</v>
      </c>
      <c r="N151" s="1"/>
    </row>
    <row r="152" spans="1:158" x14ac:dyDescent="0.2">
      <c r="A152" s="1"/>
      <c r="B152" s="31" t="s">
        <v>198</v>
      </c>
      <c r="C152" s="87" t="s">
        <v>199</v>
      </c>
      <c r="D152" s="88"/>
      <c r="E152" s="88"/>
      <c r="F152" s="88"/>
      <c r="G152" s="88"/>
      <c r="H152" s="88"/>
      <c r="I152" s="88"/>
      <c r="J152" s="45">
        <f>AD89</f>
        <v>5269170</v>
      </c>
      <c r="K152" s="46">
        <f>MAX(AD87,AD89)</f>
        <v>5269170</v>
      </c>
      <c r="L152" s="47">
        <f t="shared" si="57"/>
        <v>0</v>
      </c>
      <c r="M152" s="28" t="str">
        <f>IF(K152=J152,"PASS","FAIL")</f>
        <v>PASS</v>
      </c>
      <c r="N152" s="1"/>
    </row>
    <row r="153" spans="1:158" x14ac:dyDescent="0.2">
      <c r="A153" s="1"/>
      <c r="B153" s="31" t="s">
        <v>200</v>
      </c>
      <c r="C153" s="87" t="s">
        <v>201</v>
      </c>
      <c r="D153" s="88"/>
      <c r="E153" s="88"/>
      <c r="F153" s="88"/>
      <c r="G153" s="88"/>
      <c r="H153" s="88"/>
      <c r="I153" s="88"/>
      <c r="J153" s="45">
        <f>IFERROR(IF(ISNUMBER(AL87),1,0),0)</f>
        <v>1</v>
      </c>
      <c r="K153" s="46">
        <f>1</f>
        <v>1</v>
      </c>
      <c r="L153" s="47">
        <f t="shared" si="57"/>
        <v>0</v>
      </c>
      <c r="M153" s="28" t="str">
        <f>IF(K153=J153,"PASS","FAIL")</f>
        <v>PASS</v>
      </c>
      <c r="N153" s="1"/>
    </row>
    <row r="154" spans="1:158" x14ac:dyDescent="0.2">
      <c r="A154" s="1"/>
      <c r="B154" s="31" t="s">
        <v>202</v>
      </c>
      <c r="C154" s="87" t="s">
        <v>203</v>
      </c>
      <c r="D154" s="88"/>
      <c r="E154" s="88"/>
      <c r="F154" s="88"/>
      <c r="G154" s="88"/>
      <c r="H154" s="88"/>
      <c r="I154" s="88"/>
      <c r="J154" s="45">
        <f>IFERROR(IF(ISNUMBER(AH87),1,0),0)</f>
        <v>1</v>
      </c>
      <c r="K154" s="46">
        <f>1</f>
        <v>1</v>
      </c>
      <c r="L154" s="47">
        <f t="shared" si="57"/>
        <v>0</v>
      </c>
      <c r="M154" s="28" t="str">
        <f>IF(K154=J154,"PASS","FAIL")</f>
        <v>PASS</v>
      </c>
      <c r="N154" s="1"/>
    </row>
    <row r="155" spans="1:158" x14ac:dyDescent="0.2">
      <c r="A155" s="1"/>
      <c r="B155" s="52" t="s">
        <v>303</v>
      </c>
      <c r="C155" s="87" t="s">
        <v>304</v>
      </c>
      <c r="D155" s="88"/>
      <c r="E155" s="88"/>
      <c r="F155" s="88"/>
      <c r="G155" s="88"/>
      <c r="H155" s="88"/>
      <c r="I155" s="88"/>
      <c r="J155" s="45">
        <f>0</f>
        <v>0</v>
      </c>
      <c r="K155" s="46" cm="1">
        <f t="array" ref="K155">SUMPRODUCT(--(Q70:Q83=1),--(Z70:Z83&gt;1.3))</f>
        <v>0</v>
      </c>
      <c r="L155" s="53">
        <f>K155-J155</f>
        <v>0</v>
      </c>
      <c r="M155" s="54" t="str">
        <f>IF(K155=0,"OK","CHECK")</f>
        <v>OK</v>
      </c>
      <c r="N155" s="1"/>
    </row>
    <row r="156" spans="1:158" x14ac:dyDescent="0.2">
      <c r="A156" s="1"/>
      <c r="B156" s="52" t="s">
        <v>305</v>
      </c>
      <c r="C156" s="87" t="s">
        <v>306</v>
      </c>
      <c r="D156" s="88"/>
      <c r="E156" s="88"/>
      <c r="F156" s="88"/>
      <c r="G156" s="88"/>
      <c r="H156" s="88"/>
      <c r="I156" s="88"/>
      <c r="J156" s="45">
        <f>0</f>
        <v>0</v>
      </c>
      <c r="K156" s="46" cm="1">
        <f t="array" ref="K156">SUMPRODUCT(--(Q70:Q83=1),--(AB70:AB83&gt;1.25))</f>
        <v>0</v>
      </c>
      <c r="L156" s="53">
        <f>K156-J156</f>
        <v>0</v>
      </c>
      <c r="M156" s="54" t="str">
        <f>IF(K156=0,"OK","CHECK")</f>
        <v>OK</v>
      </c>
      <c r="N156" s="1"/>
    </row>
    <row r="157" spans="1:158" x14ac:dyDescent="0.2">
      <c r="A157" s="1"/>
      <c r="B157" s="1"/>
      <c r="C157" s="1"/>
      <c r="D157" s="1"/>
      <c r="E157" s="1"/>
      <c r="F157" s="1"/>
      <c r="G157" s="1"/>
      <c r="H157" s="1"/>
      <c r="I157" s="1"/>
      <c r="J157" s="1"/>
      <c r="K157" s="1"/>
      <c r="L157" s="1"/>
      <c r="M157" s="1"/>
      <c r="N157" s="1"/>
    </row>
    <row r="158" spans="1:158" x14ac:dyDescent="0.2">
      <c r="A158" s="1"/>
      <c r="B158" s="3" t="s">
        <v>204</v>
      </c>
      <c r="C158" s="1"/>
      <c r="D158" s="1"/>
      <c r="E158" s="1"/>
      <c r="F158" s="1"/>
      <c r="G158" s="1"/>
      <c r="H158" s="1"/>
      <c r="I158" s="1"/>
      <c r="J158" s="1"/>
      <c r="K158" s="1"/>
      <c r="L158" s="1"/>
      <c r="M158" s="4" t="s">
        <v>205</v>
      </c>
      <c r="N158" s="1"/>
    </row>
    <row r="159" spans="1:158" x14ac:dyDescent="0.2">
      <c r="A159" s="1"/>
      <c r="B159" s="1"/>
      <c r="C159" s="1"/>
      <c r="D159" s="1"/>
      <c r="E159" s="1"/>
      <c r="F159" s="1"/>
      <c r="G159" s="1"/>
      <c r="H159" s="1"/>
      <c r="I159" s="1"/>
      <c r="J159" s="1"/>
      <c r="K159" s="1"/>
      <c r="L159" s="1"/>
      <c r="M159" s="1"/>
      <c r="N159" s="1"/>
    </row>
    <row r="160" spans="1:158" x14ac:dyDescent="0.2">
      <c r="A160" s="49"/>
      <c r="B160" s="49"/>
      <c r="C160" s="49"/>
      <c r="D160" s="49"/>
      <c r="E160" s="49"/>
      <c r="F160" s="49"/>
      <c r="G160" s="49"/>
      <c r="H160" s="49"/>
      <c r="I160" s="49"/>
      <c r="J160" s="49"/>
      <c r="K160" s="49"/>
      <c r="L160" s="49"/>
      <c r="M160" s="49"/>
      <c r="N160" s="49"/>
    </row>
    <row r="161" spans="1:14" x14ac:dyDescent="0.2">
      <c r="A161" s="49"/>
      <c r="B161" s="49"/>
      <c r="C161" s="49"/>
      <c r="D161" s="49"/>
      <c r="E161" s="49"/>
      <c r="F161" s="49"/>
      <c r="G161" s="49"/>
      <c r="H161" s="49"/>
      <c r="I161" s="49"/>
      <c r="J161" s="49"/>
      <c r="K161" s="49"/>
      <c r="L161" s="49"/>
      <c r="M161" s="49"/>
      <c r="N161" s="49"/>
    </row>
    <row r="162" spans="1:14" x14ac:dyDescent="0.2">
      <c r="A162" s="49"/>
      <c r="B162" s="49"/>
      <c r="C162" s="49"/>
      <c r="D162" s="49"/>
      <c r="E162" s="49"/>
      <c r="F162" s="49"/>
      <c r="G162" s="49"/>
      <c r="H162" s="49"/>
      <c r="I162" s="49"/>
      <c r="J162" s="49"/>
      <c r="K162" s="49"/>
      <c r="L162" s="49"/>
      <c r="M162" s="49"/>
      <c r="N162" s="49"/>
    </row>
    <row r="163" spans="1:14" x14ac:dyDescent="0.2">
      <c r="A163" s="49"/>
      <c r="B163" s="49"/>
      <c r="C163" s="49"/>
      <c r="D163" s="49"/>
      <c r="E163" s="49"/>
      <c r="F163" s="49"/>
      <c r="G163" s="49"/>
      <c r="H163" s="49"/>
      <c r="I163" s="49"/>
      <c r="J163" s="49"/>
      <c r="K163" s="49"/>
      <c r="L163" s="49"/>
      <c r="M163" s="49"/>
      <c r="N163" s="49"/>
    </row>
  </sheetData>
  <mergeCells count="138">
    <mergeCell ref="C153:I153"/>
    <mergeCell ref="C154:I154"/>
    <mergeCell ref="C155:I155"/>
    <mergeCell ref="C156:I156"/>
    <mergeCell ref="C147:I147"/>
    <mergeCell ref="C148:I148"/>
    <mergeCell ref="C149:I149"/>
    <mergeCell ref="C150:I150"/>
    <mergeCell ref="C151:I151"/>
    <mergeCell ref="C152:I152"/>
    <mergeCell ref="C141:I141"/>
    <mergeCell ref="C142:I142"/>
    <mergeCell ref="C143:I143"/>
    <mergeCell ref="C144:I144"/>
    <mergeCell ref="C145:I145"/>
    <mergeCell ref="C146:I146"/>
    <mergeCell ref="C135:I135"/>
    <mergeCell ref="C136:I136"/>
    <mergeCell ref="C137:I137"/>
    <mergeCell ref="C138:I138"/>
    <mergeCell ref="C139:I139"/>
    <mergeCell ref="C140:I140"/>
    <mergeCell ref="K129:L129"/>
    <mergeCell ref="C130:I130"/>
    <mergeCell ref="C131:I131"/>
    <mergeCell ref="C132:I132"/>
    <mergeCell ref="C133:I133"/>
    <mergeCell ref="C134:I134"/>
    <mergeCell ref="E125:G125"/>
    <mergeCell ref="H125:M125"/>
    <mergeCell ref="E126:G126"/>
    <mergeCell ref="H126:M126"/>
    <mergeCell ref="E127:G127"/>
    <mergeCell ref="H127:M127"/>
    <mergeCell ref="H118:M118"/>
    <mergeCell ref="H119:M119"/>
    <mergeCell ref="H120:M120"/>
    <mergeCell ref="H121:M121"/>
    <mergeCell ref="E124:G124"/>
    <mergeCell ref="H124:K124"/>
    <mergeCell ref="L124:M124"/>
    <mergeCell ref="I109:M109"/>
    <mergeCell ref="I110:M110"/>
    <mergeCell ref="H114:M114"/>
    <mergeCell ref="H115:M115"/>
    <mergeCell ref="H116:M116"/>
    <mergeCell ref="H117:M117"/>
    <mergeCell ref="I103:M103"/>
    <mergeCell ref="I104:M104"/>
    <mergeCell ref="I105:M105"/>
    <mergeCell ref="I106:M106"/>
    <mergeCell ref="I107:M107"/>
    <mergeCell ref="I108:M108"/>
    <mergeCell ref="E98:G98"/>
    <mergeCell ref="I98:J98"/>
    <mergeCell ref="K98:L98"/>
    <mergeCell ref="E99:G99"/>
    <mergeCell ref="I99:J99"/>
    <mergeCell ref="K99:L99"/>
    <mergeCell ref="E96:G96"/>
    <mergeCell ref="I96:J96"/>
    <mergeCell ref="K96:L96"/>
    <mergeCell ref="E97:G97"/>
    <mergeCell ref="I97:J97"/>
    <mergeCell ref="K97:L97"/>
    <mergeCell ref="E94:G94"/>
    <mergeCell ref="I94:J94"/>
    <mergeCell ref="K94:L94"/>
    <mergeCell ref="E95:G95"/>
    <mergeCell ref="I95:J95"/>
    <mergeCell ref="K95:L95"/>
    <mergeCell ref="E92:G92"/>
    <mergeCell ref="I92:J92"/>
    <mergeCell ref="K92:L92"/>
    <mergeCell ref="E93:G93"/>
    <mergeCell ref="I93:J93"/>
    <mergeCell ref="K93:L93"/>
    <mergeCell ref="E90:G90"/>
    <mergeCell ref="I90:J90"/>
    <mergeCell ref="K90:L90"/>
    <mergeCell ref="E91:G91"/>
    <mergeCell ref="I91:J91"/>
    <mergeCell ref="K91:L91"/>
    <mergeCell ref="E88:G88"/>
    <mergeCell ref="I88:J88"/>
    <mergeCell ref="K88:L88"/>
    <mergeCell ref="E89:G89"/>
    <mergeCell ref="I89:J89"/>
    <mergeCell ref="K89:L89"/>
    <mergeCell ref="E86:G86"/>
    <mergeCell ref="I86:J86"/>
    <mergeCell ref="K86:L86"/>
    <mergeCell ref="E87:G87"/>
    <mergeCell ref="I87:J87"/>
    <mergeCell ref="K87:L87"/>
    <mergeCell ref="B56:M56"/>
    <mergeCell ref="E84:G84"/>
    <mergeCell ref="I84:J84"/>
    <mergeCell ref="K84:L84"/>
    <mergeCell ref="E85:G85"/>
    <mergeCell ref="I85:J85"/>
    <mergeCell ref="K85:L85"/>
    <mergeCell ref="B17:M17"/>
    <mergeCell ref="B18:M18"/>
    <mergeCell ref="B19:M19"/>
    <mergeCell ref="B21:D21"/>
    <mergeCell ref="F21:H21"/>
    <mergeCell ref="B22:D22"/>
    <mergeCell ref="F22:H22"/>
    <mergeCell ref="B24:I24"/>
    <mergeCell ref="B14:D14"/>
    <mergeCell ref="E14:G14"/>
    <mergeCell ref="H14:J14"/>
    <mergeCell ref="K14:M14"/>
    <mergeCell ref="B11:E11"/>
    <mergeCell ref="F11:G11"/>
    <mergeCell ref="H11:I11"/>
    <mergeCell ref="J11:K11"/>
    <mergeCell ref="L11:M11"/>
    <mergeCell ref="B12:M12"/>
    <mergeCell ref="B10:E10"/>
    <mergeCell ref="F10:G10"/>
    <mergeCell ref="H10:I10"/>
    <mergeCell ref="J10:K10"/>
    <mergeCell ref="L10:M10"/>
    <mergeCell ref="B13:D13"/>
    <mergeCell ref="E13:G13"/>
    <mergeCell ref="H13:J13"/>
    <mergeCell ref="K13:M13"/>
    <mergeCell ref="J2:M2"/>
    <mergeCell ref="B3:I3"/>
    <mergeCell ref="J3:M3"/>
    <mergeCell ref="L8:M8"/>
    <mergeCell ref="B9:E9"/>
    <mergeCell ref="F9:G9"/>
    <mergeCell ref="H9:I9"/>
    <mergeCell ref="J9:K9"/>
    <mergeCell ref="L9:M9"/>
  </mergeCells>
  <conditionalFormatting sqref="B10">
    <cfRule type="expression" dxfId="15" priority="18">
      <formula>B10&gt;=ref_bench_margin_target</formula>
    </cfRule>
    <cfRule type="expression" dxfId="14" priority="19">
      <formula>B10&lt;ref_bench_margin_warn</formula>
    </cfRule>
  </conditionalFormatting>
  <conditionalFormatting sqref="C115:G121">
    <cfRule type="colorScale" priority="11">
      <colorScale>
        <cfvo type="num" val="-0.2"/>
        <cfvo type="num" val="0.5"/>
        <cfvo type="num" val="0.7"/>
        <color rgb="FF2E1517"/>
        <color rgb="FF0D0D0D"/>
        <color rgb="FF0B2E25"/>
      </colorScale>
    </cfRule>
    <cfRule type="expression" dxfId="13" priority="12">
      <formula>C115&gt;=ref_bench_margin_target</formula>
    </cfRule>
    <cfRule type="expression" dxfId="12" priority="13">
      <formula>C115&lt;ref_bench_margin_warn</formula>
    </cfRule>
  </conditionalFormatting>
  <conditionalFormatting sqref="C104:H110">
    <cfRule type="colorScale" priority="8">
      <colorScale>
        <cfvo type="num" val="-0.2"/>
        <cfvo type="num" val="0.5"/>
        <cfvo type="num" val="0.7"/>
        <color rgb="FF2E1517"/>
        <color rgb="FF0D0D0D"/>
        <color rgb="FF0B2E25"/>
      </colorScale>
    </cfRule>
    <cfRule type="expression" dxfId="11" priority="9">
      <formula>C104&gt;=ref_bench_margin_target</formula>
    </cfRule>
    <cfRule type="expression" dxfId="10" priority="10">
      <formula>C104&lt;ref_bench_margin_warn</formula>
    </cfRule>
  </conditionalFormatting>
  <conditionalFormatting sqref="H85:H98">
    <cfRule type="dataBar" priority="5">
      <dataBar>
        <cfvo type="num" val="-0.2"/>
        <cfvo type="num" val="0.7"/>
        <color rgb="FF1E50FF"/>
      </dataBar>
      <extLst>
        <ext xmlns:x14="http://schemas.microsoft.com/office/spreadsheetml/2009/9/main" uri="{B025F937-C7B1-47D3-B67F-A62EFF666E3E}">
          <x14:id>{C20DE3C7-1932-9741-A74C-5BE39FA0D5D3}</x14:id>
        </ext>
      </extLst>
    </cfRule>
  </conditionalFormatting>
  <conditionalFormatting sqref="H85:H100">
    <cfRule type="expression" dxfId="9" priority="6">
      <formula>AND(ISNUMBER(H85),H85&gt;=ref_bench_margin_target,M85&lt;&gt;"INACTIVE",M85&lt;&gt;"OVERHEAD")</formula>
    </cfRule>
    <cfRule type="expression" dxfId="8" priority="7">
      <formula>AND(ISNUMBER(H85),H85&lt;ref_bench_margin_warn,M85&lt;&gt;"INACTIVE",M85&lt;&gt;"OVERHEAD")</formula>
    </cfRule>
  </conditionalFormatting>
  <conditionalFormatting sqref="M85:M100">
    <cfRule type="expression" dxfId="7" priority="1">
      <formula>EXACT(M85,"PASS")</formula>
    </cfRule>
    <cfRule type="expression" dxfId="6" priority="2">
      <formula>EXACT(M85,"WARN")</formula>
    </cfRule>
    <cfRule type="expression" dxfId="5" priority="3">
      <formula>EXACT(M85,"FAIL")</formula>
    </cfRule>
    <cfRule type="expression" dxfId="4" priority="4">
      <formula>OR(EXACT(M85,"INACTIVE"),EXACT(M85,"OVERHEAD"),EXACT(M85,"NO RATE"))</formula>
    </cfRule>
  </conditionalFormatting>
  <conditionalFormatting sqref="M129">
    <cfRule type="expression" dxfId="3" priority="16">
      <formula>LEFT(M129,4)="PASS"</formula>
    </cfRule>
    <cfRule type="expression" dxfId="2" priority="17">
      <formula>LEFT(M129,4)="FAIL"</formula>
    </cfRule>
  </conditionalFormatting>
  <conditionalFormatting sqref="M131:M154">
    <cfRule type="expression" dxfId="1" priority="14">
      <formula>EXACT(M131,"PASS")</formula>
    </cfRule>
    <cfRule type="expression" dxfId="0" priority="15">
      <formula>EXACT(M131,"FAIL")</formula>
    </cfRule>
  </conditionalFormatting>
  <hyperlinks>
    <hyperlink ref="B24" r:id="rId1" tooltip="Book a fit call · Infraxus" xr:uid="{D031EBCA-2E8F-DF4E-95A9-6CE06A37FFD1}"/>
  </hyperlinks>
  <printOptions horizontalCentered="1"/>
  <pageMargins left="0.4" right="0.4" top="0.5" bottom="0.5" header="0.3" footer="0.3"/>
  <pageSetup fitToHeight="0" orientation="landscape"/>
  <headerFooter>
    <oddHeader>&amp;L&amp;9 &amp;K8896B3Infraxus · Capacity, Utilization and Effective Rate Diagnostic&amp;R&amp;9 &amp;K8896B3&amp;D</oddHeader>
    <oddFooter>&amp;L&amp;9 &amp;K8896B3infraxus.com&amp;R&amp;9 &amp;K8896B3Page &amp;P of &amp;N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dataBar" id="{C20DE3C7-1932-9741-A74C-5BE39FA0D5D3}">
            <x14:dataBar axisPosition="none">
              <x14:cfvo type="num">
                <xm:f>-0.2</xm:f>
              </x14:cfvo>
              <x14:cfvo type="num">
                <xm:f>0.7</xm:f>
              </x14:cfvo>
              <x14:negativeFillColor rgb="FFE5484D"/>
            </x14:dataBar>
          </x14:cfRule>
          <xm:sqref>H85:H98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564</vt:i4>
      </vt:variant>
    </vt:vector>
  </HeadingPairs>
  <TitlesOfParts>
    <vt:vector size="569" baseType="lpstr">
      <vt:lpstr>Read Me</vt:lpstr>
      <vt:lpstr>Team Roster</vt:lpstr>
      <vt:lpstr>Diagnostic</vt:lpstr>
      <vt:lpstr>Sample Roster</vt:lpstr>
      <vt:lpstr>Sample Diagnostic</vt:lpstr>
      <vt:lpstr>'Sample Roster'!calc_active_benefits</vt:lpstr>
      <vt:lpstr>calc_active_benefits</vt:lpstr>
      <vt:lpstr>'Sample Roster'!calc_active_capacity</vt:lpstr>
      <vt:lpstr>calc_active_capacity</vt:lpstr>
      <vt:lpstr>'Sample Roster'!calc_active_oncost</vt:lpstr>
      <vt:lpstr>calc_active_oncost</vt:lpstr>
      <vt:lpstr>'Sample Diagnostic'!inp_biz_fy</vt:lpstr>
      <vt:lpstr>'Sample Roster'!inp_biz_fy</vt:lpstr>
      <vt:lpstr>inp_biz_fy</vt:lpstr>
      <vt:lpstr>'Sample Diagnostic'!inp_biz_name</vt:lpstr>
      <vt:lpstr>'Sample Roster'!inp_biz_name</vt:lpstr>
      <vt:lpstr>inp_biz_name</vt:lpstr>
      <vt:lpstr>'Sample Diagnostic'!inp_biz_period</vt:lpstr>
      <vt:lpstr>'Sample Roster'!inp_biz_period</vt:lpstr>
      <vt:lpstr>inp_biz_period</vt:lpstr>
      <vt:lpstr>'Sample Diagnostic'!inp_biz_period_m</vt:lpstr>
      <vt:lpstr>'Sample Roster'!inp_biz_period_m</vt:lpstr>
      <vt:lpstr>inp_biz_period_m</vt:lpstr>
      <vt:lpstr>'Sample Diagnostic'!inp_biz_revenue</vt:lpstr>
      <vt:lpstr>'Sample Roster'!inp_biz_revenue</vt:lpstr>
      <vt:lpstr>inp_biz_revenue</vt:lpstr>
      <vt:lpstr>'Sample Diagnostic'!inp_biz_target_margin</vt:lpstr>
      <vt:lpstr>'Sample Roster'!inp_biz_target_margin</vt:lpstr>
      <vt:lpstr>inp_biz_target_margin</vt:lpstr>
      <vt:lpstr>'Sample Roster'!inp_region</vt:lpstr>
      <vt:lpstr>inp_region</vt:lpstr>
      <vt:lpstr>'Sample Diagnostic'!inp_role_active_1</vt:lpstr>
      <vt:lpstr>'Sample Roster'!inp_role_active_1</vt:lpstr>
      <vt:lpstr>inp_role_active_1</vt:lpstr>
      <vt:lpstr>'Sample Diagnostic'!inp_role_active_10</vt:lpstr>
      <vt:lpstr>'Sample Roster'!inp_role_active_10</vt:lpstr>
      <vt:lpstr>inp_role_active_10</vt:lpstr>
      <vt:lpstr>'Sample Diagnostic'!inp_role_active_11</vt:lpstr>
      <vt:lpstr>'Sample Roster'!inp_role_active_11</vt:lpstr>
      <vt:lpstr>inp_role_active_11</vt:lpstr>
      <vt:lpstr>'Sample Diagnostic'!inp_role_active_12</vt:lpstr>
      <vt:lpstr>'Sample Roster'!inp_role_active_12</vt:lpstr>
      <vt:lpstr>inp_role_active_12</vt:lpstr>
      <vt:lpstr>'Sample Diagnostic'!inp_role_active_13</vt:lpstr>
      <vt:lpstr>'Sample Roster'!inp_role_active_13</vt:lpstr>
      <vt:lpstr>inp_role_active_13</vt:lpstr>
      <vt:lpstr>'Sample Diagnostic'!inp_role_active_14</vt:lpstr>
      <vt:lpstr>'Sample Roster'!inp_role_active_14</vt:lpstr>
      <vt:lpstr>inp_role_active_14</vt:lpstr>
      <vt:lpstr>'Sample Diagnostic'!inp_role_active_2</vt:lpstr>
      <vt:lpstr>'Sample Roster'!inp_role_active_2</vt:lpstr>
      <vt:lpstr>inp_role_active_2</vt:lpstr>
      <vt:lpstr>'Sample Diagnostic'!inp_role_active_3</vt:lpstr>
      <vt:lpstr>'Sample Roster'!inp_role_active_3</vt:lpstr>
      <vt:lpstr>inp_role_active_3</vt:lpstr>
      <vt:lpstr>'Sample Diagnostic'!inp_role_active_4</vt:lpstr>
      <vt:lpstr>'Sample Roster'!inp_role_active_4</vt:lpstr>
      <vt:lpstr>inp_role_active_4</vt:lpstr>
      <vt:lpstr>'Sample Diagnostic'!inp_role_active_5</vt:lpstr>
      <vt:lpstr>'Sample Roster'!inp_role_active_5</vt:lpstr>
      <vt:lpstr>inp_role_active_5</vt:lpstr>
      <vt:lpstr>'Sample Diagnostic'!inp_role_active_6</vt:lpstr>
      <vt:lpstr>'Sample Roster'!inp_role_active_6</vt:lpstr>
      <vt:lpstr>inp_role_active_6</vt:lpstr>
      <vt:lpstr>'Sample Diagnostic'!inp_role_active_7</vt:lpstr>
      <vt:lpstr>'Sample Roster'!inp_role_active_7</vt:lpstr>
      <vt:lpstr>inp_role_active_7</vt:lpstr>
      <vt:lpstr>'Sample Diagnostic'!inp_role_active_8</vt:lpstr>
      <vt:lpstr>'Sample Roster'!inp_role_active_8</vt:lpstr>
      <vt:lpstr>inp_role_active_8</vt:lpstr>
      <vt:lpstr>'Sample Diagnostic'!inp_role_active_9</vt:lpstr>
      <vt:lpstr>'Sample Roster'!inp_role_active_9</vt:lpstr>
      <vt:lpstr>inp_role_active_9</vt:lpstr>
      <vt:lpstr>'Sample Diagnostic'!inp_role_benefits_1</vt:lpstr>
      <vt:lpstr>'Sample Roster'!inp_role_benefits_1</vt:lpstr>
      <vt:lpstr>inp_role_benefits_1</vt:lpstr>
      <vt:lpstr>'Sample Diagnostic'!inp_role_benefits_10</vt:lpstr>
      <vt:lpstr>'Sample Roster'!inp_role_benefits_10</vt:lpstr>
      <vt:lpstr>inp_role_benefits_10</vt:lpstr>
      <vt:lpstr>'Sample Diagnostic'!inp_role_benefits_11</vt:lpstr>
      <vt:lpstr>'Sample Roster'!inp_role_benefits_11</vt:lpstr>
      <vt:lpstr>inp_role_benefits_11</vt:lpstr>
      <vt:lpstr>'Sample Diagnostic'!inp_role_benefits_12</vt:lpstr>
      <vt:lpstr>'Sample Roster'!inp_role_benefits_12</vt:lpstr>
      <vt:lpstr>inp_role_benefits_12</vt:lpstr>
      <vt:lpstr>'Sample Diagnostic'!inp_role_benefits_13</vt:lpstr>
      <vt:lpstr>'Sample Roster'!inp_role_benefits_13</vt:lpstr>
      <vt:lpstr>inp_role_benefits_13</vt:lpstr>
      <vt:lpstr>'Sample Diagnostic'!inp_role_benefits_14</vt:lpstr>
      <vt:lpstr>'Sample Roster'!inp_role_benefits_14</vt:lpstr>
      <vt:lpstr>inp_role_benefits_14</vt:lpstr>
      <vt:lpstr>'Sample Diagnostic'!inp_role_benefits_2</vt:lpstr>
      <vt:lpstr>'Sample Roster'!inp_role_benefits_2</vt:lpstr>
      <vt:lpstr>inp_role_benefits_2</vt:lpstr>
      <vt:lpstr>'Sample Diagnostic'!inp_role_benefits_3</vt:lpstr>
      <vt:lpstr>'Sample Roster'!inp_role_benefits_3</vt:lpstr>
      <vt:lpstr>inp_role_benefits_3</vt:lpstr>
      <vt:lpstr>'Sample Diagnostic'!inp_role_benefits_4</vt:lpstr>
      <vt:lpstr>'Sample Roster'!inp_role_benefits_4</vt:lpstr>
      <vt:lpstr>inp_role_benefits_4</vt:lpstr>
      <vt:lpstr>'Sample Diagnostic'!inp_role_benefits_5</vt:lpstr>
      <vt:lpstr>'Sample Roster'!inp_role_benefits_5</vt:lpstr>
      <vt:lpstr>inp_role_benefits_5</vt:lpstr>
      <vt:lpstr>'Sample Diagnostic'!inp_role_benefits_6</vt:lpstr>
      <vt:lpstr>'Sample Roster'!inp_role_benefits_6</vt:lpstr>
      <vt:lpstr>inp_role_benefits_6</vt:lpstr>
      <vt:lpstr>'Sample Diagnostic'!inp_role_benefits_7</vt:lpstr>
      <vt:lpstr>'Sample Roster'!inp_role_benefits_7</vt:lpstr>
      <vt:lpstr>inp_role_benefits_7</vt:lpstr>
      <vt:lpstr>'Sample Diagnostic'!inp_role_benefits_8</vt:lpstr>
      <vt:lpstr>'Sample Roster'!inp_role_benefits_8</vt:lpstr>
      <vt:lpstr>inp_role_benefits_8</vt:lpstr>
      <vt:lpstr>'Sample Diagnostic'!inp_role_benefits_9</vt:lpstr>
      <vt:lpstr>'Sample Roster'!inp_role_benefits_9</vt:lpstr>
      <vt:lpstr>inp_role_benefits_9</vt:lpstr>
      <vt:lpstr>'Sample Diagnostic'!inp_role_billhours_1</vt:lpstr>
      <vt:lpstr>'Sample Roster'!inp_role_billhours_1</vt:lpstr>
      <vt:lpstr>inp_role_billhours_1</vt:lpstr>
      <vt:lpstr>'Sample Diagnostic'!inp_role_billhours_10</vt:lpstr>
      <vt:lpstr>'Sample Roster'!inp_role_billhours_10</vt:lpstr>
      <vt:lpstr>inp_role_billhours_10</vt:lpstr>
      <vt:lpstr>'Sample Diagnostic'!inp_role_billhours_11</vt:lpstr>
      <vt:lpstr>'Sample Roster'!inp_role_billhours_11</vt:lpstr>
      <vt:lpstr>inp_role_billhours_11</vt:lpstr>
      <vt:lpstr>'Sample Diagnostic'!inp_role_billhours_12</vt:lpstr>
      <vt:lpstr>'Sample Roster'!inp_role_billhours_12</vt:lpstr>
      <vt:lpstr>inp_role_billhours_12</vt:lpstr>
      <vt:lpstr>'Sample Diagnostic'!inp_role_billhours_13</vt:lpstr>
      <vt:lpstr>'Sample Roster'!inp_role_billhours_13</vt:lpstr>
      <vt:lpstr>inp_role_billhours_13</vt:lpstr>
      <vt:lpstr>'Sample Diagnostic'!inp_role_billhours_14</vt:lpstr>
      <vt:lpstr>'Sample Roster'!inp_role_billhours_14</vt:lpstr>
      <vt:lpstr>inp_role_billhours_14</vt:lpstr>
      <vt:lpstr>'Sample Diagnostic'!inp_role_billhours_2</vt:lpstr>
      <vt:lpstr>'Sample Roster'!inp_role_billhours_2</vt:lpstr>
      <vt:lpstr>inp_role_billhours_2</vt:lpstr>
      <vt:lpstr>'Sample Diagnostic'!inp_role_billhours_3</vt:lpstr>
      <vt:lpstr>'Sample Roster'!inp_role_billhours_3</vt:lpstr>
      <vt:lpstr>inp_role_billhours_3</vt:lpstr>
      <vt:lpstr>'Sample Diagnostic'!inp_role_billhours_4</vt:lpstr>
      <vt:lpstr>'Sample Roster'!inp_role_billhours_4</vt:lpstr>
      <vt:lpstr>inp_role_billhours_4</vt:lpstr>
      <vt:lpstr>'Sample Diagnostic'!inp_role_billhours_5</vt:lpstr>
      <vt:lpstr>'Sample Roster'!inp_role_billhours_5</vt:lpstr>
      <vt:lpstr>inp_role_billhours_5</vt:lpstr>
      <vt:lpstr>'Sample Diagnostic'!inp_role_billhours_6</vt:lpstr>
      <vt:lpstr>'Sample Roster'!inp_role_billhours_6</vt:lpstr>
      <vt:lpstr>inp_role_billhours_6</vt:lpstr>
      <vt:lpstr>'Sample Diagnostic'!inp_role_billhours_7</vt:lpstr>
      <vt:lpstr>'Sample Roster'!inp_role_billhours_7</vt:lpstr>
      <vt:lpstr>inp_role_billhours_7</vt:lpstr>
      <vt:lpstr>'Sample Diagnostic'!inp_role_billhours_8</vt:lpstr>
      <vt:lpstr>'Sample Roster'!inp_role_billhours_8</vt:lpstr>
      <vt:lpstr>inp_role_billhours_8</vt:lpstr>
      <vt:lpstr>'Sample Diagnostic'!inp_role_billhours_9</vt:lpstr>
      <vt:lpstr>'Sample Roster'!inp_role_billhours_9</vt:lpstr>
      <vt:lpstr>inp_role_billhours_9</vt:lpstr>
      <vt:lpstr>'Sample Diagnostic'!inp_role_cap_1</vt:lpstr>
      <vt:lpstr>'Sample Roster'!inp_role_cap_1</vt:lpstr>
      <vt:lpstr>inp_role_cap_1</vt:lpstr>
      <vt:lpstr>'Sample Diagnostic'!inp_role_cap_10</vt:lpstr>
      <vt:lpstr>'Sample Roster'!inp_role_cap_10</vt:lpstr>
      <vt:lpstr>inp_role_cap_10</vt:lpstr>
      <vt:lpstr>'Sample Diagnostic'!inp_role_cap_11</vt:lpstr>
      <vt:lpstr>'Sample Roster'!inp_role_cap_11</vt:lpstr>
      <vt:lpstr>inp_role_cap_11</vt:lpstr>
      <vt:lpstr>'Sample Diagnostic'!inp_role_cap_12</vt:lpstr>
      <vt:lpstr>'Sample Roster'!inp_role_cap_12</vt:lpstr>
      <vt:lpstr>inp_role_cap_12</vt:lpstr>
      <vt:lpstr>'Sample Diagnostic'!inp_role_cap_13</vt:lpstr>
      <vt:lpstr>'Sample Roster'!inp_role_cap_13</vt:lpstr>
      <vt:lpstr>inp_role_cap_13</vt:lpstr>
      <vt:lpstr>'Sample Diagnostic'!inp_role_cap_14</vt:lpstr>
      <vt:lpstr>'Sample Roster'!inp_role_cap_14</vt:lpstr>
      <vt:lpstr>inp_role_cap_14</vt:lpstr>
      <vt:lpstr>'Sample Diagnostic'!inp_role_cap_2</vt:lpstr>
      <vt:lpstr>'Sample Roster'!inp_role_cap_2</vt:lpstr>
      <vt:lpstr>inp_role_cap_2</vt:lpstr>
      <vt:lpstr>'Sample Diagnostic'!inp_role_cap_3</vt:lpstr>
      <vt:lpstr>'Sample Roster'!inp_role_cap_3</vt:lpstr>
      <vt:lpstr>inp_role_cap_3</vt:lpstr>
      <vt:lpstr>'Sample Diagnostic'!inp_role_cap_4</vt:lpstr>
      <vt:lpstr>'Sample Roster'!inp_role_cap_4</vt:lpstr>
      <vt:lpstr>inp_role_cap_4</vt:lpstr>
      <vt:lpstr>'Sample Diagnostic'!inp_role_cap_5</vt:lpstr>
      <vt:lpstr>'Sample Roster'!inp_role_cap_5</vt:lpstr>
      <vt:lpstr>inp_role_cap_5</vt:lpstr>
      <vt:lpstr>'Sample Diagnostic'!inp_role_cap_6</vt:lpstr>
      <vt:lpstr>'Sample Roster'!inp_role_cap_6</vt:lpstr>
      <vt:lpstr>inp_role_cap_6</vt:lpstr>
      <vt:lpstr>'Sample Diagnostic'!inp_role_cap_7</vt:lpstr>
      <vt:lpstr>'Sample Roster'!inp_role_cap_7</vt:lpstr>
      <vt:lpstr>inp_role_cap_7</vt:lpstr>
      <vt:lpstr>'Sample Diagnostic'!inp_role_cap_8</vt:lpstr>
      <vt:lpstr>'Sample Roster'!inp_role_cap_8</vt:lpstr>
      <vt:lpstr>inp_role_cap_8</vt:lpstr>
      <vt:lpstr>'Sample Diagnostic'!inp_role_cap_9</vt:lpstr>
      <vt:lpstr>'Sample Roster'!inp_role_cap_9</vt:lpstr>
      <vt:lpstr>inp_role_cap_9</vt:lpstr>
      <vt:lpstr>'Sample Diagnostic'!inp_role_cat_1</vt:lpstr>
      <vt:lpstr>'Sample Roster'!inp_role_cat_1</vt:lpstr>
      <vt:lpstr>inp_role_cat_1</vt:lpstr>
      <vt:lpstr>'Sample Diagnostic'!inp_role_cat_10</vt:lpstr>
      <vt:lpstr>'Sample Roster'!inp_role_cat_10</vt:lpstr>
      <vt:lpstr>inp_role_cat_10</vt:lpstr>
      <vt:lpstr>'Sample Diagnostic'!inp_role_cat_11</vt:lpstr>
      <vt:lpstr>'Sample Roster'!inp_role_cat_11</vt:lpstr>
      <vt:lpstr>inp_role_cat_11</vt:lpstr>
      <vt:lpstr>'Sample Diagnostic'!inp_role_cat_12</vt:lpstr>
      <vt:lpstr>'Sample Roster'!inp_role_cat_12</vt:lpstr>
      <vt:lpstr>inp_role_cat_12</vt:lpstr>
      <vt:lpstr>'Sample Diagnostic'!inp_role_cat_13</vt:lpstr>
      <vt:lpstr>'Sample Roster'!inp_role_cat_13</vt:lpstr>
      <vt:lpstr>inp_role_cat_13</vt:lpstr>
      <vt:lpstr>'Sample Diagnostic'!inp_role_cat_14</vt:lpstr>
      <vt:lpstr>'Sample Roster'!inp_role_cat_14</vt:lpstr>
      <vt:lpstr>inp_role_cat_14</vt:lpstr>
      <vt:lpstr>'Sample Diagnostic'!inp_role_cat_2</vt:lpstr>
      <vt:lpstr>'Sample Roster'!inp_role_cat_2</vt:lpstr>
      <vt:lpstr>inp_role_cat_2</vt:lpstr>
      <vt:lpstr>'Sample Diagnostic'!inp_role_cat_3</vt:lpstr>
      <vt:lpstr>'Sample Roster'!inp_role_cat_3</vt:lpstr>
      <vt:lpstr>inp_role_cat_3</vt:lpstr>
      <vt:lpstr>'Sample Diagnostic'!inp_role_cat_4</vt:lpstr>
      <vt:lpstr>'Sample Roster'!inp_role_cat_4</vt:lpstr>
      <vt:lpstr>inp_role_cat_4</vt:lpstr>
      <vt:lpstr>'Sample Diagnostic'!inp_role_cat_5</vt:lpstr>
      <vt:lpstr>'Sample Roster'!inp_role_cat_5</vt:lpstr>
      <vt:lpstr>inp_role_cat_5</vt:lpstr>
      <vt:lpstr>'Sample Diagnostic'!inp_role_cat_6</vt:lpstr>
      <vt:lpstr>'Sample Roster'!inp_role_cat_6</vt:lpstr>
      <vt:lpstr>inp_role_cat_6</vt:lpstr>
      <vt:lpstr>'Sample Diagnostic'!inp_role_cat_7</vt:lpstr>
      <vt:lpstr>'Sample Roster'!inp_role_cat_7</vt:lpstr>
      <vt:lpstr>inp_role_cat_7</vt:lpstr>
      <vt:lpstr>'Sample Diagnostic'!inp_role_cat_8</vt:lpstr>
      <vt:lpstr>'Sample Roster'!inp_role_cat_8</vt:lpstr>
      <vt:lpstr>inp_role_cat_8</vt:lpstr>
      <vt:lpstr>'Sample Diagnostic'!inp_role_cat_9</vt:lpstr>
      <vt:lpstr>'Sample Roster'!inp_role_cat_9</vt:lpstr>
      <vt:lpstr>inp_role_cat_9</vt:lpstr>
      <vt:lpstr>'Sample Diagnostic'!inp_role_hc_1</vt:lpstr>
      <vt:lpstr>'Sample Roster'!inp_role_hc_1</vt:lpstr>
      <vt:lpstr>inp_role_hc_1</vt:lpstr>
      <vt:lpstr>'Sample Diagnostic'!inp_role_hc_10</vt:lpstr>
      <vt:lpstr>'Sample Roster'!inp_role_hc_10</vt:lpstr>
      <vt:lpstr>inp_role_hc_10</vt:lpstr>
      <vt:lpstr>'Sample Diagnostic'!inp_role_hc_11</vt:lpstr>
      <vt:lpstr>'Sample Roster'!inp_role_hc_11</vt:lpstr>
      <vt:lpstr>inp_role_hc_11</vt:lpstr>
      <vt:lpstr>'Sample Diagnostic'!inp_role_hc_12</vt:lpstr>
      <vt:lpstr>'Sample Roster'!inp_role_hc_12</vt:lpstr>
      <vt:lpstr>inp_role_hc_12</vt:lpstr>
      <vt:lpstr>'Sample Diagnostic'!inp_role_hc_13</vt:lpstr>
      <vt:lpstr>'Sample Roster'!inp_role_hc_13</vt:lpstr>
      <vt:lpstr>inp_role_hc_13</vt:lpstr>
      <vt:lpstr>'Sample Diagnostic'!inp_role_hc_14</vt:lpstr>
      <vt:lpstr>'Sample Roster'!inp_role_hc_14</vt:lpstr>
      <vt:lpstr>inp_role_hc_14</vt:lpstr>
      <vt:lpstr>'Sample Diagnostic'!inp_role_hc_2</vt:lpstr>
      <vt:lpstr>'Sample Roster'!inp_role_hc_2</vt:lpstr>
      <vt:lpstr>inp_role_hc_2</vt:lpstr>
      <vt:lpstr>'Sample Diagnostic'!inp_role_hc_3</vt:lpstr>
      <vt:lpstr>'Sample Roster'!inp_role_hc_3</vt:lpstr>
      <vt:lpstr>inp_role_hc_3</vt:lpstr>
      <vt:lpstr>'Sample Diagnostic'!inp_role_hc_4</vt:lpstr>
      <vt:lpstr>'Sample Roster'!inp_role_hc_4</vt:lpstr>
      <vt:lpstr>inp_role_hc_4</vt:lpstr>
      <vt:lpstr>'Sample Diagnostic'!inp_role_hc_5</vt:lpstr>
      <vt:lpstr>'Sample Roster'!inp_role_hc_5</vt:lpstr>
      <vt:lpstr>inp_role_hc_5</vt:lpstr>
      <vt:lpstr>'Sample Diagnostic'!inp_role_hc_6</vt:lpstr>
      <vt:lpstr>'Sample Roster'!inp_role_hc_6</vt:lpstr>
      <vt:lpstr>inp_role_hc_6</vt:lpstr>
      <vt:lpstr>'Sample Diagnostic'!inp_role_hc_7</vt:lpstr>
      <vt:lpstr>'Sample Roster'!inp_role_hc_7</vt:lpstr>
      <vt:lpstr>inp_role_hc_7</vt:lpstr>
      <vt:lpstr>'Sample Diagnostic'!inp_role_hc_8</vt:lpstr>
      <vt:lpstr>'Sample Roster'!inp_role_hc_8</vt:lpstr>
      <vt:lpstr>inp_role_hc_8</vt:lpstr>
      <vt:lpstr>'Sample Diagnostic'!inp_role_hc_9</vt:lpstr>
      <vt:lpstr>'Sample Roster'!inp_role_hc_9</vt:lpstr>
      <vt:lpstr>inp_role_hc_9</vt:lpstr>
      <vt:lpstr>'Sample Diagnostic'!inp_role_oncost_1</vt:lpstr>
      <vt:lpstr>'Sample Roster'!inp_role_oncost_1</vt:lpstr>
      <vt:lpstr>inp_role_oncost_1</vt:lpstr>
      <vt:lpstr>'Sample Diagnostic'!inp_role_oncost_10</vt:lpstr>
      <vt:lpstr>'Sample Roster'!inp_role_oncost_10</vt:lpstr>
      <vt:lpstr>inp_role_oncost_10</vt:lpstr>
      <vt:lpstr>'Sample Diagnostic'!inp_role_oncost_11</vt:lpstr>
      <vt:lpstr>'Sample Roster'!inp_role_oncost_11</vt:lpstr>
      <vt:lpstr>inp_role_oncost_11</vt:lpstr>
      <vt:lpstr>'Sample Diagnostic'!inp_role_oncost_12</vt:lpstr>
      <vt:lpstr>'Sample Roster'!inp_role_oncost_12</vt:lpstr>
      <vt:lpstr>inp_role_oncost_12</vt:lpstr>
      <vt:lpstr>'Sample Diagnostic'!inp_role_oncost_13</vt:lpstr>
      <vt:lpstr>'Sample Roster'!inp_role_oncost_13</vt:lpstr>
      <vt:lpstr>inp_role_oncost_13</vt:lpstr>
      <vt:lpstr>'Sample Diagnostic'!inp_role_oncost_14</vt:lpstr>
      <vt:lpstr>'Sample Roster'!inp_role_oncost_14</vt:lpstr>
      <vt:lpstr>inp_role_oncost_14</vt:lpstr>
      <vt:lpstr>'Sample Diagnostic'!inp_role_oncost_2</vt:lpstr>
      <vt:lpstr>'Sample Roster'!inp_role_oncost_2</vt:lpstr>
      <vt:lpstr>inp_role_oncost_2</vt:lpstr>
      <vt:lpstr>'Sample Diagnostic'!inp_role_oncost_3</vt:lpstr>
      <vt:lpstr>'Sample Roster'!inp_role_oncost_3</vt:lpstr>
      <vt:lpstr>inp_role_oncost_3</vt:lpstr>
      <vt:lpstr>'Sample Diagnostic'!inp_role_oncost_4</vt:lpstr>
      <vt:lpstr>'Sample Roster'!inp_role_oncost_4</vt:lpstr>
      <vt:lpstr>inp_role_oncost_4</vt:lpstr>
      <vt:lpstr>'Sample Diagnostic'!inp_role_oncost_5</vt:lpstr>
      <vt:lpstr>'Sample Roster'!inp_role_oncost_5</vt:lpstr>
      <vt:lpstr>inp_role_oncost_5</vt:lpstr>
      <vt:lpstr>'Sample Diagnostic'!inp_role_oncost_6</vt:lpstr>
      <vt:lpstr>'Sample Roster'!inp_role_oncost_6</vt:lpstr>
      <vt:lpstr>inp_role_oncost_6</vt:lpstr>
      <vt:lpstr>'Sample Diagnostic'!inp_role_oncost_7</vt:lpstr>
      <vt:lpstr>'Sample Roster'!inp_role_oncost_7</vt:lpstr>
      <vt:lpstr>inp_role_oncost_7</vt:lpstr>
      <vt:lpstr>'Sample Diagnostic'!inp_role_oncost_8</vt:lpstr>
      <vt:lpstr>'Sample Roster'!inp_role_oncost_8</vt:lpstr>
      <vt:lpstr>inp_role_oncost_8</vt:lpstr>
      <vt:lpstr>'Sample Diagnostic'!inp_role_oncost_9</vt:lpstr>
      <vt:lpstr>'Sample Roster'!inp_role_oncost_9</vt:lpstr>
      <vt:lpstr>inp_role_oncost_9</vt:lpstr>
      <vt:lpstr>'Sample Diagnostic'!inp_role_rate_1</vt:lpstr>
      <vt:lpstr>'Sample Roster'!inp_role_rate_1</vt:lpstr>
      <vt:lpstr>inp_role_rate_1</vt:lpstr>
      <vt:lpstr>'Sample Diagnostic'!inp_role_rate_10</vt:lpstr>
      <vt:lpstr>'Sample Roster'!inp_role_rate_10</vt:lpstr>
      <vt:lpstr>inp_role_rate_10</vt:lpstr>
      <vt:lpstr>'Sample Diagnostic'!inp_role_rate_11</vt:lpstr>
      <vt:lpstr>'Sample Roster'!inp_role_rate_11</vt:lpstr>
      <vt:lpstr>inp_role_rate_11</vt:lpstr>
      <vt:lpstr>'Sample Diagnostic'!inp_role_rate_12</vt:lpstr>
      <vt:lpstr>'Sample Roster'!inp_role_rate_12</vt:lpstr>
      <vt:lpstr>inp_role_rate_12</vt:lpstr>
      <vt:lpstr>'Sample Diagnostic'!inp_role_rate_13</vt:lpstr>
      <vt:lpstr>'Sample Roster'!inp_role_rate_13</vt:lpstr>
      <vt:lpstr>inp_role_rate_13</vt:lpstr>
      <vt:lpstr>'Sample Diagnostic'!inp_role_rate_14</vt:lpstr>
      <vt:lpstr>'Sample Roster'!inp_role_rate_14</vt:lpstr>
      <vt:lpstr>inp_role_rate_14</vt:lpstr>
      <vt:lpstr>'Sample Diagnostic'!inp_role_rate_2</vt:lpstr>
      <vt:lpstr>'Sample Roster'!inp_role_rate_2</vt:lpstr>
      <vt:lpstr>inp_role_rate_2</vt:lpstr>
      <vt:lpstr>'Sample Diagnostic'!inp_role_rate_3</vt:lpstr>
      <vt:lpstr>'Sample Roster'!inp_role_rate_3</vt:lpstr>
      <vt:lpstr>inp_role_rate_3</vt:lpstr>
      <vt:lpstr>'Sample Diagnostic'!inp_role_rate_4</vt:lpstr>
      <vt:lpstr>'Sample Roster'!inp_role_rate_4</vt:lpstr>
      <vt:lpstr>inp_role_rate_4</vt:lpstr>
      <vt:lpstr>'Sample Diagnostic'!inp_role_rate_5</vt:lpstr>
      <vt:lpstr>'Sample Roster'!inp_role_rate_5</vt:lpstr>
      <vt:lpstr>inp_role_rate_5</vt:lpstr>
      <vt:lpstr>'Sample Diagnostic'!inp_role_rate_6</vt:lpstr>
      <vt:lpstr>'Sample Roster'!inp_role_rate_6</vt:lpstr>
      <vt:lpstr>inp_role_rate_6</vt:lpstr>
      <vt:lpstr>'Sample Diagnostic'!inp_role_rate_7</vt:lpstr>
      <vt:lpstr>'Sample Roster'!inp_role_rate_7</vt:lpstr>
      <vt:lpstr>inp_role_rate_7</vt:lpstr>
      <vt:lpstr>'Sample Diagnostic'!inp_role_rate_8</vt:lpstr>
      <vt:lpstr>'Sample Roster'!inp_role_rate_8</vt:lpstr>
      <vt:lpstr>inp_role_rate_8</vt:lpstr>
      <vt:lpstr>'Sample Diagnostic'!inp_role_rate_9</vt:lpstr>
      <vt:lpstr>'Sample Roster'!inp_role_rate_9</vt:lpstr>
      <vt:lpstr>inp_role_rate_9</vt:lpstr>
      <vt:lpstr>'Sample Diagnostic'!inp_role_revenue_1</vt:lpstr>
      <vt:lpstr>'Sample Roster'!inp_role_revenue_1</vt:lpstr>
      <vt:lpstr>inp_role_revenue_1</vt:lpstr>
      <vt:lpstr>'Sample Diagnostic'!inp_role_revenue_10</vt:lpstr>
      <vt:lpstr>'Sample Roster'!inp_role_revenue_10</vt:lpstr>
      <vt:lpstr>inp_role_revenue_10</vt:lpstr>
      <vt:lpstr>'Sample Diagnostic'!inp_role_revenue_11</vt:lpstr>
      <vt:lpstr>'Sample Roster'!inp_role_revenue_11</vt:lpstr>
      <vt:lpstr>inp_role_revenue_11</vt:lpstr>
      <vt:lpstr>'Sample Diagnostic'!inp_role_revenue_12</vt:lpstr>
      <vt:lpstr>'Sample Roster'!inp_role_revenue_12</vt:lpstr>
      <vt:lpstr>inp_role_revenue_12</vt:lpstr>
      <vt:lpstr>'Sample Diagnostic'!inp_role_revenue_13</vt:lpstr>
      <vt:lpstr>'Sample Roster'!inp_role_revenue_13</vt:lpstr>
      <vt:lpstr>inp_role_revenue_13</vt:lpstr>
      <vt:lpstr>'Sample Diagnostic'!inp_role_revenue_14</vt:lpstr>
      <vt:lpstr>'Sample Roster'!inp_role_revenue_14</vt:lpstr>
      <vt:lpstr>inp_role_revenue_14</vt:lpstr>
      <vt:lpstr>'Sample Diagnostic'!inp_role_revenue_2</vt:lpstr>
      <vt:lpstr>'Sample Roster'!inp_role_revenue_2</vt:lpstr>
      <vt:lpstr>inp_role_revenue_2</vt:lpstr>
      <vt:lpstr>'Sample Diagnostic'!inp_role_revenue_3</vt:lpstr>
      <vt:lpstr>'Sample Roster'!inp_role_revenue_3</vt:lpstr>
      <vt:lpstr>inp_role_revenue_3</vt:lpstr>
      <vt:lpstr>'Sample Diagnostic'!inp_role_revenue_4</vt:lpstr>
      <vt:lpstr>'Sample Roster'!inp_role_revenue_4</vt:lpstr>
      <vt:lpstr>inp_role_revenue_4</vt:lpstr>
      <vt:lpstr>'Sample Diagnostic'!inp_role_revenue_5</vt:lpstr>
      <vt:lpstr>'Sample Roster'!inp_role_revenue_5</vt:lpstr>
      <vt:lpstr>inp_role_revenue_5</vt:lpstr>
      <vt:lpstr>'Sample Diagnostic'!inp_role_revenue_6</vt:lpstr>
      <vt:lpstr>'Sample Roster'!inp_role_revenue_6</vt:lpstr>
      <vt:lpstr>inp_role_revenue_6</vt:lpstr>
      <vt:lpstr>'Sample Diagnostic'!inp_role_revenue_7</vt:lpstr>
      <vt:lpstr>'Sample Roster'!inp_role_revenue_7</vt:lpstr>
      <vt:lpstr>inp_role_revenue_7</vt:lpstr>
      <vt:lpstr>'Sample Diagnostic'!inp_role_revenue_8</vt:lpstr>
      <vt:lpstr>'Sample Roster'!inp_role_revenue_8</vt:lpstr>
      <vt:lpstr>inp_role_revenue_8</vt:lpstr>
      <vt:lpstr>'Sample Diagnostic'!inp_role_revenue_9</vt:lpstr>
      <vt:lpstr>'Sample Roster'!inp_role_revenue_9</vt:lpstr>
      <vt:lpstr>inp_role_revenue_9</vt:lpstr>
      <vt:lpstr>'Sample Diagnostic'!inp_role_salary_1</vt:lpstr>
      <vt:lpstr>'Sample Roster'!inp_role_salary_1</vt:lpstr>
      <vt:lpstr>inp_role_salary_1</vt:lpstr>
      <vt:lpstr>'Sample Diagnostic'!inp_role_salary_10</vt:lpstr>
      <vt:lpstr>'Sample Roster'!inp_role_salary_10</vt:lpstr>
      <vt:lpstr>inp_role_salary_10</vt:lpstr>
      <vt:lpstr>'Sample Diagnostic'!inp_role_salary_11</vt:lpstr>
      <vt:lpstr>'Sample Roster'!inp_role_salary_11</vt:lpstr>
      <vt:lpstr>inp_role_salary_11</vt:lpstr>
      <vt:lpstr>'Sample Diagnostic'!inp_role_salary_12</vt:lpstr>
      <vt:lpstr>'Sample Roster'!inp_role_salary_12</vt:lpstr>
      <vt:lpstr>inp_role_salary_12</vt:lpstr>
      <vt:lpstr>'Sample Diagnostic'!inp_role_salary_13</vt:lpstr>
      <vt:lpstr>'Sample Roster'!inp_role_salary_13</vt:lpstr>
      <vt:lpstr>inp_role_salary_13</vt:lpstr>
      <vt:lpstr>'Sample Diagnostic'!inp_role_salary_14</vt:lpstr>
      <vt:lpstr>'Sample Roster'!inp_role_salary_14</vt:lpstr>
      <vt:lpstr>inp_role_salary_14</vt:lpstr>
      <vt:lpstr>'Sample Diagnostic'!inp_role_salary_2</vt:lpstr>
      <vt:lpstr>'Sample Roster'!inp_role_salary_2</vt:lpstr>
      <vt:lpstr>inp_role_salary_2</vt:lpstr>
      <vt:lpstr>'Sample Diagnostic'!inp_role_salary_3</vt:lpstr>
      <vt:lpstr>'Sample Roster'!inp_role_salary_3</vt:lpstr>
      <vt:lpstr>inp_role_salary_3</vt:lpstr>
      <vt:lpstr>'Sample Diagnostic'!inp_role_salary_4</vt:lpstr>
      <vt:lpstr>'Sample Roster'!inp_role_salary_4</vt:lpstr>
      <vt:lpstr>inp_role_salary_4</vt:lpstr>
      <vt:lpstr>'Sample Diagnostic'!inp_role_salary_5</vt:lpstr>
      <vt:lpstr>'Sample Roster'!inp_role_salary_5</vt:lpstr>
      <vt:lpstr>inp_role_salary_5</vt:lpstr>
      <vt:lpstr>'Sample Diagnostic'!inp_role_salary_6</vt:lpstr>
      <vt:lpstr>'Sample Roster'!inp_role_salary_6</vt:lpstr>
      <vt:lpstr>inp_role_salary_6</vt:lpstr>
      <vt:lpstr>'Sample Diagnostic'!inp_role_salary_7</vt:lpstr>
      <vt:lpstr>'Sample Roster'!inp_role_salary_7</vt:lpstr>
      <vt:lpstr>inp_role_salary_7</vt:lpstr>
      <vt:lpstr>'Sample Diagnostic'!inp_role_salary_8</vt:lpstr>
      <vt:lpstr>'Sample Roster'!inp_role_salary_8</vt:lpstr>
      <vt:lpstr>inp_role_salary_8</vt:lpstr>
      <vt:lpstr>'Sample Diagnostic'!inp_role_salary_9</vt:lpstr>
      <vt:lpstr>'Sample Roster'!inp_role_salary_9</vt:lpstr>
      <vt:lpstr>inp_role_salary_9</vt:lpstr>
      <vt:lpstr>'Sample Diagnostic'!inp_role_title_1</vt:lpstr>
      <vt:lpstr>'Sample Roster'!inp_role_title_1</vt:lpstr>
      <vt:lpstr>inp_role_title_1</vt:lpstr>
      <vt:lpstr>'Sample Diagnostic'!inp_role_title_10</vt:lpstr>
      <vt:lpstr>'Sample Roster'!inp_role_title_10</vt:lpstr>
      <vt:lpstr>inp_role_title_10</vt:lpstr>
      <vt:lpstr>'Sample Diagnostic'!inp_role_title_11</vt:lpstr>
      <vt:lpstr>'Sample Roster'!inp_role_title_11</vt:lpstr>
      <vt:lpstr>inp_role_title_11</vt:lpstr>
      <vt:lpstr>'Sample Diagnostic'!inp_role_title_12</vt:lpstr>
      <vt:lpstr>'Sample Roster'!inp_role_title_12</vt:lpstr>
      <vt:lpstr>inp_role_title_12</vt:lpstr>
      <vt:lpstr>'Sample Diagnostic'!inp_role_title_13</vt:lpstr>
      <vt:lpstr>'Sample Roster'!inp_role_title_13</vt:lpstr>
      <vt:lpstr>inp_role_title_13</vt:lpstr>
      <vt:lpstr>'Sample Diagnostic'!inp_role_title_14</vt:lpstr>
      <vt:lpstr>'Sample Roster'!inp_role_title_14</vt:lpstr>
      <vt:lpstr>inp_role_title_14</vt:lpstr>
      <vt:lpstr>'Sample Diagnostic'!inp_role_title_2</vt:lpstr>
      <vt:lpstr>'Sample Roster'!inp_role_title_2</vt:lpstr>
      <vt:lpstr>inp_role_title_2</vt:lpstr>
      <vt:lpstr>'Sample Diagnostic'!inp_role_title_3</vt:lpstr>
      <vt:lpstr>'Sample Roster'!inp_role_title_3</vt:lpstr>
      <vt:lpstr>inp_role_title_3</vt:lpstr>
      <vt:lpstr>'Sample Diagnostic'!inp_role_title_4</vt:lpstr>
      <vt:lpstr>'Sample Roster'!inp_role_title_4</vt:lpstr>
      <vt:lpstr>inp_role_title_4</vt:lpstr>
      <vt:lpstr>'Sample Diagnostic'!inp_role_title_5</vt:lpstr>
      <vt:lpstr>'Sample Roster'!inp_role_title_5</vt:lpstr>
      <vt:lpstr>inp_role_title_5</vt:lpstr>
      <vt:lpstr>'Sample Diagnostic'!inp_role_title_6</vt:lpstr>
      <vt:lpstr>'Sample Roster'!inp_role_title_6</vt:lpstr>
      <vt:lpstr>inp_role_title_6</vt:lpstr>
      <vt:lpstr>'Sample Diagnostic'!inp_role_title_7</vt:lpstr>
      <vt:lpstr>'Sample Roster'!inp_role_title_7</vt:lpstr>
      <vt:lpstr>inp_role_title_7</vt:lpstr>
      <vt:lpstr>'Sample Diagnostic'!inp_role_title_8</vt:lpstr>
      <vt:lpstr>'Sample Roster'!inp_role_title_8</vt:lpstr>
      <vt:lpstr>inp_role_title_8</vt:lpstr>
      <vt:lpstr>'Sample Diagnostic'!inp_role_title_9</vt:lpstr>
      <vt:lpstr>'Sample Roster'!inp_role_title_9</vt:lpstr>
      <vt:lpstr>inp_role_title_9</vt:lpstr>
      <vt:lpstr>'Sample Diagnostic'!inp_role_tutil_1</vt:lpstr>
      <vt:lpstr>'Sample Roster'!inp_role_tutil_1</vt:lpstr>
      <vt:lpstr>inp_role_tutil_1</vt:lpstr>
      <vt:lpstr>'Sample Diagnostic'!inp_role_tutil_10</vt:lpstr>
      <vt:lpstr>'Sample Roster'!inp_role_tutil_10</vt:lpstr>
      <vt:lpstr>inp_role_tutil_10</vt:lpstr>
      <vt:lpstr>'Sample Diagnostic'!inp_role_tutil_11</vt:lpstr>
      <vt:lpstr>'Sample Roster'!inp_role_tutil_11</vt:lpstr>
      <vt:lpstr>inp_role_tutil_11</vt:lpstr>
      <vt:lpstr>'Sample Diagnostic'!inp_role_tutil_12</vt:lpstr>
      <vt:lpstr>'Sample Roster'!inp_role_tutil_12</vt:lpstr>
      <vt:lpstr>inp_role_tutil_12</vt:lpstr>
      <vt:lpstr>'Sample Diagnostic'!inp_role_tutil_13</vt:lpstr>
      <vt:lpstr>'Sample Roster'!inp_role_tutil_13</vt:lpstr>
      <vt:lpstr>inp_role_tutil_13</vt:lpstr>
      <vt:lpstr>'Sample Diagnostic'!inp_role_tutil_14</vt:lpstr>
      <vt:lpstr>'Sample Roster'!inp_role_tutil_14</vt:lpstr>
      <vt:lpstr>inp_role_tutil_14</vt:lpstr>
      <vt:lpstr>'Sample Diagnostic'!inp_role_tutil_2</vt:lpstr>
      <vt:lpstr>'Sample Roster'!inp_role_tutil_2</vt:lpstr>
      <vt:lpstr>inp_role_tutil_2</vt:lpstr>
      <vt:lpstr>'Sample Diagnostic'!inp_role_tutil_3</vt:lpstr>
      <vt:lpstr>'Sample Roster'!inp_role_tutil_3</vt:lpstr>
      <vt:lpstr>inp_role_tutil_3</vt:lpstr>
      <vt:lpstr>'Sample Diagnostic'!inp_role_tutil_4</vt:lpstr>
      <vt:lpstr>'Sample Roster'!inp_role_tutil_4</vt:lpstr>
      <vt:lpstr>inp_role_tutil_4</vt:lpstr>
      <vt:lpstr>'Sample Diagnostic'!inp_role_tutil_5</vt:lpstr>
      <vt:lpstr>'Sample Roster'!inp_role_tutil_5</vt:lpstr>
      <vt:lpstr>inp_role_tutil_5</vt:lpstr>
      <vt:lpstr>'Sample Diagnostic'!inp_role_tutil_6</vt:lpstr>
      <vt:lpstr>'Sample Roster'!inp_role_tutil_6</vt:lpstr>
      <vt:lpstr>inp_role_tutil_6</vt:lpstr>
      <vt:lpstr>'Sample Diagnostic'!inp_role_tutil_7</vt:lpstr>
      <vt:lpstr>'Sample Roster'!inp_role_tutil_7</vt:lpstr>
      <vt:lpstr>inp_role_tutil_7</vt:lpstr>
      <vt:lpstr>'Sample Diagnostic'!inp_role_tutil_8</vt:lpstr>
      <vt:lpstr>'Sample Roster'!inp_role_tutil_8</vt:lpstr>
      <vt:lpstr>inp_role_tutil_8</vt:lpstr>
      <vt:lpstr>'Sample Diagnostic'!inp_role_tutil_9</vt:lpstr>
      <vt:lpstr>'Sample Roster'!inp_role_tutil_9</vt:lpstr>
      <vt:lpstr>inp_role_tutil_9</vt:lpstr>
      <vt:lpstr>Diagnostic!Print_Area</vt:lpstr>
      <vt:lpstr>'Sample Diagnostic'!Print_Area</vt:lpstr>
      <vt:lpstr>Diagnostic!Print_Titles</vt:lpstr>
      <vt:lpstr>'Sample Diagnostic'!Print_Titles</vt:lpstr>
      <vt:lpstr>'Sample Roster'!ref_au_oncost</vt:lpstr>
      <vt:lpstr>ref_au_oncost</vt:lpstr>
      <vt:lpstr>'Sample Diagnostic'!ref_bench_margin_target</vt:lpstr>
      <vt:lpstr>'Sample Roster'!ref_bench_margin_target</vt:lpstr>
      <vt:lpstr>ref_bench_margin_target</vt:lpstr>
      <vt:lpstr>'Sample Diagnostic'!ref_bench_margin_warn</vt:lpstr>
      <vt:lpstr>'Sample Roster'!ref_bench_margin_warn</vt:lpstr>
      <vt:lpstr>ref_bench_margin_warn</vt:lpstr>
      <vt:lpstr>'Sample Diagnostic'!ref_bench_realisation</vt:lpstr>
      <vt:lpstr>'Sample Roster'!ref_bench_realisation</vt:lpstr>
      <vt:lpstr>ref_bench_realisation</vt:lpstr>
      <vt:lpstr>'Sample Diagnostic'!ref_bench_util_avg</vt:lpstr>
      <vt:lpstr>'Sample Roster'!ref_bench_util_avg</vt:lpstr>
      <vt:lpstr>ref_bench_util_avg</vt:lpstr>
      <vt:lpstr>'Sample Roster'!ref_nz_oncost</vt:lpstr>
      <vt:lpstr>ref_nz_oncost</vt:lpstr>
      <vt:lpstr>'Sample Diagnostic'!ref_region_benefits_all</vt:lpstr>
      <vt:lpstr>'Sample Roster'!ref_region_benefits_all</vt:lpstr>
      <vt:lpstr>ref_region_benefits_all</vt:lpstr>
      <vt:lpstr>'Sample Diagnostic'!ref_region_capacity_all</vt:lpstr>
      <vt:lpstr>'Sample Roster'!ref_region_capacity_all</vt:lpstr>
      <vt:lpstr>ref_region_capacity_all</vt:lpstr>
      <vt:lpstr>'Sample Diagnostic'!ref_region_codes</vt:lpstr>
      <vt:lpstr>'Sample Roster'!ref_region_codes</vt:lpstr>
      <vt:lpstr>ref_region_codes</vt:lpstr>
      <vt:lpstr>'Sample Diagnostic'!ref_region_oncost_all</vt:lpstr>
      <vt:lpstr>'Sample Roster'!ref_region_oncost_all</vt:lpstr>
      <vt:lpstr>ref_region_oncost_all</vt:lpstr>
      <vt:lpstr>'Sample Roster'!ref_us_oncost</vt:lpstr>
      <vt:lpstr>ref_us_oncost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Liam Collier</cp:lastModifiedBy>
  <dcterms:created xsi:type="dcterms:W3CDTF">2026-05-26T20:26:45Z</dcterms:created>
  <dcterms:modified xsi:type="dcterms:W3CDTF">2026-06-04T03:29:50Z</dcterms:modified>
</cp:coreProperties>
</file>