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A2EEE7E5-7722-4C45-9600-514C7B590204}" xr6:coauthVersionLast="47" xr6:coauthVersionMax="47" xr10:uidLastSave="{00000000-0000-0000-0000-000000000000}"/>
  <bookViews>
    <workbookView xWindow="51200" yWindow="620" windowWidth="51200" windowHeight="26700" xr2:uid="{00000000-000D-0000-FFFF-FFFF00000000}"/>
  </bookViews>
  <sheets>
    <sheet name="Read Me" sheetId="3" r:id="rId1"/>
    <sheet name="Calculator" sheetId="1" r:id="rId2"/>
    <sheet name="Sample" sheetId="6" r:id="rId3"/>
  </sheets>
  <definedNames>
    <definedName name="calc_scn_collect_add" localSheetId="1">Calculator!$N$20</definedName>
    <definedName name="calc_scn_collect_add" localSheetId="2">Sample!$N$20</definedName>
    <definedName name="calc_scn_cost_mult" localSheetId="1">Calculator!$N$19</definedName>
    <definedName name="calc_scn_cost_mult" localSheetId="2">Sample!$N$19</definedName>
    <definedName name="calc_scn_rev_mult" localSheetId="1">Calculator!$N$17</definedName>
    <definedName name="calc_scn_rev_mult" localSheetId="2">Sample!$N$17</definedName>
    <definedName name="calc_scn_util_mult" localSheetId="1">Calculator!$N$18</definedName>
    <definedName name="calc_scn_util_mult" localSheetId="2">Sample!$N$18</definedName>
    <definedName name="inp_biz_cash_open" localSheetId="1">Calculator!$C$13</definedName>
    <definedName name="inp_biz_cash_open" localSheetId="2">Sample!$C$13</definedName>
    <definedName name="inp_biz_floor" localSheetId="1">Calculator!$C$14</definedName>
    <definedName name="inp_biz_floor" localSheetId="2">Sample!$C$14</definedName>
    <definedName name="inp_biz_opex_m0" localSheetId="1">Calculator!$C$11</definedName>
    <definedName name="inp_biz_opex_m0" localSheetId="2">Sample!$C$11</definedName>
    <definedName name="inp_biz_payroll_m0" localSheetId="1">Calculator!$C$12</definedName>
    <definedName name="inp_biz_payroll_m0" localSheetId="2">Sample!$C$12</definedName>
    <definedName name="inp_biz_region" localSheetId="1">Calculator!$H$2</definedName>
    <definedName name="inp_biz_region" localSheetId="2">Sample!$H$2</definedName>
    <definedName name="inp_biz_rev_growth" localSheetId="1">Calculator!$C$15</definedName>
    <definedName name="inp_biz_rev_growth" localSheetId="2">Sample!$C$15</definedName>
    <definedName name="inp_biz_revenue_m0" localSheetId="1">Calculator!$C$10</definedName>
    <definedName name="inp_biz_revenue_m0" localSheetId="2">Sample!$C$10</definedName>
    <definedName name="inp_c1_active" localSheetId="1">Calculator!$C$21</definedName>
    <definedName name="inp_c1_active" localSheetId="2">Sample!$C$21</definedName>
    <definedName name="inp_c1_benefits" localSheetId="1">Calculator!$C$26</definedName>
    <definedName name="inp_c1_benefits" localSheetId="2">Sample!$C$26</definedName>
    <definedName name="inp_c1_bill_hours" localSheetId="1">Calculator!$C$29</definedName>
    <definedName name="inp_c1_bill_hours" localSheetId="2">Sample!$C$29</definedName>
    <definedName name="inp_c1_collect_lag" localSheetId="1">Calculator!$C$32</definedName>
    <definedName name="inp_c1_collect_lag" localSheetId="2">Sample!$C$32</definedName>
    <definedName name="inp_c1_m1_prod" localSheetId="1">Calculator!$C$28</definedName>
    <definedName name="inp_c1_m1_prod" localSheetId="2">Sample!$C$28</definedName>
    <definedName name="inp_c1_oncost" localSheetId="1">Calculator!$C$25</definedName>
    <definedName name="inp_c1_oncost" localSheetId="2">Sample!$C$25</definedName>
    <definedName name="inp_c1_ramp_m" localSheetId="1">Calculator!$C$27</definedName>
    <definedName name="inp_c1_ramp_m" localSheetId="2">Sample!$C$27</definedName>
    <definedName name="inp_c1_rate" localSheetId="1">Calculator!$C$31</definedName>
    <definedName name="inp_c1_rate" localSheetId="2">Sample!$C$31</definedName>
    <definedName name="inp_c1_role" localSheetId="1">Calculator!$C$22</definedName>
    <definedName name="inp_c1_role" localSheetId="2">Sample!$C$22</definedName>
    <definedName name="inp_c1_salary" localSheetId="1">Calculator!$C$24</definedName>
    <definedName name="inp_c1_salary" localSheetId="2">Sample!$C$24</definedName>
    <definedName name="inp_c1_start_m" localSheetId="1">Calculator!$C$23</definedName>
    <definedName name="inp_c1_start_m" localSheetId="2">Sample!$C$23</definedName>
    <definedName name="inp_c1_util" localSheetId="1">Calculator!$C$30</definedName>
    <definedName name="inp_c1_util" localSheetId="2">Sample!$C$30</definedName>
    <definedName name="inp_c2_active" localSheetId="1">Calculator!$D$21</definedName>
    <definedName name="inp_c2_active" localSheetId="2">Sample!$D$21</definedName>
    <definedName name="inp_c2_benefits" localSheetId="1">Calculator!$D$26</definedName>
    <definedName name="inp_c2_benefits" localSheetId="2">Sample!$D$26</definedName>
    <definedName name="inp_c2_bill_hours" localSheetId="1">Calculator!$D$29</definedName>
    <definedName name="inp_c2_bill_hours" localSheetId="2">Sample!$D$29</definedName>
    <definedName name="inp_c2_collect_lag" localSheetId="1">Calculator!$D$32</definedName>
    <definedName name="inp_c2_collect_lag" localSheetId="2">Sample!$D$32</definedName>
    <definedName name="inp_c2_m1_prod" localSheetId="1">Calculator!$D$28</definedName>
    <definedName name="inp_c2_m1_prod" localSheetId="2">Sample!$D$28</definedName>
    <definedName name="inp_c2_oncost" localSheetId="1">Calculator!$D$25</definedName>
    <definedName name="inp_c2_oncost" localSheetId="2">Sample!$D$25</definedName>
    <definedName name="inp_c2_ramp_m" localSheetId="1">Calculator!$D$27</definedName>
    <definedName name="inp_c2_ramp_m" localSheetId="2">Sample!$D$27</definedName>
    <definedName name="inp_c2_rate" localSheetId="1">Calculator!$D$31</definedName>
    <definedName name="inp_c2_rate" localSheetId="2">Sample!$D$31</definedName>
    <definedName name="inp_c2_role" localSheetId="1">Calculator!$D$22</definedName>
    <definedName name="inp_c2_role" localSheetId="2">Sample!$D$22</definedName>
    <definedName name="inp_c2_salary" localSheetId="1">Calculator!$D$24</definedName>
    <definedName name="inp_c2_salary" localSheetId="2">Sample!$D$24</definedName>
    <definedName name="inp_c2_start_m" localSheetId="1">Calculator!$D$23</definedName>
    <definedName name="inp_c2_start_m" localSheetId="2">Sample!$D$23</definedName>
    <definedName name="inp_c2_util" localSheetId="1">Calculator!$D$30</definedName>
    <definedName name="inp_c2_util" localSheetId="2">Sample!$D$30</definedName>
    <definedName name="inp_c3_active" localSheetId="1">Calculator!$E$21</definedName>
    <definedName name="inp_c3_active" localSheetId="2">Sample!$E$21</definedName>
    <definedName name="inp_c3_benefits" localSheetId="1">Calculator!$E$26</definedName>
    <definedName name="inp_c3_benefits" localSheetId="2">Sample!$E$26</definedName>
    <definedName name="inp_c3_bill_hours" localSheetId="1">Calculator!$E$29</definedName>
    <definedName name="inp_c3_bill_hours" localSheetId="2">Sample!$E$29</definedName>
    <definedName name="inp_c3_collect_lag" localSheetId="1">Calculator!$E$32</definedName>
    <definedName name="inp_c3_collect_lag" localSheetId="2">Sample!$E$32</definedName>
    <definedName name="inp_c3_m1_prod" localSheetId="1">Calculator!$E$28</definedName>
    <definedName name="inp_c3_m1_prod" localSheetId="2">Sample!$E$28</definedName>
    <definedName name="inp_c3_oncost" localSheetId="1">Calculator!$E$25</definedName>
    <definedName name="inp_c3_oncost" localSheetId="2">Sample!$E$25</definedName>
    <definedName name="inp_c3_ramp_m" localSheetId="1">Calculator!$E$27</definedName>
    <definedName name="inp_c3_ramp_m" localSheetId="2">Sample!$E$27</definedName>
    <definedName name="inp_c3_rate" localSheetId="1">Calculator!$E$31</definedName>
    <definedName name="inp_c3_rate" localSheetId="2">Sample!$E$31</definedName>
    <definedName name="inp_c3_role" localSheetId="1">Calculator!$E$22</definedName>
    <definedName name="inp_c3_role" localSheetId="2">Sample!$E$22</definedName>
    <definedName name="inp_c3_salary" localSheetId="1">Calculator!$E$24</definedName>
    <definedName name="inp_c3_salary" localSheetId="2">Sample!$E$24</definedName>
    <definedName name="inp_c3_start_m" localSheetId="1">Calculator!$E$23</definedName>
    <definedName name="inp_c3_start_m" localSheetId="2">Sample!$E$23</definedName>
    <definedName name="inp_c3_util" localSheetId="1">Calculator!$E$30</definedName>
    <definedName name="inp_c3_util" localSheetId="2">Sample!$E$30</definedName>
    <definedName name="inp_c4_active" localSheetId="1">Calculator!$F$21</definedName>
    <definedName name="inp_c4_active" localSheetId="2">Sample!$F$21</definedName>
    <definedName name="inp_c4_benefits" localSheetId="1">Calculator!$F$26</definedName>
    <definedName name="inp_c4_benefits" localSheetId="2">Sample!$F$26</definedName>
    <definedName name="inp_c4_bill_hours" localSheetId="1">Calculator!$F$29</definedName>
    <definedName name="inp_c4_bill_hours" localSheetId="2">Sample!$F$29</definedName>
    <definedName name="inp_c4_collect_lag" localSheetId="1">Calculator!$F$32</definedName>
    <definedName name="inp_c4_collect_lag" localSheetId="2">Sample!$F$32</definedName>
    <definedName name="inp_c4_m1_prod" localSheetId="1">Calculator!$F$28</definedName>
    <definedName name="inp_c4_m1_prod" localSheetId="2">Sample!$F$28</definedName>
    <definedName name="inp_c4_oncost" localSheetId="1">Calculator!$F$25</definedName>
    <definedName name="inp_c4_oncost" localSheetId="2">Sample!$F$25</definedName>
    <definedName name="inp_c4_ramp_m" localSheetId="1">Calculator!$F$27</definedName>
    <definedName name="inp_c4_ramp_m" localSheetId="2">Sample!$F$27</definedName>
    <definedName name="inp_c4_rate" localSheetId="1">Calculator!$F$31</definedName>
    <definedName name="inp_c4_rate" localSheetId="2">Sample!$F$31</definedName>
    <definedName name="inp_c4_role" localSheetId="1">Calculator!$F$22</definedName>
    <definedName name="inp_c4_role" localSheetId="2">Sample!$F$22</definedName>
    <definedName name="inp_c4_salary" localSheetId="1">Calculator!$F$24</definedName>
    <definedName name="inp_c4_salary" localSheetId="2">Sample!$F$24</definedName>
    <definedName name="inp_c4_start_m" localSheetId="1">Calculator!$F$23</definedName>
    <definedName name="inp_c4_start_m" localSheetId="2">Sample!$F$23</definedName>
    <definedName name="inp_c4_util" localSheetId="1">Calculator!$F$30</definedName>
    <definedName name="inp_c4_util" localSheetId="2">Sample!$F$30</definedName>
    <definedName name="inp_c5_active" localSheetId="1">Calculator!$G$21</definedName>
    <definedName name="inp_c5_active" localSheetId="2">Sample!$G$21</definedName>
    <definedName name="inp_c5_benefits" localSheetId="1">Calculator!$G$26</definedName>
    <definedName name="inp_c5_benefits" localSheetId="2">Sample!$G$26</definedName>
    <definedName name="inp_c5_bill_hours" localSheetId="1">Calculator!$G$29</definedName>
    <definedName name="inp_c5_bill_hours" localSheetId="2">Sample!$G$29</definedName>
    <definedName name="inp_c5_collect_lag" localSheetId="1">Calculator!$G$32</definedName>
    <definedName name="inp_c5_collect_lag" localSheetId="2">Sample!$G$32</definedName>
    <definedName name="inp_c5_m1_prod" localSheetId="1">Calculator!$G$28</definedName>
    <definedName name="inp_c5_m1_prod" localSheetId="2">Sample!$G$28</definedName>
    <definedName name="inp_c5_oncost" localSheetId="1">Calculator!$G$25</definedName>
    <definedName name="inp_c5_oncost" localSheetId="2">Sample!$G$25</definedName>
    <definedName name="inp_c5_ramp_m" localSheetId="1">Calculator!$G$27</definedName>
    <definedName name="inp_c5_ramp_m" localSheetId="2">Sample!$G$27</definedName>
    <definedName name="inp_c5_rate" localSheetId="1">Calculator!$G$31</definedName>
    <definedName name="inp_c5_rate" localSheetId="2">Sample!$G$31</definedName>
    <definedName name="inp_c5_role" localSheetId="1">Calculator!$G$22</definedName>
    <definedName name="inp_c5_role" localSheetId="2">Sample!$G$22</definedName>
    <definedName name="inp_c5_salary" localSheetId="1">Calculator!$G$24</definedName>
    <definedName name="inp_c5_salary" localSheetId="2">Sample!$G$24</definedName>
    <definedName name="inp_c5_start_m" localSheetId="1">Calculator!$G$23</definedName>
    <definedName name="inp_c5_start_m" localSheetId="2">Sample!$G$23</definedName>
    <definedName name="inp_c5_util" localSheetId="1">Calculator!$G$30</definedName>
    <definedName name="inp_c5_util" localSheetId="2">Sample!$G$30</definedName>
    <definedName name="inp_c6_active" localSheetId="1">Calculator!$H$21</definedName>
    <definedName name="inp_c6_active" localSheetId="2">Sample!$H$21</definedName>
    <definedName name="inp_c6_benefits" localSheetId="1">Calculator!$H$26</definedName>
    <definedName name="inp_c6_benefits" localSheetId="2">Sample!$H$26</definedName>
    <definedName name="inp_c6_bill_hours" localSheetId="1">Calculator!$H$29</definedName>
    <definedName name="inp_c6_bill_hours" localSheetId="2">Sample!$H$29</definedName>
    <definedName name="inp_c6_collect_lag" localSheetId="1">Calculator!$H$32</definedName>
    <definedName name="inp_c6_collect_lag" localSheetId="2">Sample!$H$32</definedName>
    <definedName name="inp_c6_m1_prod" localSheetId="1">Calculator!$H$28</definedName>
    <definedName name="inp_c6_m1_prod" localSheetId="2">Sample!$H$28</definedName>
    <definedName name="inp_c6_oncost" localSheetId="1">Calculator!$H$25</definedName>
    <definedName name="inp_c6_oncost" localSheetId="2">Sample!$H$25</definedName>
    <definedName name="inp_c6_ramp_m" localSheetId="1">Calculator!$H$27</definedName>
    <definedName name="inp_c6_ramp_m" localSheetId="2">Sample!$H$27</definedName>
    <definedName name="inp_c6_rate" localSheetId="1">Calculator!$H$31</definedName>
    <definedName name="inp_c6_rate" localSheetId="2">Sample!$H$31</definedName>
    <definedName name="inp_c6_role" localSheetId="1">Calculator!$H$22</definedName>
    <definedName name="inp_c6_role" localSheetId="2">Sample!$H$22</definedName>
    <definedName name="inp_c6_salary" localSheetId="1">Calculator!$H$24</definedName>
    <definedName name="inp_c6_salary" localSheetId="2">Sample!$H$24</definedName>
    <definedName name="inp_c6_start_m" localSheetId="1">Calculator!$H$23</definedName>
    <definedName name="inp_c6_start_m" localSheetId="2">Sample!$H$23</definedName>
    <definedName name="inp_c6_util" localSheetId="1">Calculator!$H$30</definedName>
    <definedName name="inp_c6_util" localSheetId="2">Sample!$H$30</definedName>
    <definedName name="inp_c7_active" localSheetId="1">Calculator!$I$21</definedName>
    <definedName name="inp_c7_active" localSheetId="2">Sample!$I$21</definedName>
    <definedName name="inp_c7_benefits" localSheetId="1">Calculator!$I$26</definedName>
    <definedName name="inp_c7_benefits" localSheetId="2">Sample!$I$26</definedName>
    <definedName name="inp_c7_bill_hours" localSheetId="1">Calculator!$I$29</definedName>
    <definedName name="inp_c7_bill_hours" localSheetId="2">Sample!$I$29</definedName>
    <definedName name="inp_c7_collect_lag" localSheetId="1">Calculator!$I$32</definedName>
    <definedName name="inp_c7_collect_lag" localSheetId="2">Sample!$I$32</definedName>
    <definedName name="inp_c7_m1_prod" localSheetId="1">Calculator!$I$28</definedName>
    <definedName name="inp_c7_m1_prod" localSheetId="2">Sample!$I$28</definedName>
    <definedName name="inp_c7_oncost" localSheetId="1">Calculator!$I$25</definedName>
    <definedName name="inp_c7_oncost" localSheetId="2">Sample!$I$25</definedName>
    <definedName name="inp_c7_ramp_m" localSheetId="1">Calculator!$I$27</definedName>
    <definedName name="inp_c7_ramp_m" localSheetId="2">Sample!$I$27</definedName>
    <definedName name="inp_c7_rate" localSheetId="1">Calculator!$I$31</definedName>
    <definedName name="inp_c7_rate" localSheetId="2">Sample!$I$31</definedName>
    <definedName name="inp_c7_role" localSheetId="1">Calculator!$I$22</definedName>
    <definedName name="inp_c7_role" localSheetId="2">Sample!$I$22</definedName>
    <definedName name="inp_c7_salary" localSheetId="1">Calculator!$I$24</definedName>
    <definedName name="inp_c7_salary" localSheetId="2">Sample!$I$24</definedName>
    <definedName name="inp_c7_start_m" localSheetId="1">Calculator!$I$23</definedName>
    <definedName name="inp_c7_start_m" localSheetId="2">Sample!$I$23</definedName>
    <definedName name="inp_c7_util" localSheetId="1">Calculator!$I$30</definedName>
    <definedName name="inp_c7_util" localSheetId="2">Sample!$I$30</definedName>
    <definedName name="inp_c8_active" localSheetId="1">Calculator!$J$21</definedName>
    <definedName name="inp_c8_active" localSheetId="2">Sample!$J$21</definedName>
    <definedName name="inp_c8_benefits" localSheetId="1">Calculator!$J$26</definedName>
    <definedName name="inp_c8_benefits" localSheetId="2">Sample!$J$26</definedName>
    <definedName name="inp_c8_bill_hours" localSheetId="1">Calculator!$J$29</definedName>
    <definedName name="inp_c8_bill_hours" localSheetId="2">Sample!$J$29</definedName>
    <definedName name="inp_c8_collect_lag" localSheetId="1">Calculator!$J$32</definedName>
    <definedName name="inp_c8_collect_lag" localSheetId="2">Sample!$J$32</definedName>
    <definedName name="inp_c8_m1_prod" localSheetId="1">Calculator!$J$28</definedName>
    <definedName name="inp_c8_m1_prod" localSheetId="2">Sample!$J$28</definedName>
    <definedName name="inp_c8_oncost" localSheetId="1">Calculator!$J$25</definedName>
    <definedName name="inp_c8_oncost" localSheetId="2">Sample!$J$25</definedName>
    <definedName name="inp_c8_ramp_m" localSheetId="1">Calculator!$J$27</definedName>
    <definedName name="inp_c8_ramp_m" localSheetId="2">Sample!$J$27</definedName>
    <definedName name="inp_c8_rate" localSheetId="1">Calculator!$J$31</definedName>
    <definedName name="inp_c8_rate" localSheetId="2">Sample!$J$31</definedName>
    <definedName name="inp_c8_role" localSheetId="1">Calculator!$J$22</definedName>
    <definedName name="inp_c8_role" localSheetId="2">Sample!$J$22</definedName>
    <definedName name="inp_c8_salary" localSheetId="1">Calculator!$J$24</definedName>
    <definedName name="inp_c8_salary" localSheetId="2">Sample!$J$24</definedName>
    <definedName name="inp_c8_start_m" localSheetId="1">Calculator!$J$23</definedName>
    <definedName name="inp_c8_start_m" localSheetId="2">Sample!$J$23</definedName>
    <definedName name="inp_c8_util" localSheetId="1">Calculator!$J$30</definedName>
    <definedName name="inp_c8_util" localSheetId="2">Sample!$J$30</definedName>
    <definedName name="inp_scn_active" localSheetId="1">Calculator!$J$2</definedName>
    <definedName name="inp_scn_active" localSheetId="2">Sample!$J$2</definedName>
    <definedName name="_xlnm.Print_Area" localSheetId="1">Calculator!$A$1:$K$127</definedName>
    <definedName name="_xlnm.Print_Area" localSheetId="0">'Read Me'!$A$1:$K$26</definedName>
    <definedName name="_xlnm.Print_Area" localSheetId="2">Sample!$A$1:$K$127</definedName>
    <definedName name="_xlnm.Print_Titles" localSheetId="1">Calculator!$1:$4</definedName>
    <definedName name="_xlnm.Print_Titles" localSheetId="0">'Read Me'!$1:$4</definedName>
    <definedName name="_xlnm.Print_Titles" localSheetId="2">Sample!$1:$4</definedName>
    <definedName name="ref_region_benefits_all" localSheetId="1">Calculator!$O$4:$O$6</definedName>
    <definedName name="ref_region_benefits_all" localSheetId="2">Sample!$O$4:$O$6</definedName>
    <definedName name="ref_region_codes" localSheetId="1">Calculator!$M$4:$M$6</definedName>
    <definedName name="ref_region_codes" localSheetId="2">Sample!$M$4:$M$6</definedName>
    <definedName name="ref_region_currency" localSheetId="1">Calculator!$Q$4:$Q$6</definedName>
    <definedName name="ref_region_currency" localSheetId="2">Sample!$Q$4:$Q$6</definedName>
    <definedName name="ref_region_fiscal" localSheetId="1">Calculator!$R$4:$R$6</definedName>
    <definedName name="ref_region_fiscal" localSheetId="2">Sample!$R$4:$R$6</definedName>
    <definedName name="ref_region_note" localSheetId="1">Calculator!$S$4:$S$6</definedName>
    <definedName name="ref_region_note" localSheetId="2">Sample!$S$4:$S$6</definedName>
    <definedName name="ref_region_oncost_all" localSheetId="1">Calculator!$N$4:$N$6</definedName>
    <definedName name="ref_region_oncost_all" localSheetId="2">Sample!$N$4:$N$6</definedName>
    <definedName name="ref_region_super_lbl" localSheetId="1">Calculator!$P$4:$P$6</definedName>
    <definedName name="ref_region_super_lbl" localSheetId="2">Sample!$P$4:$P$6</definedName>
    <definedName name="ref_scn_codes" localSheetId="1">Calculator!$M$11:$M$13</definedName>
    <definedName name="ref_scn_codes" localSheetId="2">Sample!$M$11:$M$13</definedName>
    <definedName name="ref_scn_collect_all" localSheetId="1">Calculator!$Q$11:$Q$13</definedName>
    <definedName name="ref_scn_collect_all" localSheetId="2">Sample!$Q$11:$Q$13</definedName>
    <definedName name="ref_scn_cost_all" localSheetId="1">Calculator!$P$11:$P$13</definedName>
    <definedName name="ref_scn_cost_all" localSheetId="2">Sample!$P$11:$P$13</definedName>
    <definedName name="ref_scn_rev_all" localSheetId="1">Calculator!$N$11:$N$13</definedName>
    <definedName name="ref_scn_rev_all" localSheetId="2">Sample!$N$11:$N$13</definedName>
    <definedName name="ref_scn_util_all" localSheetId="1">Calculator!$O$11:$O$13</definedName>
    <definedName name="ref_scn_util_all" localSheetId="2">Sample!$O$11:$O$13</definedName>
    <definedName name="sel_benefits" localSheetId="1">Calculator!$AT$73</definedName>
    <definedName name="sel_benefits" localSheetId="2">Sample!$AT$73</definedName>
    <definedName name="sel_bill_hours" localSheetId="1">Calculator!$AT$74</definedName>
    <definedName name="sel_bill_hours" localSheetId="2">Sample!$AT$74</definedName>
    <definedName name="sel_collect_lag" localSheetId="1">Calculator!$AT$80</definedName>
    <definedName name="sel_collect_lag" localSheetId="2">Sample!$AT$80</definedName>
    <definedName name="sel_idx" localSheetId="1">Calculator!$AT$70</definedName>
    <definedName name="sel_idx" localSheetId="2">Sample!$AT$70</definedName>
    <definedName name="sel_m1_prod" localSheetId="1">Calculator!$AT$77</definedName>
    <definedName name="sel_m1_prod" localSheetId="2">Sample!$AT$77</definedName>
    <definedName name="sel_oncost" localSheetId="1">Calculator!$AT$72</definedName>
    <definedName name="sel_oncost" localSheetId="2">Sample!$AT$72</definedName>
    <definedName name="sel_ramp_m" localSheetId="1">Calculator!$AT$78</definedName>
    <definedName name="sel_ramp_m" localSheetId="2">Sample!$AT$78</definedName>
    <definedName name="sel_rate" localSheetId="1">Calculator!$AT$76</definedName>
    <definedName name="sel_rate" localSheetId="2">Sample!$AT$76</definedName>
    <definedName name="sel_salary" localSheetId="1">Calculator!$AT$71</definedName>
    <definedName name="sel_salary" localSheetId="2">Sample!$AT$71</definedName>
    <definedName name="sel_start_m" localSheetId="1">Calculator!$AT$79</definedName>
    <definedName name="sel_start_m" localSheetId="2">Sample!$AT$79</definedName>
    <definedName name="sel_util" localSheetId="1">Calculator!$AT$75</definedName>
    <definedName name="sel_util" localSheetId="2">Sample!$AT$75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6" l="1"/>
  <c r="B80" i="6"/>
  <c r="AT70" i="6"/>
  <c r="U65" i="6" a="1"/>
  <c r="T65" i="6" a="1"/>
  <c r="U64" i="6"/>
  <c r="T64" i="6"/>
  <c r="U63" i="6"/>
  <c r="T63" i="6"/>
  <c r="J63" i="6"/>
  <c r="I63" i="6"/>
  <c r="H63" i="6"/>
  <c r="G63" i="6"/>
  <c r="F63" i="6"/>
  <c r="E63" i="6"/>
  <c r="D63" i="6"/>
  <c r="C63" i="6"/>
  <c r="U62" i="6"/>
  <c r="T62" i="6"/>
  <c r="U61" i="6"/>
  <c r="T61" i="6"/>
  <c r="U57" i="6"/>
  <c r="T57" i="6"/>
  <c r="U55" i="6"/>
  <c r="T55" i="6"/>
  <c r="U54" i="6"/>
  <c r="T54" i="6"/>
  <c r="CG49" i="6"/>
  <c r="CF49" i="6"/>
  <c r="CC49" i="6"/>
  <c r="CB49" i="6"/>
  <c r="BY49" i="6"/>
  <c r="BX49" i="6"/>
  <c r="BU49" i="6"/>
  <c r="BT49" i="6"/>
  <c r="BQ49" i="6"/>
  <c r="BP49" i="6"/>
  <c r="BM49" i="6"/>
  <c r="BL49" i="6"/>
  <c r="BI49" i="6"/>
  <c r="BH49" i="6"/>
  <c r="BE49" i="6"/>
  <c r="BD49" i="6"/>
  <c r="BC49" i="6"/>
  <c r="AO49" i="6"/>
  <c r="AM49" i="6"/>
  <c r="CG48" i="6"/>
  <c r="CF48" i="6"/>
  <c r="CC48" i="6"/>
  <c r="CB48" i="6"/>
  <c r="BY48" i="6"/>
  <c r="BX48" i="6"/>
  <c r="BU48" i="6"/>
  <c r="BT48" i="6"/>
  <c r="BQ48" i="6"/>
  <c r="BP48" i="6"/>
  <c r="BM48" i="6"/>
  <c r="BL48" i="6"/>
  <c r="BI48" i="6"/>
  <c r="BH48" i="6"/>
  <c r="BE48" i="6"/>
  <c r="BD48" i="6"/>
  <c r="BC48" i="6"/>
  <c r="AO48" i="6"/>
  <c r="AM48" i="6"/>
  <c r="CG47" i="6"/>
  <c r="CF47" i="6"/>
  <c r="CC47" i="6"/>
  <c r="CB47" i="6"/>
  <c r="BY47" i="6"/>
  <c r="BX47" i="6"/>
  <c r="BU47" i="6"/>
  <c r="BT47" i="6"/>
  <c r="BQ47" i="6"/>
  <c r="BP47" i="6"/>
  <c r="BM47" i="6"/>
  <c r="BL47" i="6"/>
  <c r="BI47" i="6"/>
  <c r="BH47" i="6"/>
  <c r="BE47" i="6"/>
  <c r="BD47" i="6"/>
  <c r="BC47" i="6"/>
  <c r="AO47" i="6"/>
  <c r="AM47" i="6"/>
  <c r="J47" i="6"/>
  <c r="CG46" i="6"/>
  <c r="CF46" i="6"/>
  <c r="CC46" i="6"/>
  <c r="CB46" i="6"/>
  <c r="BY46" i="6"/>
  <c r="BX46" i="6"/>
  <c r="BU46" i="6"/>
  <c r="BT46" i="6"/>
  <c r="BQ46" i="6"/>
  <c r="BP46" i="6"/>
  <c r="BM46" i="6"/>
  <c r="BL46" i="6"/>
  <c r="BI46" i="6"/>
  <c r="BH46" i="6"/>
  <c r="BE46" i="6"/>
  <c r="BD46" i="6"/>
  <c r="BC46" i="6"/>
  <c r="AO46" i="6"/>
  <c r="AM46" i="6"/>
  <c r="CG45" i="6"/>
  <c r="CF45" i="6"/>
  <c r="CC45" i="6"/>
  <c r="CB45" i="6"/>
  <c r="BY45" i="6"/>
  <c r="BX45" i="6"/>
  <c r="BU45" i="6"/>
  <c r="BT45" i="6"/>
  <c r="BQ45" i="6"/>
  <c r="BP45" i="6"/>
  <c r="BM45" i="6"/>
  <c r="BL45" i="6"/>
  <c r="BI45" i="6"/>
  <c r="BH45" i="6"/>
  <c r="BE45" i="6"/>
  <c r="BD45" i="6"/>
  <c r="BC45" i="6"/>
  <c r="AO45" i="6"/>
  <c r="AM45" i="6"/>
  <c r="F45" i="6"/>
  <c r="E45" i="6"/>
  <c r="D45" i="6"/>
  <c r="C45" i="6"/>
  <c r="B45" i="6"/>
  <c r="CG44" i="6"/>
  <c r="CF44" i="6"/>
  <c r="CC44" i="6"/>
  <c r="CB44" i="6"/>
  <c r="BY44" i="6"/>
  <c r="BX44" i="6"/>
  <c r="BU44" i="6"/>
  <c r="BT44" i="6"/>
  <c r="BQ44" i="6"/>
  <c r="BP44" i="6"/>
  <c r="BM44" i="6"/>
  <c r="BL44" i="6"/>
  <c r="BI44" i="6"/>
  <c r="BH44" i="6"/>
  <c r="BE44" i="6"/>
  <c r="BD44" i="6"/>
  <c r="BC44" i="6"/>
  <c r="AO44" i="6"/>
  <c r="AM44" i="6"/>
  <c r="F44" i="6"/>
  <c r="E44" i="6"/>
  <c r="D44" i="6"/>
  <c r="C44" i="6"/>
  <c r="B44" i="6"/>
  <c r="CG43" i="6"/>
  <c r="CF43" i="6"/>
  <c r="CC43" i="6"/>
  <c r="CB43" i="6"/>
  <c r="BY43" i="6"/>
  <c r="BX43" i="6"/>
  <c r="BU43" i="6"/>
  <c r="BT43" i="6"/>
  <c r="BQ43" i="6"/>
  <c r="BP43" i="6"/>
  <c r="BM43" i="6"/>
  <c r="BL43" i="6"/>
  <c r="BI43" i="6"/>
  <c r="BH43" i="6"/>
  <c r="BE43" i="6"/>
  <c r="BD43" i="6"/>
  <c r="BC43" i="6"/>
  <c r="AO43" i="6"/>
  <c r="AM43" i="6"/>
  <c r="B43" i="6"/>
  <c r="CG42" i="6"/>
  <c r="CF42" i="6"/>
  <c r="CC42" i="6"/>
  <c r="CB42" i="6"/>
  <c r="BY42" i="6"/>
  <c r="BX42" i="6"/>
  <c r="BU42" i="6"/>
  <c r="BT42" i="6"/>
  <c r="BQ42" i="6"/>
  <c r="BP42" i="6"/>
  <c r="BM42" i="6"/>
  <c r="BL42" i="6"/>
  <c r="BI42" i="6"/>
  <c r="BH42" i="6"/>
  <c r="BE42" i="6"/>
  <c r="BD42" i="6"/>
  <c r="BC42" i="6"/>
  <c r="AO42" i="6"/>
  <c r="AM42" i="6"/>
  <c r="B42" i="6"/>
  <c r="CG41" i="6"/>
  <c r="CF41" i="6"/>
  <c r="CC41" i="6"/>
  <c r="CB41" i="6"/>
  <c r="BY41" i="6"/>
  <c r="BX41" i="6"/>
  <c r="BU41" i="6"/>
  <c r="BT41" i="6"/>
  <c r="BQ41" i="6"/>
  <c r="BP41" i="6"/>
  <c r="BM41" i="6"/>
  <c r="BL41" i="6"/>
  <c r="BI41" i="6"/>
  <c r="BH41" i="6"/>
  <c r="BE41" i="6"/>
  <c r="BD41" i="6"/>
  <c r="BC41" i="6"/>
  <c r="AO41" i="6"/>
  <c r="AM41" i="6"/>
  <c r="B41" i="6"/>
  <c r="CG40" i="6"/>
  <c r="CF40" i="6"/>
  <c r="CC40" i="6"/>
  <c r="CB40" i="6"/>
  <c r="BY40" i="6"/>
  <c r="BX40" i="6"/>
  <c r="BU40" i="6"/>
  <c r="BT40" i="6"/>
  <c r="BQ40" i="6"/>
  <c r="BP40" i="6"/>
  <c r="BM40" i="6"/>
  <c r="BL40" i="6"/>
  <c r="BI40" i="6"/>
  <c r="BH40" i="6"/>
  <c r="BE40" i="6"/>
  <c r="BD40" i="6"/>
  <c r="BC40" i="6"/>
  <c r="AO40" i="6"/>
  <c r="AM40" i="6"/>
  <c r="B40" i="6"/>
  <c r="CG39" i="6"/>
  <c r="CF39" i="6"/>
  <c r="CC39" i="6"/>
  <c r="CB39" i="6"/>
  <c r="BY39" i="6"/>
  <c r="BX39" i="6"/>
  <c r="BU39" i="6"/>
  <c r="BT39" i="6"/>
  <c r="BQ39" i="6"/>
  <c r="BP39" i="6"/>
  <c r="BM39" i="6"/>
  <c r="BL39" i="6"/>
  <c r="BI39" i="6"/>
  <c r="BH39" i="6"/>
  <c r="BE39" i="6"/>
  <c r="BD39" i="6"/>
  <c r="BC39" i="6"/>
  <c r="AO39" i="6"/>
  <c r="AM39" i="6"/>
  <c r="B39" i="6"/>
  <c r="CG38" i="6"/>
  <c r="CF38" i="6"/>
  <c r="CC38" i="6"/>
  <c r="CB38" i="6"/>
  <c r="BY38" i="6"/>
  <c r="BX38" i="6"/>
  <c r="BU38" i="6"/>
  <c r="BT38" i="6"/>
  <c r="BQ38" i="6"/>
  <c r="BP38" i="6"/>
  <c r="BM38" i="6"/>
  <c r="BL38" i="6"/>
  <c r="BI38" i="6"/>
  <c r="BH38" i="6"/>
  <c r="BE38" i="6"/>
  <c r="BD38" i="6"/>
  <c r="BC38" i="6"/>
  <c r="AO38" i="6"/>
  <c r="AM38" i="6"/>
  <c r="B38" i="6"/>
  <c r="CG37" i="6"/>
  <c r="CF37" i="6"/>
  <c r="CC37" i="6"/>
  <c r="CB37" i="6"/>
  <c r="BY37" i="6"/>
  <c r="BX37" i="6"/>
  <c r="BU37" i="6"/>
  <c r="BT37" i="6"/>
  <c r="BQ37" i="6"/>
  <c r="BP37" i="6"/>
  <c r="BM37" i="6"/>
  <c r="BL37" i="6"/>
  <c r="BI37" i="6"/>
  <c r="BH37" i="6"/>
  <c r="BE37" i="6"/>
  <c r="BD37" i="6"/>
  <c r="BC37" i="6"/>
  <c r="AO37" i="6"/>
  <c r="AM37" i="6"/>
  <c r="CG36" i="6"/>
  <c r="CF36" i="6"/>
  <c r="CC36" i="6"/>
  <c r="CB36" i="6"/>
  <c r="BY36" i="6"/>
  <c r="BX36" i="6"/>
  <c r="BU36" i="6"/>
  <c r="BT36" i="6"/>
  <c r="BQ36" i="6"/>
  <c r="BP36" i="6"/>
  <c r="BM36" i="6"/>
  <c r="BL36" i="6"/>
  <c r="BI36" i="6"/>
  <c r="BH36" i="6"/>
  <c r="BE36" i="6"/>
  <c r="BD36" i="6"/>
  <c r="BC36" i="6"/>
  <c r="AO36" i="6"/>
  <c r="AM36" i="6"/>
  <c r="CG35" i="6"/>
  <c r="CF35" i="6"/>
  <c r="CC35" i="6"/>
  <c r="CB35" i="6"/>
  <c r="BY35" i="6"/>
  <c r="BX35" i="6"/>
  <c r="BU35" i="6"/>
  <c r="BT35" i="6"/>
  <c r="BQ35" i="6"/>
  <c r="BP35" i="6"/>
  <c r="BM35" i="6"/>
  <c r="BL35" i="6"/>
  <c r="BI35" i="6"/>
  <c r="BH35" i="6"/>
  <c r="BE35" i="6"/>
  <c r="BD35" i="6"/>
  <c r="BC35" i="6"/>
  <c r="AO35" i="6"/>
  <c r="AM35" i="6"/>
  <c r="CG34" i="6"/>
  <c r="CF34" i="6"/>
  <c r="CC34" i="6"/>
  <c r="CB34" i="6"/>
  <c r="BY34" i="6"/>
  <c r="BX34" i="6"/>
  <c r="BU34" i="6"/>
  <c r="BT34" i="6"/>
  <c r="BQ34" i="6"/>
  <c r="BP34" i="6"/>
  <c r="BM34" i="6"/>
  <c r="BL34" i="6"/>
  <c r="BI34" i="6"/>
  <c r="BH34" i="6"/>
  <c r="BE34" i="6"/>
  <c r="BD34" i="6"/>
  <c r="BC34" i="6"/>
  <c r="AO34" i="6"/>
  <c r="AM34" i="6"/>
  <c r="CG33" i="6"/>
  <c r="CF33" i="6"/>
  <c r="CC33" i="6"/>
  <c r="CB33" i="6"/>
  <c r="BY33" i="6"/>
  <c r="BX33" i="6"/>
  <c r="BU33" i="6"/>
  <c r="BT33" i="6"/>
  <c r="BQ33" i="6"/>
  <c r="BP33" i="6"/>
  <c r="BM33" i="6"/>
  <c r="BL33" i="6"/>
  <c r="BI33" i="6"/>
  <c r="BH33" i="6"/>
  <c r="BE33" i="6"/>
  <c r="BD33" i="6"/>
  <c r="BC33" i="6"/>
  <c r="AO33" i="6"/>
  <c r="AM33" i="6"/>
  <c r="CG32" i="6"/>
  <c r="CF32" i="6"/>
  <c r="CC32" i="6"/>
  <c r="CB32" i="6"/>
  <c r="BY32" i="6"/>
  <c r="BX32" i="6"/>
  <c r="BU32" i="6"/>
  <c r="BT32" i="6"/>
  <c r="BQ32" i="6"/>
  <c r="BP32" i="6"/>
  <c r="BM32" i="6"/>
  <c r="BL32" i="6"/>
  <c r="BI32" i="6"/>
  <c r="BH32" i="6"/>
  <c r="BE32" i="6"/>
  <c r="BD32" i="6"/>
  <c r="BC32" i="6"/>
  <c r="AO32" i="6"/>
  <c r="AM32" i="6"/>
  <c r="CG31" i="6"/>
  <c r="CF31" i="6"/>
  <c r="CC31" i="6"/>
  <c r="CB31" i="6"/>
  <c r="BY31" i="6"/>
  <c r="BX31" i="6"/>
  <c r="BU31" i="6"/>
  <c r="BT31" i="6"/>
  <c r="BQ31" i="6"/>
  <c r="BP31" i="6"/>
  <c r="BM31" i="6"/>
  <c r="BL31" i="6"/>
  <c r="BI31" i="6"/>
  <c r="BH31" i="6"/>
  <c r="BE31" i="6"/>
  <c r="BD31" i="6"/>
  <c r="BC31" i="6"/>
  <c r="AO31" i="6"/>
  <c r="AM31" i="6"/>
  <c r="CG30" i="6"/>
  <c r="CF30" i="6"/>
  <c r="CC30" i="6"/>
  <c r="CB30" i="6"/>
  <c r="BY30" i="6"/>
  <c r="BX30" i="6"/>
  <c r="BU30" i="6"/>
  <c r="BT30" i="6"/>
  <c r="BQ30" i="6"/>
  <c r="BP30" i="6"/>
  <c r="BM30" i="6"/>
  <c r="BL30" i="6"/>
  <c r="BI30" i="6"/>
  <c r="BH30" i="6"/>
  <c r="BE30" i="6"/>
  <c r="BD30" i="6"/>
  <c r="BC30" i="6"/>
  <c r="AO30" i="6"/>
  <c r="AM30" i="6"/>
  <c r="CG29" i="6"/>
  <c r="CF29" i="6"/>
  <c r="CC29" i="6"/>
  <c r="CB29" i="6"/>
  <c r="BY29" i="6"/>
  <c r="BX29" i="6"/>
  <c r="BU29" i="6"/>
  <c r="BT29" i="6"/>
  <c r="BQ29" i="6"/>
  <c r="BP29" i="6"/>
  <c r="BM29" i="6"/>
  <c r="BL29" i="6"/>
  <c r="BI29" i="6"/>
  <c r="BH29" i="6"/>
  <c r="BE29" i="6"/>
  <c r="BD29" i="6"/>
  <c r="BC29" i="6"/>
  <c r="AO29" i="6"/>
  <c r="AM29" i="6"/>
  <c r="CG28" i="6"/>
  <c r="CF28" i="6"/>
  <c r="CC28" i="6"/>
  <c r="CB28" i="6"/>
  <c r="BY28" i="6"/>
  <c r="BX28" i="6"/>
  <c r="BU28" i="6"/>
  <c r="BT28" i="6"/>
  <c r="BQ28" i="6"/>
  <c r="BP28" i="6"/>
  <c r="BM28" i="6"/>
  <c r="BL28" i="6"/>
  <c r="BI28" i="6"/>
  <c r="BH28" i="6"/>
  <c r="BE28" i="6"/>
  <c r="BD28" i="6"/>
  <c r="BC28" i="6"/>
  <c r="AO28" i="6"/>
  <c r="AM28" i="6"/>
  <c r="CG27" i="6"/>
  <c r="CF27" i="6"/>
  <c r="CC27" i="6"/>
  <c r="CB27" i="6"/>
  <c r="BY27" i="6"/>
  <c r="BX27" i="6"/>
  <c r="BU27" i="6"/>
  <c r="BT27" i="6"/>
  <c r="BQ27" i="6"/>
  <c r="BP27" i="6"/>
  <c r="BM27" i="6"/>
  <c r="BL27" i="6"/>
  <c r="BI27" i="6"/>
  <c r="BH27" i="6"/>
  <c r="BE27" i="6"/>
  <c r="BD27" i="6"/>
  <c r="BC27" i="6"/>
  <c r="AO27" i="6"/>
  <c r="AM27" i="6"/>
  <c r="CG26" i="6"/>
  <c r="CF26" i="6"/>
  <c r="CC26" i="6"/>
  <c r="CB26" i="6"/>
  <c r="BY26" i="6"/>
  <c r="BX26" i="6"/>
  <c r="BU26" i="6"/>
  <c r="BT26" i="6"/>
  <c r="BQ26" i="6"/>
  <c r="BP26" i="6"/>
  <c r="BM26" i="6"/>
  <c r="BL26" i="6"/>
  <c r="BI26" i="6"/>
  <c r="BH26" i="6"/>
  <c r="BE26" i="6"/>
  <c r="BD26" i="6"/>
  <c r="BC26" i="6"/>
  <c r="AO26" i="6"/>
  <c r="AM26" i="6"/>
  <c r="J26" i="6"/>
  <c r="I26" i="6"/>
  <c r="H26" i="6"/>
  <c r="G26" i="6"/>
  <c r="F26" i="6"/>
  <c r="E26" i="6"/>
  <c r="D26" i="6"/>
  <c r="C26" i="6"/>
  <c r="J25" i="6"/>
  <c r="I25" i="6"/>
  <c r="H25" i="6"/>
  <c r="G25" i="6"/>
  <c r="F25" i="6"/>
  <c r="E25" i="6"/>
  <c r="D25" i="6"/>
  <c r="C25" i="6"/>
  <c r="Q13" i="6"/>
  <c r="P13" i="6"/>
  <c r="O13" i="6"/>
  <c r="N13" i="6"/>
  <c r="Q12" i="6"/>
  <c r="P12" i="6"/>
  <c r="O12" i="6"/>
  <c r="N12" i="6"/>
  <c r="Q11" i="6"/>
  <c r="P11" i="6"/>
  <c r="O11" i="6"/>
  <c r="N11" i="6"/>
  <c r="E25" i="1"/>
  <c r="E26" i="1"/>
  <c r="C26" i="1"/>
  <c r="C25" i="1"/>
  <c r="J63" i="1"/>
  <c r="I63" i="1"/>
  <c r="H63" i="1"/>
  <c r="G63" i="1"/>
  <c r="F63" i="1"/>
  <c r="AT70" i="1"/>
  <c r="B45" i="1"/>
  <c r="B44" i="1"/>
  <c r="B43" i="1"/>
  <c r="B42" i="1"/>
  <c r="B41" i="1"/>
  <c r="B40" i="1"/>
  <c r="B39" i="1"/>
  <c r="B38" i="1"/>
  <c r="CG26" i="1"/>
  <c r="CF26" i="1"/>
  <c r="CC26" i="1"/>
  <c r="CC27" i="1"/>
  <c r="CB26" i="1"/>
  <c r="CB27" i="1"/>
  <c r="BY26" i="1"/>
  <c r="BY27" i="1"/>
  <c r="BY28" i="1"/>
  <c r="BY29" i="1"/>
  <c r="BY30" i="1"/>
  <c r="BX26" i="1"/>
  <c r="BX27" i="1"/>
  <c r="BX28" i="1"/>
  <c r="BX29" i="1"/>
  <c r="BX30" i="1"/>
  <c r="BU26" i="1"/>
  <c r="BU27" i="1"/>
  <c r="BU28" i="1"/>
  <c r="BU29" i="1"/>
  <c r="BT26" i="1"/>
  <c r="BT27" i="1"/>
  <c r="BT28" i="1"/>
  <c r="BT29" i="1"/>
  <c r="BQ26" i="1"/>
  <c r="BQ27" i="1"/>
  <c r="BQ28" i="1"/>
  <c r="BP26" i="1"/>
  <c r="BP27" i="1"/>
  <c r="BP28" i="1"/>
  <c r="BL27" i="1"/>
  <c r="BI26" i="1"/>
  <c r="BH26" i="1"/>
  <c r="J26" i="1"/>
  <c r="I26" i="1"/>
  <c r="H26" i="1"/>
  <c r="G26" i="1"/>
  <c r="F26" i="1"/>
  <c r="J25" i="1"/>
  <c r="I25" i="1"/>
  <c r="H25" i="1"/>
  <c r="G25" i="1"/>
  <c r="F25" i="1"/>
  <c r="Q13" i="1"/>
  <c r="P13" i="1"/>
  <c r="O13" i="1"/>
  <c r="N13" i="1"/>
  <c r="Q12" i="1"/>
  <c r="P12" i="1"/>
  <c r="O12" i="1"/>
  <c r="N12" i="1"/>
  <c r="Q11" i="1"/>
  <c r="P11" i="1"/>
  <c r="O11" i="1"/>
  <c r="N11" i="1"/>
  <c r="E63" i="1"/>
  <c r="D63" i="1"/>
  <c r="C63" i="1"/>
  <c r="BC49" i="1"/>
  <c r="AO49" i="1"/>
  <c r="AM49" i="1"/>
  <c r="BC48" i="1"/>
  <c r="AO48" i="1"/>
  <c r="AM48" i="1"/>
  <c r="BC47" i="1"/>
  <c r="AO47" i="1"/>
  <c r="AM47" i="1"/>
  <c r="BC46" i="1"/>
  <c r="AO46" i="1"/>
  <c r="AM46" i="1"/>
  <c r="BC45" i="1"/>
  <c r="AO45" i="1"/>
  <c r="AM45" i="1"/>
  <c r="BC44" i="1"/>
  <c r="AO44" i="1"/>
  <c r="AM44" i="1"/>
  <c r="BC43" i="1"/>
  <c r="AO43" i="1"/>
  <c r="AM43" i="1"/>
  <c r="BC42" i="1"/>
  <c r="AO42" i="1"/>
  <c r="AM42" i="1"/>
  <c r="J47" i="1"/>
  <c r="BC41" i="1"/>
  <c r="AO41" i="1"/>
  <c r="AM41" i="1"/>
  <c r="BC40" i="1"/>
  <c r="AO40" i="1"/>
  <c r="AM40" i="1"/>
  <c r="BC39" i="1"/>
  <c r="AO39" i="1"/>
  <c r="AM39" i="1"/>
  <c r="BC38" i="1"/>
  <c r="AO38" i="1"/>
  <c r="AM38" i="1"/>
  <c r="BC37" i="1"/>
  <c r="AO37" i="1"/>
  <c r="AM37" i="1"/>
  <c r="BC36" i="1"/>
  <c r="AO36" i="1"/>
  <c r="AM36" i="1"/>
  <c r="BC35" i="1"/>
  <c r="AO35" i="1"/>
  <c r="AM35" i="1"/>
  <c r="BC34" i="1"/>
  <c r="AO34" i="1"/>
  <c r="AM34" i="1"/>
  <c r="BC33" i="1"/>
  <c r="AO33" i="1"/>
  <c r="AM33" i="1"/>
  <c r="BC32" i="1"/>
  <c r="AO32" i="1"/>
  <c r="AM32" i="1"/>
  <c r="BC31" i="1"/>
  <c r="AO31" i="1"/>
  <c r="AM31" i="1"/>
  <c r="BC30" i="1"/>
  <c r="AO30" i="1"/>
  <c r="AM30" i="1"/>
  <c r="BC29" i="1"/>
  <c r="AO29" i="1"/>
  <c r="AM29" i="1"/>
  <c r="BC28" i="1"/>
  <c r="AO28" i="1"/>
  <c r="AM28" i="1"/>
  <c r="BC27" i="1"/>
  <c r="AO27" i="1"/>
  <c r="AM27" i="1"/>
  <c r="BC26" i="1"/>
  <c r="AO26" i="1"/>
  <c r="AM26" i="1"/>
  <c r="D26" i="1"/>
  <c r="D25" i="1"/>
  <c r="N19" i="1"/>
  <c r="N18" i="1"/>
  <c r="N17" i="1"/>
  <c r="J64" i="6" l="1"/>
  <c r="I64" i="6"/>
  <c r="S54" i="6"/>
  <c r="H64" i="6" s="1"/>
  <c r="R54" i="6"/>
  <c r="G64" i="6" s="1"/>
  <c r="AE46" i="6"/>
  <c r="Q54" i="6"/>
  <c r="F64" i="6" s="1"/>
  <c r="AE48" i="6"/>
  <c r="AE49" i="6"/>
  <c r="AE45" i="6"/>
  <c r="P54" i="6"/>
  <c r="E64" i="6" s="1"/>
  <c r="AE47" i="6"/>
  <c r="O54" i="6"/>
  <c r="D64" i="6" s="1"/>
  <c r="AE39" i="6"/>
  <c r="AE40" i="6"/>
  <c r="AE41" i="6"/>
  <c r="I67" i="6"/>
  <c r="I65" i="6"/>
  <c r="AE36" i="6"/>
  <c r="AE33" i="6"/>
  <c r="AE31" i="6"/>
  <c r="AE28" i="6"/>
  <c r="AE44" i="6"/>
  <c r="AE26" i="6"/>
  <c r="AE42" i="6"/>
  <c r="AE38" i="6"/>
  <c r="AE34" i="6"/>
  <c r="AE30" i="6"/>
  <c r="AE27" i="6"/>
  <c r="J67" i="6"/>
  <c r="J65" i="6"/>
  <c r="AE35" i="6"/>
  <c r="AE29" i="6"/>
  <c r="N54" i="6"/>
  <c r="C64" i="6" s="1"/>
  <c r="AE37" i="6"/>
  <c r="J71" i="6"/>
  <c r="J68" i="6"/>
  <c r="I69" i="6"/>
  <c r="I68" i="6"/>
  <c r="I71" i="6"/>
  <c r="H123" i="6"/>
  <c r="H122" i="6"/>
  <c r="I119" i="6"/>
  <c r="I118" i="6"/>
  <c r="H118" i="6"/>
  <c r="I117" i="6"/>
  <c r="I116" i="6"/>
  <c r="H116" i="6"/>
  <c r="I114" i="6"/>
  <c r="H114" i="6"/>
  <c r="I112" i="6"/>
  <c r="H112" i="6"/>
  <c r="I110" i="6"/>
  <c r="H110" i="6"/>
  <c r="I108" i="6"/>
  <c r="H108" i="6"/>
  <c r="I106" i="6"/>
  <c r="H106" i="6"/>
  <c r="I104" i="6"/>
  <c r="H104" i="6"/>
  <c r="AT75" i="6"/>
  <c r="AT72" i="6"/>
  <c r="U65" i="6"/>
  <c r="B85" i="6"/>
  <c r="AT80" i="6"/>
  <c r="AT79" i="6"/>
  <c r="AT78" i="6"/>
  <c r="AT77" i="6"/>
  <c r="J70" i="6"/>
  <c r="J69" i="6"/>
  <c r="AT76" i="6"/>
  <c r="AT74" i="6"/>
  <c r="AT73" i="6"/>
  <c r="AT71" i="6"/>
  <c r="I70" i="6"/>
  <c r="T65" i="6"/>
  <c r="AE43" i="6"/>
  <c r="N20" i="6"/>
  <c r="U56" i="6"/>
  <c r="J66" i="6" s="1"/>
  <c r="T56" i="6"/>
  <c r="I66" i="6" s="1"/>
  <c r="N18" i="6"/>
  <c r="I123" i="6" s="1"/>
  <c r="J123" i="6" s="1"/>
  <c r="AE32" i="6"/>
  <c r="N19" i="6"/>
  <c r="N17" i="6"/>
  <c r="B85" i="1"/>
  <c r="H122" i="1"/>
  <c r="BL26" i="1"/>
  <c r="BM27" i="1"/>
  <c r="BM26" i="1"/>
  <c r="H123" i="1"/>
  <c r="N20" i="1"/>
  <c r="I123" i="1"/>
  <c r="I122" i="1"/>
  <c r="J122" i="1"/>
  <c r="AT80" i="1"/>
  <c r="AT77" i="1"/>
  <c r="AT76" i="1"/>
  <c r="AT75" i="1"/>
  <c r="AT74" i="1"/>
  <c r="AT73" i="1"/>
  <c r="AT71" i="1"/>
  <c r="AT79" i="1"/>
  <c r="AT72" i="1"/>
  <c r="AT78" i="1"/>
  <c r="CG37" i="1"/>
  <c r="BT30" i="1"/>
  <c r="BT33" i="1"/>
  <c r="BT34" i="1"/>
  <c r="BT35" i="1"/>
  <c r="BT36" i="1"/>
  <c r="BT37" i="1"/>
  <c r="BT38" i="1"/>
  <c r="BT39" i="1"/>
  <c r="BT40" i="1"/>
  <c r="BT41" i="1"/>
  <c r="BT42" i="1"/>
  <c r="BT43" i="1"/>
  <c r="BT44" i="1"/>
  <c r="BT45" i="1"/>
  <c r="BT46" i="1"/>
  <c r="BT47" i="1"/>
  <c r="BT48" i="1"/>
  <c r="BT49" i="1"/>
  <c r="BQ29" i="1"/>
  <c r="BQ30" i="1"/>
  <c r="BQ31" i="1"/>
  <c r="BQ32" i="1"/>
  <c r="BQ33" i="1"/>
  <c r="BQ34" i="1"/>
  <c r="BQ35" i="1"/>
  <c r="BI48" i="1"/>
  <c r="BH27" i="1"/>
  <c r="BH30" i="1"/>
  <c r="BH33" i="1"/>
  <c r="BH36" i="1"/>
  <c r="BH39" i="1"/>
  <c r="BH42" i="1"/>
  <c r="BH44" i="1"/>
  <c r="BH47" i="1"/>
  <c r="BQ36" i="1"/>
  <c r="BQ37" i="1"/>
  <c r="BQ38" i="1"/>
  <c r="BQ39" i="1"/>
  <c r="BQ40" i="1"/>
  <c r="BQ41" i="1"/>
  <c r="BQ42" i="1"/>
  <c r="BQ43" i="1"/>
  <c r="BP43" i="1"/>
  <c r="BP44" i="1"/>
  <c r="BP45" i="1"/>
  <c r="BP46" i="1"/>
  <c r="BP47" i="1"/>
  <c r="BP48" i="1"/>
  <c r="BP49" i="1"/>
  <c r="BM28" i="1"/>
  <c r="BM29" i="1"/>
  <c r="BM30" i="1"/>
  <c r="BM31" i="1"/>
  <c r="BM32" i="1"/>
  <c r="BM33" i="1"/>
  <c r="BM34" i="1"/>
  <c r="BM35" i="1"/>
  <c r="BM36" i="1"/>
  <c r="BM37" i="1"/>
  <c r="BM38" i="1"/>
  <c r="BM39" i="1"/>
  <c r="BM40" i="1"/>
  <c r="BM41" i="1"/>
  <c r="BM42" i="1"/>
  <c r="BM43" i="1"/>
  <c r="BM44" i="1"/>
  <c r="BM45" i="1"/>
  <c r="BM46" i="1"/>
  <c r="BM47" i="1"/>
  <c r="BM48" i="1"/>
  <c r="BM49" i="1"/>
  <c r="BL28" i="1"/>
  <c r="BL29" i="1"/>
  <c r="BL30" i="1"/>
  <c r="BL31" i="1"/>
  <c r="BL32" i="1"/>
  <c r="BL33" i="1"/>
  <c r="BL34" i="1"/>
  <c r="BL35" i="1"/>
  <c r="BL36" i="1"/>
  <c r="BL37" i="1"/>
  <c r="BL38" i="1"/>
  <c r="BL39" i="1"/>
  <c r="BL40" i="1"/>
  <c r="BL41" i="1"/>
  <c r="BL42" i="1"/>
  <c r="BL43" i="1"/>
  <c r="BL44" i="1"/>
  <c r="BL45" i="1"/>
  <c r="BL46" i="1"/>
  <c r="BL47" i="1"/>
  <c r="BI49" i="1"/>
  <c r="BH28" i="1"/>
  <c r="BH31" i="1"/>
  <c r="BH34" i="1"/>
  <c r="BH37" i="1"/>
  <c r="BH40" i="1"/>
  <c r="BH43" i="1"/>
  <c r="BH46" i="1"/>
  <c r="BH49" i="1"/>
  <c r="BL48" i="1"/>
  <c r="BL49" i="1"/>
  <c r="BI27" i="1"/>
  <c r="BI28" i="1"/>
  <c r="BI29" i="1"/>
  <c r="BI30" i="1"/>
  <c r="BI31" i="1"/>
  <c r="BI32" i="1"/>
  <c r="BI33" i="1"/>
  <c r="BI34" i="1"/>
  <c r="BI35" i="1"/>
  <c r="BI36" i="1"/>
  <c r="BI37" i="1"/>
  <c r="BI38" i="1"/>
  <c r="BI39" i="1"/>
  <c r="BI40" i="1"/>
  <c r="BI41" i="1"/>
  <c r="BI42" i="1"/>
  <c r="BI43" i="1"/>
  <c r="BI44" i="1"/>
  <c r="BI45" i="1"/>
  <c r="BI46" i="1"/>
  <c r="BI47" i="1"/>
  <c r="BH29" i="1"/>
  <c r="BH32" i="1"/>
  <c r="BH35" i="1"/>
  <c r="BH38" i="1"/>
  <c r="BH41" i="1"/>
  <c r="BH45" i="1"/>
  <c r="BH48" i="1"/>
  <c r="CC44" i="1"/>
  <c r="CC48" i="1"/>
  <c r="CB29" i="1"/>
  <c r="CB30" i="1"/>
  <c r="CB32" i="1"/>
  <c r="CB34" i="1"/>
  <c r="CB36" i="1"/>
  <c r="CB38" i="1"/>
  <c r="CB40" i="1"/>
  <c r="CB42" i="1"/>
  <c r="BY32" i="1"/>
  <c r="BY34" i="1"/>
  <c r="BY37" i="1"/>
  <c r="BY39" i="1"/>
  <c r="BY42" i="1"/>
  <c r="BY43" i="1"/>
  <c r="BY45" i="1"/>
  <c r="BY48" i="1"/>
  <c r="BX31" i="1"/>
  <c r="BX34" i="1"/>
  <c r="BX36" i="1"/>
  <c r="BX38" i="1"/>
  <c r="BX42" i="1"/>
  <c r="BX44" i="1"/>
  <c r="BX47" i="1"/>
  <c r="BX49" i="1"/>
  <c r="BU31" i="1"/>
  <c r="BU33" i="1"/>
  <c r="BU36" i="1"/>
  <c r="BU38" i="1"/>
  <c r="BU40" i="1"/>
  <c r="BU42" i="1"/>
  <c r="BU44" i="1"/>
  <c r="BU48" i="1"/>
  <c r="BT32" i="1"/>
  <c r="CG27" i="1"/>
  <c r="CG28" i="1"/>
  <c r="CG29" i="1"/>
  <c r="CG30" i="1"/>
  <c r="CG31" i="1"/>
  <c r="CG32" i="1"/>
  <c r="CG33" i="1"/>
  <c r="CG34" i="1"/>
  <c r="CG35" i="1"/>
  <c r="CG36" i="1"/>
  <c r="CG38" i="1"/>
  <c r="CG39" i="1"/>
  <c r="CG40" i="1"/>
  <c r="CG41" i="1"/>
  <c r="CG42" i="1"/>
  <c r="CG43" i="1"/>
  <c r="CG44" i="1"/>
  <c r="CG45" i="1"/>
  <c r="CG46" i="1"/>
  <c r="CG47" i="1"/>
  <c r="CG48" i="1"/>
  <c r="CG49" i="1"/>
  <c r="CF27" i="1"/>
  <c r="CF28" i="1"/>
  <c r="CF29" i="1"/>
  <c r="CF30" i="1"/>
  <c r="CF31" i="1"/>
  <c r="CF32" i="1"/>
  <c r="CF33" i="1"/>
  <c r="CF34" i="1"/>
  <c r="CF35" i="1"/>
  <c r="CF36" i="1"/>
  <c r="CF37" i="1"/>
  <c r="CF38" i="1"/>
  <c r="CF39" i="1"/>
  <c r="CF40" i="1"/>
  <c r="CF41" i="1"/>
  <c r="CF42" i="1"/>
  <c r="CF43" i="1"/>
  <c r="CF44" i="1"/>
  <c r="CF45" i="1"/>
  <c r="CF46" i="1"/>
  <c r="CF47" i="1"/>
  <c r="CF48" i="1"/>
  <c r="CF49" i="1"/>
  <c r="CC28" i="1"/>
  <c r="CC29" i="1"/>
  <c r="CC30" i="1"/>
  <c r="CC31" i="1"/>
  <c r="CC32" i="1"/>
  <c r="CC33" i="1"/>
  <c r="CC34" i="1"/>
  <c r="CC35" i="1"/>
  <c r="CC36" i="1"/>
  <c r="CC37" i="1"/>
  <c r="CC38" i="1"/>
  <c r="CC39" i="1"/>
  <c r="CC40" i="1"/>
  <c r="CC41" i="1"/>
  <c r="CC42" i="1"/>
  <c r="CC43" i="1"/>
  <c r="CC45" i="1"/>
  <c r="CC46" i="1"/>
  <c r="CC47" i="1"/>
  <c r="CC49" i="1"/>
  <c r="CB28" i="1"/>
  <c r="CB31" i="1"/>
  <c r="CB33" i="1"/>
  <c r="CB35" i="1"/>
  <c r="CB37" i="1"/>
  <c r="CB39" i="1"/>
  <c r="CB41" i="1"/>
  <c r="BY31" i="1"/>
  <c r="BY35" i="1"/>
  <c r="BY36" i="1"/>
  <c r="BY38" i="1"/>
  <c r="BY41" i="1"/>
  <c r="BY44" i="1"/>
  <c r="BY46" i="1"/>
  <c r="BY49" i="1"/>
  <c r="BX32" i="1"/>
  <c r="BX35" i="1"/>
  <c r="BX37" i="1"/>
  <c r="BX39" i="1"/>
  <c r="BX41" i="1"/>
  <c r="BX43" i="1"/>
  <c r="BX46" i="1"/>
  <c r="BX48" i="1"/>
  <c r="BU30" i="1"/>
  <c r="BU32" i="1"/>
  <c r="BU35" i="1"/>
  <c r="BU37" i="1"/>
  <c r="BU39" i="1"/>
  <c r="BU43" i="1"/>
  <c r="BU45" i="1"/>
  <c r="BU46" i="1"/>
  <c r="BU49" i="1"/>
  <c r="BT31" i="1"/>
  <c r="CB43" i="1"/>
  <c r="CB44" i="1"/>
  <c r="CB45" i="1"/>
  <c r="CB46" i="1"/>
  <c r="CB47" i="1"/>
  <c r="CB48" i="1"/>
  <c r="CB49" i="1"/>
  <c r="BY33" i="1"/>
  <c r="BY40" i="1"/>
  <c r="BY47" i="1"/>
  <c r="BX33" i="1"/>
  <c r="BX40" i="1"/>
  <c r="BX45" i="1"/>
  <c r="BU34" i="1"/>
  <c r="BU41" i="1"/>
  <c r="BU47" i="1"/>
  <c r="BQ44" i="1"/>
  <c r="BQ45" i="1"/>
  <c r="BQ46" i="1"/>
  <c r="BQ47" i="1"/>
  <c r="BQ48" i="1"/>
  <c r="BQ49" i="1"/>
  <c r="BP29" i="1"/>
  <c r="BP30" i="1"/>
  <c r="BP31" i="1"/>
  <c r="BP32" i="1"/>
  <c r="BP33" i="1"/>
  <c r="BP34" i="1"/>
  <c r="BP35" i="1"/>
  <c r="BP36" i="1"/>
  <c r="BP37" i="1"/>
  <c r="BP38" i="1"/>
  <c r="BP39" i="1"/>
  <c r="BP40" i="1"/>
  <c r="BP41" i="1"/>
  <c r="BP42" i="1"/>
  <c r="BE26" i="1"/>
  <c r="BE27" i="1"/>
  <c r="BE28" i="1"/>
  <c r="BE29" i="1"/>
  <c r="BE30" i="1"/>
  <c r="BE31" i="1"/>
  <c r="BE32" i="1"/>
  <c r="BE33" i="1"/>
  <c r="BE34" i="1"/>
  <c r="BE35" i="1"/>
  <c r="BE36" i="1"/>
  <c r="BE37" i="1"/>
  <c r="BE38" i="1"/>
  <c r="BE39" i="1"/>
  <c r="BE40" i="1"/>
  <c r="BE41" i="1"/>
  <c r="BE42" i="1"/>
  <c r="BE43" i="1"/>
  <c r="BE44" i="1"/>
  <c r="BE45" i="1"/>
  <c r="BE46" i="1"/>
  <c r="BE47" i="1"/>
  <c r="BE48" i="1"/>
  <c r="BE49" i="1"/>
  <c r="BD26" i="1"/>
  <c r="BD27" i="1"/>
  <c r="BD28" i="1"/>
  <c r="BD29" i="1"/>
  <c r="BD30" i="1"/>
  <c r="BD31" i="1"/>
  <c r="BD32" i="1"/>
  <c r="BD33" i="1"/>
  <c r="BD34" i="1"/>
  <c r="BD35" i="1"/>
  <c r="BD36" i="1"/>
  <c r="BD37" i="1"/>
  <c r="BD38" i="1"/>
  <c r="BD39" i="1"/>
  <c r="BD40" i="1"/>
  <c r="BD41" i="1"/>
  <c r="BD42" i="1"/>
  <c r="BD43" i="1"/>
  <c r="BD44" i="1"/>
  <c r="BD45" i="1"/>
  <c r="BD46" i="1"/>
  <c r="BD47" i="1"/>
  <c r="BD48" i="1"/>
  <c r="BD49" i="1"/>
  <c r="AB49" i="1"/>
  <c r="AA49" i="1"/>
  <c r="Z49" i="1"/>
  <c r="AB48" i="1"/>
  <c r="AA48" i="1"/>
  <c r="Z48" i="1"/>
  <c r="AB47" i="1"/>
  <c r="AA47" i="1"/>
  <c r="Z47" i="1"/>
  <c r="AB46" i="1"/>
  <c r="AA46" i="1"/>
  <c r="Z46" i="1"/>
  <c r="AB45" i="1"/>
  <c r="AA45" i="1"/>
  <c r="Z45" i="1"/>
  <c r="AB44" i="1"/>
  <c r="AA44" i="1"/>
  <c r="Z44" i="1"/>
  <c r="AB43" i="1"/>
  <c r="AA43" i="1"/>
  <c r="Z43" i="1"/>
  <c r="AB42" i="1"/>
  <c r="AA42" i="1"/>
  <c r="Z42" i="1"/>
  <c r="AC42" i="1" s="1"/>
  <c r="AB41" i="1"/>
  <c r="AA41" i="1"/>
  <c r="Z41" i="1"/>
  <c r="AB40" i="1"/>
  <c r="AA40" i="1"/>
  <c r="Z40" i="1"/>
  <c r="AB39" i="1"/>
  <c r="AA39" i="1"/>
  <c r="Z39" i="1"/>
  <c r="AB38" i="1"/>
  <c r="AA38" i="1"/>
  <c r="Z38" i="1"/>
  <c r="AB37" i="1"/>
  <c r="AA37" i="1"/>
  <c r="Z37" i="1"/>
  <c r="AC37" i="1" s="1"/>
  <c r="AB36" i="1"/>
  <c r="AA36" i="1"/>
  <c r="Z36" i="1"/>
  <c r="AC36" i="1" s="1"/>
  <c r="AB35" i="1"/>
  <c r="AA35" i="1"/>
  <c r="Z35" i="1"/>
  <c r="AB34" i="1"/>
  <c r="AA34" i="1"/>
  <c r="Z34" i="1"/>
  <c r="AB33" i="1"/>
  <c r="AA33" i="1"/>
  <c r="Z33" i="1"/>
  <c r="AB32" i="1"/>
  <c r="AA32" i="1"/>
  <c r="Z32" i="1"/>
  <c r="AB31" i="1"/>
  <c r="AA31" i="1"/>
  <c r="Z31" i="1"/>
  <c r="AC31" i="1" s="1"/>
  <c r="AB30" i="1"/>
  <c r="AA30" i="1"/>
  <c r="Z30" i="1"/>
  <c r="AB29" i="1"/>
  <c r="AA29" i="1"/>
  <c r="Z29" i="1"/>
  <c r="AB28" i="1"/>
  <c r="AA28" i="1"/>
  <c r="Z28" i="1"/>
  <c r="AC28" i="1" s="1"/>
  <c r="AB27" i="1"/>
  <c r="AA27" i="1"/>
  <c r="Z27" i="1"/>
  <c r="AB26" i="1"/>
  <c r="AA26" i="1"/>
  <c r="Z26" i="1"/>
  <c r="J104" i="6" l="1"/>
  <c r="AV34" i="6"/>
  <c r="AW36" i="6"/>
  <c r="AV40" i="6"/>
  <c r="AV42" i="6"/>
  <c r="AV45" i="6"/>
  <c r="AW45" i="6"/>
  <c r="AV48" i="6"/>
  <c r="AW49" i="6"/>
  <c r="AV26" i="6"/>
  <c r="AW26" i="6"/>
  <c r="AV27" i="6"/>
  <c r="AW27" i="6"/>
  <c r="AV28" i="6"/>
  <c r="AW28" i="6"/>
  <c r="AV29" i="6"/>
  <c r="AW29" i="6"/>
  <c r="AV30" i="6"/>
  <c r="AW30" i="6"/>
  <c r="AV31" i="6"/>
  <c r="AW31" i="6"/>
  <c r="AV32" i="6"/>
  <c r="AW32" i="6"/>
  <c r="AV41" i="6"/>
  <c r="AW41" i="6"/>
  <c r="AV33" i="6"/>
  <c r="AW37" i="6"/>
  <c r="AW38" i="6"/>
  <c r="AW39" i="6"/>
  <c r="AV35" i="6"/>
  <c r="AV39" i="6"/>
  <c r="AV43" i="6"/>
  <c r="AW43" i="6"/>
  <c r="AV44" i="6"/>
  <c r="AV46" i="6"/>
  <c r="AW46" i="6"/>
  <c r="AV47" i="6"/>
  <c r="AW47" i="6"/>
  <c r="AW48" i="6"/>
  <c r="AV49" i="6"/>
  <c r="AW33" i="6"/>
  <c r="AW34" i="6"/>
  <c r="AW35" i="6"/>
  <c r="AV36" i="6"/>
  <c r="AV37" i="6"/>
  <c r="AV38" i="6"/>
  <c r="AW40" i="6"/>
  <c r="AW42" i="6"/>
  <c r="AW44" i="6"/>
  <c r="CH33" i="6"/>
  <c r="BF34" i="6"/>
  <c r="CD34" i="6"/>
  <c r="CD35" i="6"/>
  <c r="BF36" i="6"/>
  <c r="BN36" i="6"/>
  <c r="BZ36" i="6"/>
  <c r="CD36" i="6"/>
  <c r="BJ37" i="6"/>
  <c r="BV37" i="6"/>
  <c r="BN38" i="6"/>
  <c r="BR38" i="6"/>
  <c r="BZ38" i="6"/>
  <c r="CH38" i="6"/>
  <c r="BJ39" i="6"/>
  <c r="BN39" i="6"/>
  <c r="BR39" i="6"/>
  <c r="BZ39" i="6"/>
  <c r="BJ40" i="6"/>
  <c r="BN40" i="6"/>
  <c r="CH40" i="6"/>
  <c r="BJ42" i="6"/>
  <c r="BR42" i="6"/>
  <c r="BV42" i="6"/>
  <c r="BZ42" i="6"/>
  <c r="BF43" i="6"/>
  <c r="BJ43" i="6"/>
  <c r="BN43" i="6"/>
  <c r="CD43" i="6"/>
  <c r="CH43" i="6"/>
  <c r="BF44" i="6"/>
  <c r="BR44" i="6"/>
  <c r="BV44" i="6"/>
  <c r="BZ44" i="6"/>
  <c r="BF45" i="6"/>
  <c r="CH45" i="6"/>
  <c r="BF46" i="6"/>
  <c r="BJ46" i="6"/>
  <c r="BN46" i="6"/>
  <c r="BR46" i="6"/>
  <c r="BV46" i="6"/>
  <c r="BZ46" i="6"/>
  <c r="CD46" i="6"/>
  <c r="CH46" i="6"/>
  <c r="BN47" i="6"/>
  <c r="BR47" i="6"/>
  <c r="BV47" i="6"/>
  <c r="CH47" i="6"/>
  <c r="BR48" i="6"/>
  <c r="BZ48" i="6"/>
  <c r="BV32" i="6"/>
  <c r="BR33" i="6"/>
  <c r="BR34" i="6"/>
  <c r="CH34" i="6"/>
  <c r="BJ35" i="6"/>
  <c r="BF37" i="6"/>
  <c r="CD38" i="6"/>
  <c r="CD39" i="6"/>
  <c r="CH39" i="6"/>
  <c r="BF40" i="6"/>
  <c r="BJ44" i="6"/>
  <c r="BN44" i="6"/>
  <c r="BJ48" i="6"/>
  <c r="BN48" i="6"/>
  <c r="BV48" i="6"/>
  <c r="BN32" i="6"/>
  <c r="BR32" i="6"/>
  <c r="CD32" i="6"/>
  <c r="CH32" i="6"/>
  <c r="BF33" i="6"/>
  <c r="BN33" i="6"/>
  <c r="BJ34" i="6"/>
  <c r="BN34" i="6"/>
  <c r="BV34" i="6"/>
  <c r="BZ35" i="6"/>
  <c r="BR37" i="6"/>
  <c r="BZ37" i="6"/>
  <c r="CD37" i="6"/>
  <c r="CH37" i="6"/>
  <c r="BJ38" i="6"/>
  <c r="BV38" i="6"/>
  <c r="BF39" i="6"/>
  <c r="BR40" i="6"/>
  <c r="BV40" i="6"/>
  <c r="BZ40" i="6"/>
  <c r="BN42" i="6"/>
  <c r="CD42" i="6"/>
  <c r="CH42" i="6"/>
  <c r="BR43" i="6"/>
  <c r="BV43" i="6"/>
  <c r="BZ43" i="6"/>
  <c r="CD44" i="6"/>
  <c r="CH44" i="6"/>
  <c r="BJ45" i="6"/>
  <c r="BN45" i="6"/>
  <c r="BR45" i="6"/>
  <c r="BV45" i="6"/>
  <c r="BZ45" i="6"/>
  <c r="CD45" i="6"/>
  <c r="BF47" i="6"/>
  <c r="BJ47" i="6"/>
  <c r="BZ47" i="6"/>
  <c r="CD47" i="6"/>
  <c r="BF48" i="6"/>
  <c r="CD48" i="6"/>
  <c r="CH48" i="6"/>
  <c r="BF26" i="6"/>
  <c r="BJ26" i="6"/>
  <c r="BN26" i="6"/>
  <c r="BR26" i="6"/>
  <c r="BV26" i="6"/>
  <c r="BZ26" i="6"/>
  <c r="CD26" i="6"/>
  <c r="CH26" i="6"/>
  <c r="BF27" i="6"/>
  <c r="BJ27" i="6"/>
  <c r="BN27" i="6"/>
  <c r="BR27" i="6"/>
  <c r="BV27" i="6"/>
  <c r="BZ27" i="6"/>
  <c r="CD27" i="6"/>
  <c r="CH27" i="6"/>
  <c r="BF28" i="6"/>
  <c r="BJ28" i="6"/>
  <c r="BN28" i="6"/>
  <c r="BR28" i="6"/>
  <c r="BV28" i="6"/>
  <c r="BZ28" i="6"/>
  <c r="CD28" i="6"/>
  <c r="CH28" i="6"/>
  <c r="BF29" i="6"/>
  <c r="BJ29" i="6"/>
  <c r="BN29" i="6"/>
  <c r="BR29" i="6"/>
  <c r="BV29" i="6"/>
  <c r="BZ29" i="6"/>
  <c r="CD29" i="6"/>
  <c r="CH29" i="6"/>
  <c r="BF30" i="6"/>
  <c r="BJ30" i="6"/>
  <c r="BN30" i="6"/>
  <c r="BR30" i="6"/>
  <c r="BV30" i="6"/>
  <c r="BZ30" i="6"/>
  <c r="CD30" i="6"/>
  <c r="CH30" i="6"/>
  <c r="BF31" i="6"/>
  <c r="BJ31" i="6"/>
  <c r="BN31" i="6"/>
  <c r="BR31" i="6"/>
  <c r="BV31" i="6"/>
  <c r="BZ31" i="6"/>
  <c r="CD31" i="6"/>
  <c r="CH31" i="6"/>
  <c r="BF32" i="6"/>
  <c r="BJ32" i="6"/>
  <c r="BZ32" i="6"/>
  <c r="BV33" i="6"/>
  <c r="BF35" i="6"/>
  <c r="BV35" i="6"/>
  <c r="BR36" i="6"/>
  <c r="CH36" i="6"/>
  <c r="BF38" i="6"/>
  <c r="BF41" i="6"/>
  <c r="BJ41" i="6"/>
  <c r="BN41" i="6"/>
  <c r="BR41" i="6"/>
  <c r="BV41" i="6"/>
  <c r="BZ41" i="6"/>
  <c r="CD41" i="6"/>
  <c r="CH41" i="6"/>
  <c r="BJ33" i="6"/>
  <c r="BZ33" i="6"/>
  <c r="CD33" i="6"/>
  <c r="BZ34" i="6"/>
  <c r="BN35" i="6"/>
  <c r="BR35" i="6"/>
  <c r="CH35" i="6"/>
  <c r="BJ36" i="6"/>
  <c r="BV36" i="6"/>
  <c r="BN37" i="6"/>
  <c r="BV39" i="6"/>
  <c r="CD40" i="6"/>
  <c r="BF42" i="6"/>
  <c r="BF49" i="6"/>
  <c r="BJ49" i="6"/>
  <c r="BN49" i="6"/>
  <c r="BR49" i="6"/>
  <c r="BV49" i="6"/>
  <c r="BZ49" i="6"/>
  <c r="CD49" i="6"/>
  <c r="CH49" i="6"/>
  <c r="AA26" i="6"/>
  <c r="AB26" i="6"/>
  <c r="AA27" i="6"/>
  <c r="AB27" i="6"/>
  <c r="AA28" i="6"/>
  <c r="AB28" i="6"/>
  <c r="AA29" i="6"/>
  <c r="AB29" i="6"/>
  <c r="AA30" i="6"/>
  <c r="AB30" i="6"/>
  <c r="AA31" i="6"/>
  <c r="AB31" i="6"/>
  <c r="AA32" i="6"/>
  <c r="AB32" i="6"/>
  <c r="AB39" i="6"/>
  <c r="AA41" i="6"/>
  <c r="AB41" i="6"/>
  <c r="AB34" i="6"/>
  <c r="AA35" i="6"/>
  <c r="AA36" i="6"/>
  <c r="AB37" i="6"/>
  <c r="AB38" i="6"/>
  <c r="AA42" i="6"/>
  <c r="AA33" i="6"/>
  <c r="AB35" i="6"/>
  <c r="AA38" i="6"/>
  <c r="AB40" i="6"/>
  <c r="AB42" i="6"/>
  <c r="AA43" i="6"/>
  <c r="AA44" i="6"/>
  <c r="AB45" i="6"/>
  <c r="AA46" i="6"/>
  <c r="AB46" i="6"/>
  <c r="AA47" i="6"/>
  <c r="AB47" i="6"/>
  <c r="AA48" i="6"/>
  <c r="AB48" i="6"/>
  <c r="AB33" i="6"/>
  <c r="AA34" i="6"/>
  <c r="AA37" i="6"/>
  <c r="AA39" i="6"/>
  <c r="AB49" i="6"/>
  <c r="AB36" i="6"/>
  <c r="AA40" i="6"/>
  <c r="AB43" i="6"/>
  <c r="AB44" i="6"/>
  <c r="AA45" i="6"/>
  <c r="AA49" i="6"/>
  <c r="Z26" i="6"/>
  <c r="Z27" i="6"/>
  <c r="Z28" i="6"/>
  <c r="Z29" i="6"/>
  <c r="AC29" i="6" s="1"/>
  <c r="Z30" i="6"/>
  <c r="AC30" i="6" s="1"/>
  <c r="Z31" i="6"/>
  <c r="AC31" i="6" s="1"/>
  <c r="Z32" i="6"/>
  <c r="AC32" i="6" s="1"/>
  <c r="Z41" i="6"/>
  <c r="AC41" i="6" s="1"/>
  <c r="Z37" i="6"/>
  <c r="AC37" i="6" s="1"/>
  <c r="Z45" i="6"/>
  <c r="AC45" i="6" s="1"/>
  <c r="Z46" i="6"/>
  <c r="AC46" i="6" s="1"/>
  <c r="Z47" i="6"/>
  <c r="AC47" i="6" s="1"/>
  <c r="Z48" i="6"/>
  <c r="AC48" i="6" s="1"/>
  <c r="Z49" i="6"/>
  <c r="AC49" i="6" s="1"/>
  <c r="Z35" i="6"/>
  <c r="AC35" i="6" s="1"/>
  <c r="Z38" i="6"/>
  <c r="AC38" i="6" s="1"/>
  <c r="Z40" i="6"/>
  <c r="AC40" i="6" s="1"/>
  <c r="Z33" i="6"/>
  <c r="AC33" i="6" s="1"/>
  <c r="Z34" i="6"/>
  <c r="AC34" i="6" s="1"/>
  <c r="Z36" i="6"/>
  <c r="AC36" i="6" s="1"/>
  <c r="Z39" i="6"/>
  <c r="AC39" i="6" s="1"/>
  <c r="Z42" i="6"/>
  <c r="AC42" i="6" s="1"/>
  <c r="Z43" i="6"/>
  <c r="AC43" i="6" s="1"/>
  <c r="Z44" i="6"/>
  <c r="AC44" i="6" s="1"/>
  <c r="I122" i="6"/>
  <c r="J122" i="6" s="1"/>
  <c r="J118" i="6"/>
  <c r="J116" i="6"/>
  <c r="J114" i="6"/>
  <c r="J112" i="6"/>
  <c r="J110" i="6"/>
  <c r="J108" i="6"/>
  <c r="J106" i="6"/>
  <c r="CH26" i="1"/>
  <c r="BR27" i="1"/>
  <c r="BN26" i="1"/>
  <c r="CD27" i="1"/>
  <c r="BZ26" i="1"/>
  <c r="BF26" i="1"/>
  <c r="BR26" i="1"/>
  <c r="CD26" i="1"/>
  <c r="BJ26" i="1"/>
  <c r="CH27" i="1"/>
  <c r="BF27" i="1"/>
  <c r="AC41" i="1"/>
  <c r="AC48" i="1"/>
  <c r="BJ27" i="1"/>
  <c r="CD28" i="1"/>
  <c r="CD29" i="1"/>
  <c r="BR28" i="1"/>
  <c r="BZ28" i="1"/>
  <c r="BN27" i="1"/>
  <c r="BJ28" i="1"/>
  <c r="BV26" i="1"/>
  <c r="BV27" i="1"/>
  <c r="BV28" i="1"/>
  <c r="BV29" i="1"/>
  <c r="CH28" i="1"/>
  <c r="BZ29" i="1"/>
  <c r="BZ31" i="1"/>
  <c r="BZ27" i="1"/>
  <c r="BZ30" i="1"/>
  <c r="BN28" i="1"/>
  <c r="BR29" i="1"/>
  <c r="BR30" i="1"/>
  <c r="AC44" i="1"/>
  <c r="J123" i="1"/>
  <c r="BR33" i="1"/>
  <c r="BR34" i="1"/>
  <c r="BR36" i="1"/>
  <c r="BN31" i="1"/>
  <c r="BN36" i="1"/>
  <c r="BN40" i="1"/>
  <c r="H118" i="1"/>
  <c r="H112" i="1"/>
  <c r="H110" i="1"/>
  <c r="H116" i="1"/>
  <c r="H114" i="1"/>
  <c r="H106" i="1"/>
  <c r="H108" i="1"/>
  <c r="H104" i="1"/>
  <c r="AC43" i="1"/>
  <c r="BN43" i="1"/>
  <c r="BN47" i="1"/>
  <c r="AW26" i="1"/>
  <c r="AV26" i="1"/>
  <c r="CH39" i="1"/>
  <c r="BF49" i="1"/>
  <c r="BR31" i="1"/>
  <c r="BR35" i="1"/>
  <c r="BV41" i="1"/>
  <c r="BR46" i="1"/>
  <c r="BR47" i="1"/>
  <c r="BR48" i="1"/>
  <c r="BR49" i="1"/>
  <c r="BF29" i="1"/>
  <c r="BF30" i="1"/>
  <c r="BF31" i="1"/>
  <c r="BF32" i="1"/>
  <c r="BR37" i="1"/>
  <c r="P54" i="1"/>
  <c r="I108" i="1" s="1"/>
  <c r="BF33" i="1"/>
  <c r="BF34" i="1"/>
  <c r="BF35" i="1"/>
  <c r="BF36" i="1"/>
  <c r="BF37" i="1"/>
  <c r="BF38" i="1"/>
  <c r="BF39" i="1"/>
  <c r="BF40" i="1"/>
  <c r="BF41" i="1"/>
  <c r="BF42" i="1"/>
  <c r="BF48" i="1"/>
  <c r="BO26" i="1"/>
  <c r="CO26" i="1" s="1"/>
  <c r="BN32" i="1"/>
  <c r="AV48" i="1"/>
  <c r="AW47" i="1"/>
  <c r="AV47" i="1"/>
  <c r="AV46" i="1"/>
  <c r="AV44" i="1"/>
  <c r="AV42" i="1"/>
  <c r="AV41" i="1"/>
  <c r="AW40" i="1"/>
  <c r="AW39" i="1"/>
  <c r="AV39" i="1"/>
  <c r="AV49" i="1"/>
  <c r="AW48" i="1"/>
  <c r="AW46" i="1"/>
  <c r="AW44" i="1"/>
  <c r="AW43" i="1"/>
  <c r="AV43" i="1"/>
  <c r="AW42" i="1"/>
  <c r="AW41" i="1"/>
  <c r="AV40" i="1"/>
  <c r="BR32" i="1"/>
  <c r="BN37" i="1"/>
  <c r="O54" i="1"/>
  <c r="I106" i="1" s="1"/>
  <c r="AE27" i="1"/>
  <c r="AE28" i="1"/>
  <c r="AE29" i="1"/>
  <c r="AE30" i="1"/>
  <c r="AE31" i="1"/>
  <c r="AE32" i="1"/>
  <c r="AE33" i="1"/>
  <c r="AE34" i="1"/>
  <c r="AE35" i="1"/>
  <c r="AE36" i="1"/>
  <c r="AE37" i="1"/>
  <c r="AE38" i="1"/>
  <c r="AE39" i="1"/>
  <c r="AE40" i="1"/>
  <c r="AE41" i="1"/>
  <c r="AE42" i="1"/>
  <c r="AE43" i="1"/>
  <c r="AE44" i="1"/>
  <c r="AE45" i="1"/>
  <c r="AE46" i="1"/>
  <c r="AE47" i="1"/>
  <c r="AE48" i="1"/>
  <c r="AE49" i="1"/>
  <c r="BJ40" i="1"/>
  <c r="CD46" i="1"/>
  <c r="CD48" i="1"/>
  <c r="CD49" i="1"/>
  <c r="BZ32" i="1"/>
  <c r="BZ35" i="1"/>
  <c r="BZ38" i="1"/>
  <c r="BZ44" i="1"/>
  <c r="BZ47" i="1"/>
  <c r="BJ31" i="1"/>
  <c r="BJ34" i="1"/>
  <c r="BJ37" i="1"/>
  <c r="BJ42" i="1"/>
  <c r="BJ45" i="1"/>
  <c r="BJ48" i="1"/>
  <c r="BV30" i="1"/>
  <c r="BV31" i="1"/>
  <c r="BV32" i="1"/>
  <c r="BV33" i="1"/>
  <c r="BV34" i="1"/>
  <c r="BV35" i="1"/>
  <c r="BV36" i="1"/>
  <c r="BV37" i="1"/>
  <c r="BV38" i="1"/>
  <c r="BV39" i="1"/>
  <c r="BV40" i="1"/>
  <c r="BV42" i="1"/>
  <c r="BV43" i="1"/>
  <c r="BV44" i="1"/>
  <c r="BV45" i="1"/>
  <c r="BV46" i="1"/>
  <c r="BV47" i="1"/>
  <c r="BV48" i="1"/>
  <c r="BV49" i="1"/>
  <c r="BS26" i="1"/>
  <c r="CP26" i="1" s="1"/>
  <c r="BN29" i="1"/>
  <c r="BN33" i="1"/>
  <c r="BN38" i="1"/>
  <c r="BN41" i="1"/>
  <c r="BN44" i="1"/>
  <c r="BN48" i="1"/>
  <c r="BJ32" i="1"/>
  <c r="BJ35" i="1"/>
  <c r="BJ39" i="1"/>
  <c r="BJ43" i="1"/>
  <c r="BJ46" i="1"/>
  <c r="BG27" i="1"/>
  <c r="CM27" i="1" s="1"/>
  <c r="BF47" i="1"/>
  <c r="BR38" i="1"/>
  <c r="BR39" i="1"/>
  <c r="BR40" i="1"/>
  <c r="BR41" i="1"/>
  <c r="BR42" i="1"/>
  <c r="BR43" i="1"/>
  <c r="BR44" i="1"/>
  <c r="BR45" i="1"/>
  <c r="BN34" i="1"/>
  <c r="BN45" i="1"/>
  <c r="BJ29" i="1"/>
  <c r="BJ38" i="1"/>
  <c r="BJ49" i="1"/>
  <c r="BK26" i="1"/>
  <c r="CN26" i="1" s="1"/>
  <c r="BJ30" i="1"/>
  <c r="BF44" i="1"/>
  <c r="BF43" i="1"/>
  <c r="CH30" i="1"/>
  <c r="CH32" i="1"/>
  <c r="CH34" i="1"/>
  <c r="CH36" i="1"/>
  <c r="CH38" i="1"/>
  <c r="CH40" i="1"/>
  <c r="CH42" i="1"/>
  <c r="CH44" i="1"/>
  <c r="CH46" i="1"/>
  <c r="CH48" i="1"/>
  <c r="BZ49" i="1"/>
  <c r="BN30" i="1"/>
  <c r="BN35" i="1"/>
  <c r="BN39" i="1"/>
  <c r="BN42" i="1"/>
  <c r="BN46" i="1"/>
  <c r="BN49" i="1"/>
  <c r="BJ33" i="1"/>
  <c r="BJ36" i="1"/>
  <c r="BJ41" i="1"/>
  <c r="BJ44" i="1"/>
  <c r="BJ47" i="1"/>
  <c r="CH49" i="1"/>
  <c r="BZ48" i="1"/>
  <c r="AE26" i="1"/>
  <c r="N54" i="1"/>
  <c r="I104" i="1" s="1"/>
  <c r="T54" i="1"/>
  <c r="S54" i="1"/>
  <c r="R54" i="1"/>
  <c r="Q54" i="1"/>
  <c r="CD32" i="1"/>
  <c r="BG26" i="1"/>
  <c r="CM26" i="1" s="1"/>
  <c r="BF45" i="1"/>
  <c r="CD47" i="1"/>
  <c r="CA26" i="1"/>
  <c r="CR26" i="1" s="1"/>
  <c r="BZ41" i="1"/>
  <c r="BF46" i="1"/>
  <c r="BZ34" i="1"/>
  <c r="BZ37" i="1"/>
  <c r="BZ40" i="1"/>
  <c r="BZ43" i="1"/>
  <c r="BZ46" i="1"/>
  <c r="BO27" i="1"/>
  <c r="CO27" i="1" s="1"/>
  <c r="BF28" i="1"/>
  <c r="CH29" i="1"/>
  <c r="CH31" i="1"/>
  <c r="CH33" i="1"/>
  <c r="CH35" i="1"/>
  <c r="CH37" i="1"/>
  <c r="CH41" i="1"/>
  <c r="CH43" i="1"/>
  <c r="CH45" i="1"/>
  <c r="CH47" i="1"/>
  <c r="BZ33" i="1"/>
  <c r="BZ36" i="1"/>
  <c r="BZ39" i="1"/>
  <c r="BZ42" i="1"/>
  <c r="BZ45" i="1"/>
  <c r="U54" i="1"/>
  <c r="CD31" i="1"/>
  <c r="CD33" i="1"/>
  <c r="CD36" i="1"/>
  <c r="CD39" i="1"/>
  <c r="CD42" i="1"/>
  <c r="CD45" i="1"/>
  <c r="CD35" i="1"/>
  <c r="CD40" i="1"/>
  <c r="CD43" i="1"/>
  <c r="CD37" i="1"/>
  <c r="CD30" i="1"/>
  <c r="CD34" i="1"/>
  <c r="CD38" i="1"/>
  <c r="CD41" i="1"/>
  <c r="CD44" i="1"/>
  <c r="BW28" i="1"/>
  <c r="CQ28" i="1" s="1"/>
  <c r="BW27" i="1"/>
  <c r="CQ27" i="1" s="1"/>
  <c r="BW26" i="1"/>
  <c r="CQ26" i="1" s="1"/>
  <c r="CA27" i="1"/>
  <c r="CR27" i="1" s="1"/>
  <c r="CA31" i="1"/>
  <c r="CR31" i="1" s="1"/>
  <c r="AC46" i="1"/>
  <c r="AC27" i="1"/>
  <c r="AC33" i="1"/>
  <c r="AC39" i="1"/>
  <c r="AC30" i="1"/>
  <c r="AC49" i="1"/>
  <c r="AC38" i="1"/>
  <c r="AC34" i="1"/>
  <c r="AC45" i="1"/>
  <c r="AC40" i="1"/>
  <c r="AC29" i="1"/>
  <c r="AC47" i="1"/>
  <c r="AC35" i="1"/>
  <c r="AC26" i="1"/>
  <c r="AV45" i="1"/>
  <c r="AW49" i="1"/>
  <c r="AW45" i="1"/>
  <c r="AW38" i="1"/>
  <c r="AV38" i="1"/>
  <c r="AW37" i="1"/>
  <c r="AV37" i="1"/>
  <c r="AW36" i="1"/>
  <c r="AV36" i="1"/>
  <c r="AW35" i="1"/>
  <c r="AV35" i="1"/>
  <c r="AW34" i="1"/>
  <c r="AV34" i="1"/>
  <c r="AW33" i="1"/>
  <c r="AV33" i="1"/>
  <c r="AW32" i="1"/>
  <c r="AV32" i="1"/>
  <c r="AW27" i="1"/>
  <c r="AV27" i="1"/>
  <c r="AW31" i="1"/>
  <c r="AV31" i="1"/>
  <c r="AW30" i="1"/>
  <c r="AV30" i="1"/>
  <c r="AW29" i="1"/>
  <c r="AV29" i="1"/>
  <c r="AW28" i="1"/>
  <c r="AV28" i="1"/>
  <c r="AC32" i="1"/>
  <c r="S55" i="6" l="1"/>
  <c r="S65" i="6" a="1"/>
  <c r="S65" i="6" s="1"/>
  <c r="D43" i="6" s="1"/>
  <c r="R55" i="6"/>
  <c r="R65" i="6" a="1"/>
  <c r="R65" i="6" s="1"/>
  <c r="D42" i="6" s="1"/>
  <c r="Q65" i="6" a="1"/>
  <c r="Q65" i="6" s="1"/>
  <c r="D41" i="6" s="1"/>
  <c r="Q55" i="6"/>
  <c r="P55" i="6"/>
  <c r="P65" i="6" a="1"/>
  <c r="P65" i="6" s="1"/>
  <c r="D40" i="6" s="1"/>
  <c r="O55" i="6"/>
  <c r="O65" i="6" a="1"/>
  <c r="O65" i="6" s="1"/>
  <c r="D39" i="6" s="1"/>
  <c r="N55" i="6"/>
  <c r="N65" i="6" a="1"/>
  <c r="N65" i="6" s="1"/>
  <c r="D38" i="6" s="1"/>
  <c r="AC26" i="6"/>
  <c r="AC27" i="6"/>
  <c r="AC28" i="6"/>
  <c r="AF37" i="6"/>
  <c r="AY26" i="6"/>
  <c r="AY27" i="6"/>
  <c r="AY28" i="6"/>
  <c r="AY29" i="6"/>
  <c r="AY30" i="6"/>
  <c r="AY31" i="6"/>
  <c r="AY32" i="6"/>
  <c r="AY35" i="6"/>
  <c r="AY38" i="6"/>
  <c r="AY41" i="6"/>
  <c r="AY37" i="6"/>
  <c r="AY49" i="6"/>
  <c r="AY33" i="6"/>
  <c r="AY36" i="6"/>
  <c r="AY39" i="6"/>
  <c r="AY40" i="6"/>
  <c r="AY42" i="6"/>
  <c r="AY44" i="6"/>
  <c r="AY46" i="6"/>
  <c r="AY47" i="6"/>
  <c r="AY45" i="6"/>
  <c r="AY34" i="6"/>
  <c r="AY43" i="6"/>
  <c r="AY48" i="6"/>
  <c r="BG26" i="6"/>
  <c r="CM26" i="6" s="1"/>
  <c r="BG27" i="6"/>
  <c r="CM27" i="6" s="1"/>
  <c r="BG28" i="6"/>
  <c r="CM28" i="6" s="1"/>
  <c r="BG29" i="6"/>
  <c r="CM29" i="6" s="1"/>
  <c r="BG30" i="6"/>
  <c r="CM30" i="6" s="1"/>
  <c r="BG31" i="6"/>
  <c r="CM31" i="6" s="1"/>
  <c r="BG41" i="6"/>
  <c r="CM41" i="6" s="1"/>
  <c r="BG36" i="6"/>
  <c r="CM36" i="6" s="1"/>
  <c r="BG39" i="6"/>
  <c r="CM39" i="6" s="1"/>
  <c r="BG49" i="6"/>
  <c r="CM49" i="6" s="1"/>
  <c r="BG35" i="6"/>
  <c r="CM35" i="6" s="1"/>
  <c r="BG46" i="6"/>
  <c r="CM46" i="6" s="1"/>
  <c r="BG47" i="6"/>
  <c r="CM47" i="6" s="1"/>
  <c r="BG42" i="6"/>
  <c r="CM42" i="6" s="1"/>
  <c r="BG44" i="6"/>
  <c r="CM44" i="6" s="1"/>
  <c r="BG45" i="6"/>
  <c r="CM45" i="6" s="1"/>
  <c r="BG32" i="6"/>
  <c r="CM32" i="6" s="1"/>
  <c r="BG33" i="6"/>
  <c r="CM33" i="6" s="1"/>
  <c r="BG34" i="6"/>
  <c r="CM34" i="6" s="1"/>
  <c r="BG37" i="6"/>
  <c r="CM37" i="6" s="1"/>
  <c r="BG38" i="6"/>
  <c r="CM38" i="6" s="1"/>
  <c r="BG40" i="6"/>
  <c r="CM40" i="6" s="1"/>
  <c r="BG43" i="6"/>
  <c r="CM43" i="6" s="1"/>
  <c r="BG48" i="6"/>
  <c r="CM48" i="6" s="1"/>
  <c r="H105" i="6"/>
  <c r="AF26" i="6"/>
  <c r="BK26" i="6"/>
  <c r="CN26" i="6" s="1"/>
  <c r="BK27" i="6"/>
  <c r="CN27" i="6" s="1"/>
  <c r="BK28" i="6"/>
  <c r="CN28" i="6" s="1"/>
  <c r="BK29" i="6"/>
  <c r="CN29" i="6" s="1"/>
  <c r="BK30" i="6"/>
  <c r="CN30" i="6" s="1"/>
  <c r="BK31" i="6"/>
  <c r="CN31" i="6" s="1"/>
  <c r="BK41" i="6"/>
  <c r="CN41" i="6" s="1"/>
  <c r="BK34" i="6"/>
  <c r="CN34" i="6" s="1"/>
  <c r="BK39" i="6"/>
  <c r="CN39" i="6" s="1"/>
  <c r="BK40" i="6"/>
  <c r="CN40" i="6" s="1"/>
  <c r="BK49" i="6"/>
  <c r="CN49" i="6" s="1"/>
  <c r="BK32" i="6"/>
  <c r="CN32" i="6" s="1"/>
  <c r="BK33" i="6"/>
  <c r="CN33" i="6" s="1"/>
  <c r="BK35" i="6"/>
  <c r="CN35" i="6" s="1"/>
  <c r="BK38" i="6"/>
  <c r="CN38" i="6" s="1"/>
  <c r="BK45" i="6"/>
  <c r="CN45" i="6" s="1"/>
  <c r="BK46" i="6"/>
  <c r="CN46" i="6" s="1"/>
  <c r="BK47" i="6"/>
  <c r="CN47" i="6" s="1"/>
  <c r="BK37" i="6"/>
  <c r="CN37" i="6" s="1"/>
  <c r="BK42" i="6"/>
  <c r="CN42" i="6" s="1"/>
  <c r="BK43" i="6"/>
  <c r="CN43" i="6" s="1"/>
  <c r="BK48" i="6"/>
  <c r="CN48" i="6" s="1"/>
  <c r="BK36" i="6"/>
  <c r="CN36" i="6" s="1"/>
  <c r="BK44" i="6"/>
  <c r="CN44" i="6" s="1"/>
  <c r="H107" i="6"/>
  <c r="BO26" i="6"/>
  <c r="CO26" i="6" s="1"/>
  <c r="BO27" i="6"/>
  <c r="CO27" i="6" s="1"/>
  <c r="BO28" i="6"/>
  <c r="CO28" i="6" s="1"/>
  <c r="BO29" i="6"/>
  <c r="CO29" i="6" s="1"/>
  <c r="BO30" i="6"/>
  <c r="CO30" i="6" s="1"/>
  <c r="BO31" i="6"/>
  <c r="CO31" i="6" s="1"/>
  <c r="BO39" i="6"/>
  <c r="CO39" i="6" s="1"/>
  <c r="BO41" i="6"/>
  <c r="CO41" i="6" s="1"/>
  <c r="BO33" i="6"/>
  <c r="CO33" i="6" s="1"/>
  <c r="BO40" i="6"/>
  <c r="CO40" i="6" s="1"/>
  <c r="BO49" i="6"/>
  <c r="CO49" i="6" s="1"/>
  <c r="BO36" i="6"/>
  <c r="CO36" i="6" s="1"/>
  <c r="BO46" i="6"/>
  <c r="CO46" i="6" s="1"/>
  <c r="BO48" i="6"/>
  <c r="CO48" i="6" s="1"/>
  <c r="BO32" i="6"/>
  <c r="CO32" i="6" s="1"/>
  <c r="BO42" i="6"/>
  <c r="CO42" i="6" s="1"/>
  <c r="BO43" i="6"/>
  <c r="CO43" i="6" s="1"/>
  <c r="BO45" i="6"/>
  <c r="CO45" i="6" s="1"/>
  <c r="BO34" i="6"/>
  <c r="CO34" i="6" s="1"/>
  <c r="BO35" i="6"/>
  <c r="CO35" i="6" s="1"/>
  <c r="BO37" i="6"/>
  <c r="CO37" i="6" s="1"/>
  <c r="BO38" i="6"/>
  <c r="CO38" i="6" s="1"/>
  <c r="BO44" i="6"/>
  <c r="CO44" i="6" s="1"/>
  <c r="BO47" i="6"/>
  <c r="CO47" i="6" s="1"/>
  <c r="H109" i="6"/>
  <c r="BS26" i="6"/>
  <c r="CP26" i="6" s="1"/>
  <c r="BS27" i="6"/>
  <c r="CP27" i="6" s="1"/>
  <c r="BS28" i="6"/>
  <c r="CP28" i="6" s="1"/>
  <c r="BS29" i="6"/>
  <c r="CP29" i="6" s="1"/>
  <c r="BS30" i="6"/>
  <c r="CP30" i="6" s="1"/>
  <c r="BS31" i="6"/>
  <c r="CP31" i="6" s="1"/>
  <c r="BS41" i="6"/>
  <c r="CP41" i="6" s="1"/>
  <c r="BS36" i="6"/>
  <c r="CP36" i="6" s="1"/>
  <c r="BS49" i="6"/>
  <c r="CP49" i="6" s="1"/>
  <c r="BS33" i="6"/>
  <c r="CP33" i="6" s="1"/>
  <c r="BS34" i="6"/>
  <c r="CP34" i="6" s="1"/>
  <c r="BS35" i="6"/>
  <c r="CP35" i="6" s="1"/>
  <c r="BS38" i="6"/>
  <c r="CP38" i="6" s="1"/>
  <c r="BS39" i="6"/>
  <c r="CP39" i="6" s="1"/>
  <c r="BS46" i="6"/>
  <c r="CP46" i="6" s="1"/>
  <c r="BS44" i="6"/>
  <c r="CP44" i="6" s="1"/>
  <c r="BS45" i="6"/>
  <c r="CP45" i="6" s="1"/>
  <c r="BS48" i="6"/>
  <c r="CP48" i="6" s="1"/>
  <c r="BS32" i="6"/>
  <c r="CP32" i="6" s="1"/>
  <c r="BS37" i="6"/>
  <c r="CP37" i="6" s="1"/>
  <c r="BS40" i="6"/>
  <c r="CP40" i="6" s="1"/>
  <c r="BS42" i="6"/>
  <c r="CP42" i="6" s="1"/>
  <c r="BS43" i="6"/>
  <c r="CP43" i="6" s="1"/>
  <c r="BS47" i="6"/>
  <c r="CP47" i="6" s="1"/>
  <c r="H111" i="6"/>
  <c r="BW26" i="6"/>
  <c r="CQ26" i="6" s="1"/>
  <c r="BW27" i="6"/>
  <c r="CQ27" i="6" s="1"/>
  <c r="BW28" i="6"/>
  <c r="CQ28" i="6" s="1"/>
  <c r="BW29" i="6"/>
  <c r="CQ29" i="6" s="1"/>
  <c r="BW30" i="6"/>
  <c r="CQ30" i="6" s="1"/>
  <c r="BW31" i="6"/>
  <c r="CQ31" i="6" s="1"/>
  <c r="BW41" i="6"/>
  <c r="CQ41" i="6" s="1"/>
  <c r="BW33" i="6"/>
  <c r="CQ33" i="6" s="1"/>
  <c r="BW36" i="6"/>
  <c r="CQ36" i="6" s="1"/>
  <c r="BW37" i="6"/>
  <c r="CQ37" i="6" s="1"/>
  <c r="BW38" i="6"/>
  <c r="CQ38" i="6" s="1"/>
  <c r="BW49" i="6"/>
  <c r="CQ49" i="6" s="1"/>
  <c r="BW40" i="6"/>
  <c r="CQ40" i="6" s="1"/>
  <c r="BW42" i="6"/>
  <c r="CQ42" i="6" s="1"/>
  <c r="BW46" i="6"/>
  <c r="CQ46" i="6" s="1"/>
  <c r="BW47" i="6"/>
  <c r="CQ47" i="6" s="1"/>
  <c r="BW44" i="6"/>
  <c r="CQ44" i="6" s="1"/>
  <c r="BW32" i="6"/>
  <c r="CQ32" i="6" s="1"/>
  <c r="BW34" i="6"/>
  <c r="CQ34" i="6" s="1"/>
  <c r="BW35" i="6"/>
  <c r="CQ35" i="6" s="1"/>
  <c r="BW39" i="6"/>
  <c r="CQ39" i="6" s="1"/>
  <c r="BW43" i="6"/>
  <c r="CQ43" i="6" s="1"/>
  <c r="BW45" i="6"/>
  <c r="CQ45" i="6" s="1"/>
  <c r="BW48" i="6"/>
  <c r="CQ48" i="6" s="1"/>
  <c r="H113" i="6"/>
  <c r="CA26" i="6"/>
  <c r="CR26" i="6" s="1"/>
  <c r="CA27" i="6"/>
  <c r="CR27" i="6" s="1"/>
  <c r="CA28" i="6"/>
  <c r="CR28" i="6" s="1"/>
  <c r="CA29" i="6"/>
  <c r="CR29" i="6" s="1"/>
  <c r="CA30" i="6"/>
  <c r="CR30" i="6" s="1"/>
  <c r="CA31" i="6"/>
  <c r="CR31" i="6" s="1"/>
  <c r="CA41" i="6"/>
  <c r="CR41" i="6" s="1"/>
  <c r="CA33" i="6"/>
  <c r="CR33" i="6" s="1"/>
  <c r="CA35" i="6"/>
  <c r="CR35" i="6" s="1"/>
  <c r="CA37" i="6"/>
  <c r="CR37" i="6" s="1"/>
  <c r="CA49" i="6"/>
  <c r="CR49" i="6" s="1"/>
  <c r="CA40" i="6"/>
  <c r="CR40" i="6" s="1"/>
  <c r="CA43" i="6"/>
  <c r="CR43" i="6" s="1"/>
  <c r="CA46" i="6"/>
  <c r="CR46" i="6" s="1"/>
  <c r="CA47" i="6"/>
  <c r="CR47" i="6" s="1"/>
  <c r="CA48" i="6"/>
  <c r="CR48" i="6" s="1"/>
  <c r="CA32" i="6"/>
  <c r="CR32" i="6" s="1"/>
  <c r="CA34" i="6"/>
  <c r="CR34" i="6" s="1"/>
  <c r="CA42" i="6"/>
  <c r="CR42" i="6" s="1"/>
  <c r="CA36" i="6"/>
  <c r="CR36" i="6" s="1"/>
  <c r="CA38" i="6"/>
  <c r="CR38" i="6" s="1"/>
  <c r="CA39" i="6"/>
  <c r="CR39" i="6" s="1"/>
  <c r="CA44" i="6"/>
  <c r="CR44" i="6" s="1"/>
  <c r="CA45" i="6"/>
  <c r="CR45" i="6" s="1"/>
  <c r="H115" i="6"/>
  <c r="CE26" i="6"/>
  <c r="CS26" i="6" s="1"/>
  <c r="CE27" i="6"/>
  <c r="CS27" i="6" s="1"/>
  <c r="CE28" i="6"/>
  <c r="CS28" i="6" s="1"/>
  <c r="CE29" i="6"/>
  <c r="CS29" i="6" s="1"/>
  <c r="CE30" i="6"/>
  <c r="CS30" i="6" s="1"/>
  <c r="CE31" i="6"/>
  <c r="CS31" i="6" s="1"/>
  <c r="CE35" i="6"/>
  <c r="CS35" i="6" s="1"/>
  <c r="CE41" i="6"/>
  <c r="CS41" i="6" s="1"/>
  <c r="CE39" i="6"/>
  <c r="CS39" i="6" s="1"/>
  <c r="CE49" i="6"/>
  <c r="CS49" i="6" s="1"/>
  <c r="CE33" i="6"/>
  <c r="CS33" i="6" s="1"/>
  <c r="CE38" i="6"/>
  <c r="CS38" i="6" s="1"/>
  <c r="CE40" i="6"/>
  <c r="CS40" i="6" s="1"/>
  <c r="CE43" i="6"/>
  <c r="CS43" i="6" s="1"/>
  <c r="CE46" i="6"/>
  <c r="CS46" i="6" s="1"/>
  <c r="CE47" i="6"/>
  <c r="CS47" i="6" s="1"/>
  <c r="CE32" i="6"/>
  <c r="CS32" i="6" s="1"/>
  <c r="CE37" i="6"/>
  <c r="CS37" i="6" s="1"/>
  <c r="CE42" i="6"/>
  <c r="CS42" i="6" s="1"/>
  <c r="CE34" i="6"/>
  <c r="CS34" i="6" s="1"/>
  <c r="CE36" i="6"/>
  <c r="CS36" i="6" s="1"/>
  <c r="CE44" i="6"/>
  <c r="CS44" i="6" s="1"/>
  <c r="CE45" i="6"/>
  <c r="CS45" i="6" s="1"/>
  <c r="CE48" i="6"/>
  <c r="CS48" i="6" s="1"/>
  <c r="H117" i="6"/>
  <c r="J117" i="6" s="1"/>
  <c r="CI26" i="6"/>
  <c r="CT26" i="6" s="1"/>
  <c r="CI27" i="6"/>
  <c r="CT27" i="6" s="1"/>
  <c r="CI28" i="6"/>
  <c r="CT28" i="6" s="1"/>
  <c r="CI29" i="6"/>
  <c r="CT29" i="6" s="1"/>
  <c r="CI30" i="6"/>
  <c r="CT30" i="6" s="1"/>
  <c r="CI31" i="6"/>
  <c r="CT31" i="6" s="1"/>
  <c r="CI37" i="6"/>
  <c r="CT37" i="6" s="1"/>
  <c r="CI38" i="6"/>
  <c r="CT38" i="6" s="1"/>
  <c r="CI39" i="6"/>
  <c r="CT39" i="6" s="1"/>
  <c r="CI41" i="6"/>
  <c r="CT41" i="6" s="1"/>
  <c r="CI40" i="6"/>
  <c r="CT40" i="6" s="1"/>
  <c r="CI49" i="6"/>
  <c r="CT49" i="6" s="1"/>
  <c r="CI32" i="6"/>
  <c r="CT32" i="6" s="1"/>
  <c r="CI34" i="6"/>
  <c r="CT34" i="6" s="1"/>
  <c r="CI42" i="6"/>
  <c r="CT42" i="6" s="1"/>
  <c r="CI44" i="6"/>
  <c r="CT44" i="6" s="1"/>
  <c r="CI46" i="6"/>
  <c r="CT46" i="6" s="1"/>
  <c r="CI43" i="6"/>
  <c r="CT43" i="6" s="1"/>
  <c r="CI48" i="6"/>
  <c r="CT48" i="6" s="1"/>
  <c r="CI33" i="6"/>
  <c r="CT33" i="6" s="1"/>
  <c r="CI35" i="6"/>
  <c r="CT35" i="6" s="1"/>
  <c r="CI36" i="6"/>
  <c r="CT36" i="6" s="1"/>
  <c r="CI45" i="6"/>
  <c r="CT45" i="6" s="1"/>
  <c r="CI47" i="6"/>
  <c r="CT47" i="6" s="1"/>
  <c r="H119" i="6"/>
  <c r="J119" i="6" s="1"/>
  <c r="AD26" i="6"/>
  <c r="CV26" i="6"/>
  <c r="CW26" i="6"/>
  <c r="CX26" i="6"/>
  <c r="CY26" i="6"/>
  <c r="CZ26" i="6"/>
  <c r="DA26" i="6"/>
  <c r="DB26" i="6"/>
  <c r="DC26" i="6"/>
  <c r="AD27" i="6"/>
  <c r="CV27" i="6"/>
  <c r="CW27" i="6"/>
  <c r="CX27" i="6"/>
  <c r="CY27" i="6"/>
  <c r="CZ27" i="6"/>
  <c r="DA27" i="6"/>
  <c r="DB27" i="6"/>
  <c r="DC27" i="6"/>
  <c r="AD28" i="6"/>
  <c r="CV28" i="6"/>
  <c r="CW28" i="6"/>
  <c r="CX28" i="6"/>
  <c r="CY28" i="6"/>
  <c r="CZ28" i="6"/>
  <c r="DA28" i="6"/>
  <c r="DB28" i="6"/>
  <c r="DC28" i="6"/>
  <c r="AD29" i="6"/>
  <c r="CV29" i="6"/>
  <c r="CW29" i="6"/>
  <c r="CX29" i="6"/>
  <c r="CY29" i="6"/>
  <c r="CZ29" i="6"/>
  <c r="DA29" i="6"/>
  <c r="DB29" i="6"/>
  <c r="DC29" i="6"/>
  <c r="AD30" i="6"/>
  <c r="CV30" i="6"/>
  <c r="CW30" i="6"/>
  <c r="CX30" i="6"/>
  <c r="CY30" i="6"/>
  <c r="CZ30" i="6"/>
  <c r="DA30" i="6"/>
  <c r="DB30" i="6"/>
  <c r="DC30" i="6"/>
  <c r="AD31" i="6"/>
  <c r="CV31" i="6"/>
  <c r="CW31" i="6"/>
  <c r="CX31" i="6"/>
  <c r="CY31" i="6"/>
  <c r="CZ31" i="6"/>
  <c r="DA31" i="6"/>
  <c r="DB31" i="6"/>
  <c r="DC31" i="6"/>
  <c r="AD32" i="6"/>
  <c r="DA32" i="6"/>
  <c r="AD33" i="6"/>
  <c r="CY33" i="6"/>
  <c r="AD34" i="6"/>
  <c r="DC34" i="6"/>
  <c r="DA35" i="6"/>
  <c r="CV36" i="6"/>
  <c r="DC36" i="6"/>
  <c r="CX37" i="6"/>
  <c r="CV40" i="6"/>
  <c r="CW40" i="6"/>
  <c r="CX40" i="6"/>
  <c r="CY40" i="6"/>
  <c r="CZ40" i="6"/>
  <c r="DA40" i="6"/>
  <c r="DB40" i="6"/>
  <c r="DC40" i="6"/>
  <c r="AD41" i="6"/>
  <c r="DA33" i="6"/>
  <c r="DC33" i="6"/>
  <c r="CX34" i="6"/>
  <c r="DA34" i="6"/>
  <c r="AD35" i="6"/>
  <c r="CV35" i="6"/>
  <c r="CZ35" i="6"/>
  <c r="DC35" i="6"/>
  <c r="CY36" i="6"/>
  <c r="CV37" i="6"/>
  <c r="CW38" i="6"/>
  <c r="CZ38" i="6"/>
  <c r="DB38" i="6"/>
  <c r="AD39" i="6"/>
  <c r="CX39" i="6"/>
  <c r="DA39" i="6"/>
  <c r="CW41" i="6"/>
  <c r="DB41" i="6"/>
  <c r="CV49" i="6"/>
  <c r="CW49" i="6"/>
  <c r="CX49" i="6"/>
  <c r="CY49" i="6"/>
  <c r="CZ49" i="6"/>
  <c r="DA49" i="6"/>
  <c r="DB49" i="6"/>
  <c r="DC49" i="6"/>
  <c r="CW32" i="6"/>
  <c r="CZ32" i="6"/>
  <c r="DC32" i="6"/>
  <c r="CX33" i="6"/>
  <c r="DB33" i="6"/>
  <c r="CV34" i="6"/>
  <c r="CZ34" i="6"/>
  <c r="CX35" i="6"/>
  <c r="DB35" i="6"/>
  <c r="CX36" i="6"/>
  <c r="DB36" i="6"/>
  <c r="CW37" i="6"/>
  <c r="CZ37" i="6"/>
  <c r="DB37" i="6"/>
  <c r="AD38" i="6"/>
  <c r="CX38" i="6"/>
  <c r="DC38" i="6"/>
  <c r="CV39" i="6"/>
  <c r="CY39" i="6"/>
  <c r="DC39" i="6"/>
  <c r="CY41" i="6"/>
  <c r="DA41" i="6"/>
  <c r="CW42" i="6"/>
  <c r="CY42" i="6"/>
  <c r="DA42" i="6"/>
  <c r="DC42" i="6"/>
  <c r="CV43" i="6"/>
  <c r="CX43" i="6"/>
  <c r="DA43" i="6"/>
  <c r="DB43" i="6"/>
  <c r="DC43" i="6"/>
  <c r="CW44" i="6"/>
  <c r="CZ44" i="6"/>
  <c r="DB44" i="6"/>
  <c r="CW45" i="6"/>
  <c r="CY45" i="6"/>
  <c r="CZ45" i="6"/>
  <c r="DA45" i="6"/>
  <c r="DC45" i="6"/>
  <c r="DB47" i="6"/>
  <c r="DC47" i="6"/>
  <c r="CW48" i="6"/>
  <c r="DA48" i="6"/>
  <c r="AD49" i="6"/>
  <c r="CX32" i="6"/>
  <c r="CV33" i="6"/>
  <c r="CW34" i="6"/>
  <c r="CY35" i="6"/>
  <c r="AD36" i="6"/>
  <c r="CZ36" i="6"/>
  <c r="DC37" i="6"/>
  <c r="CV41" i="6"/>
  <c r="CX42" i="6"/>
  <c r="AD43" i="6"/>
  <c r="CZ43" i="6"/>
  <c r="AD45" i="6"/>
  <c r="CX48" i="6"/>
  <c r="CZ48" i="6"/>
  <c r="DB48" i="6"/>
  <c r="CV32" i="6"/>
  <c r="CY32" i="6"/>
  <c r="DB32" i="6"/>
  <c r="CW33" i="6"/>
  <c r="CZ33" i="6"/>
  <c r="CY34" i="6"/>
  <c r="DB34" i="6"/>
  <c r="CW35" i="6"/>
  <c r="CW36" i="6"/>
  <c r="DA36" i="6"/>
  <c r="AD37" i="6"/>
  <c r="CY37" i="6"/>
  <c r="DA37" i="6"/>
  <c r="CV38" i="6"/>
  <c r="CY38" i="6"/>
  <c r="DA38" i="6"/>
  <c r="CW39" i="6"/>
  <c r="CZ39" i="6"/>
  <c r="DB39" i="6"/>
  <c r="AD40" i="6"/>
  <c r="CX41" i="6"/>
  <c r="CZ41" i="6"/>
  <c r="DC41" i="6"/>
  <c r="AD42" i="6"/>
  <c r="CV42" i="6"/>
  <c r="CZ42" i="6"/>
  <c r="DB42" i="6"/>
  <c r="CW43" i="6"/>
  <c r="CY43" i="6"/>
  <c r="AD44" i="6"/>
  <c r="CV44" i="6"/>
  <c r="CX44" i="6"/>
  <c r="CY44" i="6"/>
  <c r="DA44" i="6"/>
  <c r="DC44" i="6"/>
  <c r="CV45" i="6"/>
  <c r="CX45" i="6"/>
  <c r="DB45" i="6"/>
  <c r="CW47" i="6"/>
  <c r="CY47" i="6"/>
  <c r="AD48" i="6"/>
  <c r="CV48" i="6"/>
  <c r="CY48" i="6"/>
  <c r="DC48" i="6"/>
  <c r="H121" i="6"/>
  <c r="AX39" i="6" a="1"/>
  <c r="AX39" i="6" s="1"/>
  <c r="AX43" i="6" a="1"/>
  <c r="AX43" i="6" s="1"/>
  <c r="AX44" i="6" a="1"/>
  <c r="AX44" i="6" s="1"/>
  <c r="AX47" i="6" a="1"/>
  <c r="AX47" i="6" s="1"/>
  <c r="AX26" i="6" a="1"/>
  <c r="AX26" i="6" s="1"/>
  <c r="AX27" i="6" a="1"/>
  <c r="AX27" i="6" s="1"/>
  <c r="AX28" i="6" a="1"/>
  <c r="AX28" i="6" s="1"/>
  <c r="AX29" i="6" a="1"/>
  <c r="AX29" i="6" s="1"/>
  <c r="AX30" i="6" a="1"/>
  <c r="AX30" i="6" s="1"/>
  <c r="AX31" i="6" a="1"/>
  <c r="AX31" i="6" s="1"/>
  <c r="AX32" i="6" a="1"/>
  <c r="AX32" i="6" s="1"/>
  <c r="AX36" i="6" a="1"/>
  <c r="AX36" i="6" s="1"/>
  <c r="AX41" i="6" a="1"/>
  <c r="AX41" i="6" s="1"/>
  <c r="AX35" i="6" a="1"/>
  <c r="AX35" i="6" s="1"/>
  <c r="AX40" i="6" a="1"/>
  <c r="AX40" i="6" s="1"/>
  <c r="AX42" i="6" a="1"/>
  <c r="AX42" i="6" s="1"/>
  <c r="AX49" i="6" a="1"/>
  <c r="AX49" i="6" s="1"/>
  <c r="AX33" i="6" a="1"/>
  <c r="AX33" i="6" s="1"/>
  <c r="AX34" i="6" a="1"/>
  <c r="AX34" i="6" s="1"/>
  <c r="AX37" i="6" a="1"/>
  <c r="AX37" i="6" s="1"/>
  <c r="AX38" i="6" a="1"/>
  <c r="AX38" i="6" s="1"/>
  <c r="AX45" i="6" a="1"/>
  <c r="AX45" i="6" s="1"/>
  <c r="AX46" i="6" a="1"/>
  <c r="AX46" i="6" s="1"/>
  <c r="AX48" i="6" a="1"/>
  <c r="AX48" i="6" s="1"/>
  <c r="AF34" i="6"/>
  <c r="AG34" i="6" s="1"/>
  <c r="AF36" i="6"/>
  <c r="AG36" i="6" s="1"/>
  <c r="AF43" i="6"/>
  <c r="AG43" i="6" s="1"/>
  <c r="AF44" i="6"/>
  <c r="AG44" i="6" s="1"/>
  <c r="AF45" i="6"/>
  <c r="AG45" i="6" s="1"/>
  <c r="AF46" i="6"/>
  <c r="AG46" i="6" s="1"/>
  <c r="AF40" i="6"/>
  <c r="AG40" i="6" s="1"/>
  <c r="AF33" i="6"/>
  <c r="AG33" i="6" s="1"/>
  <c r="AF39" i="6"/>
  <c r="AG39" i="6" s="1"/>
  <c r="AF47" i="6"/>
  <c r="AG47" i="6" s="1"/>
  <c r="AF48" i="6"/>
  <c r="AG48" i="6" s="1"/>
  <c r="AF27" i="6"/>
  <c r="AG27" i="6" s="1"/>
  <c r="AF28" i="6"/>
  <c r="AG28" i="6" s="1"/>
  <c r="AF29" i="6"/>
  <c r="AG29" i="6" s="1"/>
  <c r="AF30" i="6"/>
  <c r="AG30" i="6" s="1"/>
  <c r="AF31" i="6"/>
  <c r="AG31" i="6" s="1"/>
  <c r="AF32" i="6"/>
  <c r="AG32" i="6" s="1"/>
  <c r="AF35" i="6"/>
  <c r="AG35" i="6" s="1"/>
  <c r="AF38" i="6"/>
  <c r="AG38" i="6" s="1"/>
  <c r="AF41" i="6"/>
  <c r="AG41" i="6" s="1"/>
  <c r="AF42" i="6"/>
  <c r="AG42" i="6" s="1"/>
  <c r="AF49" i="6"/>
  <c r="AG49" i="6" s="1"/>
  <c r="BO28" i="1"/>
  <c r="CO28" i="1" s="1"/>
  <c r="BW29" i="1"/>
  <c r="CQ29" i="1" s="1"/>
  <c r="BS27" i="1"/>
  <c r="CP27" i="1" s="1"/>
  <c r="CE27" i="1"/>
  <c r="CS27" i="1" s="1"/>
  <c r="AF26" i="1"/>
  <c r="BS29" i="1"/>
  <c r="CP29" i="1" s="1"/>
  <c r="BS28" i="1"/>
  <c r="CP28" i="1" s="1"/>
  <c r="CI26" i="1"/>
  <c r="CT26" i="1" s="1"/>
  <c r="CE26" i="1"/>
  <c r="CS26" i="1" s="1"/>
  <c r="BK27" i="1"/>
  <c r="CN27" i="1" s="1"/>
  <c r="CE29" i="1"/>
  <c r="CS29" i="1" s="1"/>
  <c r="BK28" i="1"/>
  <c r="CN28" i="1" s="1"/>
  <c r="CI28" i="1"/>
  <c r="CT28" i="1" s="1"/>
  <c r="CI27" i="1"/>
  <c r="CT27" i="1" s="1"/>
  <c r="J108" i="1"/>
  <c r="AX26" i="1" a="1"/>
  <c r="AX26" i="1" s="1"/>
  <c r="J106" i="1"/>
  <c r="CE28" i="1"/>
  <c r="CS28" i="1" s="1"/>
  <c r="BS30" i="1"/>
  <c r="CP30" i="1" s="1"/>
  <c r="AF27" i="1"/>
  <c r="CA29" i="1"/>
  <c r="CR29" i="1" s="1"/>
  <c r="CA28" i="1"/>
  <c r="CR28" i="1" s="1"/>
  <c r="CA30" i="1"/>
  <c r="CR30" i="1" s="1"/>
  <c r="I116" i="1"/>
  <c r="I64" i="1"/>
  <c r="I114" i="1"/>
  <c r="H64" i="1"/>
  <c r="I112" i="1"/>
  <c r="G64" i="1"/>
  <c r="I110" i="1"/>
  <c r="F64" i="1"/>
  <c r="I118" i="1"/>
  <c r="J64" i="1"/>
  <c r="T65" i="1" a="1"/>
  <c r="T65" i="1" s="1"/>
  <c r="D44" i="1" s="1"/>
  <c r="AX27" i="1" a="1"/>
  <c r="AX27" i="1" s="1"/>
  <c r="J118" i="1"/>
  <c r="S65" i="1" a="1"/>
  <c r="S65" i="1" s="1"/>
  <c r="D43" i="1" s="1"/>
  <c r="R65" i="1" a="1"/>
  <c r="R65" i="1" s="1"/>
  <c r="D42" i="1" s="1"/>
  <c r="U65" i="1" a="1"/>
  <c r="U65" i="1" s="1"/>
  <c r="D45" i="1" s="1"/>
  <c r="P65" i="1" a="1"/>
  <c r="P65" i="1" s="1"/>
  <c r="O65" i="1" a="1"/>
  <c r="O65" i="1" s="1"/>
  <c r="Q65" i="1" a="1"/>
  <c r="Q65" i="1" s="1"/>
  <c r="D41" i="1" s="1"/>
  <c r="N65" i="1" a="1"/>
  <c r="N65" i="1" s="1"/>
  <c r="J104" i="1"/>
  <c r="J116" i="1"/>
  <c r="J114" i="1"/>
  <c r="J112" i="1"/>
  <c r="J110" i="1"/>
  <c r="H111" i="1"/>
  <c r="H115" i="1"/>
  <c r="H113" i="1"/>
  <c r="H109" i="1"/>
  <c r="H119" i="1"/>
  <c r="H107" i="1"/>
  <c r="H117" i="1"/>
  <c r="AX47" i="1" a="1"/>
  <c r="AX47" i="1" s="1"/>
  <c r="H105" i="1"/>
  <c r="DC26" i="1"/>
  <c r="CY39" i="1"/>
  <c r="DB42" i="1"/>
  <c r="DB43" i="1"/>
  <c r="DB44" i="1"/>
  <c r="DB45" i="1"/>
  <c r="DB46" i="1"/>
  <c r="DB47" i="1"/>
  <c r="DB48" i="1"/>
  <c r="DB49" i="1"/>
  <c r="DA26" i="1"/>
  <c r="DA27" i="1"/>
  <c r="DA28" i="1"/>
  <c r="DA29" i="1"/>
  <c r="DA30" i="1"/>
  <c r="DA31" i="1"/>
  <c r="DA32" i="1"/>
  <c r="DA33" i="1"/>
  <c r="DA34" i="1"/>
  <c r="DA35" i="1"/>
  <c r="DA36" i="1"/>
  <c r="DA37" i="1"/>
  <c r="DA38" i="1"/>
  <c r="DA39" i="1"/>
  <c r="DA40" i="1"/>
  <c r="DA41" i="1"/>
  <c r="DA42" i="1"/>
  <c r="DA43" i="1"/>
  <c r="DA44" i="1"/>
  <c r="DA45" i="1"/>
  <c r="DB40" i="1"/>
  <c r="DB39" i="1"/>
  <c r="DB38" i="1"/>
  <c r="DB36" i="1"/>
  <c r="DB35" i="1"/>
  <c r="DB34" i="1"/>
  <c r="DB33" i="1"/>
  <c r="DA46" i="1"/>
  <c r="DA47" i="1"/>
  <c r="DA48" i="1"/>
  <c r="DA49" i="1"/>
  <c r="CZ26" i="1"/>
  <c r="CZ27" i="1"/>
  <c r="CZ28" i="1"/>
  <c r="CZ29" i="1"/>
  <c r="CZ30" i="1"/>
  <c r="CZ31" i="1"/>
  <c r="CZ32" i="1"/>
  <c r="CZ33" i="1"/>
  <c r="CZ34" i="1"/>
  <c r="CZ35" i="1"/>
  <c r="CZ36" i="1"/>
  <c r="CZ37" i="1"/>
  <c r="CZ38" i="1"/>
  <c r="CZ39" i="1"/>
  <c r="CZ40" i="1"/>
  <c r="CZ41" i="1"/>
  <c r="CZ42" i="1"/>
  <c r="CZ43" i="1"/>
  <c r="CZ44" i="1"/>
  <c r="CZ45" i="1"/>
  <c r="CZ46" i="1"/>
  <c r="CZ47" i="1"/>
  <c r="CZ48" i="1"/>
  <c r="CZ49" i="1"/>
  <c r="CY26" i="1"/>
  <c r="CY27" i="1"/>
  <c r="CY28" i="1"/>
  <c r="CY29" i="1"/>
  <c r="CY30" i="1"/>
  <c r="CY31" i="1"/>
  <c r="CY32" i="1"/>
  <c r="CY33" i="1"/>
  <c r="CY34" i="1"/>
  <c r="CY35" i="1"/>
  <c r="CY36" i="1"/>
  <c r="CY37" i="1"/>
  <c r="DC27" i="1"/>
  <c r="DB32" i="1"/>
  <c r="DC28" i="1"/>
  <c r="CY41" i="1"/>
  <c r="CY42" i="1"/>
  <c r="CY43" i="1"/>
  <c r="CY44" i="1"/>
  <c r="CY45" i="1"/>
  <c r="CY46" i="1"/>
  <c r="CY47" i="1"/>
  <c r="CY48" i="1"/>
  <c r="CY49" i="1"/>
  <c r="CX26" i="1"/>
  <c r="CX27" i="1"/>
  <c r="CX28" i="1"/>
  <c r="CX29" i="1"/>
  <c r="CX30" i="1"/>
  <c r="CX31" i="1"/>
  <c r="CX32" i="1"/>
  <c r="CX33" i="1"/>
  <c r="DB41" i="1"/>
  <c r="CX35" i="1"/>
  <c r="CX36" i="1"/>
  <c r="CX37" i="1"/>
  <c r="CX38" i="1"/>
  <c r="CX39" i="1"/>
  <c r="CX40" i="1"/>
  <c r="CX41" i="1"/>
  <c r="CX42" i="1"/>
  <c r="CX43" i="1"/>
  <c r="CX44" i="1"/>
  <c r="CX45" i="1"/>
  <c r="CX46" i="1"/>
  <c r="CX47" i="1"/>
  <c r="CX48" i="1"/>
  <c r="CX49" i="1"/>
  <c r="CW26" i="1"/>
  <c r="CW27" i="1"/>
  <c r="CW28" i="1"/>
  <c r="CW29" i="1"/>
  <c r="CW30" i="1"/>
  <c r="CW31" i="1"/>
  <c r="CW32" i="1"/>
  <c r="CW33" i="1"/>
  <c r="CW34" i="1"/>
  <c r="DB31" i="1"/>
  <c r="DB30" i="1"/>
  <c r="DB29" i="1"/>
  <c r="CW35" i="1"/>
  <c r="CW36" i="1"/>
  <c r="CW37" i="1"/>
  <c r="CW38" i="1"/>
  <c r="CW39" i="1"/>
  <c r="CW40" i="1"/>
  <c r="CW41" i="1"/>
  <c r="CW42" i="1"/>
  <c r="CW43" i="1"/>
  <c r="CW44" i="1"/>
  <c r="CW45" i="1"/>
  <c r="CW46" i="1"/>
  <c r="CW47" i="1"/>
  <c r="CW48" i="1"/>
  <c r="CW49" i="1"/>
  <c r="CV26" i="1"/>
  <c r="CV27" i="1"/>
  <c r="CV28" i="1"/>
  <c r="CV29" i="1"/>
  <c r="CV30" i="1"/>
  <c r="CV31" i="1"/>
  <c r="CV32" i="1"/>
  <c r="CV33" i="1"/>
  <c r="CV34" i="1"/>
  <c r="CV35" i="1"/>
  <c r="CV36" i="1"/>
  <c r="CV37" i="1"/>
  <c r="CV38" i="1"/>
  <c r="CV39" i="1"/>
  <c r="CV40" i="1"/>
  <c r="CV41" i="1"/>
  <c r="CV42" i="1"/>
  <c r="CV43" i="1"/>
  <c r="CV44" i="1"/>
  <c r="CV45" i="1"/>
  <c r="CV46" i="1"/>
  <c r="CV47" i="1"/>
  <c r="CV48" i="1"/>
  <c r="CV49" i="1"/>
  <c r="DB28" i="1"/>
  <c r="DB27" i="1"/>
  <c r="DB26" i="1"/>
  <c r="DC49" i="1"/>
  <c r="DC48" i="1"/>
  <c r="DC47" i="1"/>
  <c r="DC46" i="1"/>
  <c r="DC45" i="1"/>
  <c r="DC44" i="1"/>
  <c r="DC43" i="1"/>
  <c r="DC42" i="1"/>
  <c r="DC41" i="1"/>
  <c r="DC40" i="1"/>
  <c r="DC39" i="1"/>
  <c r="DC38" i="1"/>
  <c r="DC37" i="1"/>
  <c r="DC36" i="1"/>
  <c r="DC35" i="1"/>
  <c r="H121" i="1"/>
  <c r="DB37" i="1"/>
  <c r="DC34" i="1"/>
  <c r="DC33" i="1"/>
  <c r="DC32" i="1"/>
  <c r="DC31" i="1"/>
  <c r="DC30" i="1"/>
  <c r="DC29" i="1"/>
  <c r="CY40" i="1"/>
  <c r="CY38" i="1"/>
  <c r="CX34" i="1"/>
  <c r="BS34" i="1"/>
  <c r="CP34" i="1" s="1"/>
  <c r="BS33" i="1"/>
  <c r="CP33" i="1" s="1"/>
  <c r="BS31" i="1"/>
  <c r="CP31" i="1" s="1"/>
  <c r="BS36" i="1"/>
  <c r="CP36" i="1" s="1"/>
  <c r="Q55" i="1"/>
  <c r="BS32" i="1"/>
  <c r="CP32" i="1" s="1"/>
  <c r="AY26" i="1"/>
  <c r="AF29" i="1"/>
  <c r="P55" i="1"/>
  <c r="O55" i="1"/>
  <c r="AF32" i="1"/>
  <c r="BS35" i="1"/>
  <c r="CP35" i="1" s="1"/>
  <c r="U55" i="1"/>
  <c r="AF31" i="1"/>
  <c r="AF35" i="1"/>
  <c r="AF38" i="1"/>
  <c r="AF44" i="1"/>
  <c r="BW49" i="1"/>
  <c r="CQ49" i="1" s="1"/>
  <c r="BW48" i="1"/>
  <c r="CQ48" i="1" s="1"/>
  <c r="BW47" i="1"/>
  <c r="CQ47" i="1" s="1"/>
  <c r="BW46" i="1"/>
  <c r="CQ46" i="1" s="1"/>
  <c r="BW45" i="1"/>
  <c r="CQ45" i="1" s="1"/>
  <c r="BW44" i="1"/>
  <c r="CQ44" i="1" s="1"/>
  <c r="BW43" i="1"/>
  <c r="CQ43" i="1" s="1"/>
  <c r="BW42" i="1"/>
  <c r="CQ42" i="1" s="1"/>
  <c r="BW41" i="1"/>
  <c r="CQ41" i="1" s="1"/>
  <c r="BW40" i="1"/>
  <c r="CQ40" i="1" s="1"/>
  <c r="BW39" i="1"/>
  <c r="CQ39" i="1" s="1"/>
  <c r="BW38" i="1"/>
  <c r="CQ38" i="1" s="1"/>
  <c r="BW37" i="1"/>
  <c r="CQ37" i="1" s="1"/>
  <c r="BW36" i="1"/>
  <c r="CQ36" i="1" s="1"/>
  <c r="BW35" i="1"/>
  <c r="CQ35" i="1" s="1"/>
  <c r="BW34" i="1"/>
  <c r="CQ34" i="1" s="1"/>
  <c r="BW33" i="1"/>
  <c r="CQ33" i="1" s="1"/>
  <c r="BW32" i="1"/>
  <c r="CQ32" i="1" s="1"/>
  <c r="BW31" i="1"/>
  <c r="CQ31" i="1" s="1"/>
  <c r="BW30" i="1"/>
  <c r="CQ30" i="1" s="1"/>
  <c r="CA42" i="1"/>
  <c r="CR42" i="1" s="1"/>
  <c r="BS40" i="1"/>
  <c r="CP40" i="1" s="1"/>
  <c r="BS47" i="1"/>
  <c r="CP47" i="1" s="1"/>
  <c r="BO38" i="1"/>
  <c r="CO38" i="1" s="1"/>
  <c r="BO46" i="1"/>
  <c r="CO46" i="1" s="1"/>
  <c r="BK46" i="1"/>
  <c r="CN46" i="1" s="1"/>
  <c r="BK39" i="1"/>
  <c r="CN39" i="1" s="1"/>
  <c r="BG28" i="1"/>
  <c r="CM28" i="1" s="1"/>
  <c r="BG31" i="1"/>
  <c r="CM31" i="1" s="1"/>
  <c r="BG37" i="1"/>
  <c r="CM37" i="1" s="1"/>
  <c r="BG40" i="1"/>
  <c r="CM40" i="1" s="1"/>
  <c r="BS45" i="1"/>
  <c r="CP45" i="1" s="1"/>
  <c r="BS49" i="1"/>
  <c r="CP49" i="1" s="1"/>
  <c r="BO37" i="1"/>
  <c r="CO37" i="1" s="1"/>
  <c r="BO47" i="1"/>
  <c r="CO47" i="1" s="1"/>
  <c r="AX45" i="1" a="1"/>
  <c r="AX45" i="1" s="1"/>
  <c r="AX44" i="1" a="1"/>
  <c r="AX44" i="1" s="1"/>
  <c r="AX49" i="1" a="1"/>
  <c r="AX49" i="1" s="1"/>
  <c r="AX48" i="1" a="1"/>
  <c r="AX48" i="1" s="1"/>
  <c r="AX46" i="1" a="1"/>
  <c r="AX46" i="1" s="1"/>
  <c r="AX42" i="1" a="1"/>
  <c r="AX42" i="1" s="1"/>
  <c r="AX43" i="1" a="1"/>
  <c r="AX43" i="1" s="1"/>
  <c r="BK36" i="1"/>
  <c r="CN36" i="1" s="1"/>
  <c r="BK42" i="1"/>
  <c r="CN42" i="1" s="1"/>
  <c r="BG30" i="1"/>
  <c r="CM30" i="1" s="1"/>
  <c r="BG34" i="1"/>
  <c r="CM34" i="1" s="1"/>
  <c r="BG45" i="1"/>
  <c r="CM45" i="1" s="1"/>
  <c r="CA35" i="1"/>
  <c r="CR35" i="1" s="1"/>
  <c r="CA44" i="1"/>
  <c r="CR44" i="1" s="1"/>
  <c r="BS44" i="1"/>
  <c r="CP44" i="1" s="1"/>
  <c r="BO30" i="1"/>
  <c r="CO30" i="1" s="1"/>
  <c r="BO41" i="1"/>
  <c r="CO41" i="1" s="1"/>
  <c r="BK47" i="1"/>
  <c r="CN47" i="1" s="1"/>
  <c r="BG29" i="1"/>
  <c r="CM29" i="1" s="1"/>
  <c r="BG39" i="1"/>
  <c r="CM39" i="1" s="1"/>
  <c r="BG42" i="1"/>
  <c r="CM42" i="1" s="1"/>
  <c r="CA32" i="1"/>
  <c r="CR32" i="1" s="1"/>
  <c r="CA36" i="1"/>
  <c r="CR36" i="1" s="1"/>
  <c r="CA43" i="1"/>
  <c r="CR43" i="1" s="1"/>
  <c r="BS38" i="1"/>
  <c r="CP38" i="1" s="1"/>
  <c r="BS46" i="1"/>
  <c r="CP46" i="1" s="1"/>
  <c r="BO36" i="1"/>
  <c r="CO36" i="1" s="1"/>
  <c r="BO43" i="1"/>
  <c r="CO43" i="1" s="1"/>
  <c r="BO49" i="1"/>
  <c r="CO49" i="1" s="1"/>
  <c r="BO31" i="1"/>
  <c r="CO31" i="1" s="1"/>
  <c r="BK29" i="1"/>
  <c r="CN29" i="1" s="1"/>
  <c r="BK37" i="1"/>
  <c r="CN37" i="1" s="1"/>
  <c r="BK45" i="1"/>
  <c r="CN45" i="1" s="1"/>
  <c r="BG33" i="1"/>
  <c r="CM33" i="1" s="1"/>
  <c r="BG41" i="1"/>
  <c r="CM41" i="1" s="1"/>
  <c r="BG47" i="1"/>
  <c r="CM47" i="1" s="1"/>
  <c r="BK31" i="1"/>
  <c r="CN31" i="1" s="1"/>
  <c r="BK41" i="1"/>
  <c r="CN41" i="1" s="1"/>
  <c r="BK48" i="1"/>
  <c r="CN48" i="1" s="1"/>
  <c r="BG32" i="1"/>
  <c r="CM32" i="1" s="1"/>
  <c r="BG38" i="1"/>
  <c r="CM38" i="1" s="1"/>
  <c r="BG48" i="1"/>
  <c r="CM48" i="1" s="1"/>
  <c r="CI29" i="1"/>
  <c r="CT29" i="1" s="1"/>
  <c r="CI30" i="1"/>
  <c r="CT30" i="1" s="1"/>
  <c r="CI31" i="1"/>
  <c r="CT31" i="1" s="1"/>
  <c r="CI32" i="1"/>
  <c r="CT32" i="1" s="1"/>
  <c r="CI33" i="1"/>
  <c r="CT33" i="1" s="1"/>
  <c r="CI34" i="1"/>
  <c r="CT34" i="1" s="1"/>
  <c r="CI35" i="1"/>
  <c r="CT35" i="1" s="1"/>
  <c r="CI36" i="1"/>
  <c r="CT36" i="1" s="1"/>
  <c r="CI37" i="1"/>
  <c r="CT37" i="1" s="1"/>
  <c r="CI38" i="1"/>
  <c r="CT38" i="1" s="1"/>
  <c r="CI39" i="1"/>
  <c r="CT39" i="1" s="1"/>
  <c r="CI40" i="1"/>
  <c r="CT40" i="1" s="1"/>
  <c r="CI41" i="1"/>
  <c r="CT41" i="1" s="1"/>
  <c r="CI42" i="1"/>
  <c r="CT42" i="1" s="1"/>
  <c r="CI44" i="1"/>
  <c r="CT44" i="1" s="1"/>
  <c r="CI45" i="1"/>
  <c r="CT45" i="1" s="1"/>
  <c r="CI46" i="1"/>
  <c r="CT46" i="1" s="1"/>
  <c r="CI47" i="1"/>
  <c r="CT47" i="1" s="1"/>
  <c r="CI48" i="1"/>
  <c r="CT48" i="1" s="1"/>
  <c r="CI49" i="1"/>
  <c r="CT49" i="1" s="1"/>
  <c r="CA41" i="1"/>
  <c r="CR41" i="1" s="1"/>
  <c r="CA48" i="1"/>
  <c r="CR48" i="1" s="1"/>
  <c r="BS37" i="1"/>
  <c r="CP37" i="1" s="1"/>
  <c r="BS48" i="1"/>
  <c r="CP48" i="1" s="1"/>
  <c r="BO32" i="1"/>
  <c r="CO32" i="1" s="1"/>
  <c r="BK34" i="1"/>
  <c r="CN34" i="1" s="1"/>
  <c r="BK44" i="1"/>
  <c r="CN44" i="1" s="1"/>
  <c r="BG46" i="1"/>
  <c r="CM46" i="1" s="1"/>
  <c r="CA34" i="1"/>
  <c r="CR34" i="1" s="1"/>
  <c r="CA40" i="1"/>
  <c r="CR40" i="1" s="1"/>
  <c r="BO44" i="1"/>
  <c r="CO44" i="1" s="1"/>
  <c r="BG35" i="1"/>
  <c r="CM35" i="1" s="1"/>
  <c r="BG43" i="1"/>
  <c r="CM43" i="1" s="1"/>
  <c r="BG49" i="1"/>
  <c r="CM49" i="1" s="1"/>
  <c r="CA39" i="1"/>
  <c r="CR39" i="1" s="1"/>
  <c r="CA46" i="1"/>
  <c r="CR46" i="1" s="1"/>
  <c r="CA49" i="1"/>
  <c r="CR49" i="1" s="1"/>
  <c r="BS43" i="1"/>
  <c r="CP43" i="1" s="1"/>
  <c r="BO33" i="1"/>
  <c r="CO33" i="1" s="1"/>
  <c r="BO42" i="1"/>
  <c r="CO42" i="1" s="1"/>
  <c r="BO48" i="1"/>
  <c r="CO48" i="1" s="1"/>
  <c r="BK30" i="1"/>
  <c r="CN30" i="1" s="1"/>
  <c r="BK33" i="1"/>
  <c r="CN33" i="1" s="1"/>
  <c r="BK35" i="1"/>
  <c r="CN35" i="1" s="1"/>
  <c r="BK43" i="1"/>
  <c r="CN43" i="1" s="1"/>
  <c r="BK49" i="1"/>
  <c r="CN49" i="1" s="1"/>
  <c r="BG44" i="1"/>
  <c r="CM44" i="1" s="1"/>
  <c r="BS39" i="1"/>
  <c r="CP39" i="1" s="1"/>
  <c r="BO34" i="1"/>
  <c r="CO34" i="1" s="1"/>
  <c r="BO40" i="1"/>
  <c r="CO40" i="1" s="1"/>
  <c r="BK32" i="1"/>
  <c r="CN32" i="1" s="1"/>
  <c r="BK40" i="1"/>
  <c r="CN40" i="1" s="1"/>
  <c r="BG36" i="1"/>
  <c r="CM36" i="1" s="1"/>
  <c r="CA33" i="1"/>
  <c r="CR33" i="1" s="1"/>
  <c r="CA37" i="1"/>
  <c r="CR37" i="1" s="1"/>
  <c r="CA45" i="1"/>
  <c r="CR45" i="1" s="1"/>
  <c r="BS41" i="1"/>
  <c r="CP41" i="1" s="1"/>
  <c r="BO35" i="1"/>
  <c r="CO35" i="1" s="1"/>
  <c r="BO45" i="1"/>
  <c r="CO45" i="1" s="1"/>
  <c r="BK38" i="1"/>
  <c r="CN38" i="1" s="1"/>
  <c r="CI43" i="1"/>
  <c r="CT43" i="1" s="1"/>
  <c r="CA38" i="1"/>
  <c r="CR38" i="1" s="1"/>
  <c r="CA47" i="1"/>
  <c r="CR47" i="1" s="1"/>
  <c r="BS42" i="1"/>
  <c r="CP42" i="1" s="1"/>
  <c r="BO29" i="1"/>
  <c r="CO29" i="1" s="1"/>
  <c r="BO39" i="1"/>
  <c r="CO39" i="1" s="1"/>
  <c r="AF48" i="1"/>
  <c r="AF49" i="1"/>
  <c r="R55" i="1"/>
  <c r="G65" i="1" s="1"/>
  <c r="N55" i="1"/>
  <c r="AF28" i="1"/>
  <c r="S55" i="1"/>
  <c r="H65" i="1" s="1"/>
  <c r="AF33" i="1"/>
  <c r="CE34" i="1"/>
  <c r="CS34" i="1" s="1"/>
  <c r="CE32" i="1"/>
  <c r="CS32" i="1" s="1"/>
  <c r="CE36" i="1"/>
  <c r="CS36" i="1" s="1"/>
  <c r="CE30" i="1"/>
  <c r="CS30" i="1" s="1"/>
  <c r="AF30" i="1"/>
  <c r="AF45" i="1"/>
  <c r="AF47" i="1"/>
  <c r="AF41" i="1"/>
  <c r="AF46" i="1"/>
  <c r="CE37" i="1"/>
  <c r="CS37" i="1" s="1"/>
  <c r="CE40" i="1"/>
  <c r="CS40" i="1" s="1"/>
  <c r="CE42" i="1"/>
  <c r="CS42" i="1" s="1"/>
  <c r="CE44" i="1"/>
  <c r="CS44" i="1" s="1"/>
  <c r="CE46" i="1"/>
  <c r="CS46" i="1" s="1"/>
  <c r="CE48" i="1"/>
  <c r="CS48" i="1" s="1"/>
  <c r="AF34" i="1"/>
  <c r="AF37" i="1"/>
  <c r="AF40" i="1"/>
  <c r="AF43" i="1"/>
  <c r="CE31" i="1"/>
  <c r="CS31" i="1" s="1"/>
  <c r="CE33" i="1"/>
  <c r="CS33" i="1" s="1"/>
  <c r="CE35" i="1"/>
  <c r="CS35" i="1" s="1"/>
  <c r="CE38" i="1"/>
  <c r="CS38" i="1" s="1"/>
  <c r="CE39" i="1"/>
  <c r="CS39" i="1" s="1"/>
  <c r="CE41" i="1"/>
  <c r="CS41" i="1" s="1"/>
  <c r="CE43" i="1"/>
  <c r="CS43" i="1" s="1"/>
  <c r="CE45" i="1"/>
  <c r="CS45" i="1" s="1"/>
  <c r="CE47" i="1"/>
  <c r="CS47" i="1" s="1"/>
  <c r="CE49" i="1"/>
  <c r="CS49" i="1" s="1"/>
  <c r="AF36" i="1"/>
  <c r="AF39" i="1"/>
  <c r="AF42" i="1"/>
  <c r="T55" i="1"/>
  <c r="I65" i="1" s="1"/>
  <c r="AX39" i="1" a="1"/>
  <c r="AX39" i="1" s="1"/>
  <c r="AX40" i="1" a="1"/>
  <c r="AX40" i="1" s="1"/>
  <c r="AD28" i="1"/>
  <c r="AD31" i="1"/>
  <c r="AD26" i="1"/>
  <c r="AD27" i="1"/>
  <c r="AD29" i="1"/>
  <c r="AD30" i="1"/>
  <c r="AX41" i="1" a="1"/>
  <c r="AX41" i="1" s="1"/>
  <c r="AX31" i="1" a="1"/>
  <c r="AX31" i="1" s="1"/>
  <c r="AX28" i="1" a="1"/>
  <c r="AX28" i="1" s="1"/>
  <c r="AX37" i="1" a="1"/>
  <c r="AX37" i="1" s="1"/>
  <c r="AX38" i="1" a="1"/>
  <c r="AX38" i="1" s="1"/>
  <c r="AX36" i="1" a="1"/>
  <c r="AX36" i="1" s="1"/>
  <c r="AY27" i="1"/>
  <c r="AY28" i="1"/>
  <c r="AY29" i="1"/>
  <c r="AY30" i="1"/>
  <c r="AY31" i="1"/>
  <c r="AY32" i="1"/>
  <c r="AY33" i="1"/>
  <c r="AY34" i="1"/>
  <c r="AY35" i="1"/>
  <c r="AY36" i="1"/>
  <c r="AY37" i="1"/>
  <c r="AY38" i="1"/>
  <c r="AY39" i="1"/>
  <c r="AY40" i="1"/>
  <c r="AY41" i="1"/>
  <c r="AY42" i="1"/>
  <c r="AY43" i="1"/>
  <c r="AY44" i="1"/>
  <c r="AY45" i="1"/>
  <c r="AY46" i="1"/>
  <c r="AY47" i="1"/>
  <c r="AY48" i="1"/>
  <c r="AY49" i="1"/>
  <c r="AX34" i="1" a="1"/>
  <c r="AX34" i="1" s="1"/>
  <c r="AX29" i="1" a="1"/>
  <c r="AX29" i="1" s="1"/>
  <c r="AX35" i="1" a="1"/>
  <c r="AX35" i="1" s="1"/>
  <c r="AX33" i="1" a="1"/>
  <c r="AX33" i="1" s="1"/>
  <c r="AX32" i="1" a="1"/>
  <c r="AX32" i="1" s="1"/>
  <c r="AX30" i="1" a="1"/>
  <c r="AX30" i="1" s="1"/>
  <c r="E64" i="1"/>
  <c r="D64" i="1"/>
  <c r="C64" i="1"/>
  <c r="AD45" i="1"/>
  <c r="AD32" i="1"/>
  <c r="AD33" i="1"/>
  <c r="AD34" i="1"/>
  <c r="AD35" i="1"/>
  <c r="AD36" i="1"/>
  <c r="AD37" i="1"/>
  <c r="AD38" i="1"/>
  <c r="AD39" i="1"/>
  <c r="AD40" i="1"/>
  <c r="AD41" i="1"/>
  <c r="AD42" i="1"/>
  <c r="AD43" i="1"/>
  <c r="AD44" i="1"/>
  <c r="AD46" i="1"/>
  <c r="AD47" i="1"/>
  <c r="AD48" i="1"/>
  <c r="AD49" i="1"/>
  <c r="I121" i="1" s="1"/>
  <c r="AG37" i="6" l="1"/>
  <c r="S57" i="6"/>
  <c r="I115" i="6"/>
  <c r="J115" i="6" s="1"/>
  <c r="H65" i="6"/>
  <c r="S56" i="6"/>
  <c r="R57" i="6"/>
  <c r="R56" i="6"/>
  <c r="I113" i="6"/>
  <c r="J113" i="6" s="1"/>
  <c r="G65" i="6"/>
  <c r="Q57" i="6"/>
  <c r="Q56" i="6"/>
  <c r="I111" i="6"/>
  <c r="J111" i="6" s="1"/>
  <c r="F65" i="6"/>
  <c r="P57" i="6"/>
  <c r="P56" i="6"/>
  <c r="I109" i="6"/>
  <c r="J109" i="6" s="1"/>
  <c r="E65" i="6"/>
  <c r="O57" i="6"/>
  <c r="O56" i="6"/>
  <c r="I107" i="6"/>
  <c r="J107" i="6" s="1"/>
  <c r="D65" i="6"/>
  <c r="AG26" i="6"/>
  <c r="N57" i="6"/>
  <c r="N56" i="6"/>
  <c r="I105" i="6"/>
  <c r="J105" i="6" s="1"/>
  <c r="C65" i="6"/>
  <c r="AD46" i="6"/>
  <c r="CV46" i="6"/>
  <c r="CW46" i="6"/>
  <c r="CX46" i="6"/>
  <c r="CY46" i="6"/>
  <c r="CZ46" i="6"/>
  <c r="DA46" i="6"/>
  <c r="DB46" i="6"/>
  <c r="DC46" i="6"/>
  <c r="AD47" i="6"/>
  <c r="CV47" i="6"/>
  <c r="CX47" i="6"/>
  <c r="CZ47" i="6"/>
  <c r="DA47" i="6"/>
  <c r="BA26" i="6"/>
  <c r="AH26" i="6"/>
  <c r="AH27" i="6"/>
  <c r="BA27" i="6"/>
  <c r="BA28" i="6"/>
  <c r="BA29" i="6"/>
  <c r="BA30" i="6"/>
  <c r="BA31" i="6"/>
  <c r="BA32" i="6"/>
  <c r="BA33" i="6"/>
  <c r="BA34" i="6"/>
  <c r="BA41" i="6"/>
  <c r="BA35" i="6"/>
  <c r="BA39" i="6"/>
  <c r="BA38" i="6"/>
  <c r="BA46" i="6"/>
  <c r="BA47" i="6"/>
  <c r="I121" i="6"/>
  <c r="J121" i="6" s="1"/>
  <c r="BA49" i="6"/>
  <c r="BA36" i="6"/>
  <c r="BA43" i="6"/>
  <c r="BA45" i="6"/>
  <c r="BA37" i="6"/>
  <c r="BA40" i="6"/>
  <c r="BA42" i="6"/>
  <c r="BA44" i="6"/>
  <c r="BA48" i="6"/>
  <c r="AZ47" i="6"/>
  <c r="AZ45" i="6"/>
  <c r="AZ44" i="6"/>
  <c r="AZ42" i="6"/>
  <c r="AZ36" i="6"/>
  <c r="AZ33" i="6"/>
  <c r="AZ39" i="6"/>
  <c r="AZ48" i="6"/>
  <c r="AZ46" i="6"/>
  <c r="AZ43" i="6"/>
  <c r="AZ37" i="6"/>
  <c r="AZ34" i="6"/>
  <c r="AZ49" i="6"/>
  <c r="AZ38" i="6"/>
  <c r="AZ35" i="6"/>
  <c r="AZ41" i="6"/>
  <c r="AZ40" i="6"/>
  <c r="AZ32" i="6"/>
  <c r="AZ31" i="6"/>
  <c r="AZ30" i="6"/>
  <c r="AZ29" i="6"/>
  <c r="AZ28" i="6"/>
  <c r="AZ27" i="6"/>
  <c r="AZ26" i="6"/>
  <c r="H120" i="6"/>
  <c r="AG26" i="1"/>
  <c r="AZ26" i="1"/>
  <c r="AG27" i="1"/>
  <c r="D40" i="1"/>
  <c r="AZ27" i="1"/>
  <c r="I111" i="1"/>
  <c r="F65" i="1"/>
  <c r="I119" i="1"/>
  <c r="J65" i="1"/>
  <c r="D39" i="1"/>
  <c r="D38" i="1"/>
  <c r="J121" i="1"/>
  <c r="U62" i="1"/>
  <c r="U63" i="1"/>
  <c r="J69" i="1" s="1"/>
  <c r="S62" i="1"/>
  <c r="S63" i="1"/>
  <c r="H69" i="1" s="1"/>
  <c r="R62" i="1"/>
  <c r="R63" i="1"/>
  <c r="G69" i="1" s="1"/>
  <c r="Q62" i="1"/>
  <c r="Q63" i="1"/>
  <c r="F69" i="1" s="1"/>
  <c r="P62" i="1"/>
  <c r="P64" i="1" s="1"/>
  <c r="F40" i="1" s="1"/>
  <c r="P63" i="1"/>
  <c r="O62" i="1"/>
  <c r="O64" i="1" s="1"/>
  <c r="F39" i="1" s="1"/>
  <c r="O63" i="1"/>
  <c r="N62" i="1"/>
  <c r="N64" i="1" s="1"/>
  <c r="F38" i="1" s="1"/>
  <c r="N63" i="1"/>
  <c r="T62" i="1"/>
  <c r="T63" i="1"/>
  <c r="I69" i="1" s="1"/>
  <c r="H120" i="1"/>
  <c r="P56" i="1"/>
  <c r="I109" i="1"/>
  <c r="J109" i="1" s="1"/>
  <c r="O56" i="1"/>
  <c r="I107" i="1"/>
  <c r="J107" i="1" s="1"/>
  <c r="R56" i="1"/>
  <c r="I113" i="1"/>
  <c r="J113" i="1" s="1"/>
  <c r="N56" i="1"/>
  <c r="I105" i="1"/>
  <c r="J105" i="1" s="1"/>
  <c r="S56" i="1"/>
  <c r="I115" i="1"/>
  <c r="J115" i="1" s="1"/>
  <c r="T56" i="1"/>
  <c r="I117" i="1"/>
  <c r="J117" i="1" s="1"/>
  <c r="Q56" i="1"/>
  <c r="Q57" i="1"/>
  <c r="U56" i="1"/>
  <c r="S57" i="1"/>
  <c r="P57" i="1"/>
  <c r="N57" i="1"/>
  <c r="O57" i="1"/>
  <c r="U57" i="1"/>
  <c r="AG29" i="1"/>
  <c r="AG31" i="1"/>
  <c r="AG38" i="1"/>
  <c r="AG44" i="1"/>
  <c r="AG32" i="1"/>
  <c r="AG35" i="1"/>
  <c r="R57" i="1"/>
  <c r="AG46" i="1"/>
  <c r="AG43" i="1"/>
  <c r="AG45" i="1"/>
  <c r="AG36" i="1"/>
  <c r="AG42" i="1"/>
  <c r="AG33" i="1"/>
  <c r="AG28" i="1"/>
  <c r="AG37" i="1"/>
  <c r="AG47" i="1"/>
  <c r="AG40" i="1"/>
  <c r="AG34" i="1"/>
  <c r="AG41" i="1"/>
  <c r="AG30" i="1"/>
  <c r="AG49" i="1"/>
  <c r="AG48" i="1"/>
  <c r="T57" i="1"/>
  <c r="BA27" i="1"/>
  <c r="BA29" i="1"/>
  <c r="BA31" i="1"/>
  <c r="BA26" i="1"/>
  <c r="BA28" i="1"/>
  <c r="BA30" i="1"/>
  <c r="AG39" i="1"/>
  <c r="AZ28" i="1"/>
  <c r="AZ29" i="1"/>
  <c r="AZ30" i="1"/>
  <c r="AZ31" i="1"/>
  <c r="AZ32" i="1"/>
  <c r="AZ33" i="1"/>
  <c r="AZ34" i="1"/>
  <c r="AZ35" i="1"/>
  <c r="AZ36" i="1"/>
  <c r="AZ37" i="1"/>
  <c r="AZ38" i="1"/>
  <c r="AZ39" i="1"/>
  <c r="AZ40" i="1"/>
  <c r="AZ41" i="1"/>
  <c r="AZ42" i="1"/>
  <c r="AZ43" i="1"/>
  <c r="AZ44" i="1"/>
  <c r="AZ45" i="1"/>
  <c r="AZ46" i="1"/>
  <c r="AZ47" i="1"/>
  <c r="AZ48" i="1"/>
  <c r="AZ49" i="1"/>
  <c r="C65" i="1"/>
  <c r="BA45" i="1"/>
  <c r="E65" i="1"/>
  <c r="BA32" i="1"/>
  <c r="BA33" i="1"/>
  <c r="BA34" i="1"/>
  <c r="BA35" i="1"/>
  <c r="BA36" i="1"/>
  <c r="BA37" i="1"/>
  <c r="BA38" i="1"/>
  <c r="BA39" i="1"/>
  <c r="BA40" i="1"/>
  <c r="BA41" i="1"/>
  <c r="BA42" i="1"/>
  <c r="BA43" i="1"/>
  <c r="BA44" i="1"/>
  <c r="BA46" i="1"/>
  <c r="BA47" i="1"/>
  <c r="BA48" i="1"/>
  <c r="BA49" i="1"/>
  <c r="D65" i="1"/>
  <c r="H67" i="6" l="1"/>
  <c r="C43" i="6"/>
  <c r="AH28" i="6"/>
  <c r="AH29" i="6"/>
  <c r="AH30" i="6"/>
  <c r="AH31" i="6"/>
  <c r="E43" i="6"/>
  <c r="H66" i="6"/>
  <c r="S63" i="6"/>
  <c r="H69" i="6" s="1"/>
  <c r="S62" i="6"/>
  <c r="G67" i="6"/>
  <c r="C42" i="6"/>
  <c r="C41" i="6"/>
  <c r="AH32" i="6"/>
  <c r="AH37" i="6"/>
  <c r="AH41" i="6"/>
  <c r="AH34" i="6"/>
  <c r="E42" i="6"/>
  <c r="G66" i="6"/>
  <c r="R62" i="6"/>
  <c r="R63" i="6"/>
  <c r="G69" i="6" s="1"/>
  <c r="F67" i="6"/>
  <c r="E41" i="6"/>
  <c r="F66" i="6"/>
  <c r="AH38" i="6"/>
  <c r="AH39" i="6"/>
  <c r="AH42" i="6"/>
  <c r="AH44" i="6"/>
  <c r="AH45" i="6"/>
  <c r="AH46" i="6"/>
  <c r="AH47" i="6"/>
  <c r="AH48" i="6"/>
  <c r="AH35" i="6"/>
  <c r="Q63" i="6"/>
  <c r="F69" i="6" s="1"/>
  <c r="Q62" i="6"/>
  <c r="E67" i="6"/>
  <c r="C40" i="6"/>
  <c r="E40" i="6"/>
  <c r="E66" i="6"/>
  <c r="P63" i="6"/>
  <c r="E69" i="6" s="1"/>
  <c r="P62" i="6"/>
  <c r="C38" i="6"/>
  <c r="D67" i="6"/>
  <c r="C39" i="6"/>
  <c r="E39" i="6"/>
  <c r="D66" i="6"/>
  <c r="AH40" i="6"/>
  <c r="AH49" i="6"/>
  <c r="AH33" i="6"/>
  <c r="AH36" i="6"/>
  <c r="AH43" i="6"/>
  <c r="O63" i="6"/>
  <c r="D69" i="6" s="1"/>
  <c r="O62" i="6"/>
  <c r="C67" i="6"/>
  <c r="BC77" i="6"/>
  <c r="BC86" i="6"/>
  <c r="BC87" i="6"/>
  <c r="BC89" i="6"/>
  <c r="BC91" i="6"/>
  <c r="BC93" i="6"/>
  <c r="BC95" i="6"/>
  <c r="BC96" i="6"/>
  <c r="BC98" i="6"/>
  <c r="BC100" i="6"/>
  <c r="BC102" i="6"/>
  <c r="BC104" i="6"/>
  <c r="BC106" i="6"/>
  <c r="BD73" i="6"/>
  <c r="BD78" i="6"/>
  <c r="BD82" i="6"/>
  <c r="BD74" i="6"/>
  <c r="BD80" i="6"/>
  <c r="BD85" i="6"/>
  <c r="BD87" i="6"/>
  <c r="BD90" i="6"/>
  <c r="BD92" i="6"/>
  <c r="BD95" i="6"/>
  <c r="BG73" i="6"/>
  <c r="BG78" i="6"/>
  <c r="BG83" i="6"/>
  <c r="BI81" i="6"/>
  <c r="BI78" i="6"/>
  <c r="BI86" i="6"/>
  <c r="BI89" i="6"/>
  <c r="BI94" i="6"/>
  <c r="BI96" i="6"/>
  <c r="BI98" i="6"/>
  <c r="BI101" i="6"/>
  <c r="BO83" i="6"/>
  <c r="BO86" i="6"/>
  <c r="BO90" i="6"/>
  <c r="BO94" i="6"/>
  <c r="BO96" i="6"/>
  <c r="BO99" i="6"/>
  <c r="BO103" i="6"/>
  <c r="BO106" i="6"/>
  <c r="BN82" i="6"/>
  <c r="BN83" i="6"/>
  <c r="BN86" i="6"/>
  <c r="BN89" i="6"/>
  <c r="BN92" i="6"/>
  <c r="BN96" i="6"/>
  <c r="BN99" i="6"/>
  <c r="BN103" i="6"/>
  <c r="BN106" i="6"/>
  <c r="BV92" i="6"/>
  <c r="BV72" i="6"/>
  <c r="BV98" i="6"/>
  <c r="BV104" i="6"/>
  <c r="BW76" i="6"/>
  <c r="BW78" i="6"/>
  <c r="BW83" i="6"/>
  <c r="BW88" i="6"/>
  <c r="BW92" i="6"/>
  <c r="BW95" i="6"/>
  <c r="BW97" i="6"/>
  <c r="BW100" i="6"/>
  <c r="BW103" i="6"/>
  <c r="BY74" i="6"/>
  <c r="BY78" i="6"/>
  <c r="BY86" i="6"/>
  <c r="BY89" i="6"/>
  <c r="BY103" i="6"/>
  <c r="BM86" i="6"/>
  <c r="BD75" i="6"/>
  <c r="BD96" i="6"/>
  <c r="BD97" i="6"/>
  <c r="BD98" i="6"/>
  <c r="BD99" i="6"/>
  <c r="BD100" i="6"/>
  <c r="BD101" i="6"/>
  <c r="BD102" i="6"/>
  <c r="BD103" i="6"/>
  <c r="BD104" i="6"/>
  <c r="BD105" i="6"/>
  <c r="BD106" i="6"/>
  <c r="BE74" i="6"/>
  <c r="BE81" i="6"/>
  <c r="BE82" i="6"/>
  <c r="BE72" i="6"/>
  <c r="BE75" i="6"/>
  <c r="BE76" i="6"/>
  <c r="BE77" i="6"/>
  <c r="BE78" i="6"/>
  <c r="BE79" i="6"/>
  <c r="BE80" i="6"/>
  <c r="BE83" i="6"/>
  <c r="BE84" i="6"/>
  <c r="BE85" i="6"/>
  <c r="BE86" i="6"/>
  <c r="BE87" i="6"/>
  <c r="BE88" i="6"/>
  <c r="BE89" i="6"/>
  <c r="BE90" i="6"/>
  <c r="BE91" i="6"/>
  <c r="BE92" i="6"/>
  <c r="BE93" i="6"/>
  <c r="BE98" i="6"/>
  <c r="BE99" i="6"/>
  <c r="BE100" i="6"/>
  <c r="BE101" i="6"/>
  <c r="BE102" i="6"/>
  <c r="BE103" i="6"/>
  <c r="BE104" i="6"/>
  <c r="BE105" i="6"/>
  <c r="BE106" i="6"/>
  <c r="BF75" i="6"/>
  <c r="BF76" i="6"/>
  <c r="BF77" i="6"/>
  <c r="BF78" i="6"/>
  <c r="BF81" i="6"/>
  <c r="BF82" i="6"/>
  <c r="BF73" i="6"/>
  <c r="BF79" i="6"/>
  <c r="BF80" i="6"/>
  <c r="BF83" i="6"/>
  <c r="BF84" i="6"/>
  <c r="BF85" i="6"/>
  <c r="BF86" i="6"/>
  <c r="BF87" i="6"/>
  <c r="BF88" i="6"/>
  <c r="BF89" i="6"/>
  <c r="BF90" i="6"/>
  <c r="BF91" i="6"/>
  <c r="BF92" i="6"/>
  <c r="BF93" i="6"/>
  <c r="BF94" i="6"/>
  <c r="BF95" i="6"/>
  <c r="BF72" i="6"/>
  <c r="BF74" i="6"/>
  <c r="BF96" i="6"/>
  <c r="BF97" i="6"/>
  <c r="BF98" i="6"/>
  <c r="BF99" i="6"/>
  <c r="BF100" i="6"/>
  <c r="BF101" i="6"/>
  <c r="BF102" i="6"/>
  <c r="BF103" i="6"/>
  <c r="BF104" i="6"/>
  <c r="BF105" i="6"/>
  <c r="BG72" i="6"/>
  <c r="BG74" i="6"/>
  <c r="BG80" i="6"/>
  <c r="BI72" i="6"/>
  <c r="BI82" i="6"/>
  <c r="BI79" i="6"/>
  <c r="BI83" i="6"/>
  <c r="BI87" i="6"/>
  <c r="BI92" i="6"/>
  <c r="BI74" i="6"/>
  <c r="BO88" i="6"/>
  <c r="BO93" i="6"/>
  <c r="BO73" i="6"/>
  <c r="BO98" i="6"/>
  <c r="BO102" i="6"/>
  <c r="BN72" i="6"/>
  <c r="BN77" i="6"/>
  <c r="BN84" i="6"/>
  <c r="BN88" i="6"/>
  <c r="BN91" i="6"/>
  <c r="BN75" i="6"/>
  <c r="BN97" i="6"/>
  <c r="BN101" i="6"/>
  <c r="BN104" i="6"/>
  <c r="BV87" i="6"/>
  <c r="BV91" i="6"/>
  <c r="BV94" i="6"/>
  <c r="BV96" i="6"/>
  <c r="BV99" i="6"/>
  <c r="BV102" i="6"/>
  <c r="BV106" i="6"/>
  <c r="BW81" i="6"/>
  <c r="BW77" i="6"/>
  <c r="BW80" i="6"/>
  <c r="BW91" i="6"/>
  <c r="BW72" i="6"/>
  <c r="BW101" i="6"/>
  <c r="BY73" i="6"/>
  <c r="BY80" i="6"/>
  <c r="BY79" i="6"/>
  <c r="BY85" i="6"/>
  <c r="BY104" i="6"/>
  <c r="BM77" i="6"/>
  <c r="BM84" i="6"/>
  <c r="BM88" i="6"/>
  <c r="BV73" i="6"/>
  <c r="BV75" i="6"/>
  <c r="BV81" i="6"/>
  <c r="BV82" i="6"/>
  <c r="BV76" i="6"/>
  <c r="BV77" i="6"/>
  <c r="BV78" i="6"/>
  <c r="BV79" i="6"/>
  <c r="BV80" i="6"/>
  <c r="BV83" i="6"/>
  <c r="BV84" i="6"/>
  <c r="BV85" i="6"/>
  <c r="BV88" i="6"/>
  <c r="BV74" i="6"/>
  <c r="BV101" i="6"/>
  <c r="BW75" i="6"/>
  <c r="BW86" i="6"/>
  <c r="BW93" i="6"/>
  <c r="BW98" i="6"/>
  <c r="BW106" i="6"/>
  <c r="BY81" i="6"/>
  <c r="BY91" i="6"/>
  <c r="BM79" i="6"/>
  <c r="BM87" i="6"/>
  <c r="BS96" i="6"/>
  <c r="BS97" i="6"/>
  <c r="BS98" i="6"/>
  <c r="BS99" i="6"/>
  <c r="BS100" i="6"/>
  <c r="BS101" i="6"/>
  <c r="BS102" i="6"/>
  <c r="BS103" i="6"/>
  <c r="BS104" i="6"/>
  <c r="BS105" i="6"/>
  <c r="BS106" i="6"/>
  <c r="BS74" i="6"/>
  <c r="BS76" i="6"/>
  <c r="BS81" i="6"/>
  <c r="BS82" i="6"/>
  <c r="BM72" i="6"/>
  <c r="BM76" i="6"/>
  <c r="BM96" i="6"/>
  <c r="BM97" i="6"/>
  <c r="BM98" i="6"/>
  <c r="BM99" i="6"/>
  <c r="BM100" i="6"/>
  <c r="BM101" i="6"/>
  <c r="BM102" i="6"/>
  <c r="BM103" i="6"/>
  <c r="BM104" i="6"/>
  <c r="BM105" i="6"/>
  <c r="BM106" i="6"/>
  <c r="BM75" i="6"/>
  <c r="BM78" i="6"/>
  <c r="BM81" i="6"/>
  <c r="BM82" i="6"/>
  <c r="BM73" i="6"/>
  <c r="BM85" i="6"/>
  <c r="BC85" i="6"/>
  <c r="BC88" i="6"/>
  <c r="BC90" i="6"/>
  <c r="BC92" i="6"/>
  <c r="BC94" i="6"/>
  <c r="BC74" i="6"/>
  <c r="BC97" i="6"/>
  <c r="BC99" i="6"/>
  <c r="BC101" i="6"/>
  <c r="BC103" i="6"/>
  <c r="BC105" i="6"/>
  <c r="BD72" i="6"/>
  <c r="BD77" i="6"/>
  <c r="BD81" i="6"/>
  <c r="BD83" i="6"/>
  <c r="BD79" i="6"/>
  <c r="BD84" i="6"/>
  <c r="BD86" i="6"/>
  <c r="BD88" i="6"/>
  <c r="BD91" i="6"/>
  <c r="BD93" i="6"/>
  <c r="BF106" i="6"/>
  <c r="BG82" i="6"/>
  <c r="BG79" i="6"/>
  <c r="BI75" i="6"/>
  <c r="BI73" i="6"/>
  <c r="BI80" i="6"/>
  <c r="BI85" i="6"/>
  <c r="BI90" i="6"/>
  <c r="BI93" i="6"/>
  <c r="BI97" i="6"/>
  <c r="BI99" i="6"/>
  <c r="BI102" i="6"/>
  <c r="BO84" i="6"/>
  <c r="BO87" i="6"/>
  <c r="BO91" i="6"/>
  <c r="BO72" i="6"/>
  <c r="BO97" i="6"/>
  <c r="BO100" i="6"/>
  <c r="BO104" i="6"/>
  <c r="BN74" i="6"/>
  <c r="BN78" i="6"/>
  <c r="BN85" i="6"/>
  <c r="BN90" i="6"/>
  <c r="BN73" i="6"/>
  <c r="BN100" i="6"/>
  <c r="BN105" i="6"/>
  <c r="BV90" i="6"/>
  <c r="BV95" i="6"/>
  <c r="BV97" i="6"/>
  <c r="BV103" i="6"/>
  <c r="BW74" i="6"/>
  <c r="BW84" i="6"/>
  <c r="BW87" i="6"/>
  <c r="BW90" i="6"/>
  <c r="BW94" i="6"/>
  <c r="BW96" i="6"/>
  <c r="BW99" i="6"/>
  <c r="BW102" i="6"/>
  <c r="BW105" i="6"/>
  <c r="BY75" i="6"/>
  <c r="BY77" i="6"/>
  <c r="BY84" i="6"/>
  <c r="BY87" i="6"/>
  <c r="BY90" i="6"/>
  <c r="BY105" i="6"/>
  <c r="BM83" i="6"/>
  <c r="BM89" i="6"/>
  <c r="BD76" i="6"/>
  <c r="BD89" i="6"/>
  <c r="BD94" i="6"/>
  <c r="BG81" i="6"/>
  <c r="BG77" i="6"/>
  <c r="BG84" i="6"/>
  <c r="BI76" i="6"/>
  <c r="BI77" i="6"/>
  <c r="BI84" i="6"/>
  <c r="BI88" i="6"/>
  <c r="BI91" i="6"/>
  <c r="BI95" i="6"/>
  <c r="BI100" i="6"/>
  <c r="BO80" i="6"/>
  <c r="BO85" i="6"/>
  <c r="BO89" i="6"/>
  <c r="BO92" i="6"/>
  <c r="BO95" i="6"/>
  <c r="BO74" i="6"/>
  <c r="BO101" i="6"/>
  <c r="BO105" i="6"/>
  <c r="BN81" i="6"/>
  <c r="BN80" i="6"/>
  <c r="BN87" i="6"/>
  <c r="BN93" i="6"/>
  <c r="BN76" i="6"/>
  <c r="BN98" i="6"/>
  <c r="BN102" i="6"/>
  <c r="BV86" i="6"/>
  <c r="BV89" i="6"/>
  <c r="BV93" i="6"/>
  <c r="BV100" i="6"/>
  <c r="BV105" i="6"/>
  <c r="BW82" i="6"/>
  <c r="BW79" i="6"/>
  <c r="BW85" i="6"/>
  <c r="BW89" i="6"/>
  <c r="BW73" i="6"/>
  <c r="BW104" i="6"/>
  <c r="BY72" i="6"/>
  <c r="BY76" i="6"/>
  <c r="BY82" i="6"/>
  <c r="BY83" i="6"/>
  <c r="BY88" i="6"/>
  <c r="BM74" i="6"/>
  <c r="BM80" i="6"/>
  <c r="BM90" i="6"/>
  <c r="BB90" i="6"/>
  <c r="BB92" i="6"/>
  <c r="BB93" i="6"/>
  <c r="BB94" i="6"/>
  <c r="BB76" i="6"/>
  <c r="BB98" i="6"/>
  <c r="BB100" i="6"/>
  <c r="BB102" i="6"/>
  <c r="BB104" i="6"/>
  <c r="BB106" i="6"/>
  <c r="BC72" i="6"/>
  <c r="BC76" i="6"/>
  <c r="BC82" i="6"/>
  <c r="BC73" i="6"/>
  <c r="BC78" i="6"/>
  <c r="BC80" i="6"/>
  <c r="BG85" i="6"/>
  <c r="BG86" i="6"/>
  <c r="BG87" i="6"/>
  <c r="BG88" i="6"/>
  <c r="BG89" i="6"/>
  <c r="BG90" i="6"/>
  <c r="BG91" i="6"/>
  <c r="BG92" i="6"/>
  <c r="BG93" i="6"/>
  <c r="BG94" i="6"/>
  <c r="BG95" i="6"/>
  <c r="BG75" i="6"/>
  <c r="BG76" i="6"/>
  <c r="BG96" i="6"/>
  <c r="BG97" i="6"/>
  <c r="BG98" i="6"/>
  <c r="BG99" i="6"/>
  <c r="BG100" i="6"/>
  <c r="BG101" i="6"/>
  <c r="BG102" i="6"/>
  <c r="BG103" i="6"/>
  <c r="BG104" i="6"/>
  <c r="BG105" i="6"/>
  <c r="BG106" i="6"/>
  <c r="BN94" i="6"/>
  <c r="BN95" i="6"/>
  <c r="BY92" i="6"/>
  <c r="BY93" i="6"/>
  <c r="BY94" i="6"/>
  <c r="BY95" i="6"/>
  <c r="BY96" i="6"/>
  <c r="BY97" i="6"/>
  <c r="BY98" i="6"/>
  <c r="BY99" i="6"/>
  <c r="BY100" i="6"/>
  <c r="BY101" i="6"/>
  <c r="BY102" i="6"/>
  <c r="BU72" i="6"/>
  <c r="BU73" i="6"/>
  <c r="BU77" i="6"/>
  <c r="BU78" i="6"/>
  <c r="BU79" i="6"/>
  <c r="BU80" i="6"/>
  <c r="BU83" i="6"/>
  <c r="BU84" i="6"/>
  <c r="BU85" i="6"/>
  <c r="BU86" i="6"/>
  <c r="BU87" i="6"/>
  <c r="BU88" i="6"/>
  <c r="BU89" i="6"/>
  <c r="BU90" i="6"/>
  <c r="BU91" i="6"/>
  <c r="BU92" i="6"/>
  <c r="BU93" i="6"/>
  <c r="BU94" i="6"/>
  <c r="BU95" i="6"/>
  <c r="BU75" i="6"/>
  <c r="BU96" i="6"/>
  <c r="BU97" i="6"/>
  <c r="BU98" i="6"/>
  <c r="BU99" i="6"/>
  <c r="BU100" i="6"/>
  <c r="BU101" i="6"/>
  <c r="BU102" i="6"/>
  <c r="BU103" i="6"/>
  <c r="BU104" i="6"/>
  <c r="BU105" i="6"/>
  <c r="BU106" i="6"/>
  <c r="BU74" i="6"/>
  <c r="BU76" i="6"/>
  <c r="BU81" i="6"/>
  <c r="BU82" i="6"/>
  <c r="BB97" i="6"/>
  <c r="BB91" i="6"/>
  <c r="BB95" i="6"/>
  <c r="BB96" i="6"/>
  <c r="BB99" i="6"/>
  <c r="BB101" i="6"/>
  <c r="BB103" i="6"/>
  <c r="BB105" i="6"/>
  <c r="BC75" i="6"/>
  <c r="BC81" i="6"/>
  <c r="BC83" i="6"/>
  <c r="BC79" i="6"/>
  <c r="BC84" i="6"/>
  <c r="BH74" i="6"/>
  <c r="BH77" i="6"/>
  <c r="BH81" i="6"/>
  <c r="BH82" i="6"/>
  <c r="BH75" i="6"/>
  <c r="BH76" i="6"/>
  <c r="BH78" i="6"/>
  <c r="BH79" i="6"/>
  <c r="BH80" i="6"/>
  <c r="BH83" i="6"/>
  <c r="BH84" i="6"/>
  <c r="BH85" i="6"/>
  <c r="BH86" i="6"/>
  <c r="BH87" i="6"/>
  <c r="BH88" i="6"/>
  <c r="BH89" i="6"/>
  <c r="BH90" i="6"/>
  <c r="BH91" i="6"/>
  <c r="BH92" i="6"/>
  <c r="BH93" i="6"/>
  <c r="BH94" i="6"/>
  <c r="BH95" i="6"/>
  <c r="BH72" i="6"/>
  <c r="BH73" i="6"/>
  <c r="BH96" i="6"/>
  <c r="BH97" i="6"/>
  <c r="BH98" i="6"/>
  <c r="BH99" i="6"/>
  <c r="BH100" i="6"/>
  <c r="BH101" i="6"/>
  <c r="BH102" i="6"/>
  <c r="BH103" i="6"/>
  <c r="BH104" i="6"/>
  <c r="BH105" i="6"/>
  <c r="BH106" i="6"/>
  <c r="BY106" i="6"/>
  <c r="BL75" i="6"/>
  <c r="BL77" i="6"/>
  <c r="BL78" i="6"/>
  <c r="BL79" i="6"/>
  <c r="BL80" i="6"/>
  <c r="BL83" i="6"/>
  <c r="BL84" i="6"/>
  <c r="BL85" i="6"/>
  <c r="BL86" i="6"/>
  <c r="BL87" i="6"/>
  <c r="BL88" i="6"/>
  <c r="BL89" i="6"/>
  <c r="BL90" i="6"/>
  <c r="BL91" i="6"/>
  <c r="BL92" i="6"/>
  <c r="BS78" i="6"/>
  <c r="BS79" i="6"/>
  <c r="BS80" i="6"/>
  <c r="BS83" i="6"/>
  <c r="BS84" i="6"/>
  <c r="BS85" i="6"/>
  <c r="BS86" i="6"/>
  <c r="BS87" i="6"/>
  <c r="BS88" i="6"/>
  <c r="BS89" i="6"/>
  <c r="BS90" i="6"/>
  <c r="BS91" i="6"/>
  <c r="BS92" i="6"/>
  <c r="BS93" i="6"/>
  <c r="BS94" i="6"/>
  <c r="BS95" i="6"/>
  <c r="BS75" i="6"/>
  <c r="BM91" i="6"/>
  <c r="BM92" i="6"/>
  <c r="BM93" i="6"/>
  <c r="BM94" i="6"/>
  <c r="BM95" i="6"/>
  <c r="BP96" i="6"/>
  <c r="BP97" i="6"/>
  <c r="BP98" i="6"/>
  <c r="BP99" i="6"/>
  <c r="BP100" i="6"/>
  <c r="BP101" i="6"/>
  <c r="BP102" i="6"/>
  <c r="BP103" i="6"/>
  <c r="BP104" i="6"/>
  <c r="BP105" i="6"/>
  <c r="BP106" i="6"/>
  <c r="BP74" i="6"/>
  <c r="BP75" i="6"/>
  <c r="BP76" i="6"/>
  <c r="BP81" i="6"/>
  <c r="BP82" i="6"/>
  <c r="BP72" i="6"/>
  <c r="BP73" i="6"/>
  <c r="BP77" i="6"/>
  <c r="BP78" i="6"/>
  <c r="BP79" i="6"/>
  <c r="BP80" i="6"/>
  <c r="BP83" i="6"/>
  <c r="BP84" i="6"/>
  <c r="E38" i="6"/>
  <c r="C66" i="6"/>
  <c r="N62" i="6"/>
  <c r="N63" i="6"/>
  <c r="C69" i="6" s="1"/>
  <c r="AI26" i="6"/>
  <c r="AN26" i="6"/>
  <c r="N58" i="6"/>
  <c r="N60" i="6" s="1"/>
  <c r="O58" i="6"/>
  <c r="O60" i="6" s="1"/>
  <c r="P58" i="6"/>
  <c r="P60" i="6" s="1"/>
  <c r="Q58" i="6"/>
  <c r="Q60" i="6" s="1"/>
  <c r="R58" i="6"/>
  <c r="R60" i="6" s="1"/>
  <c r="S58" i="6"/>
  <c r="S60" i="6" s="1"/>
  <c r="T58" i="6"/>
  <c r="T60" i="6" s="1"/>
  <c r="U58" i="6"/>
  <c r="U60" i="6" s="1"/>
  <c r="N59" i="6"/>
  <c r="O59" i="6"/>
  <c r="P59" i="6"/>
  <c r="Q59" i="6"/>
  <c r="R59" i="6"/>
  <c r="S59" i="6"/>
  <c r="T59" i="6"/>
  <c r="U59" i="6"/>
  <c r="AI27" i="6"/>
  <c r="AN27" i="6"/>
  <c r="AI28" i="6"/>
  <c r="AN28" i="6"/>
  <c r="AI29" i="6"/>
  <c r="AN29" i="6"/>
  <c r="AI30" i="6"/>
  <c r="AN30" i="6"/>
  <c r="AI31" i="6"/>
  <c r="AN31" i="6"/>
  <c r="AI32" i="6"/>
  <c r="AN32" i="6"/>
  <c r="AN37" i="6"/>
  <c r="AI37" i="6"/>
  <c r="AI41" i="6"/>
  <c r="AN41" i="6"/>
  <c r="AI34" i="6"/>
  <c r="AN34" i="6"/>
  <c r="AI38" i="6"/>
  <c r="AN38" i="6"/>
  <c r="AI39" i="6"/>
  <c r="AN39" i="6"/>
  <c r="AI42" i="6"/>
  <c r="AN42" i="6"/>
  <c r="AI44" i="6"/>
  <c r="AN44" i="6"/>
  <c r="AN45" i="6"/>
  <c r="AI45" i="6"/>
  <c r="AI46" i="6"/>
  <c r="AN46" i="6"/>
  <c r="AI47" i="6"/>
  <c r="AN47" i="6"/>
  <c r="AI48" i="6"/>
  <c r="AN48" i="6"/>
  <c r="AI35" i="6"/>
  <c r="AN35" i="6"/>
  <c r="AI40" i="6"/>
  <c r="AN40" i="6"/>
  <c r="AN49" i="6"/>
  <c r="AI49" i="6"/>
  <c r="I120" i="6"/>
  <c r="J120" i="6" s="1"/>
  <c r="J102" i="6" s="1"/>
  <c r="CW94" i="6"/>
  <c r="CW93" i="6"/>
  <c r="CW92" i="6"/>
  <c r="CW91" i="6"/>
  <c r="CW90" i="6"/>
  <c r="CW89" i="6"/>
  <c r="CW88" i="6"/>
  <c r="CW87" i="6"/>
  <c r="CW78" i="6"/>
  <c r="CW82" i="6"/>
  <c r="CW81" i="6"/>
  <c r="CW86" i="6"/>
  <c r="CW85" i="6"/>
  <c r="CW84" i="6"/>
  <c r="CW83" i="6"/>
  <c r="CW80" i="6"/>
  <c r="CW79" i="6"/>
  <c r="CW77" i="6"/>
  <c r="CW76" i="6"/>
  <c r="CW74" i="6"/>
  <c r="CW73" i="6"/>
  <c r="CW72" i="6"/>
  <c r="CW106" i="6"/>
  <c r="CW105" i="6"/>
  <c r="CW104" i="6"/>
  <c r="CW103" i="6"/>
  <c r="CW102" i="6"/>
  <c r="CW101" i="6"/>
  <c r="CW100" i="6"/>
  <c r="CW99" i="6"/>
  <c r="CW98" i="6"/>
  <c r="CW97" i="6"/>
  <c r="CW96" i="6"/>
  <c r="CW95" i="6"/>
  <c r="CW75" i="6"/>
  <c r="CU94" i="6"/>
  <c r="CU93" i="6"/>
  <c r="CU92" i="6"/>
  <c r="CU91" i="6"/>
  <c r="CU90" i="6"/>
  <c r="CU89" i="6"/>
  <c r="CU88" i="6"/>
  <c r="CU76" i="6"/>
  <c r="CU81" i="6"/>
  <c r="CU87" i="6"/>
  <c r="CU86" i="6"/>
  <c r="CU85" i="6"/>
  <c r="CU84" i="6"/>
  <c r="CU83" i="6"/>
  <c r="CU80" i="6"/>
  <c r="CU79" i="6"/>
  <c r="CU78" i="6"/>
  <c r="CU77" i="6"/>
  <c r="CU74" i="6"/>
  <c r="CU73" i="6"/>
  <c r="CU82" i="6"/>
  <c r="CU72" i="6"/>
  <c r="CU106" i="6"/>
  <c r="CU105" i="6"/>
  <c r="CU104" i="6"/>
  <c r="CU103" i="6"/>
  <c r="CU102" i="6"/>
  <c r="CU101" i="6"/>
  <c r="CU100" i="6"/>
  <c r="CU99" i="6"/>
  <c r="CU98" i="6"/>
  <c r="CU97" i="6"/>
  <c r="CU96" i="6"/>
  <c r="CU95" i="6"/>
  <c r="CU75" i="6"/>
  <c r="CT94" i="6"/>
  <c r="CT93" i="6"/>
  <c r="CT92" i="6"/>
  <c r="CT91" i="6"/>
  <c r="CT90" i="6"/>
  <c r="CT89" i="6"/>
  <c r="CT88" i="6"/>
  <c r="CT87" i="6"/>
  <c r="CT79" i="6"/>
  <c r="CT78" i="6"/>
  <c r="CT73" i="6"/>
  <c r="CT82" i="6"/>
  <c r="CT81" i="6"/>
  <c r="CT86" i="6"/>
  <c r="CT85" i="6"/>
  <c r="CT84" i="6"/>
  <c r="CT83" i="6"/>
  <c r="CT80" i="6"/>
  <c r="CT77" i="6"/>
  <c r="CT76" i="6"/>
  <c r="CT75" i="6"/>
  <c r="CT74" i="6"/>
  <c r="CT72" i="6"/>
  <c r="CT106" i="6"/>
  <c r="CT105" i="6"/>
  <c r="CT104" i="6"/>
  <c r="CT103" i="6"/>
  <c r="CT102" i="6"/>
  <c r="CT101" i="6"/>
  <c r="CT100" i="6"/>
  <c r="CT99" i="6"/>
  <c r="CT98" i="6"/>
  <c r="CT97" i="6"/>
  <c r="CT96" i="6"/>
  <c r="CT95" i="6"/>
  <c r="CR72" i="6"/>
  <c r="CR94" i="6"/>
  <c r="CR93" i="6"/>
  <c r="CR92" i="6"/>
  <c r="CR91" i="6"/>
  <c r="CR90" i="6"/>
  <c r="CR89" i="6"/>
  <c r="CR88" i="6"/>
  <c r="CR83" i="6"/>
  <c r="CR81" i="6"/>
  <c r="CR87" i="6"/>
  <c r="CR86" i="6"/>
  <c r="CR85" i="6"/>
  <c r="CR84" i="6"/>
  <c r="CR80" i="6"/>
  <c r="CR79" i="6"/>
  <c r="CR78" i="6"/>
  <c r="CR77" i="6"/>
  <c r="CR76" i="6"/>
  <c r="CR75" i="6"/>
  <c r="CR74" i="6"/>
  <c r="CR73" i="6"/>
  <c r="CR82" i="6"/>
  <c r="CR106" i="6"/>
  <c r="CR105" i="6"/>
  <c r="CR104" i="6"/>
  <c r="CR103" i="6"/>
  <c r="CR102" i="6"/>
  <c r="CR101" i="6"/>
  <c r="CR100" i="6"/>
  <c r="CR99" i="6"/>
  <c r="CR98" i="6"/>
  <c r="CR97" i="6"/>
  <c r="CR96" i="6"/>
  <c r="CR95" i="6"/>
  <c r="CL72" i="6"/>
  <c r="CL94" i="6"/>
  <c r="CL93" i="6"/>
  <c r="CL92" i="6"/>
  <c r="CL91" i="6"/>
  <c r="CL90" i="6"/>
  <c r="CL89" i="6"/>
  <c r="CL88" i="6"/>
  <c r="CL85" i="6"/>
  <c r="CL84" i="6"/>
  <c r="CL74" i="6"/>
  <c r="CL82" i="6"/>
  <c r="CL81" i="6"/>
  <c r="CL80" i="6"/>
  <c r="CL87" i="6"/>
  <c r="CL86" i="6"/>
  <c r="CL83" i="6"/>
  <c r="CL79" i="6"/>
  <c r="CL78" i="6"/>
  <c r="CL77" i="6"/>
  <c r="CL76" i="6"/>
  <c r="CL73" i="6"/>
  <c r="CL75" i="6"/>
  <c r="CL106" i="6"/>
  <c r="CL105" i="6"/>
  <c r="CL104" i="6"/>
  <c r="CL103" i="6"/>
  <c r="CL102" i="6"/>
  <c r="CL101" i="6"/>
  <c r="CL100" i="6"/>
  <c r="CL99" i="6"/>
  <c r="CL98" i="6"/>
  <c r="CL97" i="6"/>
  <c r="CL96" i="6"/>
  <c r="CL95" i="6"/>
  <c r="CI73" i="6"/>
  <c r="CI94" i="6"/>
  <c r="CI93" i="6"/>
  <c r="CI92" i="6"/>
  <c r="CI91" i="6"/>
  <c r="CI90" i="6"/>
  <c r="CI89" i="6"/>
  <c r="CI88" i="6"/>
  <c r="CI87" i="6"/>
  <c r="CI84" i="6"/>
  <c r="CI82" i="6"/>
  <c r="CI81" i="6"/>
  <c r="CI80" i="6"/>
  <c r="CI86" i="6"/>
  <c r="CI85" i="6"/>
  <c r="CI83" i="6"/>
  <c r="CI79" i="6"/>
  <c r="CI78" i="6"/>
  <c r="CI76" i="6"/>
  <c r="CI75" i="6"/>
  <c r="CI74" i="6"/>
  <c r="CI72" i="6"/>
  <c r="CI106" i="6"/>
  <c r="CI105" i="6"/>
  <c r="CI104" i="6"/>
  <c r="CI103" i="6"/>
  <c r="CI102" i="6"/>
  <c r="CI101" i="6"/>
  <c r="CI100" i="6"/>
  <c r="CI99" i="6"/>
  <c r="CI98" i="6"/>
  <c r="CI97" i="6"/>
  <c r="CI96" i="6"/>
  <c r="CI95" i="6"/>
  <c r="CI77" i="6"/>
  <c r="CO72" i="6"/>
  <c r="CO94" i="6"/>
  <c r="CO93" i="6"/>
  <c r="CO92" i="6"/>
  <c r="CO91" i="6"/>
  <c r="CO90" i="6"/>
  <c r="CO89" i="6"/>
  <c r="CO88" i="6"/>
  <c r="CO85" i="6"/>
  <c r="CO84" i="6"/>
  <c r="CO83" i="6"/>
  <c r="CO74" i="6"/>
  <c r="CO73" i="6"/>
  <c r="CO81" i="6"/>
  <c r="CO80" i="6"/>
  <c r="CO76" i="6"/>
  <c r="CO87" i="6"/>
  <c r="CO86" i="6"/>
  <c r="CO79" i="6"/>
  <c r="CO78" i="6"/>
  <c r="CO82" i="6"/>
  <c r="CO106" i="6"/>
  <c r="CO105" i="6"/>
  <c r="CO104" i="6"/>
  <c r="CO103" i="6"/>
  <c r="CO102" i="6"/>
  <c r="CO101" i="6"/>
  <c r="CO100" i="6"/>
  <c r="CO99" i="6"/>
  <c r="CO98" i="6"/>
  <c r="CO97" i="6"/>
  <c r="CO96" i="6"/>
  <c r="CO95" i="6"/>
  <c r="CO77" i="6"/>
  <c r="CO75" i="6"/>
  <c r="CX94" i="6"/>
  <c r="CX93" i="6"/>
  <c r="CX92" i="6"/>
  <c r="CX91" i="6"/>
  <c r="CX90" i="6"/>
  <c r="CX89" i="6"/>
  <c r="CX88" i="6"/>
  <c r="CX79" i="6"/>
  <c r="CX76" i="6"/>
  <c r="CX73" i="6"/>
  <c r="CX81" i="6"/>
  <c r="CX87" i="6"/>
  <c r="CX86" i="6"/>
  <c r="CX85" i="6"/>
  <c r="CX84" i="6"/>
  <c r="CX83" i="6"/>
  <c r="CX80" i="6"/>
  <c r="CX78" i="6"/>
  <c r="CX77" i="6"/>
  <c r="CX75" i="6"/>
  <c r="CX74" i="6"/>
  <c r="CX82" i="6"/>
  <c r="CX72" i="6"/>
  <c r="CX106" i="6"/>
  <c r="CX105" i="6"/>
  <c r="CX104" i="6"/>
  <c r="CX103" i="6"/>
  <c r="CX102" i="6"/>
  <c r="CX101" i="6"/>
  <c r="CX100" i="6"/>
  <c r="CX99" i="6"/>
  <c r="CX98" i="6"/>
  <c r="CX97" i="6"/>
  <c r="CX96" i="6"/>
  <c r="CX95" i="6"/>
  <c r="CV72" i="6"/>
  <c r="CV94" i="6"/>
  <c r="CV93" i="6"/>
  <c r="CV92" i="6"/>
  <c r="CV91" i="6"/>
  <c r="CV90" i="6"/>
  <c r="CV89" i="6"/>
  <c r="CV88" i="6"/>
  <c r="CV86" i="6"/>
  <c r="CV85" i="6"/>
  <c r="CV84" i="6"/>
  <c r="CV83" i="6"/>
  <c r="CV80" i="6"/>
  <c r="CV77" i="6"/>
  <c r="CV75" i="6"/>
  <c r="CV74" i="6"/>
  <c r="CV81" i="6"/>
  <c r="CV87" i="6"/>
  <c r="CV79" i="6"/>
  <c r="CV78" i="6"/>
  <c r="CV76" i="6"/>
  <c r="CV73" i="6"/>
  <c r="CV82" i="6"/>
  <c r="CV106" i="6"/>
  <c r="CV105" i="6"/>
  <c r="CV104" i="6"/>
  <c r="CV103" i="6"/>
  <c r="CV102" i="6"/>
  <c r="CV101" i="6"/>
  <c r="CV100" i="6"/>
  <c r="CV99" i="6"/>
  <c r="CV98" i="6"/>
  <c r="CV97" i="6"/>
  <c r="CV96" i="6"/>
  <c r="CV95" i="6"/>
  <c r="CS94" i="6"/>
  <c r="CS93" i="6"/>
  <c r="CS92" i="6"/>
  <c r="CS91" i="6"/>
  <c r="CS90" i="6"/>
  <c r="CS89" i="6"/>
  <c r="CS88" i="6"/>
  <c r="CS86" i="6"/>
  <c r="CS85" i="6"/>
  <c r="CS84" i="6"/>
  <c r="CS80" i="6"/>
  <c r="CS74" i="6"/>
  <c r="CS81" i="6"/>
  <c r="CS87" i="6"/>
  <c r="CS83" i="6"/>
  <c r="CS79" i="6"/>
  <c r="CS78" i="6"/>
  <c r="CS76" i="6"/>
  <c r="CS73" i="6"/>
  <c r="CS82" i="6"/>
  <c r="CS72" i="6"/>
  <c r="CS106" i="6"/>
  <c r="CS105" i="6"/>
  <c r="CS104" i="6"/>
  <c r="CS103" i="6"/>
  <c r="CS102" i="6"/>
  <c r="CS101" i="6"/>
  <c r="CS100" i="6"/>
  <c r="CS99" i="6"/>
  <c r="CS98" i="6"/>
  <c r="CS97" i="6"/>
  <c r="CS96" i="6"/>
  <c r="CS95" i="6"/>
  <c r="CS77" i="6"/>
  <c r="CS75" i="6"/>
  <c r="CM94" i="6"/>
  <c r="CM93" i="6"/>
  <c r="CM92" i="6"/>
  <c r="CM91" i="6"/>
  <c r="CM90" i="6"/>
  <c r="CM89" i="6"/>
  <c r="CM88" i="6"/>
  <c r="CM87" i="6"/>
  <c r="CM86" i="6"/>
  <c r="CM79" i="6"/>
  <c r="CM78" i="6"/>
  <c r="CM82" i="6"/>
  <c r="CM81" i="6"/>
  <c r="CM80" i="6"/>
  <c r="CM76" i="6"/>
  <c r="CM85" i="6"/>
  <c r="CM84" i="6"/>
  <c r="CM83" i="6"/>
  <c r="CM75" i="6"/>
  <c r="CM74" i="6"/>
  <c r="CM72" i="6"/>
  <c r="CM73" i="6"/>
  <c r="CM106" i="6"/>
  <c r="CM105" i="6"/>
  <c r="CM104" i="6"/>
  <c r="CM103" i="6"/>
  <c r="CM102" i="6"/>
  <c r="CM101" i="6"/>
  <c r="CM100" i="6"/>
  <c r="CM99" i="6"/>
  <c r="CM98" i="6"/>
  <c r="CM97" i="6"/>
  <c r="CM96" i="6"/>
  <c r="CM95" i="6"/>
  <c r="CM77" i="6"/>
  <c r="CJ94" i="6"/>
  <c r="CJ93" i="6"/>
  <c r="CJ92" i="6"/>
  <c r="CJ91" i="6"/>
  <c r="CJ90" i="6"/>
  <c r="CJ89" i="6"/>
  <c r="CJ88" i="6"/>
  <c r="CJ86" i="6"/>
  <c r="CJ79" i="6"/>
  <c r="CJ78" i="6"/>
  <c r="CJ77" i="6"/>
  <c r="CJ82" i="6"/>
  <c r="CJ81" i="6"/>
  <c r="CJ80" i="6"/>
  <c r="CJ87" i="6"/>
  <c r="CJ85" i="6"/>
  <c r="CJ84" i="6"/>
  <c r="CJ83" i="6"/>
  <c r="CJ76" i="6"/>
  <c r="CJ74" i="6"/>
  <c r="CJ72" i="6"/>
  <c r="CJ73" i="6"/>
  <c r="CJ106" i="6"/>
  <c r="CJ105" i="6"/>
  <c r="CJ104" i="6"/>
  <c r="CJ103" i="6"/>
  <c r="CJ102" i="6"/>
  <c r="CJ101" i="6"/>
  <c r="CJ100" i="6"/>
  <c r="CJ99" i="6"/>
  <c r="CJ98" i="6"/>
  <c r="CJ97" i="6"/>
  <c r="CJ96" i="6"/>
  <c r="CJ95" i="6"/>
  <c r="CJ75" i="6"/>
  <c r="CY94" i="6"/>
  <c r="CY93" i="6"/>
  <c r="CY92" i="6"/>
  <c r="CY91" i="6"/>
  <c r="CY90" i="6"/>
  <c r="CY89" i="6"/>
  <c r="CY88" i="6"/>
  <c r="CY86" i="6"/>
  <c r="CY84" i="6"/>
  <c r="CY83" i="6"/>
  <c r="CY80" i="6"/>
  <c r="CY72" i="6"/>
  <c r="CY81" i="6"/>
  <c r="CY87" i="6"/>
  <c r="CY85" i="6"/>
  <c r="CY79" i="6"/>
  <c r="CY78" i="6"/>
  <c r="CY77" i="6"/>
  <c r="CY76" i="6"/>
  <c r="CY75" i="6"/>
  <c r="CY73" i="6"/>
  <c r="CY82" i="6"/>
  <c r="CY74" i="6"/>
  <c r="CY106" i="6"/>
  <c r="CY105" i="6"/>
  <c r="CY104" i="6"/>
  <c r="CY103" i="6"/>
  <c r="CY102" i="6"/>
  <c r="CY101" i="6"/>
  <c r="CY100" i="6"/>
  <c r="CY99" i="6"/>
  <c r="CY98" i="6"/>
  <c r="CY97" i="6"/>
  <c r="CY96" i="6"/>
  <c r="CY95" i="6"/>
  <c r="AQ78" i="6"/>
  <c r="AR78" i="6" s="1"/>
  <c r="I95" i="6" s="1"/>
  <c r="AQ81" i="6"/>
  <c r="AR81" i="6" s="1"/>
  <c r="E96" i="6" s="1"/>
  <c r="AQ82" i="6"/>
  <c r="AR82" i="6" s="1"/>
  <c r="F96" i="6" s="1"/>
  <c r="AQ83" i="6"/>
  <c r="AR83" i="6" s="1"/>
  <c r="G96" i="6" s="1"/>
  <c r="AQ72" i="6"/>
  <c r="AR72" i="6" s="1"/>
  <c r="C95" i="6" s="1"/>
  <c r="AQ73" i="6"/>
  <c r="AR73" i="6" s="1"/>
  <c r="D95" i="6" s="1"/>
  <c r="AQ74" i="6"/>
  <c r="AR74" i="6" s="1"/>
  <c r="E95" i="6" s="1"/>
  <c r="AQ76" i="6"/>
  <c r="AR76" i="6" s="1"/>
  <c r="G95" i="6" s="1"/>
  <c r="AQ77" i="6"/>
  <c r="AR77" i="6" s="1"/>
  <c r="H95" i="6" s="1"/>
  <c r="AQ79" i="6"/>
  <c r="AR79" i="6" s="1"/>
  <c r="C96" i="6" s="1"/>
  <c r="AQ80" i="6"/>
  <c r="AR80" i="6" s="1"/>
  <c r="D96" i="6" s="1"/>
  <c r="AQ84" i="6"/>
  <c r="AR84" i="6" s="1"/>
  <c r="H96" i="6" s="1"/>
  <c r="AQ85" i="6"/>
  <c r="AR85" i="6" s="1"/>
  <c r="I96" i="6" s="1"/>
  <c r="AQ86" i="6"/>
  <c r="AR86" i="6" s="1"/>
  <c r="C97" i="6" s="1"/>
  <c r="AQ87" i="6"/>
  <c r="AR87" i="6" s="1"/>
  <c r="D97" i="6" s="1"/>
  <c r="AQ88" i="6"/>
  <c r="AR88" i="6" s="1"/>
  <c r="E97" i="6" s="1"/>
  <c r="AQ89" i="6"/>
  <c r="AR89" i="6" s="1"/>
  <c r="F97" i="6" s="1"/>
  <c r="AQ90" i="6"/>
  <c r="AR90" i="6" s="1"/>
  <c r="G97" i="6" s="1"/>
  <c r="AQ91" i="6"/>
  <c r="AR91" i="6" s="1"/>
  <c r="H97" i="6" s="1"/>
  <c r="AQ92" i="6"/>
  <c r="AR92" i="6" s="1"/>
  <c r="I97" i="6" s="1"/>
  <c r="AQ93" i="6"/>
  <c r="AR93" i="6" s="1"/>
  <c r="C98" i="6" s="1"/>
  <c r="AQ94" i="6"/>
  <c r="AR94" i="6" s="1"/>
  <c r="D98" i="6" s="1"/>
  <c r="AQ95" i="6"/>
  <c r="AR95" i="6" s="1"/>
  <c r="E98" i="6" s="1"/>
  <c r="AQ75" i="6"/>
  <c r="AR75" i="6" s="1"/>
  <c r="F95" i="6" s="1"/>
  <c r="AQ96" i="6"/>
  <c r="AR96" i="6" s="1"/>
  <c r="F98" i="6" s="1"/>
  <c r="AQ97" i="6"/>
  <c r="AR97" i="6" s="1"/>
  <c r="G98" i="6" s="1"/>
  <c r="AQ98" i="6"/>
  <c r="AR98" i="6" s="1"/>
  <c r="H98" i="6" s="1"/>
  <c r="AQ99" i="6"/>
  <c r="AR99" i="6" s="1"/>
  <c r="I98" i="6" s="1"/>
  <c r="AQ100" i="6"/>
  <c r="AR100" i="6" s="1"/>
  <c r="C99" i="6" s="1"/>
  <c r="AQ101" i="6"/>
  <c r="AR101" i="6" s="1"/>
  <c r="D99" i="6" s="1"/>
  <c r="AQ102" i="6"/>
  <c r="AR102" i="6" s="1"/>
  <c r="E99" i="6" s="1"/>
  <c r="AQ103" i="6"/>
  <c r="AR103" i="6" s="1"/>
  <c r="F99" i="6" s="1"/>
  <c r="AQ104" i="6"/>
  <c r="AR104" i="6" s="1"/>
  <c r="G99" i="6" s="1"/>
  <c r="AQ105" i="6"/>
  <c r="AR105" i="6" s="1"/>
  <c r="H99" i="6" s="1"/>
  <c r="AQ106" i="6"/>
  <c r="AR106" i="6" s="1"/>
  <c r="I99" i="6" s="1"/>
  <c r="CN73" i="6"/>
  <c r="CN94" i="6"/>
  <c r="CN93" i="6"/>
  <c r="CN92" i="6"/>
  <c r="CN91" i="6"/>
  <c r="CN90" i="6"/>
  <c r="CN89" i="6"/>
  <c r="CN88" i="6"/>
  <c r="CN81" i="6"/>
  <c r="CN80" i="6"/>
  <c r="CN87" i="6"/>
  <c r="CN86" i="6"/>
  <c r="CN85" i="6"/>
  <c r="CN84" i="6"/>
  <c r="CN83" i="6"/>
  <c r="CN79" i="6"/>
  <c r="CN78" i="6"/>
  <c r="CN77" i="6"/>
  <c r="CN76" i="6"/>
  <c r="CN74" i="6"/>
  <c r="CN82" i="6"/>
  <c r="CN75" i="6"/>
  <c r="CN72" i="6"/>
  <c r="CN106" i="6"/>
  <c r="CN105" i="6"/>
  <c r="CN104" i="6"/>
  <c r="CN103" i="6"/>
  <c r="CN102" i="6"/>
  <c r="CN101" i="6"/>
  <c r="CN100" i="6"/>
  <c r="CN99" i="6"/>
  <c r="CN98" i="6"/>
  <c r="CN97" i="6"/>
  <c r="CN96" i="6"/>
  <c r="CN95" i="6"/>
  <c r="CK73" i="6"/>
  <c r="CK94" i="6"/>
  <c r="CK93" i="6"/>
  <c r="CK92" i="6"/>
  <c r="CK91" i="6"/>
  <c r="CK90" i="6"/>
  <c r="CK89" i="6"/>
  <c r="CK88" i="6"/>
  <c r="CK83" i="6"/>
  <c r="CK82" i="6"/>
  <c r="CK81" i="6"/>
  <c r="CK80" i="6"/>
  <c r="CK76" i="6"/>
  <c r="CK87" i="6"/>
  <c r="CK86" i="6"/>
  <c r="CK85" i="6"/>
  <c r="CK84" i="6"/>
  <c r="CK79" i="6"/>
  <c r="CK78" i="6"/>
  <c r="CK75" i="6"/>
  <c r="CK74" i="6"/>
  <c r="CK72" i="6"/>
  <c r="CK106" i="6"/>
  <c r="CK105" i="6"/>
  <c r="CK104" i="6"/>
  <c r="CK103" i="6"/>
  <c r="CK102" i="6"/>
  <c r="CK101" i="6"/>
  <c r="CK100" i="6"/>
  <c r="CK99" i="6"/>
  <c r="CK98" i="6"/>
  <c r="CK97" i="6"/>
  <c r="CK96" i="6"/>
  <c r="CK95" i="6"/>
  <c r="CK77" i="6"/>
  <c r="CQ94" i="6"/>
  <c r="CQ93" i="6"/>
  <c r="CQ92" i="6"/>
  <c r="CQ91" i="6"/>
  <c r="CQ90" i="6"/>
  <c r="CQ89" i="6"/>
  <c r="CQ88" i="6"/>
  <c r="CQ78" i="6"/>
  <c r="CQ72" i="6"/>
  <c r="CQ81" i="6"/>
  <c r="CQ80" i="6"/>
  <c r="CQ76" i="6"/>
  <c r="CQ87" i="6"/>
  <c r="CQ86" i="6"/>
  <c r="CQ85" i="6"/>
  <c r="CQ84" i="6"/>
  <c r="CQ83" i="6"/>
  <c r="CQ79" i="6"/>
  <c r="CQ74" i="6"/>
  <c r="CQ73" i="6"/>
  <c r="CQ82" i="6"/>
  <c r="CQ106" i="6"/>
  <c r="CQ105" i="6"/>
  <c r="CQ104" i="6"/>
  <c r="CQ103" i="6"/>
  <c r="CQ102" i="6"/>
  <c r="CQ101" i="6"/>
  <c r="CQ100" i="6"/>
  <c r="CQ99" i="6"/>
  <c r="CQ98" i="6"/>
  <c r="CQ97" i="6"/>
  <c r="CQ96" i="6"/>
  <c r="CQ95" i="6"/>
  <c r="CQ77" i="6"/>
  <c r="CQ75" i="6"/>
  <c r="CP94" i="6"/>
  <c r="CP93" i="6"/>
  <c r="CP92" i="6"/>
  <c r="CP91" i="6"/>
  <c r="CP90" i="6"/>
  <c r="CP89" i="6"/>
  <c r="CP88" i="6"/>
  <c r="CP87" i="6"/>
  <c r="CP86" i="6"/>
  <c r="CP79" i="6"/>
  <c r="CP77" i="6"/>
  <c r="CP76" i="6"/>
  <c r="CP75" i="6"/>
  <c r="CP82" i="6"/>
  <c r="CP81" i="6"/>
  <c r="CP80" i="6"/>
  <c r="CP85" i="6"/>
  <c r="CP84" i="6"/>
  <c r="CP83" i="6"/>
  <c r="CP78" i="6"/>
  <c r="CP74" i="6"/>
  <c r="CP73" i="6"/>
  <c r="CP72" i="6"/>
  <c r="CP106" i="6"/>
  <c r="CP105" i="6"/>
  <c r="CP104" i="6"/>
  <c r="CP103" i="6"/>
  <c r="CP102" i="6"/>
  <c r="CP101" i="6"/>
  <c r="CP100" i="6"/>
  <c r="CP99" i="6"/>
  <c r="CP98" i="6"/>
  <c r="CP97" i="6"/>
  <c r="CP96" i="6"/>
  <c r="CP95" i="6"/>
  <c r="CH72" i="6"/>
  <c r="CH94" i="6"/>
  <c r="CH93" i="6"/>
  <c r="CH92" i="6"/>
  <c r="CH91" i="6"/>
  <c r="CH90" i="6"/>
  <c r="CH89" i="6"/>
  <c r="CH88" i="6"/>
  <c r="CH85" i="6"/>
  <c r="CH83" i="6"/>
  <c r="CH76" i="6"/>
  <c r="CH82" i="6"/>
  <c r="CH81" i="6"/>
  <c r="CH80" i="6"/>
  <c r="CH87" i="6"/>
  <c r="CH86" i="6"/>
  <c r="CH84" i="6"/>
  <c r="CH79" i="6"/>
  <c r="CH78" i="6"/>
  <c r="CH77" i="6"/>
  <c r="CH74" i="6"/>
  <c r="CH73" i="6"/>
  <c r="CH106" i="6"/>
  <c r="CH105" i="6"/>
  <c r="CH104" i="6"/>
  <c r="CH103" i="6"/>
  <c r="CH102" i="6"/>
  <c r="CH101" i="6"/>
  <c r="CH100" i="6"/>
  <c r="CH99" i="6"/>
  <c r="CH98" i="6"/>
  <c r="CH97" i="6"/>
  <c r="CH96" i="6"/>
  <c r="CH95" i="6"/>
  <c r="CH75" i="6"/>
  <c r="CG94" i="6"/>
  <c r="CG93" i="6"/>
  <c r="CG92" i="6"/>
  <c r="CG91" i="6"/>
  <c r="CG90" i="6"/>
  <c r="CG89" i="6"/>
  <c r="CG88" i="6"/>
  <c r="CG79" i="6"/>
  <c r="CG78" i="6"/>
  <c r="CG75" i="6"/>
  <c r="CG82" i="6"/>
  <c r="CG81" i="6"/>
  <c r="CG80" i="6"/>
  <c r="CG87" i="6"/>
  <c r="CG86" i="6"/>
  <c r="CG85" i="6"/>
  <c r="CG84" i="6"/>
  <c r="CG83" i="6"/>
  <c r="CG73" i="6"/>
  <c r="CG76" i="6"/>
  <c r="CG74" i="6"/>
  <c r="CG72" i="6"/>
  <c r="CG106" i="6"/>
  <c r="CG105" i="6"/>
  <c r="CG104" i="6"/>
  <c r="CG103" i="6"/>
  <c r="CG102" i="6"/>
  <c r="CG101" i="6"/>
  <c r="CG100" i="6"/>
  <c r="CG99" i="6"/>
  <c r="CG98" i="6"/>
  <c r="CG97" i="6"/>
  <c r="CG96" i="6"/>
  <c r="CG95" i="6"/>
  <c r="CG77" i="6"/>
  <c r="CF73" i="6"/>
  <c r="CF72" i="6"/>
  <c r="CF94" i="6"/>
  <c r="CF93" i="6"/>
  <c r="CF92" i="6"/>
  <c r="CF91" i="6"/>
  <c r="CF90" i="6"/>
  <c r="CF89" i="6"/>
  <c r="CF88" i="6"/>
  <c r="CF86" i="6"/>
  <c r="CF74" i="6"/>
  <c r="CF82" i="6"/>
  <c r="CF81" i="6"/>
  <c r="CF80" i="6"/>
  <c r="CF87" i="6"/>
  <c r="CF85" i="6"/>
  <c r="CF84" i="6"/>
  <c r="CF83" i="6"/>
  <c r="CF79" i="6"/>
  <c r="CF78" i="6"/>
  <c r="CF77" i="6"/>
  <c r="CF76" i="6"/>
  <c r="CF106" i="6"/>
  <c r="CF105" i="6"/>
  <c r="CF104" i="6"/>
  <c r="CF103" i="6"/>
  <c r="CF102" i="6"/>
  <c r="CF101" i="6"/>
  <c r="CF100" i="6"/>
  <c r="CF99" i="6"/>
  <c r="CF98" i="6"/>
  <c r="CF97" i="6"/>
  <c r="CF96" i="6"/>
  <c r="CF95" i="6"/>
  <c r="CF75" i="6"/>
  <c r="CE94" i="6"/>
  <c r="CE93" i="6"/>
  <c r="CE92" i="6"/>
  <c r="CE91" i="6"/>
  <c r="CE90" i="6"/>
  <c r="CE89" i="6"/>
  <c r="CE88" i="6"/>
  <c r="CE87" i="6"/>
  <c r="CE84" i="6"/>
  <c r="CE82" i="6"/>
  <c r="CE81" i="6"/>
  <c r="CE80" i="6"/>
  <c r="CE86" i="6"/>
  <c r="CE85" i="6"/>
  <c r="CE83" i="6"/>
  <c r="CE79" i="6"/>
  <c r="CE78" i="6"/>
  <c r="CE72" i="6"/>
  <c r="CE76" i="6"/>
  <c r="CE75" i="6"/>
  <c r="CE74" i="6"/>
  <c r="CE73" i="6"/>
  <c r="CE106" i="6"/>
  <c r="CE105" i="6"/>
  <c r="CE104" i="6"/>
  <c r="CE103" i="6"/>
  <c r="CE102" i="6"/>
  <c r="CE101" i="6"/>
  <c r="CE100" i="6"/>
  <c r="CE99" i="6"/>
  <c r="CE98" i="6"/>
  <c r="CE97" i="6"/>
  <c r="CE96" i="6"/>
  <c r="CE95" i="6"/>
  <c r="CE77" i="6"/>
  <c r="CD73" i="6"/>
  <c r="CD94" i="6"/>
  <c r="CD93" i="6"/>
  <c r="CD92" i="6"/>
  <c r="CD91" i="6"/>
  <c r="CD90" i="6"/>
  <c r="CD89" i="6"/>
  <c r="CD88" i="6"/>
  <c r="CD85" i="6"/>
  <c r="CD83" i="6"/>
  <c r="CD77" i="6"/>
  <c r="CD82" i="6"/>
  <c r="CD81" i="6"/>
  <c r="CD80" i="6"/>
  <c r="CD87" i="6"/>
  <c r="CD86" i="6"/>
  <c r="CD84" i="6"/>
  <c r="CD79" i="6"/>
  <c r="CD78" i="6"/>
  <c r="CD76" i="6"/>
  <c r="CD74" i="6"/>
  <c r="CD72" i="6"/>
  <c r="CD106" i="6"/>
  <c r="CD105" i="6"/>
  <c r="CD104" i="6"/>
  <c r="CD103" i="6"/>
  <c r="CD102" i="6"/>
  <c r="CD101" i="6"/>
  <c r="CD100" i="6"/>
  <c r="CD99" i="6"/>
  <c r="CD98" i="6"/>
  <c r="CD97" i="6"/>
  <c r="CD96" i="6"/>
  <c r="CD95" i="6"/>
  <c r="CD75" i="6"/>
  <c r="CC94" i="6"/>
  <c r="CC93" i="6"/>
  <c r="CC92" i="6"/>
  <c r="CC91" i="6"/>
  <c r="CC90" i="6"/>
  <c r="CC89" i="6"/>
  <c r="CC88" i="6"/>
  <c r="CC79" i="6"/>
  <c r="CC72" i="6"/>
  <c r="CC82" i="6"/>
  <c r="CC81" i="6"/>
  <c r="CC80" i="6"/>
  <c r="CC78" i="6"/>
  <c r="CC87" i="6"/>
  <c r="CC86" i="6"/>
  <c r="CC85" i="6"/>
  <c r="CC84" i="6"/>
  <c r="CC83" i="6"/>
  <c r="CC77" i="6"/>
  <c r="CC73" i="6"/>
  <c r="CC76" i="6"/>
  <c r="CC75" i="6"/>
  <c r="CC74" i="6"/>
  <c r="CC106" i="6"/>
  <c r="CC105" i="6"/>
  <c r="CC104" i="6"/>
  <c r="CC103" i="6"/>
  <c r="CC102" i="6"/>
  <c r="CC101" i="6"/>
  <c r="CC100" i="6"/>
  <c r="CC99" i="6"/>
  <c r="CC98" i="6"/>
  <c r="CC97" i="6"/>
  <c r="CC96" i="6"/>
  <c r="CC95" i="6"/>
  <c r="CB73" i="6"/>
  <c r="CB72" i="6"/>
  <c r="CB94" i="6"/>
  <c r="CB93" i="6"/>
  <c r="CB92" i="6"/>
  <c r="CB91" i="6"/>
  <c r="CB90" i="6"/>
  <c r="CB89" i="6"/>
  <c r="CB88" i="6"/>
  <c r="CB86" i="6"/>
  <c r="CB78" i="6"/>
  <c r="CB76" i="6"/>
  <c r="CB82" i="6"/>
  <c r="CB81" i="6"/>
  <c r="CB80" i="6"/>
  <c r="CB87" i="6"/>
  <c r="CB85" i="6"/>
  <c r="CB84" i="6"/>
  <c r="CB83" i="6"/>
  <c r="CB79" i="6"/>
  <c r="CB77" i="6"/>
  <c r="CB75" i="6"/>
  <c r="CB74" i="6"/>
  <c r="CB106" i="6"/>
  <c r="CB105" i="6"/>
  <c r="CB104" i="6"/>
  <c r="CB103" i="6"/>
  <c r="CB102" i="6"/>
  <c r="CB101" i="6"/>
  <c r="CB100" i="6"/>
  <c r="CB99" i="6"/>
  <c r="CB98" i="6"/>
  <c r="CB97" i="6"/>
  <c r="CB96" i="6"/>
  <c r="CB95" i="6"/>
  <c r="BB77" i="6"/>
  <c r="BB78" i="6"/>
  <c r="BB82" i="6"/>
  <c r="BB73" i="6"/>
  <c r="BB75" i="6"/>
  <c r="BB85" i="6"/>
  <c r="BB88" i="6"/>
  <c r="BE94" i="6"/>
  <c r="BE95" i="6"/>
  <c r="BE73" i="6"/>
  <c r="BE96" i="6"/>
  <c r="BE97" i="6"/>
  <c r="BI103" i="6"/>
  <c r="BI104" i="6"/>
  <c r="BI105" i="6"/>
  <c r="BI106" i="6"/>
  <c r="BJ73" i="6"/>
  <c r="BJ78" i="6"/>
  <c r="BJ81" i="6"/>
  <c r="BJ82" i="6"/>
  <c r="BJ74" i="6"/>
  <c r="BJ77" i="6"/>
  <c r="BJ79" i="6"/>
  <c r="BJ80" i="6"/>
  <c r="BJ83" i="6"/>
  <c r="BJ84" i="6"/>
  <c r="BJ85" i="6"/>
  <c r="BJ86" i="6"/>
  <c r="BJ87" i="6"/>
  <c r="BJ88" i="6"/>
  <c r="BJ89" i="6"/>
  <c r="BJ90" i="6"/>
  <c r="BJ91" i="6"/>
  <c r="BJ92" i="6"/>
  <c r="BJ93" i="6"/>
  <c r="BJ94" i="6"/>
  <c r="BJ95" i="6"/>
  <c r="BJ72" i="6"/>
  <c r="BJ75" i="6"/>
  <c r="BJ76" i="6"/>
  <c r="BJ96" i="6"/>
  <c r="BJ97" i="6"/>
  <c r="BJ98" i="6"/>
  <c r="BJ99" i="6"/>
  <c r="BJ100" i="6"/>
  <c r="BJ101" i="6"/>
  <c r="BJ102" i="6"/>
  <c r="BJ103" i="6"/>
  <c r="BJ104" i="6"/>
  <c r="BJ105" i="6"/>
  <c r="BJ106" i="6"/>
  <c r="BQ73" i="6"/>
  <c r="BQ76" i="6"/>
  <c r="BQ81" i="6"/>
  <c r="BQ82" i="6"/>
  <c r="BQ74" i="6"/>
  <c r="BQ77" i="6"/>
  <c r="BQ78" i="6"/>
  <c r="BQ79" i="6"/>
  <c r="BQ80" i="6"/>
  <c r="BQ83" i="6"/>
  <c r="BQ84" i="6"/>
  <c r="BQ85" i="6"/>
  <c r="BQ86" i="6"/>
  <c r="BQ87" i="6"/>
  <c r="BQ88" i="6"/>
  <c r="BQ89" i="6"/>
  <c r="BQ90" i="6"/>
  <c r="BQ91" i="6"/>
  <c r="BQ92" i="6"/>
  <c r="BQ93" i="6"/>
  <c r="BQ94" i="6"/>
  <c r="BQ95" i="6"/>
  <c r="BQ72" i="6"/>
  <c r="BQ75" i="6"/>
  <c r="BQ96" i="6"/>
  <c r="BQ97" i="6"/>
  <c r="BQ98" i="6"/>
  <c r="BQ99" i="6"/>
  <c r="BQ100" i="6"/>
  <c r="BQ101" i="6"/>
  <c r="BQ102" i="6"/>
  <c r="BQ103" i="6"/>
  <c r="BQ104" i="6"/>
  <c r="BQ105" i="6"/>
  <c r="BQ106" i="6"/>
  <c r="BK74" i="6"/>
  <c r="BK81" i="6"/>
  <c r="BK82" i="6"/>
  <c r="BK72" i="6"/>
  <c r="BK75" i="6"/>
  <c r="BK76" i="6"/>
  <c r="BK77" i="6"/>
  <c r="BK78" i="6"/>
  <c r="BK79" i="6"/>
  <c r="BK80" i="6"/>
  <c r="BK83" i="6"/>
  <c r="BK84" i="6"/>
  <c r="BK85" i="6"/>
  <c r="BK86" i="6"/>
  <c r="BK87" i="6"/>
  <c r="BK88" i="6"/>
  <c r="BK89" i="6"/>
  <c r="BK90" i="6"/>
  <c r="BK91" i="6"/>
  <c r="BK92" i="6"/>
  <c r="BK93" i="6"/>
  <c r="BK94" i="6"/>
  <c r="BK95" i="6"/>
  <c r="BK73" i="6"/>
  <c r="BK96" i="6"/>
  <c r="BK97" i="6"/>
  <c r="BK98" i="6"/>
  <c r="BK99" i="6"/>
  <c r="BK100" i="6"/>
  <c r="BK101" i="6"/>
  <c r="BK102" i="6"/>
  <c r="BK103" i="6"/>
  <c r="BK104" i="6"/>
  <c r="BK105" i="6"/>
  <c r="BK106" i="6"/>
  <c r="BO81" i="6"/>
  <c r="BO82" i="6"/>
  <c r="BO75" i="6"/>
  <c r="BO76" i="6"/>
  <c r="BO77" i="6"/>
  <c r="BO78" i="6"/>
  <c r="BO79" i="6"/>
  <c r="BN79" i="6"/>
  <c r="BL93" i="6"/>
  <c r="BL94" i="6"/>
  <c r="BL95" i="6"/>
  <c r="BL74" i="6"/>
  <c r="BL96" i="6"/>
  <c r="BL97" i="6"/>
  <c r="BL98" i="6"/>
  <c r="BL99" i="6"/>
  <c r="BL100" i="6"/>
  <c r="BL101" i="6"/>
  <c r="BL102" i="6"/>
  <c r="BL103" i="6"/>
  <c r="BL104" i="6"/>
  <c r="BL105" i="6"/>
  <c r="BL106" i="6"/>
  <c r="BL72" i="6"/>
  <c r="BL73" i="6"/>
  <c r="BL76" i="6"/>
  <c r="BL81" i="6"/>
  <c r="BL82" i="6"/>
  <c r="BS72" i="6"/>
  <c r="BS73" i="6"/>
  <c r="BS77" i="6"/>
  <c r="BP85" i="6"/>
  <c r="BP86" i="6"/>
  <c r="BP87" i="6"/>
  <c r="BP88" i="6"/>
  <c r="BP89" i="6"/>
  <c r="BP90" i="6"/>
  <c r="BP91" i="6"/>
  <c r="BP92" i="6"/>
  <c r="BP93" i="6"/>
  <c r="BP94" i="6"/>
  <c r="BP95" i="6"/>
  <c r="BR73" i="6"/>
  <c r="BR74" i="6"/>
  <c r="BR96" i="6"/>
  <c r="BR97" i="6"/>
  <c r="BR98" i="6"/>
  <c r="BR99" i="6"/>
  <c r="BR100" i="6"/>
  <c r="BR101" i="6"/>
  <c r="BR102" i="6"/>
  <c r="BR103" i="6"/>
  <c r="BR104" i="6"/>
  <c r="BR105" i="6"/>
  <c r="BR106" i="6"/>
  <c r="BR72" i="6"/>
  <c r="BR81" i="6"/>
  <c r="BR82" i="6"/>
  <c r="BR75" i="6"/>
  <c r="BR76" i="6"/>
  <c r="BR77" i="6"/>
  <c r="BR78" i="6"/>
  <c r="BR79" i="6"/>
  <c r="BR80" i="6"/>
  <c r="BR83" i="6"/>
  <c r="BR84" i="6"/>
  <c r="BR85" i="6"/>
  <c r="BR86" i="6"/>
  <c r="BR87" i="6"/>
  <c r="BR88" i="6"/>
  <c r="BR89" i="6"/>
  <c r="BR90" i="6"/>
  <c r="BR91" i="6"/>
  <c r="BR92" i="6"/>
  <c r="BR93" i="6"/>
  <c r="BR94" i="6"/>
  <c r="BR95" i="6"/>
  <c r="BT73" i="6"/>
  <c r="BT96" i="6"/>
  <c r="BT97" i="6"/>
  <c r="BT98" i="6"/>
  <c r="BT99" i="6"/>
  <c r="BT100" i="6"/>
  <c r="BT101" i="6"/>
  <c r="BT102" i="6"/>
  <c r="BT103" i="6"/>
  <c r="BT104" i="6"/>
  <c r="BT105" i="6"/>
  <c r="BT106" i="6"/>
  <c r="BT72" i="6"/>
  <c r="BT75" i="6"/>
  <c r="BT81" i="6"/>
  <c r="BT82" i="6"/>
  <c r="BT74" i="6"/>
  <c r="BT76" i="6"/>
  <c r="BT77" i="6"/>
  <c r="BT78" i="6"/>
  <c r="BT79" i="6"/>
  <c r="BT80" i="6"/>
  <c r="BT83" i="6"/>
  <c r="BT84" i="6"/>
  <c r="BT85" i="6"/>
  <c r="BT86" i="6"/>
  <c r="BT87" i="6"/>
  <c r="BT88" i="6"/>
  <c r="BT89" i="6"/>
  <c r="BT90" i="6"/>
  <c r="BT91" i="6"/>
  <c r="BT92" i="6"/>
  <c r="BT93" i="6"/>
  <c r="BT94" i="6"/>
  <c r="BT95" i="6"/>
  <c r="BX75" i="6"/>
  <c r="BX96" i="6"/>
  <c r="BX97" i="6"/>
  <c r="BX98" i="6"/>
  <c r="BX99" i="6"/>
  <c r="BX100" i="6"/>
  <c r="BX101" i="6"/>
  <c r="BX102" i="6"/>
  <c r="BX103" i="6"/>
  <c r="BX104" i="6"/>
  <c r="BX105" i="6"/>
  <c r="BX106" i="6"/>
  <c r="BX81" i="6"/>
  <c r="BX82" i="6"/>
  <c r="BX72" i="6"/>
  <c r="BX73" i="6"/>
  <c r="BX74" i="6"/>
  <c r="BX76" i="6"/>
  <c r="BX77" i="6"/>
  <c r="BX78" i="6"/>
  <c r="BX79" i="6"/>
  <c r="BX80" i="6"/>
  <c r="BX83" i="6"/>
  <c r="BX84" i="6"/>
  <c r="BX85" i="6"/>
  <c r="BX86" i="6"/>
  <c r="BX87" i="6"/>
  <c r="BX88" i="6"/>
  <c r="BX89" i="6"/>
  <c r="BX90" i="6"/>
  <c r="BX91" i="6"/>
  <c r="BX92" i="6"/>
  <c r="BX93" i="6"/>
  <c r="BX94" i="6"/>
  <c r="BX95" i="6"/>
  <c r="BB81" i="6"/>
  <c r="BB83" i="6"/>
  <c r="BB72" i="6"/>
  <c r="BB74" i="6"/>
  <c r="BB79" i="6"/>
  <c r="BB80" i="6"/>
  <c r="BB84" i="6"/>
  <c r="BB86" i="6"/>
  <c r="BB87" i="6"/>
  <c r="BB89" i="6"/>
  <c r="CB77" i="1"/>
  <c r="CB90" i="1"/>
  <c r="CB101" i="1"/>
  <c r="CB91" i="1"/>
  <c r="CB72" i="1"/>
  <c r="CB89" i="1"/>
  <c r="CB88" i="1"/>
  <c r="CB92" i="1"/>
  <c r="CB104" i="1"/>
  <c r="CB96" i="1"/>
  <c r="CB106" i="1"/>
  <c r="CB95" i="1"/>
  <c r="CB102" i="1"/>
  <c r="CB85" i="1"/>
  <c r="CB100" i="1"/>
  <c r="CB98" i="1"/>
  <c r="CB87" i="1"/>
  <c r="CB105" i="1"/>
  <c r="CB78" i="1"/>
  <c r="CB76" i="1"/>
  <c r="CB75" i="1"/>
  <c r="CB97" i="1"/>
  <c r="CB74" i="1"/>
  <c r="CB73" i="1"/>
  <c r="CB94" i="1"/>
  <c r="CB81" i="1"/>
  <c r="CB79" i="1"/>
  <c r="CB84" i="1"/>
  <c r="CB93" i="1"/>
  <c r="CB99" i="1"/>
  <c r="CB82" i="1"/>
  <c r="CB80" i="1"/>
  <c r="CB86" i="1"/>
  <c r="CB103" i="1"/>
  <c r="CB83" i="1"/>
  <c r="CC106" i="1"/>
  <c r="CC86" i="1"/>
  <c r="CC76" i="1"/>
  <c r="CC96" i="1"/>
  <c r="CC77" i="1"/>
  <c r="CC84" i="1"/>
  <c r="CC103" i="1"/>
  <c r="CC78" i="1"/>
  <c r="CC92" i="1"/>
  <c r="CC88" i="1"/>
  <c r="CC74" i="1"/>
  <c r="CC73" i="1"/>
  <c r="CC83" i="1"/>
  <c r="CC82" i="1"/>
  <c r="CC89" i="1"/>
  <c r="CC97" i="1"/>
  <c r="CC80" i="1"/>
  <c r="CC72" i="1"/>
  <c r="CC75" i="1"/>
  <c r="CC93" i="1"/>
  <c r="CC81" i="1"/>
  <c r="CC94" i="1"/>
  <c r="CC102" i="1"/>
  <c r="CC98" i="1"/>
  <c r="CC91" i="1"/>
  <c r="CC90" i="1"/>
  <c r="CC79" i="1"/>
  <c r="CC104" i="1"/>
  <c r="CC100" i="1"/>
  <c r="CC105" i="1"/>
  <c r="CC99" i="1"/>
  <c r="CC101" i="1"/>
  <c r="CC85" i="1"/>
  <c r="CC87" i="1"/>
  <c r="CC95" i="1"/>
  <c r="CD73" i="1"/>
  <c r="CD106" i="1"/>
  <c r="CD87" i="1"/>
  <c r="CD96" i="1"/>
  <c r="CD83" i="1"/>
  <c r="CD105" i="1"/>
  <c r="CD90" i="1"/>
  <c r="CD100" i="1"/>
  <c r="CD93" i="1"/>
  <c r="CD72" i="1"/>
  <c r="CD98" i="1"/>
  <c r="CD85" i="1"/>
  <c r="CD104" i="1"/>
  <c r="CD79" i="1"/>
  <c r="CD99" i="1"/>
  <c r="CD94" i="1"/>
  <c r="CD78" i="1"/>
  <c r="CD84" i="1"/>
  <c r="CD91" i="1"/>
  <c r="CD101" i="1"/>
  <c r="CD103" i="1"/>
  <c r="CD76" i="1"/>
  <c r="CD89" i="1"/>
  <c r="CD88" i="1"/>
  <c r="CD95" i="1"/>
  <c r="CD77" i="1"/>
  <c r="CD102" i="1"/>
  <c r="CD82" i="1"/>
  <c r="CD74" i="1"/>
  <c r="CD80" i="1"/>
  <c r="CD97" i="1"/>
  <c r="CD81" i="1"/>
  <c r="CD75" i="1"/>
  <c r="CD86" i="1"/>
  <c r="CD92" i="1"/>
  <c r="CE86" i="1"/>
  <c r="CE80" i="1"/>
  <c r="CE101" i="1"/>
  <c r="CE96" i="1"/>
  <c r="CE77" i="1"/>
  <c r="CE75" i="1"/>
  <c r="CE95" i="1"/>
  <c r="CE83" i="1"/>
  <c r="CE106" i="1"/>
  <c r="CE87" i="1"/>
  <c r="CE82" i="1"/>
  <c r="CE88" i="1"/>
  <c r="CE85" i="1"/>
  <c r="CE89" i="1"/>
  <c r="CE72" i="1"/>
  <c r="CE73" i="1"/>
  <c r="CE94" i="1"/>
  <c r="CE103" i="1"/>
  <c r="CE91" i="1"/>
  <c r="CE84" i="1"/>
  <c r="CE81" i="1"/>
  <c r="CE104" i="1"/>
  <c r="CE98" i="1"/>
  <c r="CE99" i="1"/>
  <c r="CE79" i="1"/>
  <c r="CE93" i="1"/>
  <c r="CE105" i="1"/>
  <c r="CE90" i="1"/>
  <c r="CE74" i="1"/>
  <c r="CE78" i="1"/>
  <c r="CE97" i="1"/>
  <c r="CE102" i="1"/>
  <c r="CE100" i="1"/>
  <c r="CE76" i="1"/>
  <c r="CE92" i="1"/>
  <c r="CF75" i="1"/>
  <c r="CF90" i="1"/>
  <c r="CF101" i="1"/>
  <c r="CF104" i="1"/>
  <c r="CF95" i="1"/>
  <c r="CF84" i="1"/>
  <c r="CF72" i="1"/>
  <c r="CF87" i="1"/>
  <c r="CF76" i="1"/>
  <c r="CF102" i="1"/>
  <c r="CF94" i="1"/>
  <c r="CF97" i="1"/>
  <c r="CF81" i="1"/>
  <c r="CF78" i="1"/>
  <c r="CF99" i="1"/>
  <c r="CF73" i="1"/>
  <c r="CF77" i="1"/>
  <c r="CF93" i="1"/>
  <c r="CF86" i="1"/>
  <c r="CF105" i="1"/>
  <c r="CF80" i="1"/>
  <c r="CF79" i="1"/>
  <c r="CF83" i="1"/>
  <c r="CF82" i="1"/>
  <c r="CF98" i="1"/>
  <c r="CF100" i="1"/>
  <c r="CF92" i="1"/>
  <c r="CF106" i="1"/>
  <c r="CF88" i="1"/>
  <c r="CF89" i="1"/>
  <c r="CF91" i="1"/>
  <c r="CF103" i="1"/>
  <c r="CF74" i="1"/>
  <c r="CF85" i="1"/>
  <c r="CF96" i="1"/>
  <c r="CG101" i="1"/>
  <c r="CG72" i="1"/>
  <c r="CG98" i="1"/>
  <c r="CG87" i="1"/>
  <c r="CG92" i="1"/>
  <c r="CG76" i="1"/>
  <c r="CG84" i="1"/>
  <c r="CG106" i="1"/>
  <c r="CG104" i="1"/>
  <c r="CG85" i="1"/>
  <c r="CG74" i="1"/>
  <c r="CG88" i="1"/>
  <c r="CG73" i="1"/>
  <c r="CG82" i="1"/>
  <c r="CG103" i="1"/>
  <c r="CG96" i="1"/>
  <c r="CG94" i="1"/>
  <c r="CG86" i="1"/>
  <c r="CG83" i="1"/>
  <c r="CG102" i="1"/>
  <c r="CG95" i="1"/>
  <c r="CG89" i="1"/>
  <c r="CG77" i="1"/>
  <c r="CG90" i="1"/>
  <c r="CG105" i="1"/>
  <c r="CG78" i="1"/>
  <c r="CG75" i="1"/>
  <c r="CG79" i="1"/>
  <c r="CG81" i="1"/>
  <c r="CG93" i="1"/>
  <c r="CG80" i="1"/>
  <c r="CG91" i="1"/>
  <c r="CG97" i="1"/>
  <c r="CG99" i="1"/>
  <c r="CG100" i="1"/>
  <c r="CH98" i="1"/>
  <c r="CH96" i="1"/>
  <c r="CH99" i="1"/>
  <c r="CH91" i="1"/>
  <c r="CH72" i="1"/>
  <c r="CH100" i="1"/>
  <c r="CH79" i="1"/>
  <c r="CH92" i="1"/>
  <c r="CH93" i="1"/>
  <c r="CH73" i="1"/>
  <c r="CH77" i="1"/>
  <c r="CH75" i="1"/>
  <c r="CH86" i="1"/>
  <c r="CH106" i="1"/>
  <c r="CH97" i="1"/>
  <c r="CH101" i="1"/>
  <c r="CH103" i="1"/>
  <c r="CH78" i="1"/>
  <c r="CH94" i="1"/>
  <c r="CH84" i="1"/>
  <c r="CH89" i="1"/>
  <c r="CH80" i="1"/>
  <c r="CH76" i="1"/>
  <c r="CH105" i="1"/>
  <c r="CH88" i="1"/>
  <c r="CH82" i="1"/>
  <c r="CH83" i="1"/>
  <c r="CH74" i="1"/>
  <c r="CH85" i="1"/>
  <c r="CH104" i="1"/>
  <c r="CH81" i="1"/>
  <c r="CH87" i="1"/>
  <c r="CH90" i="1"/>
  <c r="CH95" i="1"/>
  <c r="CH102" i="1"/>
  <c r="CI90" i="1"/>
  <c r="CI87" i="1"/>
  <c r="CI93" i="1"/>
  <c r="CI73" i="1"/>
  <c r="CI75" i="1"/>
  <c r="CI102" i="1"/>
  <c r="CI88" i="1"/>
  <c r="CI76" i="1"/>
  <c r="CI95" i="1"/>
  <c r="CI105" i="1"/>
  <c r="CI84" i="1"/>
  <c r="CI72" i="1"/>
  <c r="CI97" i="1"/>
  <c r="CI82" i="1"/>
  <c r="CI100" i="1"/>
  <c r="CI96" i="1"/>
  <c r="CI89" i="1"/>
  <c r="CI103" i="1"/>
  <c r="CI85" i="1"/>
  <c r="CI74" i="1"/>
  <c r="CI78" i="1"/>
  <c r="CI92" i="1"/>
  <c r="CI106" i="1"/>
  <c r="CI83" i="1"/>
  <c r="CI86" i="1"/>
  <c r="CI79" i="1"/>
  <c r="CI94" i="1"/>
  <c r="CI99" i="1"/>
  <c r="CI77" i="1"/>
  <c r="CI80" i="1"/>
  <c r="CI91" i="1"/>
  <c r="CI98" i="1"/>
  <c r="CI101" i="1"/>
  <c r="CI81" i="1"/>
  <c r="CI104" i="1"/>
  <c r="CJ73" i="1"/>
  <c r="CJ95" i="1"/>
  <c r="CJ72" i="1"/>
  <c r="CJ97" i="1"/>
  <c r="CJ98" i="1"/>
  <c r="CJ74" i="1"/>
  <c r="CJ103" i="1"/>
  <c r="CJ75" i="1"/>
  <c r="CJ76" i="1"/>
  <c r="CJ96" i="1"/>
  <c r="CJ100" i="1"/>
  <c r="CJ93" i="1"/>
  <c r="CJ81" i="1"/>
  <c r="CJ99" i="1"/>
  <c r="CJ82" i="1"/>
  <c r="CJ101" i="1"/>
  <c r="CJ86" i="1"/>
  <c r="CJ83" i="1"/>
  <c r="CJ106" i="1"/>
  <c r="CJ90" i="1"/>
  <c r="CJ94" i="1"/>
  <c r="CJ91" i="1"/>
  <c r="CJ79" i="1"/>
  <c r="CJ92" i="1"/>
  <c r="CJ89" i="1"/>
  <c r="CJ84" i="1"/>
  <c r="CJ87" i="1"/>
  <c r="CJ77" i="1"/>
  <c r="CJ102" i="1"/>
  <c r="CJ104" i="1"/>
  <c r="CJ105" i="1"/>
  <c r="CJ78" i="1"/>
  <c r="CJ85" i="1"/>
  <c r="CJ88" i="1"/>
  <c r="CJ80" i="1"/>
  <c r="CK91" i="1"/>
  <c r="CK74" i="1"/>
  <c r="CK97" i="1"/>
  <c r="CK101" i="1"/>
  <c r="CK87" i="1"/>
  <c r="CK95" i="1"/>
  <c r="CK96" i="1"/>
  <c r="CK103" i="1"/>
  <c r="CK100" i="1"/>
  <c r="CK93" i="1"/>
  <c r="CK73" i="1"/>
  <c r="CK88" i="1"/>
  <c r="CK99" i="1"/>
  <c r="CK85" i="1"/>
  <c r="CK82" i="1"/>
  <c r="CK80" i="1"/>
  <c r="CK105" i="1"/>
  <c r="CK90" i="1"/>
  <c r="CK81" i="1"/>
  <c r="CK72" i="1"/>
  <c r="CK86" i="1"/>
  <c r="CK79" i="1"/>
  <c r="CK84" i="1"/>
  <c r="CK98" i="1"/>
  <c r="CK106" i="1"/>
  <c r="CK83" i="1"/>
  <c r="CK77" i="1"/>
  <c r="CK94" i="1"/>
  <c r="CK76" i="1"/>
  <c r="CK89" i="1"/>
  <c r="CK102" i="1"/>
  <c r="CK78" i="1"/>
  <c r="CK75" i="1"/>
  <c r="CK104" i="1"/>
  <c r="CK92" i="1"/>
  <c r="CL84" i="1"/>
  <c r="CL78" i="1"/>
  <c r="CL102" i="1"/>
  <c r="CL105" i="1"/>
  <c r="CL79" i="1"/>
  <c r="CL97" i="1"/>
  <c r="CL104" i="1"/>
  <c r="CL92" i="1"/>
  <c r="CL101" i="1"/>
  <c r="CL91" i="1"/>
  <c r="CL95" i="1"/>
  <c r="CL85" i="1"/>
  <c r="CL72" i="1"/>
  <c r="CL94" i="1"/>
  <c r="CL82" i="1"/>
  <c r="CL98" i="1"/>
  <c r="CL75" i="1"/>
  <c r="CL89" i="1"/>
  <c r="CL106" i="1"/>
  <c r="CL99" i="1"/>
  <c r="CL96" i="1"/>
  <c r="CL87" i="1"/>
  <c r="CL80" i="1"/>
  <c r="CL93" i="1"/>
  <c r="CL88" i="1"/>
  <c r="CL103" i="1"/>
  <c r="CL76" i="1"/>
  <c r="CL73" i="1"/>
  <c r="CL83" i="1"/>
  <c r="CL81" i="1"/>
  <c r="CL100" i="1"/>
  <c r="CL90" i="1"/>
  <c r="CL74" i="1"/>
  <c r="CL86" i="1"/>
  <c r="CL77" i="1"/>
  <c r="CM103" i="1"/>
  <c r="CM104" i="1"/>
  <c r="CM87" i="1"/>
  <c r="CM88" i="1"/>
  <c r="CM106" i="1"/>
  <c r="CM96" i="1"/>
  <c r="CM100" i="1"/>
  <c r="CM80" i="1"/>
  <c r="CM99" i="1"/>
  <c r="CM97" i="1"/>
  <c r="CM72" i="1"/>
  <c r="CM92" i="1"/>
  <c r="CM81" i="1"/>
  <c r="CM98" i="1"/>
  <c r="CM90" i="1"/>
  <c r="CM91" i="1"/>
  <c r="CM82" i="1"/>
  <c r="CM77" i="1"/>
  <c r="CM84" i="1"/>
  <c r="CM93" i="1"/>
  <c r="CM86" i="1"/>
  <c r="CM83" i="1"/>
  <c r="CM85" i="1"/>
  <c r="CM76" i="1"/>
  <c r="CM89" i="1"/>
  <c r="CM105" i="1"/>
  <c r="CM102" i="1"/>
  <c r="CM74" i="1"/>
  <c r="CM95" i="1"/>
  <c r="CM94" i="1"/>
  <c r="CM101" i="1"/>
  <c r="CM78" i="1"/>
  <c r="CM73" i="1"/>
  <c r="CM79" i="1"/>
  <c r="CM75" i="1"/>
  <c r="CN83" i="1"/>
  <c r="CN80" i="1"/>
  <c r="CN87" i="1"/>
  <c r="CN105" i="1"/>
  <c r="CN72" i="1"/>
  <c r="CN96" i="1"/>
  <c r="CN97" i="1"/>
  <c r="CN74" i="1"/>
  <c r="CN88" i="1"/>
  <c r="CN99" i="1"/>
  <c r="CN90" i="1"/>
  <c r="CN98" i="1"/>
  <c r="CN81" i="1"/>
  <c r="CN91" i="1"/>
  <c r="CN93" i="1"/>
  <c r="CN85" i="1"/>
  <c r="CN95" i="1"/>
  <c r="CN92" i="1"/>
  <c r="CN73" i="1"/>
  <c r="CN106" i="1"/>
  <c r="CN75" i="1"/>
  <c r="CN77" i="1"/>
  <c r="CN82" i="1"/>
  <c r="CN102" i="1"/>
  <c r="CN103" i="1"/>
  <c r="CN101" i="1"/>
  <c r="CN76" i="1"/>
  <c r="CN89" i="1"/>
  <c r="CN104" i="1"/>
  <c r="CN84" i="1"/>
  <c r="CN94" i="1"/>
  <c r="CN78" i="1"/>
  <c r="CN79" i="1"/>
  <c r="CN100" i="1"/>
  <c r="CN86" i="1"/>
  <c r="CO86" i="1"/>
  <c r="CO93" i="1"/>
  <c r="CO73" i="1"/>
  <c r="CO79" i="1"/>
  <c r="CO87" i="1"/>
  <c r="CO82" i="1"/>
  <c r="CO85" i="1"/>
  <c r="CO81" i="1"/>
  <c r="CO94" i="1"/>
  <c r="CO101" i="1"/>
  <c r="CO97" i="1"/>
  <c r="CO96" i="1"/>
  <c r="CO84" i="1"/>
  <c r="CO89" i="1"/>
  <c r="CO77" i="1"/>
  <c r="CO103" i="1"/>
  <c r="CO102" i="1"/>
  <c r="CO105" i="1"/>
  <c r="CO76" i="1"/>
  <c r="CO104" i="1"/>
  <c r="CO80" i="1"/>
  <c r="CO83" i="1"/>
  <c r="CO72" i="1"/>
  <c r="CO90" i="1"/>
  <c r="CO99" i="1"/>
  <c r="CO100" i="1"/>
  <c r="CO98" i="1"/>
  <c r="CO106" i="1"/>
  <c r="CO88" i="1"/>
  <c r="CO75" i="1"/>
  <c r="CO74" i="1"/>
  <c r="CO92" i="1"/>
  <c r="CO78" i="1"/>
  <c r="CO91" i="1"/>
  <c r="CO95" i="1"/>
  <c r="CP100" i="1"/>
  <c r="CP72" i="1"/>
  <c r="CP104" i="1"/>
  <c r="CP99" i="1"/>
  <c r="CP95" i="1"/>
  <c r="CP97" i="1"/>
  <c r="CP79" i="1"/>
  <c r="CP75" i="1"/>
  <c r="CP91" i="1"/>
  <c r="CP84" i="1"/>
  <c r="CP74" i="1"/>
  <c r="CP88" i="1"/>
  <c r="CP92" i="1"/>
  <c r="CP86" i="1"/>
  <c r="CP80" i="1"/>
  <c r="CP93" i="1"/>
  <c r="CP81" i="1"/>
  <c r="CP106" i="1"/>
  <c r="CP82" i="1"/>
  <c r="CP103" i="1"/>
  <c r="CP73" i="1"/>
  <c r="CP76" i="1"/>
  <c r="CP83" i="1"/>
  <c r="CP96" i="1"/>
  <c r="CP90" i="1"/>
  <c r="CP101" i="1"/>
  <c r="CP89" i="1"/>
  <c r="CP94" i="1"/>
  <c r="CP98" i="1"/>
  <c r="CP87" i="1"/>
  <c r="CP77" i="1"/>
  <c r="CP85" i="1"/>
  <c r="CP102" i="1"/>
  <c r="CP105" i="1"/>
  <c r="CP78" i="1"/>
  <c r="CQ72" i="1"/>
  <c r="CQ92" i="1"/>
  <c r="CQ105" i="1"/>
  <c r="CQ90" i="1"/>
  <c r="CQ86" i="1"/>
  <c r="CQ104" i="1"/>
  <c r="CQ93" i="1"/>
  <c r="CQ87" i="1"/>
  <c r="CQ99" i="1"/>
  <c r="CQ98" i="1"/>
  <c r="CQ79" i="1"/>
  <c r="CQ74" i="1"/>
  <c r="CQ73" i="1"/>
  <c r="CQ76" i="1"/>
  <c r="CQ100" i="1"/>
  <c r="CQ77" i="1"/>
  <c r="CQ80" i="1"/>
  <c r="CQ81" i="1"/>
  <c r="CQ83" i="1"/>
  <c r="CQ88" i="1"/>
  <c r="CQ102" i="1"/>
  <c r="CQ91" i="1"/>
  <c r="CQ84" i="1"/>
  <c r="CQ95" i="1"/>
  <c r="CQ97" i="1"/>
  <c r="CQ78" i="1"/>
  <c r="CQ101" i="1"/>
  <c r="CQ96" i="1"/>
  <c r="CQ89" i="1"/>
  <c r="CQ94" i="1"/>
  <c r="CQ75" i="1"/>
  <c r="CQ106" i="1"/>
  <c r="CQ82" i="1"/>
  <c r="CQ103" i="1"/>
  <c r="CQ85" i="1"/>
  <c r="CR105" i="1"/>
  <c r="CR97" i="1"/>
  <c r="CR92" i="1"/>
  <c r="CR106" i="1"/>
  <c r="CR94" i="1"/>
  <c r="CR84" i="1"/>
  <c r="CR77" i="1"/>
  <c r="CR72" i="1"/>
  <c r="CR86" i="1"/>
  <c r="CR89" i="1"/>
  <c r="CR78" i="1"/>
  <c r="CR81" i="1"/>
  <c r="CR79" i="1"/>
  <c r="CR88" i="1"/>
  <c r="CR102" i="1"/>
  <c r="CR95" i="1"/>
  <c r="CR80" i="1"/>
  <c r="CR73" i="1"/>
  <c r="CR101" i="1"/>
  <c r="CR99" i="1"/>
  <c r="CR76" i="1"/>
  <c r="CR98" i="1"/>
  <c r="CR93" i="1"/>
  <c r="CR103" i="1"/>
  <c r="CR100" i="1"/>
  <c r="CR75" i="1"/>
  <c r="CR82" i="1"/>
  <c r="CR104" i="1"/>
  <c r="CR74" i="1"/>
  <c r="CR96" i="1"/>
  <c r="CR87" i="1"/>
  <c r="CR85" i="1"/>
  <c r="CR91" i="1"/>
  <c r="CR90" i="1"/>
  <c r="CR83" i="1"/>
  <c r="CS101" i="1"/>
  <c r="CS87" i="1"/>
  <c r="CS93" i="1"/>
  <c r="CS83" i="1"/>
  <c r="CS77" i="1"/>
  <c r="CS97" i="1"/>
  <c r="CS96" i="1"/>
  <c r="CS90" i="1"/>
  <c r="CS84" i="1"/>
  <c r="CS80" i="1"/>
  <c r="CS103" i="1"/>
  <c r="CS74" i="1"/>
  <c r="CS104" i="1"/>
  <c r="CS105" i="1"/>
  <c r="CS89" i="1"/>
  <c r="CS86" i="1"/>
  <c r="CS72" i="1"/>
  <c r="CS99" i="1"/>
  <c r="CS94" i="1"/>
  <c r="CS76" i="1"/>
  <c r="CS92" i="1"/>
  <c r="CS88" i="1"/>
  <c r="CS85" i="1"/>
  <c r="CS91" i="1"/>
  <c r="CS95" i="1"/>
  <c r="CS82" i="1"/>
  <c r="CS78" i="1"/>
  <c r="CS75" i="1"/>
  <c r="CS106" i="1"/>
  <c r="CS102" i="1"/>
  <c r="CS100" i="1"/>
  <c r="CS98" i="1"/>
  <c r="CS79" i="1"/>
  <c r="CS81" i="1"/>
  <c r="CS73" i="1"/>
  <c r="CT87" i="1"/>
  <c r="CT73" i="1"/>
  <c r="CT79" i="1"/>
  <c r="CT77" i="1"/>
  <c r="CT104" i="1"/>
  <c r="CT102" i="1"/>
  <c r="CT91" i="1"/>
  <c r="CT86" i="1"/>
  <c r="CT106" i="1"/>
  <c r="CT105" i="1"/>
  <c r="CT81" i="1"/>
  <c r="CT82" i="1"/>
  <c r="CT88" i="1"/>
  <c r="CT92" i="1"/>
  <c r="CT95" i="1"/>
  <c r="CT94" i="1"/>
  <c r="CT85" i="1"/>
  <c r="CT89" i="1"/>
  <c r="CT103" i="1"/>
  <c r="CT96" i="1"/>
  <c r="CT84" i="1"/>
  <c r="CT97" i="1"/>
  <c r="CT78" i="1"/>
  <c r="CT90" i="1"/>
  <c r="CT98" i="1"/>
  <c r="CT83" i="1"/>
  <c r="CT99" i="1"/>
  <c r="CT76" i="1"/>
  <c r="CT80" i="1"/>
  <c r="CT93" i="1"/>
  <c r="CT75" i="1"/>
  <c r="CT100" i="1"/>
  <c r="CT74" i="1"/>
  <c r="CT101" i="1"/>
  <c r="CT72" i="1"/>
  <c r="CU83" i="1"/>
  <c r="CU74" i="1"/>
  <c r="CU75" i="1"/>
  <c r="CU93" i="1"/>
  <c r="CU85" i="1"/>
  <c r="CU82" i="1"/>
  <c r="CU99" i="1"/>
  <c r="CU98" i="1"/>
  <c r="CU79" i="1"/>
  <c r="CU90" i="1"/>
  <c r="CU95" i="1"/>
  <c r="CU86" i="1"/>
  <c r="CU92" i="1"/>
  <c r="CU105" i="1"/>
  <c r="CU104" i="1"/>
  <c r="CU80" i="1"/>
  <c r="CU76" i="1"/>
  <c r="CU97" i="1"/>
  <c r="CU87" i="1"/>
  <c r="CU72" i="1"/>
  <c r="CU102" i="1"/>
  <c r="CU78" i="1"/>
  <c r="CU77" i="1"/>
  <c r="CU91" i="1"/>
  <c r="CU88" i="1"/>
  <c r="CU96" i="1"/>
  <c r="CU103" i="1"/>
  <c r="CU94" i="1"/>
  <c r="CU106" i="1"/>
  <c r="CU73" i="1"/>
  <c r="CU89" i="1"/>
  <c r="CU84" i="1"/>
  <c r="CU100" i="1"/>
  <c r="CU81" i="1"/>
  <c r="CU101" i="1"/>
  <c r="CV82" i="1"/>
  <c r="CV80" i="1"/>
  <c r="CV89" i="1"/>
  <c r="CV106" i="1"/>
  <c r="CV86" i="1"/>
  <c r="CV72" i="1"/>
  <c r="CV94" i="1"/>
  <c r="CV76" i="1"/>
  <c r="CV88" i="1"/>
  <c r="CV97" i="1"/>
  <c r="CV83" i="1"/>
  <c r="CV103" i="1"/>
  <c r="CV73" i="1"/>
  <c r="CV74" i="1"/>
  <c r="CV104" i="1"/>
  <c r="CV102" i="1"/>
  <c r="CV85" i="1"/>
  <c r="CV95" i="1"/>
  <c r="CV91" i="1"/>
  <c r="CV105" i="1"/>
  <c r="CV93" i="1"/>
  <c r="CV101" i="1"/>
  <c r="CV100" i="1"/>
  <c r="CV79" i="1"/>
  <c r="CV87" i="1"/>
  <c r="CV99" i="1"/>
  <c r="CV77" i="1"/>
  <c r="CV98" i="1"/>
  <c r="CV75" i="1"/>
  <c r="CV96" i="1"/>
  <c r="CV78" i="1"/>
  <c r="CV81" i="1"/>
  <c r="CV92" i="1"/>
  <c r="CV84" i="1"/>
  <c r="CV90" i="1"/>
  <c r="CW92" i="1"/>
  <c r="CW97" i="1"/>
  <c r="CW99" i="1"/>
  <c r="CW82" i="1"/>
  <c r="CW81" i="1"/>
  <c r="CW83" i="1"/>
  <c r="CW80" i="1"/>
  <c r="CW86" i="1"/>
  <c r="CW98" i="1"/>
  <c r="CW95" i="1"/>
  <c r="CW76" i="1"/>
  <c r="CW74" i="1"/>
  <c r="CW87" i="1"/>
  <c r="CW96" i="1"/>
  <c r="CW73" i="1"/>
  <c r="CW93" i="1"/>
  <c r="CW105" i="1"/>
  <c r="CW91" i="1"/>
  <c r="CW84" i="1"/>
  <c r="CW104" i="1"/>
  <c r="CW102" i="1"/>
  <c r="CW103" i="1"/>
  <c r="CW72" i="1"/>
  <c r="CW90" i="1"/>
  <c r="CW77" i="1"/>
  <c r="CW88" i="1"/>
  <c r="CW101" i="1"/>
  <c r="CW94" i="1"/>
  <c r="CW75" i="1"/>
  <c r="CW89" i="1"/>
  <c r="CW106" i="1"/>
  <c r="CW100" i="1"/>
  <c r="CW78" i="1"/>
  <c r="CW79" i="1"/>
  <c r="CW85" i="1"/>
  <c r="CX83" i="1"/>
  <c r="CX104" i="1"/>
  <c r="CX80" i="1"/>
  <c r="CX82" i="1"/>
  <c r="CX72" i="1"/>
  <c r="CX90" i="1"/>
  <c r="CX85" i="1"/>
  <c r="CX99" i="1"/>
  <c r="CX98" i="1"/>
  <c r="CX102" i="1"/>
  <c r="CX103" i="1"/>
  <c r="CX96" i="1"/>
  <c r="CX100" i="1"/>
  <c r="CX106" i="1"/>
  <c r="CX101" i="1"/>
  <c r="CX89" i="1"/>
  <c r="CX97" i="1"/>
  <c r="CX88" i="1"/>
  <c r="CX91" i="1"/>
  <c r="CX86" i="1"/>
  <c r="CX105" i="1"/>
  <c r="CX87" i="1"/>
  <c r="CX76" i="1"/>
  <c r="CX95" i="1"/>
  <c r="CX84" i="1"/>
  <c r="CX73" i="1"/>
  <c r="CX92" i="1"/>
  <c r="CX74" i="1"/>
  <c r="CX75" i="1"/>
  <c r="CX94" i="1"/>
  <c r="CX93" i="1"/>
  <c r="CX77" i="1"/>
  <c r="CX78" i="1"/>
  <c r="CX79" i="1"/>
  <c r="CX81" i="1"/>
  <c r="CY104" i="1"/>
  <c r="CY73" i="1"/>
  <c r="CY85" i="1"/>
  <c r="CY76" i="1"/>
  <c r="CY75" i="1"/>
  <c r="CY93" i="1"/>
  <c r="CY78" i="1"/>
  <c r="CY83" i="1"/>
  <c r="CY94" i="1"/>
  <c r="CY77" i="1"/>
  <c r="CY81" i="1"/>
  <c r="CY74" i="1"/>
  <c r="CY80" i="1"/>
  <c r="CY92" i="1"/>
  <c r="AQ72" i="1"/>
  <c r="AQ106" i="1"/>
  <c r="AQ105" i="1"/>
  <c r="AQ104" i="1"/>
  <c r="CY98" i="1"/>
  <c r="CY72" i="1"/>
  <c r="CY79" i="1"/>
  <c r="CY101" i="1"/>
  <c r="CY91" i="1"/>
  <c r="CY96" i="1"/>
  <c r="CY105" i="1"/>
  <c r="AQ103" i="1"/>
  <c r="AQ102" i="1"/>
  <c r="AQ101" i="1"/>
  <c r="AQ100" i="1"/>
  <c r="AQ99" i="1"/>
  <c r="AQ98" i="1"/>
  <c r="AQ97" i="1"/>
  <c r="AQ96" i="1"/>
  <c r="AQ95" i="1"/>
  <c r="AQ94" i="1"/>
  <c r="AQ93" i="1"/>
  <c r="AQ92" i="1"/>
  <c r="AQ91" i="1"/>
  <c r="AQ90" i="1"/>
  <c r="AQ89" i="1"/>
  <c r="AQ88" i="1"/>
  <c r="AQ87" i="1"/>
  <c r="CY97" i="1"/>
  <c r="CY87" i="1"/>
  <c r="CY95" i="1"/>
  <c r="CY88" i="1"/>
  <c r="CY99" i="1"/>
  <c r="CY82" i="1"/>
  <c r="CY106" i="1"/>
  <c r="AQ86" i="1"/>
  <c r="CY103" i="1"/>
  <c r="AQ85" i="1"/>
  <c r="CY89" i="1"/>
  <c r="AQ84" i="1"/>
  <c r="AQ83" i="1"/>
  <c r="CY90" i="1"/>
  <c r="CY102" i="1"/>
  <c r="AQ82" i="1"/>
  <c r="AQ81" i="1"/>
  <c r="AQ80" i="1"/>
  <c r="CY86" i="1"/>
  <c r="AQ79" i="1"/>
  <c r="AQ78" i="1"/>
  <c r="AQ77" i="1"/>
  <c r="AQ76" i="1"/>
  <c r="CY84" i="1"/>
  <c r="CY100" i="1"/>
  <c r="AQ75" i="1"/>
  <c r="AQ74" i="1"/>
  <c r="AQ73" i="1"/>
  <c r="BB97" i="1"/>
  <c r="BB93" i="1"/>
  <c r="BB78" i="1"/>
  <c r="BB83" i="1"/>
  <c r="BB91" i="1"/>
  <c r="BB104" i="1"/>
  <c r="BB100" i="1"/>
  <c r="BB72" i="1"/>
  <c r="BB79" i="1"/>
  <c r="BB84" i="1"/>
  <c r="BB95" i="1"/>
  <c r="BB99" i="1"/>
  <c r="BB106" i="1"/>
  <c r="BB74" i="1"/>
  <c r="BB82" i="1"/>
  <c r="BB89" i="1"/>
  <c r="BB75" i="1"/>
  <c r="BB77" i="1"/>
  <c r="BB92" i="1"/>
  <c r="BB80" i="1"/>
  <c r="BB85" i="1"/>
  <c r="BB87" i="1"/>
  <c r="BB88" i="1"/>
  <c r="BB90" i="1"/>
  <c r="BB94" i="1"/>
  <c r="BB98" i="1"/>
  <c r="BB101" i="1"/>
  <c r="BB76" i="1"/>
  <c r="BB81" i="1"/>
  <c r="BB86" i="1"/>
  <c r="BB102" i="1"/>
  <c r="BB96" i="1"/>
  <c r="J119" i="1"/>
  <c r="BB73" i="1"/>
  <c r="AH26" i="1"/>
  <c r="BB105" i="1"/>
  <c r="BB103" i="1"/>
  <c r="AH27" i="1"/>
  <c r="C41" i="1"/>
  <c r="C43" i="1"/>
  <c r="C40" i="1"/>
  <c r="C38" i="1"/>
  <c r="C39" i="1"/>
  <c r="C45" i="1"/>
  <c r="C42" i="1"/>
  <c r="C44" i="1"/>
  <c r="BC100" i="1"/>
  <c r="BC85" i="1"/>
  <c r="BC96" i="1"/>
  <c r="BC87" i="1"/>
  <c r="BC95" i="1"/>
  <c r="BC86" i="1"/>
  <c r="BC105" i="1"/>
  <c r="BC102" i="1"/>
  <c r="BC99" i="1"/>
  <c r="BC97" i="1"/>
  <c r="BC90" i="1"/>
  <c r="BC101" i="1"/>
  <c r="BC89" i="1"/>
  <c r="BC106" i="1"/>
  <c r="BC84" i="1"/>
  <c r="BC91" i="1"/>
  <c r="BC103" i="1"/>
  <c r="BC104" i="1"/>
  <c r="BC98" i="1"/>
  <c r="BC93" i="1"/>
  <c r="BC83" i="1"/>
  <c r="BC88" i="1"/>
  <c r="BC94" i="1"/>
  <c r="BC92" i="1"/>
  <c r="BC77" i="1"/>
  <c r="BC78" i="1"/>
  <c r="BC79" i="1"/>
  <c r="BC80" i="1"/>
  <c r="BC81" i="1"/>
  <c r="BC82" i="1"/>
  <c r="BC72" i="1"/>
  <c r="BC73" i="1"/>
  <c r="BC74" i="1"/>
  <c r="BC75" i="1"/>
  <c r="BC76" i="1"/>
  <c r="J111" i="1"/>
  <c r="U64" i="1"/>
  <c r="J68" i="1"/>
  <c r="S64" i="1"/>
  <c r="H68" i="1"/>
  <c r="R64" i="1"/>
  <c r="G68" i="1"/>
  <c r="Q64" i="1"/>
  <c r="F68" i="1"/>
  <c r="T64" i="1"/>
  <c r="I68" i="1"/>
  <c r="G66" i="1"/>
  <c r="E42" i="1"/>
  <c r="H66" i="1"/>
  <c r="E43" i="1"/>
  <c r="I66" i="1"/>
  <c r="E44" i="1"/>
  <c r="F66" i="1"/>
  <c r="E41" i="1"/>
  <c r="F67" i="1"/>
  <c r="J66" i="1"/>
  <c r="E45" i="1"/>
  <c r="H67" i="1"/>
  <c r="J67" i="1"/>
  <c r="G67" i="1"/>
  <c r="I67" i="1"/>
  <c r="U61" i="1"/>
  <c r="J71" i="1" s="1"/>
  <c r="S61" i="1"/>
  <c r="H71" i="1" s="1"/>
  <c r="R61" i="1"/>
  <c r="G71" i="1" s="1"/>
  <c r="Q61" i="1"/>
  <c r="F71" i="1" s="1"/>
  <c r="P61" i="1"/>
  <c r="O61" i="1"/>
  <c r="N61" i="1"/>
  <c r="T61" i="1"/>
  <c r="I71" i="1" s="1"/>
  <c r="E69" i="1"/>
  <c r="D69" i="1"/>
  <c r="C69" i="1"/>
  <c r="AH38" i="1"/>
  <c r="AH37" i="1"/>
  <c r="AH36" i="1"/>
  <c r="AH35" i="1"/>
  <c r="AH34" i="1"/>
  <c r="AH33" i="1"/>
  <c r="AH32" i="1"/>
  <c r="AH31" i="1"/>
  <c r="AH30" i="1"/>
  <c r="AH29" i="1"/>
  <c r="AH28" i="1"/>
  <c r="BD72" i="1"/>
  <c r="BD76" i="1"/>
  <c r="BD93" i="1"/>
  <c r="BD80" i="1"/>
  <c r="BD83" i="1"/>
  <c r="BD86" i="1"/>
  <c r="BD88" i="1"/>
  <c r="BD91" i="1"/>
  <c r="BD96" i="1"/>
  <c r="BD102" i="1"/>
  <c r="BD98" i="1"/>
  <c r="BD106" i="1"/>
  <c r="BE74" i="1"/>
  <c r="BE92" i="1"/>
  <c r="BE79" i="1"/>
  <c r="BE82" i="1"/>
  <c r="BF93" i="1"/>
  <c r="BF102" i="1"/>
  <c r="BF94" i="1"/>
  <c r="BG74" i="1"/>
  <c r="BG77" i="1"/>
  <c r="BG80" i="1"/>
  <c r="BG81" i="1"/>
  <c r="BG84" i="1"/>
  <c r="BG87" i="1"/>
  <c r="BG90" i="1"/>
  <c r="BG93" i="1"/>
  <c r="BG101" i="1"/>
  <c r="BG99" i="1"/>
  <c r="BG100" i="1"/>
  <c r="BG97" i="1"/>
  <c r="BD74" i="1"/>
  <c r="BD75" i="1"/>
  <c r="BD78" i="1"/>
  <c r="BD79" i="1"/>
  <c r="BD81" i="1"/>
  <c r="BD84" i="1"/>
  <c r="BD87" i="1"/>
  <c r="BD92" i="1"/>
  <c r="BD99" i="1"/>
  <c r="BD104" i="1"/>
  <c r="BD97" i="1"/>
  <c r="BD103" i="1"/>
  <c r="BE73" i="1"/>
  <c r="BE76" i="1"/>
  <c r="BE93" i="1"/>
  <c r="BE80" i="1"/>
  <c r="BE83" i="1"/>
  <c r="BF100" i="1"/>
  <c r="BF103" i="1"/>
  <c r="BF106" i="1"/>
  <c r="BG73" i="1"/>
  <c r="BG76" i="1"/>
  <c r="BG78" i="1"/>
  <c r="BG82" i="1"/>
  <c r="BG85" i="1"/>
  <c r="BG88" i="1"/>
  <c r="BG92" i="1"/>
  <c r="BG96" i="1"/>
  <c r="BG104" i="1"/>
  <c r="BG95" i="1"/>
  <c r="BG102" i="1"/>
  <c r="BG94" i="1"/>
  <c r="BD73" i="1"/>
  <c r="BD77" i="1"/>
  <c r="BD94" i="1"/>
  <c r="BD82" i="1"/>
  <c r="BD85" i="1"/>
  <c r="BD89" i="1"/>
  <c r="BD90" i="1"/>
  <c r="BD95" i="1"/>
  <c r="BD101" i="1"/>
  <c r="BD105" i="1"/>
  <c r="BD100" i="1"/>
  <c r="BE72" i="1"/>
  <c r="BE75" i="1"/>
  <c r="BE77" i="1"/>
  <c r="BE78" i="1"/>
  <c r="BE81" i="1"/>
  <c r="BE84" i="1"/>
  <c r="BF96" i="1"/>
  <c r="BF98" i="1"/>
  <c r="BG72" i="1"/>
  <c r="BF97" i="1"/>
  <c r="BF99" i="1"/>
  <c r="BF101" i="1"/>
  <c r="BF104" i="1"/>
  <c r="BF105" i="1"/>
  <c r="BF92" i="1"/>
  <c r="BG75" i="1"/>
  <c r="BG79" i="1"/>
  <c r="BG83" i="1"/>
  <c r="BG86" i="1"/>
  <c r="BG89" i="1"/>
  <c r="BG91" i="1"/>
  <c r="BG98" i="1"/>
  <c r="BG105" i="1"/>
  <c r="BG106" i="1"/>
  <c r="BG103" i="1"/>
  <c r="BE85" i="1"/>
  <c r="BE86" i="1"/>
  <c r="BE87" i="1"/>
  <c r="BE88" i="1"/>
  <c r="BE89" i="1"/>
  <c r="BE90" i="1"/>
  <c r="BE91" i="1"/>
  <c r="BE96" i="1"/>
  <c r="BE97" i="1"/>
  <c r="BE98" i="1"/>
  <c r="BE99" i="1"/>
  <c r="BE103" i="1"/>
  <c r="BE104" i="1"/>
  <c r="BE105" i="1"/>
  <c r="BE100" i="1"/>
  <c r="BE102" i="1"/>
  <c r="BE106" i="1"/>
  <c r="BE95" i="1"/>
  <c r="BE101" i="1"/>
  <c r="BE94" i="1"/>
  <c r="BF72" i="1"/>
  <c r="BF73" i="1"/>
  <c r="BF74" i="1"/>
  <c r="BF75" i="1"/>
  <c r="BF76" i="1"/>
  <c r="BF77" i="1"/>
  <c r="BF78" i="1"/>
  <c r="BF79" i="1"/>
  <c r="BF80" i="1"/>
  <c r="BF81" i="1"/>
  <c r="BF82" i="1"/>
  <c r="BF83" i="1"/>
  <c r="BF84" i="1"/>
  <c r="BF85" i="1"/>
  <c r="BF86" i="1"/>
  <c r="BF87" i="1"/>
  <c r="BF88" i="1"/>
  <c r="BF89" i="1"/>
  <c r="BF90" i="1"/>
  <c r="BF91" i="1"/>
  <c r="BF95" i="1"/>
  <c r="BR101" i="1"/>
  <c r="BR100" i="1"/>
  <c r="BR96" i="1"/>
  <c r="BR92" i="1"/>
  <c r="BR105" i="1"/>
  <c r="BR104" i="1"/>
  <c r="BR99" i="1"/>
  <c r="BR98" i="1"/>
  <c r="BR95" i="1"/>
  <c r="BR91" i="1"/>
  <c r="BR89" i="1"/>
  <c r="BR88" i="1"/>
  <c r="BR86" i="1"/>
  <c r="BR84" i="1"/>
  <c r="BR80" i="1"/>
  <c r="BR78" i="1"/>
  <c r="BR93" i="1"/>
  <c r="BR82" i="1"/>
  <c r="BR103" i="1"/>
  <c r="BR90" i="1"/>
  <c r="BR87" i="1"/>
  <c r="BR85" i="1"/>
  <c r="BR83" i="1"/>
  <c r="BR81" i="1"/>
  <c r="BR79" i="1"/>
  <c r="BR94" i="1"/>
  <c r="BO79" i="1"/>
  <c r="BQ98" i="1"/>
  <c r="BQ97" i="1"/>
  <c r="BQ90" i="1"/>
  <c r="BQ84" i="1"/>
  <c r="BQ77" i="1"/>
  <c r="BQ74" i="1"/>
  <c r="BR97" i="1"/>
  <c r="BH90" i="1"/>
  <c r="BH79" i="1"/>
  <c r="BH78" i="1"/>
  <c r="BH77" i="1"/>
  <c r="BH76" i="1"/>
  <c r="BH75" i="1"/>
  <c r="BH74" i="1"/>
  <c r="BI97" i="1"/>
  <c r="BI94" i="1"/>
  <c r="BI91" i="1"/>
  <c r="BI90" i="1"/>
  <c r="BI89" i="1"/>
  <c r="BI88" i="1"/>
  <c r="BI86" i="1"/>
  <c r="BI85" i="1"/>
  <c r="BI84" i="1"/>
  <c r="BI83" i="1"/>
  <c r="BI82" i="1"/>
  <c r="BI81" i="1"/>
  <c r="BI79" i="1"/>
  <c r="BI93" i="1"/>
  <c r="BK103" i="1"/>
  <c r="BK102" i="1"/>
  <c r="BK99" i="1"/>
  <c r="BK93" i="1"/>
  <c r="BK101" i="1"/>
  <c r="BK96" i="1"/>
  <c r="BK94" i="1"/>
  <c r="BK90" i="1"/>
  <c r="BK88" i="1"/>
  <c r="BK86" i="1"/>
  <c r="BK84" i="1"/>
  <c r="BK82" i="1"/>
  <c r="BK80" i="1"/>
  <c r="BK78" i="1"/>
  <c r="BK76" i="1"/>
  <c r="BK74" i="1"/>
  <c r="BK72" i="1"/>
  <c r="BL101" i="1"/>
  <c r="BL97" i="1"/>
  <c r="BL103" i="1"/>
  <c r="BL98" i="1"/>
  <c r="BL95" i="1"/>
  <c r="BM103" i="1"/>
  <c r="BM97" i="1"/>
  <c r="BM90" i="1"/>
  <c r="BM86" i="1"/>
  <c r="BM84" i="1"/>
  <c r="BM81" i="1"/>
  <c r="BM77" i="1"/>
  <c r="BM74" i="1"/>
  <c r="BN93" i="1"/>
  <c r="BN106" i="1"/>
  <c r="BN96" i="1"/>
  <c r="BN77" i="1"/>
  <c r="BN74" i="1"/>
  <c r="BO96" i="1"/>
  <c r="BO102" i="1"/>
  <c r="BO98" i="1"/>
  <c r="BO105" i="1"/>
  <c r="BO94" i="1"/>
  <c r="BO90" i="1"/>
  <c r="BO84" i="1"/>
  <c r="BO81" i="1"/>
  <c r="BO78" i="1"/>
  <c r="BO76" i="1"/>
  <c r="BO73" i="1"/>
  <c r="BQ104" i="1"/>
  <c r="BQ95" i="1"/>
  <c r="BQ87" i="1"/>
  <c r="BQ82" i="1"/>
  <c r="BI87" i="1"/>
  <c r="BI80" i="1"/>
  <c r="BI78" i="1"/>
  <c r="BI92" i="1"/>
  <c r="BK106" i="1"/>
  <c r="BK100" i="1"/>
  <c r="BK97" i="1"/>
  <c r="BK105" i="1"/>
  <c r="BK104" i="1"/>
  <c r="BK98" i="1"/>
  <c r="BK95" i="1"/>
  <c r="BK91" i="1"/>
  <c r="BK89" i="1"/>
  <c r="BK87" i="1"/>
  <c r="BK85" i="1"/>
  <c r="BK83" i="1"/>
  <c r="BK81" i="1"/>
  <c r="BK79" i="1"/>
  <c r="BK77" i="1"/>
  <c r="BK75" i="1"/>
  <c r="BK73" i="1"/>
  <c r="BL94" i="1"/>
  <c r="BL106" i="1"/>
  <c r="BL100" i="1"/>
  <c r="BL96" i="1"/>
  <c r="BM104" i="1"/>
  <c r="BM101" i="1"/>
  <c r="BM91" i="1"/>
  <c r="BM89" i="1"/>
  <c r="BM87" i="1"/>
  <c r="BM83" i="1"/>
  <c r="BM80" i="1"/>
  <c r="BM78" i="1"/>
  <c r="BM75" i="1"/>
  <c r="BM72" i="1"/>
  <c r="BN101" i="1"/>
  <c r="BN100" i="1"/>
  <c r="BN95" i="1"/>
  <c r="BN76" i="1"/>
  <c r="BN73" i="1"/>
  <c r="BO106" i="1"/>
  <c r="BO100" i="1"/>
  <c r="BO97" i="1"/>
  <c r="BO104" i="1"/>
  <c r="BO92" i="1"/>
  <c r="BO88" i="1"/>
  <c r="BO85" i="1"/>
  <c r="BO82" i="1"/>
  <c r="BO77" i="1"/>
  <c r="BO74" i="1"/>
  <c r="BP106" i="1"/>
  <c r="BQ100" i="1"/>
  <c r="BQ96" i="1"/>
  <c r="BQ86" i="1"/>
  <c r="BQ80" i="1"/>
  <c r="BQ73" i="1"/>
  <c r="BP102" i="1"/>
  <c r="BQ89" i="1"/>
  <c r="BQ85" i="1"/>
  <c r="BQ79" i="1"/>
  <c r="BQ76" i="1"/>
  <c r="BR106" i="1"/>
  <c r="BO87" i="1"/>
  <c r="BO72" i="1"/>
  <c r="BQ105" i="1"/>
  <c r="BQ99" i="1"/>
  <c r="BQ91" i="1"/>
  <c r="BQ88" i="1"/>
  <c r="BQ83" i="1"/>
  <c r="BQ78" i="1"/>
  <c r="BQ75" i="1"/>
  <c r="BR102" i="1"/>
  <c r="BL92" i="1"/>
  <c r="BL105" i="1"/>
  <c r="BL104" i="1"/>
  <c r="BL102" i="1"/>
  <c r="BL99" i="1"/>
  <c r="BL93" i="1"/>
  <c r="BL91" i="1"/>
  <c r="BL90" i="1"/>
  <c r="BL89" i="1"/>
  <c r="BL88" i="1"/>
  <c r="BL87" i="1"/>
  <c r="BL86" i="1"/>
  <c r="BL85" i="1"/>
  <c r="BL84" i="1"/>
  <c r="BL83" i="1"/>
  <c r="BL82" i="1"/>
  <c r="BL81" i="1"/>
  <c r="BL80" i="1"/>
  <c r="BL79" i="1"/>
  <c r="BL78" i="1"/>
  <c r="BL77" i="1"/>
  <c r="BL76" i="1"/>
  <c r="BL75" i="1"/>
  <c r="BL74" i="1"/>
  <c r="BL73" i="1"/>
  <c r="BL72" i="1"/>
  <c r="BM92" i="1"/>
  <c r="BM106" i="1"/>
  <c r="BM102" i="1"/>
  <c r="BM98" i="1"/>
  <c r="BM95" i="1"/>
  <c r="BM100" i="1"/>
  <c r="BM99" i="1"/>
  <c r="BM94" i="1"/>
  <c r="BM93" i="1"/>
  <c r="BM105" i="1"/>
  <c r="BM96" i="1"/>
  <c r="BM88" i="1"/>
  <c r="BM85" i="1"/>
  <c r="BM82" i="1"/>
  <c r="BM79" i="1"/>
  <c r="BM76" i="1"/>
  <c r="BM73" i="1"/>
  <c r="BN103" i="1"/>
  <c r="BN102" i="1"/>
  <c r="BN97" i="1"/>
  <c r="BN94" i="1"/>
  <c r="BN75" i="1"/>
  <c r="BN72" i="1"/>
  <c r="BO103" i="1"/>
  <c r="BO99" i="1"/>
  <c r="BO95" i="1"/>
  <c r="BO101" i="1"/>
  <c r="BO91" i="1"/>
  <c r="BO89" i="1"/>
  <c r="BO86" i="1"/>
  <c r="BO83" i="1"/>
  <c r="BO80" i="1"/>
  <c r="BO93" i="1"/>
  <c r="BO75" i="1"/>
  <c r="BP95" i="1"/>
  <c r="BQ101" i="1"/>
  <c r="BQ92" i="1"/>
  <c r="BQ81" i="1"/>
  <c r="BQ72" i="1"/>
  <c r="BR77" i="1"/>
  <c r="BR76" i="1"/>
  <c r="BR75" i="1"/>
  <c r="BR74" i="1"/>
  <c r="BR73" i="1"/>
  <c r="BR72" i="1"/>
  <c r="BS103" i="1"/>
  <c r="BS106" i="1"/>
  <c r="BS99" i="1"/>
  <c r="BS98" i="1"/>
  <c r="BS95" i="1"/>
  <c r="BS93" i="1"/>
  <c r="BS105" i="1"/>
  <c r="BS104" i="1"/>
  <c r="BS86" i="1"/>
  <c r="BS85" i="1"/>
  <c r="BS84" i="1"/>
  <c r="BS83" i="1"/>
  <c r="BS82" i="1"/>
  <c r="BS81" i="1"/>
  <c r="BS80" i="1"/>
  <c r="BS79" i="1"/>
  <c r="BS78" i="1"/>
  <c r="BS77" i="1"/>
  <c r="BS76" i="1"/>
  <c r="BS75" i="1"/>
  <c r="BS74" i="1"/>
  <c r="BS73" i="1"/>
  <c r="BS72" i="1"/>
  <c r="BT92" i="1"/>
  <c r="BT101" i="1"/>
  <c r="BT96" i="1"/>
  <c r="BT94" i="1"/>
  <c r="BT106" i="1"/>
  <c r="BT102" i="1"/>
  <c r="BT97" i="1"/>
  <c r="BT105" i="1"/>
  <c r="BT104" i="1"/>
  <c r="BT103" i="1"/>
  <c r="BT100" i="1"/>
  <c r="BT99" i="1"/>
  <c r="BT98" i="1"/>
  <c r="BT95" i="1"/>
  <c r="BT93" i="1"/>
  <c r="BT91" i="1"/>
  <c r="BT90" i="1"/>
  <c r="BT89" i="1"/>
  <c r="BT88" i="1"/>
  <c r="BT87" i="1"/>
  <c r="BT86" i="1"/>
  <c r="AH49" i="1"/>
  <c r="I120" i="1" s="1"/>
  <c r="J120" i="1" s="1"/>
  <c r="AH48" i="1"/>
  <c r="AH47" i="1"/>
  <c r="AH46" i="1"/>
  <c r="AH45" i="1"/>
  <c r="AH44" i="1"/>
  <c r="AH43" i="1"/>
  <c r="AH42" i="1"/>
  <c r="AH41" i="1"/>
  <c r="AH40" i="1"/>
  <c r="AH39" i="1"/>
  <c r="BH96" i="1"/>
  <c r="BH93" i="1"/>
  <c r="BH92" i="1"/>
  <c r="BH98" i="1"/>
  <c r="BH106" i="1"/>
  <c r="BH101" i="1"/>
  <c r="BH100" i="1"/>
  <c r="BH97" i="1"/>
  <c r="BH94" i="1"/>
  <c r="BH105" i="1"/>
  <c r="BH104" i="1"/>
  <c r="BH103" i="1"/>
  <c r="BH102" i="1"/>
  <c r="BH99" i="1"/>
  <c r="BH95" i="1"/>
  <c r="BH91" i="1"/>
  <c r="BH89" i="1"/>
  <c r="BH88" i="1"/>
  <c r="BH87" i="1"/>
  <c r="BH86" i="1"/>
  <c r="BH85" i="1"/>
  <c r="BH84" i="1"/>
  <c r="BH83" i="1"/>
  <c r="BH82" i="1"/>
  <c r="BH81" i="1"/>
  <c r="BH80" i="1"/>
  <c r="BT85" i="1"/>
  <c r="BT84" i="1"/>
  <c r="BT83" i="1"/>
  <c r="BT82" i="1"/>
  <c r="BT81" i="1"/>
  <c r="BT80" i="1"/>
  <c r="BT79" i="1"/>
  <c r="BT78" i="1"/>
  <c r="BT77" i="1"/>
  <c r="BT76" i="1"/>
  <c r="BT75" i="1"/>
  <c r="BT74" i="1"/>
  <c r="BT73" i="1"/>
  <c r="BT72" i="1"/>
  <c r="BV106" i="1"/>
  <c r="BV102" i="1"/>
  <c r="BV96" i="1"/>
  <c r="BV94" i="1"/>
  <c r="BV92" i="1"/>
  <c r="BV105" i="1"/>
  <c r="BV104" i="1"/>
  <c r="BV72" i="1"/>
  <c r="BW93" i="1"/>
  <c r="BW106" i="1"/>
  <c r="BW103" i="1"/>
  <c r="BW102" i="1"/>
  <c r="BW101" i="1"/>
  <c r="BW100" i="1"/>
  <c r="BW99" i="1"/>
  <c r="BW95" i="1"/>
  <c r="BW105" i="1"/>
  <c r="BW104" i="1"/>
  <c r="BW98" i="1"/>
  <c r="BW97" i="1"/>
  <c r="BW96" i="1"/>
  <c r="BW94" i="1"/>
  <c r="BW92" i="1"/>
  <c r="BY100" i="1"/>
  <c r="BY99" i="1"/>
  <c r="BY96" i="1"/>
  <c r="BY95" i="1"/>
  <c r="BY105" i="1"/>
  <c r="BY104" i="1"/>
  <c r="BY102" i="1"/>
  <c r="BY98" i="1"/>
  <c r="BY97" i="1"/>
  <c r="BY94" i="1"/>
  <c r="BY91" i="1"/>
  <c r="BY90" i="1"/>
  <c r="BY89" i="1"/>
  <c r="BY88" i="1"/>
  <c r="BY87" i="1"/>
  <c r="BY86" i="1"/>
  <c r="BY85" i="1"/>
  <c r="BY84" i="1"/>
  <c r="BY83" i="1"/>
  <c r="BY82" i="1"/>
  <c r="BY81" i="1"/>
  <c r="BY80" i="1"/>
  <c r="BY79" i="1"/>
  <c r="BY78" i="1"/>
  <c r="BY93" i="1"/>
  <c r="BY77" i="1"/>
  <c r="BY76" i="1"/>
  <c r="BY75" i="1"/>
  <c r="BY74" i="1"/>
  <c r="BY73" i="1"/>
  <c r="BY72" i="1"/>
  <c r="BN92" i="1"/>
  <c r="BN105" i="1"/>
  <c r="BN104" i="1"/>
  <c r="BN99" i="1"/>
  <c r="BN98" i="1"/>
  <c r="BN91" i="1"/>
  <c r="BN90" i="1"/>
  <c r="BN89" i="1"/>
  <c r="BN88" i="1"/>
  <c r="BN87" i="1"/>
  <c r="BN86" i="1"/>
  <c r="BN85" i="1"/>
  <c r="BN84" i="1"/>
  <c r="BN83" i="1"/>
  <c r="BN82" i="1"/>
  <c r="BN81" i="1"/>
  <c r="BN80" i="1"/>
  <c r="BN79" i="1"/>
  <c r="BN78" i="1"/>
  <c r="BV103" i="1"/>
  <c r="BV101" i="1"/>
  <c r="BV100" i="1"/>
  <c r="BV99" i="1"/>
  <c r="BV98" i="1"/>
  <c r="BV97" i="1"/>
  <c r="BV95" i="1"/>
  <c r="BV91" i="1"/>
  <c r="BV90" i="1"/>
  <c r="BV89" i="1"/>
  <c r="BV88" i="1"/>
  <c r="BV87" i="1"/>
  <c r="BV86" i="1"/>
  <c r="BV85" i="1"/>
  <c r="BV84" i="1"/>
  <c r="BV83" i="1"/>
  <c r="BV82" i="1"/>
  <c r="BV81" i="1"/>
  <c r="BV80" i="1"/>
  <c r="BV79" i="1"/>
  <c r="BV78" i="1"/>
  <c r="BV93" i="1"/>
  <c r="BV77" i="1"/>
  <c r="BV76" i="1"/>
  <c r="BV75" i="1"/>
  <c r="BV74" i="1"/>
  <c r="BV73" i="1"/>
  <c r="BH73" i="1"/>
  <c r="BH72" i="1"/>
  <c r="BI102" i="1"/>
  <c r="BI96" i="1"/>
  <c r="BI106" i="1"/>
  <c r="BI103" i="1"/>
  <c r="BI100" i="1"/>
  <c r="BI99" i="1"/>
  <c r="BI98" i="1"/>
  <c r="BI95" i="1"/>
  <c r="BI105" i="1"/>
  <c r="BI104" i="1"/>
  <c r="BI101" i="1"/>
  <c r="BP101" i="1"/>
  <c r="BP100" i="1"/>
  <c r="BP97" i="1"/>
  <c r="BP94" i="1"/>
  <c r="BP92" i="1"/>
  <c r="BP105" i="1"/>
  <c r="BP104" i="1"/>
  <c r="BP103" i="1"/>
  <c r="BP99" i="1"/>
  <c r="BP98" i="1"/>
  <c r="BP96" i="1"/>
  <c r="BP93" i="1"/>
  <c r="BP91" i="1"/>
  <c r="BP90" i="1"/>
  <c r="BP89" i="1"/>
  <c r="BP88" i="1"/>
  <c r="BP87" i="1"/>
  <c r="BP86" i="1"/>
  <c r="BP85" i="1"/>
  <c r="BP84" i="1"/>
  <c r="BP83" i="1"/>
  <c r="BP82" i="1"/>
  <c r="BP81" i="1"/>
  <c r="BP80" i="1"/>
  <c r="BP79" i="1"/>
  <c r="BP78" i="1"/>
  <c r="BP77" i="1"/>
  <c r="BP76" i="1"/>
  <c r="BP75" i="1"/>
  <c r="BP74" i="1"/>
  <c r="BP73" i="1"/>
  <c r="BP72" i="1"/>
  <c r="BQ94" i="1"/>
  <c r="BQ93" i="1"/>
  <c r="BQ106" i="1"/>
  <c r="BQ103" i="1"/>
  <c r="BQ102" i="1"/>
  <c r="BW91" i="1"/>
  <c r="BW90" i="1"/>
  <c r="BW89" i="1"/>
  <c r="BW88" i="1"/>
  <c r="BW87" i="1"/>
  <c r="BW86" i="1"/>
  <c r="BW85" i="1"/>
  <c r="BW84" i="1"/>
  <c r="BW83" i="1"/>
  <c r="BW82" i="1"/>
  <c r="BW81" i="1"/>
  <c r="BW80" i="1"/>
  <c r="BW79" i="1"/>
  <c r="BW78" i="1"/>
  <c r="BW77" i="1"/>
  <c r="BW76" i="1"/>
  <c r="BW75" i="1"/>
  <c r="BW74" i="1"/>
  <c r="BW73" i="1"/>
  <c r="BW72" i="1"/>
  <c r="BX96" i="1"/>
  <c r="BX94" i="1"/>
  <c r="BX106" i="1"/>
  <c r="BX101" i="1"/>
  <c r="BX100" i="1"/>
  <c r="BX97" i="1"/>
  <c r="BX92" i="1"/>
  <c r="BX105" i="1"/>
  <c r="BX104" i="1"/>
  <c r="BX103" i="1"/>
  <c r="BX102" i="1"/>
  <c r="BX99" i="1"/>
  <c r="BX98" i="1"/>
  <c r="BX95" i="1"/>
  <c r="BX93" i="1"/>
  <c r="BX91" i="1"/>
  <c r="BX90" i="1"/>
  <c r="BX89" i="1"/>
  <c r="BX88" i="1"/>
  <c r="BX87" i="1"/>
  <c r="BX86" i="1"/>
  <c r="BX85" i="1"/>
  <c r="BX84" i="1"/>
  <c r="BX83" i="1"/>
  <c r="BX82" i="1"/>
  <c r="BX81" i="1"/>
  <c r="BX80" i="1"/>
  <c r="BX79" i="1"/>
  <c r="BX78" i="1"/>
  <c r="BX77" i="1"/>
  <c r="BX76" i="1"/>
  <c r="BX75" i="1"/>
  <c r="BX74" i="1"/>
  <c r="BX73" i="1"/>
  <c r="BX72" i="1"/>
  <c r="BY92" i="1"/>
  <c r="BY106" i="1"/>
  <c r="BY103" i="1"/>
  <c r="BY101" i="1"/>
  <c r="BI77" i="1"/>
  <c r="BI76" i="1"/>
  <c r="BI75" i="1"/>
  <c r="BI74" i="1"/>
  <c r="BI73" i="1"/>
  <c r="BI72" i="1"/>
  <c r="BJ96" i="1"/>
  <c r="BJ91" i="1"/>
  <c r="BJ90" i="1"/>
  <c r="BJ89" i="1"/>
  <c r="BJ88" i="1"/>
  <c r="BJ87" i="1"/>
  <c r="BJ86" i="1"/>
  <c r="BJ85" i="1"/>
  <c r="BJ84" i="1"/>
  <c r="BJ83" i="1"/>
  <c r="BJ82" i="1"/>
  <c r="BJ81" i="1"/>
  <c r="BJ80" i="1"/>
  <c r="BJ79" i="1"/>
  <c r="BJ78" i="1"/>
  <c r="BJ94" i="1"/>
  <c r="BJ92" i="1"/>
  <c r="BJ77" i="1"/>
  <c r="BJ76" i="1"/>
  <c r="BJ75" i="1"/>
  <c r="BJ74" i="1"/>
  <c r="BJ73" i="1"/>
  <c r="BJ72" i="1"/>
  <c r="BK92" i="1"/>
  <c r="BU98" i="1"/>
  <c r="BU104" i="1"/>
  <c r="BU101" i="1"/>
  <c r="BU90" i="1"/>
  <c r="BU94" i="1"/>
  <c r="BU106" i="1"/>
  <c r="BU97" i="1"/>
  <c r="BU102" i="1"/>
  <c r="BU100" i="1"/>
  <c r="BU99" i="1"/>
  <c r="BU96" i="1"/>
  <c r="BU95" i="1"/>
  <c r="BU105" i="1"/>
  <c r="BU103" i="1"/>
  <c r="BU91" i="1"/>
  <c r="BU89" i="1"/>
  <c r="BU88" i="1"/>
  <c r="BU87" i="1"/>
  <c r="BU86" i="1"/>
  <c r="BU85" i="1"/>
  <c r="BU84" i="1"/>
  <c r="BU83" i="1"/>
  <c r="BU82" i="1"/>
  <c r="BU81" i="1"/>
  <c r="BU80" i="1"/>
  <c r="BU79" i="1"/>
  <c r="BU78" i="1"/>
  <c r="BU93" i="1"/>
  <c r="BU92" i="1"/>
  <c r="BU77" i="1"/>
  <c r="BU76" i="1"/>
  <c r="BU75" i="1"/>
  <c r="BU74" i="1"/>
  <c r="BU73" i="1"/>
  <c r="BU72" i="1"/>
  <c r="BJ95" i="1"/>
  <c r="BJ106" i="1"/>
  <c r="BJ102" i="1"/>
  <c r="BJ100" i="1"/>
  <c r="BJ97" i="1"/>
  <c r="BJ93" i="1"/>
  <c r="BJ105" i="1"/>
  <c r="BJ104" i="1"/>
  <c r="BJ103" i="1"/>
  <c r="BJ101" i="1"/>
  <c r="BJ99" i="1"/>
  <c r="BJ98" i="1"/>
  <c r="BS102" i="1"/>
  <c r="BS101" i="1"/>
  <c r="BS100" i="1"/>
  <c r="BS97" i="1"/>
  <c r="BS96" i="1"/>
  <c r="BS94" i="1"/>
  <c r="BS92" i="1"/>
  <c r="BS91" i="1"/>
  <c r="BS90" i="1"/>
  <c r="BS89" i="1"/>
  <c r="BS88" i="1"/>
  <c r="BS87" i="1"/>
  <c r="C66" i="1"/>
  <c r="E38" i="1"/>
  <c r="E66" i="1"/>
  <c r="E40" i="1"/>
  <c r="D66" i="1"/>
  <c r="E39" i="1"/>
  <c r="E68" i="1"/>
  <c r="D68" i="1"/>
  <c r="C68" i="1"/>
  <c r="E67" i="1"/>
  <c r="D67" i="1"/>
  <c r="C67" i="1"/>
  <c r="AN33" i="6" l="1"/>
  <c r="AI33" i="6"/>
  <c r="AI36" i="6"/>
  <c r="AN36" i="6"/>
  <c r="AI43" i="6"/>
  <c r="S64" i="6"/>
  <c r="H68" i="6"/>
  <c r="AN43" i="6"/>
  <c r="R64" i="6"/>
  <c r="G68" i="6"/>
  <c r="Q64" i="6"/>
  <c r="F68" i="6"/>
  <c r="P64" i="6"/>
  <c r="E68" i="6"/>
  <c r="O64" i="6"/>
  <c r="D68" i="6"/>
  <c r="N64" i="6"/>
  <c r="C68" i="6"/>
  <c r="AP73" i="6"/>
  <c r="D87" i="6" s="1"/>
  <c r="AP72" i="6"/>
  <c r="C87" i="6" s="1"/>
  <c r="AP94" i="6"/>
  <c r="D90" i="6" s="1"/>
  <c r="AP93" i="6"/>
  <c r="C90" i="6" s="1"/>
  <c r="AP92" i="6"/>
  <c r="I89" i="6" s="1"/>
  <c r="AP91" i="6"/>
  <c r="H89" i="6" s="1"/>
  <c r="AP90" i="6"/>
  <c r="G89" i="6" s="1"/>
  <c r="AP89" i="6"/>
  <c r="F89" i="6" s="1"/>
  <c r="AP88" i="6"/>
  <c r="E89" i="6" s="1"/>
  <c r="AP86" i="6"/>
  <c r="C89" i="6" s="1"/>
  <c r="AP78" i="6"/>
  <c r="I87" i="6" s="1"/>
  <c r="AP76" i="6"/>
  <c r="G87" i="6" s="1"/>
  <c r="AP82" i="6"/>
  <c r="F88" i="6" s="1"/>
  <c r="AP81" i="6"/>
  <c r="E88" i="6" s="1"/>
  <c r="AP80" i="6"/>
  <c r="D88" i="6" s="1"/>
  <c r="AP87" i="6"/>
  <c r="D89" i="6" s="1"/>
  <c r="AP85" i="6"/>
  <c r="I88" i="6" s="1"/>
  <c r="AP84" i="6"/>
  <c r="H88" i="6" s="1"/>
  <c r="AP83" i="6"/>
  <c r="G88" i="6" s="1"/>
  <c r="AP79" i="6"/>
  <c r="C88" i="6" s="1"/>
  <c r="AP77" i="6"/>
  <c r="H87" i="6" s="1"/>
  <c r="AP75" i="6"/>
  <c r="F87" i="6" s="1"/>
  <c r="AP74" i="6"/>
  <c r="E87" i="6" s="1"/>
  <c r="AP106" i="6"/>
  <c r="I91" i="6" s="1"/>
  <c r="AP105" i="6"/>
  <c r="H91" i="6" s="1"/>
  <c r="AP104" i="6"/>
  <c r="G91" i="6" s="1"/>
  <c r="AP103" i="6"/>
  <c r="F91" i="6" s="1"/>
  <c r="AP102" i="6"/>
  <c r="E91" i="6" s="1"/>
  <c r="AP101" i="6"/>
  <c r="D91" i="6" s="1"/>
  <c r="AP100" i="6"/>
  <c r="C91" i="6" s="1"/>
  <c r="AP99" i="6"/>
  <c r="I90" i="6" s="1"/>
  <c r="AP98" i="6"/>
  <c r="H90" i="6" s="1"/>
  <c r="AP97" i="6"/>
  <c r="G90" i="6" s="1"/>
  <c r="AP96" i="6"/>
  <c r="F90" i="6" s="1"/>
  <c r="AP95" i="6"/>
  <c r="E90" i="6" s="1"/>
  <c r="AR96" i="1"/>
  <c r="F98" i="1" s="1"/>
  <c r="AR98" i="1"/>
  <c r="H98" i="1" s="1"/>
  <c r="AR105" i="1"/>
  <c r="H99" i="1" s="1"/>
  <c r="AR94" i="1"/>
  <c r="D98" i="1" s="1"/>
  <c r="AR88" i="1"/>
  <c r="E97" i="1" s="1"/>
  <c r="AR81" i="1"/>
  <c r="E96" i="1" s="1"/>
  <c r="AR76" i="1"/>
  <c r="G95" i="1" s="1"/>
  <c r="AR100" i="1"/>
  <c r="C99" i="1" s="1"/>
  <c r="AR83" i="1"/>
  <c r="G96" i="1" s="1"/>
  <c r="AR75" i="1"/>
  <c r="F95" i="1" s="1"/>
  <c r="AR102" i="1"/>
  <c r="E99" i="1" s="1"/>
  <c r="AR106" i="1"/>
  <c r="I99" i="1" s="1"/>
  <c r="AR104" i="1"/>
  <c r="G99" i="1" s="1"/>
  <c r="AR92" i="1"/>
  <c r="I97" i="1" s="1"/>
  <c r="AR97" i="1"/>
  <c r="G98" i="1" s="1"/>
  <c r="AR93" i="1"/>
  <c r="C98" i="1" s="1"/>
  <c r="AR89" i="1"/>
  <c r="F97" i="1" s="1"/>
  <c r="AR84" i="1"/>
  <c r="H96" i="1" s="1"/>
  <c r="AR82" i="1"/>
  <c r="F96" i="1" s="1"/>
  <c r="AR79" i="1"/>
  <c r="C96" i="1" s="1"/>
  <c r="AR74" i="1"/>
  <c r="E95" i="1" s="1"/>
  <c r="AR72" i="1"/>
  <c r="C95" i="1" s="1"/>
  <c r="AR99" i="1"/>
  <c r="I98" i="1" s="1"/>
  <c r="AR103" i="1"/>
  <c r="F99" i="1" s="1"/>
  <c r="AR91" i="1"/>
  <c r="H97" i="1" s="1"/>
  <c r="AR90" i="1"/>
  <c r="G97" i="1" s="1"/>
  <c r="AR85" i="1"/>
  <c r="I96" i="1" s="1"/>
  <c r="AR80" i="1"/>
  <c r="D96" i="1" s="1"/>
  <c r="AR73" i="1"/>
  <c r="D95" i="1" s="1"/>
  <c r="AR95" i="1"/>
  <c r="E98" i="1" s="1"/>
  <c r="AR86" i="1"/>
  <c r="C97" i="1" s="1"/>
  <c r="AR78" i="1"/>
  <c r="I95" i="1" s="1"/>
  <c r="AR101" i="1"/>
  <c r="D99" i="1" s="1"/>
  <c r="AR87" i="1"/>
  <c r="D97" i="1" s="1"/>
  <c r="AR77" i="1"/>
  <c r="H95" i="1" s="1"/>
  <c r="AI26" i="1"/>
  <c r="AN26" i="1"/>
  <c r="AI27" i="1"/>
  <c r="AN27" i="1"/>
  <c r="B76" i="1"/>
  <c r="B74" i="1"/>
  <c r="B75" i="1"/>
  <c r="J102" i="1"/>
  <c r="B81" i="1"/>
  <c r="B80" i="1"/>
  <c r="B78" i="1"/>
  <c r="B77" i="1"/>
  <c r="B79" i="1"/>
  <c r="J70" i="1"/>
  <c r="F45" i="1"/>
  <c r="H70" i="1"/>
  <c r="F43" i="1"/>
  <c r="G70" i="1"/>
  <c r="F42" i="1"/>
  <c r="F70" i="1"/>
  <c r="F41" i="1"/>
  <c r="I70" i="1"/>
  <c r="F44" i="1"/>
  <c r="Q58" i="1"/>
  <c r="Q60" i="1" s="1"/>
  <c r="R58" i="1"/>
  <c r="R60" i="1" s="1"/>
  <c r="R59" i="1"/>
  <c r="Q59" i="1"/>
  <c r="S58" i="1"/>
  <c r="S60" i="1" s="1"/>
  <c r="S59" i="1"/>
  <c r="P59" i="1"/>
  <c r="P58" i="1"/>
  <c r="P60" i="1" s="1"/>
  <c r="O59" i="1"/>
  <c r="N59" i="1"/>
  <c r="T58" i="1"/>
  <c r="T60" i="1" s="1"/>
  <c r="T59" i="1"/>
  <c r="O58" i="1"/>
  <c r="O60" i="1" s="1"/>
  <c r="U58" i="1"/>
  <c r="U60" i="1" s="1"/>
  <c r="N58" i="1"/>
  <c r="N60" i="1" s="1"/>
  <c r="U59" i="1"/>
  <c r="AI38" i="1"/>
  <c r="AN38" i="1"/>
  <c r="AI37" i="1"/>
  <c r="AN37" i="1"/>
  <c r="AI36" i="1"/>
  <c r="AN36" i="1"/>
  <c r="AI35" i="1"/>
  <c r="AN35" i="1"/>
  <c r="AI34" i="1"/>
  <c r="AN34" i="1"/>
  <c r="AI33" i="1"/>
  <c r="AN33" i="1"/>
  <c r="AI32" i="1"/>
  <c r="AN32" i="1"/>
  <c r="AI31" i="1"/>
  <c r="AN31" i="1"/>
  <c r="AI30" i="1"/>
  <c r="AN30" i="1"/>
  <c r="AI29" i="1"/>
  <c r="AN29" i="1"/>
  <c r="AI28" i="1"/>
  <c r="AN28" i="1"/>
  <c r="AI49" i="1"/>
  <c r="AN49" i="1"/>
  <c r="AI48" i="1"/>
  <c r="AN48" i="1"/>
  <c r="AI47" i="1"/>
  <c r="AN47" i="1"/>
  <c r="AI46" i="1"/>
  <c r="AN46" i="1"/>
  <c r="AI45" i="1"/>
  <c r="AN45" i="1"/>
  <c r="AI44" i="1"/>
  <c r="AN44" i="1"/>
  <c r="AI43" i="1"/>
  <c r="AN43" i="1"/>
  <c r="AI42" i="1"/>
  <c r="AN42" i="1"/>
  <c r="AI41" i="1"/>
  <c r="AN41" i="1"/>
  <c r="AI40" i="1"/>
  <c r="AN40" i="1"/>
  <c r="AI39" i="1"/>
  <c r="AN39" i="1"/>
  <c r="E70" i="1"/>
  <c r="D70" i="1"/>
  <c r="C70" i="1"/>
  <c r="H70" i="6" l="1"/>
  <c r="S61" i="6"/>
  <c r="H71" i="6" s="1"/>
  <c r="F43" i="6"/>
  <c r="G70" i="6"/>
  <c r="F42" i="6"/>
  <c r="R61" i="6"/>
  <c r="G71" i="6" s="1"/>
  <c r="F70" i="6"/>
  <c r="F41" i="6"/>
  <c r="Q61" i="6"/>
  <c r="F71" i="6" s="1"/>
  <c r="E70" i="6"/>
  <c r="F40" i="6"/>
  <c r="P61" i="6"/>
  <c r="E71" i="6" s="1"/>
  <c r="D70" i="6"/>
  <c r="F39" i="6"/>
  <c r="O61" i="6"/>
  <c r="D71" i="6" s="1"/>
  <c r="C70" i="6"/>
  <c r="F38" i="6"/>
  <c r="N61" i="6"/>
  <c r="C71" i="6" s="1"/>
  <c r="E71" i="1"/>
  <c r="D71" i="1"/>
  <c r="C71" i="1"/>
  <c r="B79" i="6" l="1"/>
  <c r="B78" i="6"/>
  <c r="B77" i="6"/>
  <c r="B76" i="6"/>
  <c r="B74" i="6"/>
  <c r="B75" i="6"/>
  <c r="AP72" i="1" l="1"/>
  <c r="AP75" i="1"/>
  <c r="F87" i="1"/>
  <c r="AP76" i="1"/>
  <c r="AP78" i="1"/>
  <c r="AP81" i="1"/>
  <c r="AP84" i="1"/>
  <c r="AP87" i="1"/>
  <c r="AP105" i="1"/>
  <c r="AP95" i="1"/>
  <c r="AP102" i="1"/>
  <c r="E91" i="1"/>
  <c r="AP74" i="1"/>
  <c r="E87" i="1"/>
  <c r="AP77" i="1"/>
  <c r="H87" i="1"/>
  <c r="AP79" i="1"/>
  <c r="C88" i="1"/>
  <c r="AP82" i="1"/>
  <c r="F88" i="1"/>
  <c r="AP85" i="1"/>
  <c r="I88" i="1"/>
  <c r="AP88" i="1"/>
  <c r="AP91" i="1"/>
  <c r="AP96" i="1"/>
  <c r="AP97" i="1"/>
  <c r="AP73" i="1"/>
  <c r="AP89" i="1"/>
  <c r="AP103" i="1"/>
  <c r="AP92" i="1"/>
  <c r="AP80" i="1"/>
  <c r="AP83" i="1"/>
  <c r="AP86" i="1"/>
  <c r="AP101" i="1"/>
  <c r="AP93" i="1"/>
  <c r="C90" i="1"/>
  <c r="AP106" i="1"/>
  <c r="AP98" i="1"/>
  <c r="AP94" i="1"/>
  <c r="D90" i="1"/>
  <c r="AP99" i="1"/>
  <c r="I90" i="1"/>
  <c r="AP90" i="1"/>
  <c r="G89" i="1"/>
  <c r="AP100" i="1"/>
  <c r="C91" i="1"/>
  <c r="AP104" i="1"/>
  <c r="E90" i="1" l="1"/>
  <c r="I91" i="1"/>
  <c r="H90" i="1"/>
  <c r="D89" i="1"/>
  <c r="H91" i="1"/>
  <c r="H88" i="1"/>
  <c r="E88" i="1"/>
  <c r="D88" i="1"/>
  <c r="D91" i="1"/>
  <c r="G91" i="1"/>
  <c r="C87" i="1"/>
  <c r="G87" i="1"/>
  <c r="F89" i="1"/>
  <c r="G88" i="1"/>
  <c r="C89" i="1"/>
  <c r="I87" i="1"/>
  <c r="E89" i="1"/>
  <c r="H89" i="1"/>
  <c r="F90" i="1"/>
  <c r="G90" i="1"/>
  <c r="D87" i="1"/>
  <c r="F91" i="1"/>
  <c r="I8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Infraxus</author>
    <author>Liam Collier</author>
  </authors>
  <commentList>
    <comment ref="C10" authorId="0" shapeId="0" xr:uid="{00000000-0006-0000-0000-000001000000}">
      <text>
        <r>
          <rPr>
            <sz val="11"/>
            <color rgb="FF000000"/>
            <rFont val="Calibri"/>
            <family val="2"/>
          </rPr>
          <t>Average over recent 3 months. Top-line, not net.</t>
        </r>
      </text>
    </comment>
    <comment ref="C11" authorId="0" shapeId="0" xr:uid="{00000000-0006-0000-0000-000002000000}">
      <text>
        <r>
          <rPr>
            <sz val="11"/>
            <color theme="1"/>
            <rFont val="Calibri"/>
            <family val="2"/>
            <scheme val="minor"/>
          </rPr>
          <t>Rent, software, tools, marketing, everything except people cost.</t>
        </r>
      </text>
    </comment>
    <comment ref="C12" authorId="0" shapeId="0" xr:uid="{00000000-0006-0000-0000-000003000000}">
      <text>
        <r>
          <rPr>
            <sz val="11"/>
            <color theme="1"/>
            <rFont val="Calibri"/>
            <family val="2"/>
            <scheme val="minor"/>
          </rPr>
          <t>Total cost of existing team including on-costs.</t>
        </r>
      </text>
    </comment>
    <comment ref="G12" authorId="1" shapeId="0" xr:uid="{68DF3F69-4017-2849-8F30-529C1E4F6604}">
      <text>
        <r>
          <rPr>
            <b/>
            <sz val="10"/>
            <color rgb="FF000000"/>
            <rFont val="Tahoma"/>
            <family val="2"/>
          </rPr>
          <t>Base is the neutral reference case and is locked at 100%. Tune Downside / Upside relative to this.</t>
        </r>
      </text>
    </comment>
    <comment ref="C13" authorId="0" shapeId="0" xr:uid="{00000000-0006-0000-0000-000004000000}">
      <text>
        <r>
          <rPr>
            <sz val="11"/>
            <color theme="1"/>
            <rFont val="Calibri"/>
            <family val="2"/>
            <scheme val="minor"/>
          </rPr>
          <t>Operating cash today, all accounts combined.</t>
        </r>
      </text>
    </comment>
    <comment ref="C14" authorId="0" shapeId="0" xr:uid="{00000000-0006-0000-0000-000005000000}">
      <text>
        <r>
          <rPr>
            <sz val="11"/>
            <color rgb="FF000000"/>
            <rFont val="Calibri"/>
            <family val="2"/>
          </rPr>
          <t>Floor below which you would not want cash to fall. Typically 2–3 months of fixed cost.</t>
        </r>
      </text>
    </comment>
    <comment ref="C15" authorId="0" shapeId="0" xr:uid="{00000000-0006-0000-0000-000006000000}">
      <text>
        <r>
          <rPr>
            <sz val="11"/>
            <color rgb="FF000000"/>
            <rFont val="Calibri"/>
            <family val="2"/>
          </rPr>
          <t>Applied to baseline revenue each month. Use 0% to hold flat.</t>
        </r>
      </text>
    </comment>
    <comment ref="C21" authorId="0" shapeId="0" xr:uid="{00000000-0006-0000-0000-000007000000}">
      <text>
        <r>
          <rPr>
            <sz val="11"/>
            <color rgb="FF000000"/>
            <rFont val="Calibri"/>
            <family val="2"/>
          </rPr>
          <t>TRUE includes this candidate; FALSE excludes from cash impact.</t>
        </r>
      </text>
    </comment>
    <comment ref="B64" authorId="0" shapeId="0" xr:uid="{00000000-0006-0000-0000-000013000000}">
      <text>
        <r>
          <rPr>
            <sz val="11"/>
            <color rgb="FF000000"/>
            <rFont val="Calibri"/>
            <family val="2"/>
          </rPr>
          <t>Salary + on-costs + benefits, scenario-adjusted.</t>
        </r>
      </text>
    </comment>
    <comment ref="B65" authorId="0" shapeId="0" xr:uid="{00000000-0006-0000-0000-000014000000}">
      <text>
        <r>
          <rPr>
            <sz val="11"/>
            <color rgb="FF000000"/>
            <rFont val="Calibri"/>
            <family val="2"/>
          </rPr>
          <t>Cash collected (after lag), scenario-adjusted.</t>
        </r>
      </text>
    </comment>
    <comment ref="B66" authorId="0" shapeId="0" xr:uid="{00000000-0006-0000-0000-000015000000}">
      <text>
        <r>
          <rPr>
            <sz val="11"/>
            <color theme="1"/>
            <rFont val="Calibri"/>
            <family val="2"/>
            <scheme val="minor"/>
          </rPr>
          <t>Revenue collected minus full cost over 24 months.</t>
        </r>
      </text>
    </comment>
    <comment ref="B67" authorId="0" shapeId="0" xr:uid="{00000000-0006-0000-0000-000016000000}">
      <text>
        <r>
          <rPr>
            <sz val="11"/>
            <color rgb="FF000000"/>
            <rFont val="Calibri"/>
            <family val="2"/>
          </rPr>
          <t>First month cumulative net turns positive. 999 = does not pay back inside 24m.</t>
        </r>
      </text>
    </comment>
    <comment ref="B68" authorId="0" shapeId="0" xr:uid="{00000000-0006-0000-0000-000017000000}">
      <text>
        <r>
          <rPr>
            <sz val="11"/>
            <color theme="1"/>
            <rFont val="Calibri"/>
            <family val="2"/>
            <scheme val="minor"/>
          </rPr>
          <t>Lowest combined cash level if only this candidate were hired.</t>
        </r>
      </text>
    </comment>
    <comment ref="B69" authorId="0" shapeId="0" xr:uid="{00000000-0006-0000-0000-000018000000}">
      <text>
        <r>
          <rPr>
            <sz val="11"/>
            <color rgb="FF000000"/>
            <rFont val="Calibri"/>
            <family val="2"/>
          </rPr>
          <t>Month at which the cash trough occurs.</t>
        </r>
      </text>
    </comment>
    <comment ref="B70" authorId="0" shapeId="0" xr:uid="{00000000-0006-0000-0000-000019000000}">
      <text>
        <r>
          <rPr>
            <sz val="11"/>
            <color theme="1"/>
            <rFont val="Calibri"/>
            <family val="2"/>
            <scheme val="minor"/>
          </rPr>
          <t>Above (positive) or below (negative) your minimum cash buffer.</t>
        </r>
      </text>
    </comment>
    <comment ref="B71" authorId="0" shapeId="0" xr:uid="{00000000-0006-0000-0000-00001A000000}">
      <text>
        <r>
          <rPr>
            <sz val="11"/>
            <color theme="1"/>
            <rFont val="Calibri"/>
            <family val="2"/>
            <scheme val="minor"/>
          </rPr>
          <t>PASS-fast · PASS-buffer · CAUTION · FAIL · INACTIVE</t>
        </r>
      </text>
    </comment>
    <comment ref="J85" authorId="1" shapeId="0" xr:uid="{00000000-0006-0000-0000-00001B000000}">
      <text>
        <r>
          <rPr>
            <sz val="11"/>
            <color rgb="FF000000"/>
            <rFont val="Calibri"/>
            <family val="2"/>
          </rPr>
          <t>Pick which candidate the sensitivity grids analyse. Any candidate is selectable regardless of active status.</t>
        </r>
      </text>
    </comment>
    <comment ref="B94" authorId="1" shapeId="0" xr:uid="{00000000-0006-0000-0000-00001C000000}">
      <text>
        <r>
          <rPr>
            <sz val="11"/>
            <color theme="1"/>
            <rFont val="Calibri"/>
            <family val="2"/>
            <scheme val="minor"/>
          </rPr>
          <t>Liam Collier:
24-month net contribution (revenue collected − full cost) for Candidate 1 across utilisation (rows) and billable rate (columns). Red = the hire loses money over 24 months; green = net positive. Read where your realistic rate/utilisation lands to see the margin of safety.</t>
        </r>
      </text>
    </comment>
    <comment ref="B98" authorId="1" shapeId="0" xr:uid="{00000000-0006-0000-0000-00001D000000}">
      <text>
        <r>
          <rPr>
            <sz val="11"/>
            <color rgb="FF000000"/>
            <rFont val="Calibri"/>
            <family val="2"/>
          </rPr>
          <t xml:space="preserve">Liam Collier:
</t>
        </r>
        <r>
          <rPr>
            <sz val="11"/>
            <color rgb="FF000000"/>
            <rFont val="Calibri"/>
            <family val="2"/>
          </rPr>
          <t>Your current utilisation assumption (75%). The blue band marks this row; base billable rate ($180) sits between the $175 and $200 columns.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Infraxus</author>
    <author>Liam Collier</author>
  </authors>
  <commentList>
    <comment ref="C10" authorId="0" shapeId="0" xr:uid="{7F3C764C-9576-C846-95AE-F85285772888}">
      <text>
        <r>
          <rPr>
            <sz val="11"/>
            <color rgb="FF000000"/>
            <rFont val="Calibri"/>
            <family val="2"/>
          </rPr>
          <t>Average over recent 3 months. Top-line, not net.</t>
        </r>
      </text>
    </comment>
    <comment ref="C11" authorId="0" shapeId="0" xr:uid="{ED53ED15-9531-0C47-A06E-763BEAEE4037}">
      <text>
        <r>
          <rPr>
            <sz val="11"/>
            <color theme="1"/>
            <rFont val="Calibri"/>
            <family val="2"/>
            <scheme val="minor"/>
          </rPr>
          <t>Rent, software, tools, marketing, everything except people cost.</t>
        </r>
      </text>
    </comment>
    <comment ref="C12" authorId="0" shapeId="0" xr:uid="{0DBE94F2-2A35-9A41-96E4-645415C51C89}">
      <text>
        <r>
          <rPr>
            <sz val="11"/>
            <color theme="1"/>
            <rFont val="Calibri"/>
            <family val="2"/>
            <scheme val="minor"/>
          </rPr>
          <t>Total cost of existing team including on-costs.</t>
        </r>
      </text>
    </comment>
    <comment ref="G12" authorId="1" shapeId="0" xr:uid="{3D9BCC0D-B60F-E142-A7E2-2AEFDB47854E}">
      <text>
        <r>
          <rPr>
            <b/>
            <sz val="10"/>
            <color rgb="FF000000"/>
            <rFont val="Tahoma"/>
            <family val="2"/>
          </rPr>
          <t>Base is the neutral reference case and is locked at 100%. Tune Downside / Upside relative to this.</t>
        </r>
      </text>
    </comment>
    <comment ref="C13" authorId="0" shapeId="0" xr:uid="{3DC5CF5E-BFBE-B149-B8E4-07729AEDDFB1}">
      <text>
        <r>
          <rPr>
            <sz val="11"/>
            <color theme="1"/>
            <rFont val="Calibri"/>
            <family val="2"/>
            <scheme val="minor"/>
          </rPr>
          <t>Operating cash today, all accounts combined.</t>
        </r>
      </text>
    </comment>
    <comment ref="C14" authorId="0" shapeId="0" xr:uid="{77C90056-93E7-B647-95DE-FEFBB650F2E2}">
      <text>
        <r>
          <rPr>
            <sz val="11"/>
            <color rgb="FF000000"/>
            <rFont val="Calibri"/>
            <family val="2"/>
          </rPr>
          <t>Floor below which you would not want cash to fall. Typically 2–3 months of fixed cost.</t>
        </r>
      </text>
    </comment>
    <comment ref="C15" authorId="0" shapeId="0" xr:uid="{36CAA7AC-6649-D74E-A6D1-58574ABC0D41}">
      <text>
        <r>
          <rPr>
            <sz val="11"/>
            <color rgb="FF000000"/>
            <rFont val="Calibri"/>
            <family val="2"/>
          </rPr>
          <t>Applied to baseline revenue each month. Use 0% to hold flat.</t>
        </r>
      </text>
    </comment>
    <comment ref="C21" authorId="0" shapeId="0" xr:uid="{01B48FDC-2942-D448-B570-BDBD1A9548CF}">
      <text>
        <r>
          <rPr>
            <sz val="11"/>
            <color rgb="FF000000"/>
            <rFont val="Calibri"/>
            <family val="2"/>
          </rPr>
          <t>TRUE includes this candidate; FALSE excludes from cash impact.</t>
        </r>
      </text>
    </comment>
    <comment ref="B64" authorId="0" shapeId="0" xr:uid="{14AD2AD4-9CE6-C840-B22E-538709FA131A}">
      <text>
        <r>
          <rPr>
            <sz val="11"/>
            <color rgb="FF000000"/>
            <rFont val="Calibri"/>
            <family val="2"/>
          </rPr>
          <t>Salary + on-costs + benefits, scenario-adjusted.</t>
        </r>
      </text>
    </comment>
    <comment ref="B65" authorId="0" shapeId="0" xr:uid="{A0C716CC-E6CD-974C-929C-DACCF29D41F1}">
      <text>
        <r>
          <rPr>
            <sz val="11"/>
            <color rgb="FF000000"/>
            <rFont val="Calibri"/>
            <family val="2"/>
          </rPr>
          <t>Cash collected (after lag), scenario-adjusted.</t>
        </r>
      </text>
    </comment>
    <comment ref="B66" authorId="0" shapeId="0" xr:uid="{CED885E2-E467-194A-B6DB-942F7BF7E36B}">
      <text>
        <r>
          <rPr>
            <sz val="11"/>
            <color theme="1"/>
            <rFont val="Calibri"/>
            <family val="2"/>
            <scheme val="minor"/>
          </rPr>
          <t>Revenue collected minus full cost over 24 months.</t>
        </r>
      </text>
    </comment>
    <comment ref="B67" authorId="0" shapeId="0" xr:uid="{4F7E35CA-C50A-5648-81A5-397C1043279B}">
      <text>
        <r>
          <rPr>
            <sz val="11"/>
            <color rgb="FF000000"/>
            <rFont val="Calibri"/>
            <family val="2"/>
          </rPr>
          <t>First month cumulative net turns positive. 999 = does not pay back inside 24m.</t>
        </r>
      </text>
    </comment>
    <comment ref="B68" authorId="0" shapeId="0" xr:uid="{D4319167-C112-084D-9690-F977003CB729}">
      <text>
        <r>
          <rPr>
            <sz val="11"/>
            <color theme="1"/>
            <rFont val="Calibri"/>
            <family val="2"/>
            <scheme val="minor"/>
          </rPr>
          <t>Lowest combined cash level if only this candidate were hired.</t>
        </r>
      </text>
    </comment>
    <comment ref="B69" authorId="0" shapeId="0" xr:uid="{4AC2C889-E101-F448-9BF3-13FFA3F8700C}">
      <text>
        <r>
          <rPr>
            <sz val="11"/>
            <color rgb="FF000000"/>
            <rFont val="Calibri"/>
            <family val="2"/>
          </rPr>
          <t>Month at which the cash trough occurs.</t>
        </r>
      </text>
    </comment>
    <comment ref="B70" authorId="0" shapeId="0" xr:uid="{4252E3F7-ACD9-7447-BA1B-91D2AB856AD0}">
      <text>
        <r>
          <rPr>
            <sz val="11"/>
            <color theme="1"/>
            <rFont val="Calibri"/>
            <family val="2"/>
            <scheme val="minor"/>
          </rPr>
          <t>Above (positive) or below (negative) your minimum cash buffer.</t>
        </r>
      </text>
    </comment>
    <comment ref="B71" authorId="0" shapeId="0" xr:uid="{4D296F2A-579C-AA48-A098-FBE95680557E}">
      <text>
        <r>
          <rPr>
            <sz val="11"/>
            <color theme="1"/>
            <rFont val="Calibri"/>
            <family val="2"/>
            <scheme val="minor"/>
          </rPr>
          <t>PASS-fast · PASS-buffer · CAUTION · FAIL · INACTIVE</t>
        </r>
      </text>
    </comment>
    <comment ref="J85" authorId="1" shapeId="0" xr:uid="{FD92386C-5B5B-9840-B4B6-65993C3B6721}">
      <text>
        <r>
          <rPr>
            <sz val="11"/>
            <color rgb="FF000000"/>
            <rFont val="Calibri"/>
            <family val="2"/>
          </rPr>
          <t>Pick which candidate the sensitivity grids analyse. Any candidate is selectable regardless of active status.</t>
        </r>
      </text>
    </comment>
    <comment ref="B94" authorId="1" shapeId="0" xr:uid="{17777C2F-0830-D642-BE25-E8203071B346}">
      <text>
        <r>
          <rPr>
            <sz val="11"/>
            <color theme="1"/>
            <rFont val="Calibri"/>
            <family val="2"/>
            <scheme val="minor"/>
          </rPr>
          <t>Liam Collier:
24-month net contribution (revenue collected − full cost) for Candidate 1 across utilisation (rows) and billable rate (columns). Red = the hire loses money over 24 months; green = net positive. Read where your realistic rate/utilisation lands to see the margin of safety.</t>
        </r>
      </text>
    </comment>
    <comment ref="B98" authorId="1" shapeId="0" xr:uid="{E0D3FD40-1A2F-F44E-8A52-61857AC0E504}">
      <text>
        <r>
          <rPr>
            <sz val="11"/>
            <color rgb="FF000000"/>
            <rFont val="Calibri"/>
            <family val="2"/>
          </rPr>
          <t xml:space="preserve">Liam Collier:
</t>
        </r>
        <r>
          <rPr>
            <sz val="11"/>
            <color rgb="FF000000"/>
            <rFont val="Calibri"/>
            <family val="2"/>
          </rPr>
          <t>Your current utilisation assumption (75%). The blue band marks this row; base billable rate ($180) sits between the $175 and $200 columns.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<sst xmlns="http://schemas.openxmlformats.org/spreadsheetml/2006/main" count="554" uniqueCount="259">
  <si>
    <t>Hire Impact Calculator</t>
  </si>
  <si>
    <t>REGION</t>
  </si>
  <si>
    <t>AU</t>
  </si>
  <si>
    <t>SCENARIO</t>
  </si>
  <si>
    <t>Base</t>
  </si>
  <si>
    <t>REGION LOOKUP</t>
  </si>
  <si>
    <t>Test a hire decision before you make it · free to use · no attribution required</t>
  </si>
  <si>
    <t>infraxus.com</t>
  </si>
  <si>
    <t>Code</t>
  </si>
  <si>
    <t>OnCost</t>
  </si>
  <si>
    <t>Benefits</t>
  </si>
  <si>
    <t>SuperLbl</t>
  </si>
  <si>
    <t>Currency</t>
  </si>
  <si>
    <t>Fiscal</t>
  </si>
  <si>
    <t>Note</t>
  </si>
  <si>
    <t>Super</t>
  </si>
  <si>
    <t>AUD</t>
  </si>
  <si>
    <t>1 July</t>
  </si>
  <si>
    <t>Harmonised on-cost 18.5%: SG 12% (ATO, 12% from 1 Jul 2025) + state payroll tax ~5% blended (above-threshold) + workers comp and leave on-costs ~1.5% (services).</t>
  </si>
  <si>
    <t>NZ</t>
  </si>
  <si>
    <t>KiwiSaver</t>
  </si>
  <si>
    <t>NZD</t>
  </si>
  <si>
    <t>1 April</t>
  </si>
  <si>
    <t>Harmonised on-cost 4.5%: KiwiSaver employer 3.5% (IRD, 3.5% from 1 Apr 2026) + ACC work levy and accruals ~1.0%. No payroll tax in NZ.</t>
  </si>
  <si>
    <t>LEGEND</t>
  </si>
  <si>
    <t>123</t>
  </si>
  <si>
    <t>Input</t>
  </si>
  <si>
    <t>Formula</t>
  </si>
  <si>
    <t>Override</t>
  </si>
  <si>
    <t>Reference</t>
  </si>
  <si>
    <t>US</t>
  </si>
  <si>
    <t>FICA + SUTA</t>
  </si>
  <si>
    <t>USD</t>
  </si>
  <si>
    <t>1 January</t>
  </si>
  <si>
    <t>Harmonised on-cost 10.5%: FICA 7.65% (6.2% SS + 1.45% Medicare) + FUTA 0.6% + SUTA ~1.25% blended + workers comp ~1.0% (services). Health benefits ~$700/m captured separately.</t>
  </si>
  <si>
    <t>BUSINESS CONTEXT</t>
  </si>
  <si>
    <t>Enter your figures below. See the Sample tab for a worked example.</t>
  </si>
  <si>
    <t>SCENARIO LOOKUP</t>
  </si>
  <si>
    <t>Monthly revenue</t>
  </si>
  <si>
    <t>Scn</t>
  </si>
  <si>
    <t>Rev mult</t>
  </si>
  <si>
    <t>Util mult</t>
  </si>
  <si>
    <t>Cost mult</t>
  </si>
  <si>
    <t>Collect +m</t>
  </si>
  <si>
    <t>Month</t>
  </si>
  <si>
    <t>Monthly opex (ex-payroll)</t>
  </si>
  <si>
    <t>Monthly payroll (existing team)</t>
  </si>
  <si>
    <t>Downside</t>
  </si>
  <si>
    <t>Current cash balance</t>
  </si>
  <si>
    <t>Upside</t>
  </si>
  <si>
    <t>Minimum cash buffer (floor)</t>
  </si>
  <si>
    <t>Monthly revenue growth</t>
  </si>
  <si>
    <t>ACTIVE SCENARIO</t>
  </si>
  <si>
    <t>HIRE ROSTER</t>
  </si>
  <si>
    <t>Field</t>
  </si>
  <si>
    <t>Candidate 1</t>
  </si>
  <si>
    <t>Candidate 2</t>
  </si>
  <si>
    <t>Candidate 3</t>
  </si>
  <si>
    <t>Collect+m</t>
  </si>
  <si>
    <t>Active</t>
  </si>
  <si>
    <t>Role title</t>
  </si>
  <si>
    <t>Senior Consultant</t>
  </si>
  <si>
    <t>Start month (1–24)</t>
  </si>
  <si>
    <t>Base annual salary</t>
  </si>
  <si>
    <t>MONTHLY ENGINE (24 months)</t>
  </si>
  <si>
    <t>On-cost % (region default)</t>
  </si>
  <si>
    <t>C1 cost</t>
  </si>
  <si>
    <t>C1 billed</t>
  </si>
  <si>
    <t>C1 rev coll</t>
  </si>
  <si>
    <t>C1 cum_net</t>
  </si>
  <si>
    <t>C2 cost</t>
  </si>
  <si>
    <t>C2 billed</t>
  </si>
  <si>
    <t>C2 rev coll</t>
  </si>
  <si>
    <t>C2 cum_net</t>
  </si>
  <si>
    <t>C3 cost</t>
  </si>
  <si>
    <t>C3 billed</t>
  </si>
  <si>
    <t>C3 rev coll</t>
  </si>
  <si>
    <t>C3 cum_net</t>
  </si>
  <si>
    <t>BL rev</t>
  </si>
  <si>
    <t>BL opex</t>
  </si>
  <si>
    <t>BL payroll</t>
  </si>
  <si>
    <t>BL net</t>
  </si>
  <si>
    <t>Baseline (no hires)</t>
  </si>
  <si>
    <t>Hires cost</t>
  </si>
  <si>
    <t>Hires rev</t>
  </si>
  <si>
    <t>Combined net</t>
  </si>
  <si>
    <t>Post-hire combined</t>
  </si>
  <si>
    <t>Floor breach</t>
  </si>
  <si>
    <t>Minimum cash floor</t>
  </si>
  <si>
    <t>Cash impact of the hire</t>
  </si>
  <si>
    <t>Break-even</t>
  </si>
  <si>
    <t>C1 pb flag</t>
  </si>
  <si>
    <t>C2 pb flag</t>
  </si>
  <si>
    <t>C3 pb flag</t>
  </si>
  <si>
    <t>C1 ALWAYS cost</t>
  </si>
  <si>
    <t>C1 ALWAYS billed</t>
  </si>
  <si>
    <t>C1 ALWAYS rev_coll</t>
  </si>
  <si>
    <t>C1 cum cost</t>
  </si>
  <si>
    <t>C1 cum rev_coll</t>
  </si>
  <si>
    <t>Cum baseline net</t>
  </si>
  <si>
    <t>Monthly benefits &amp; overhead</t>
  </si>
  <si>
    <t>Ramp duration (months)</t>
  </si>
  <si>
    <t>Month-1 productivity %</t>
  </si>
  <si>
    <t>Billable hours / month target</t>
  </si>
  <si>
    <t>Utilization at full ramp</t>
  </si>
  <si>
    <t>Average billable rate ($/hr)</t>
  </si>
  <si>
    <t>Revenue collection lag (mo)</t>
  </si>
  <si>
    <t>DECISION READ · should you make the hire</t>
  </si>
  <si>
    <t>Candidate</t>
  </si>
  <si>
    <t>Months to payback</t>
  </si>
  <si>
    <t>Peak net cash burn</t>
  </si>
  <si>
    <t>Net impact (24m)</t>
  </si>
  <si>
    <t>CASH IMPACT OF THE HIRE · post-hire minus baseline</t>
  </si>
  <si>
    <t>FLOOR</t>
  </si>
  <si>
    <t>CANDIDATE OUTPUTS</t>
  </si>
  <si>
    <t>Metric</t>
  </si>
  <si>
    <t>Total 24m cost</t>
  </si>
  <si>
    <t>Total 24m revenue</t>
  </si>
  <si>
    <t>Net 24m (rev − cost)</t>
  </si>
  <si>
    <t>PER-CANDIDATE SUMMARY</t>
  </si>
  <si>
    <t>Payback month</t>
  </si>
  <si>
    <t>Combined cash trough (post-hire)</t>
  </si>
  <si>
    <t>Total 24-month cost</t>
  </si>
  <si>
    <t>Cash trough month</t>
  </si>
  <si>
    <t>Total 24-month revenue</t>
  </si>
  <si>
    <t>Trough vs floor (− = breach)</t>
  </si>
  <si>
    <t>Net contribution (24m)</t>
  </si>
  <si>
    <t>Recommendation flag</t>
  </si>
  <si>
    <t>C-only trough (cash low)</t>
  </si>
  <si>
    <t>Cash trough (this hire only)</t>
  </si>
  <si>
    <t>C-only trough month</t>
  </si>
  <si>
    <t>Trough month</t>
  </si>
  <si>
    <t>C-only trough vs floor</t>
  </si>
  <si>
    <t>Trough vs floor</t>
  </si>
  <si>
    <t>Peak monthly outflow</t>
  </si>
  <si>
    <t>RECOMMENDATION</t>
  </si>
  <si>
    <t>SENSITIVITY GRID (C1)</t>
  </si>
  <si>
    <t>util</t>
  </si>
  <si>
    <t>rate</t>
  </si>
  <si>
    <t>payback_m</t>
  </si>
  <si>
    <t>trough</t>
  </si>
  <si>
    <t>trough_vs_floor</t>
  </si>
  <si>
    <t>Payback (months)</t>
  </si>
  <si>
    <t>RECONCILIATION · every check must hold</t>
  </si>
  <si>
    <t>MASTER</t>
  </si>
  <si>
    <t>ID</t>
  </si>
  <si>
    <t>Check</t>
  </si>
  <si>
    <t>Expected</t>
  </si>
  <si>
    <t>Actual</t>
  </si>
  <si>
    <t>Result</t>
  </si>
  <si>
    <t>R01</t>
  </si>
  <si>
    <t>Sum of C1 monthly cost (engine) = Total 24m cost (summary)</t>
  </si>
  <si>
    <t>R02</t>
  </si>
  <si>
    <t>Sum of C1 monthly rev collected (engine) = Total 24m revenue (summary)</t>
  </si>
  <si>
    <t>R03</t>
  </si>
  <si>
    <t>Sum of C2 monthly cost (engine) = Total 24m cost (summary)</t>
  </si>
  <si>
    <t>R04</t>
  </si>
  <si>
    <t>Sum of C2 monthly rev collected (engine) = Total 24m revenue (summary)</t>
  </si>
  <si>
    <t>R05</t>
  </si>
  <si>
    <t>Sum of C3 monthly cost (engine) = Total 24m cost (summary)</t>
  </si>
  <si>
    <t>R06</t>
  </si>
  <si>
    <t>Sum of C3 monthly rev collected (engine) = Total 24m revenue (summary)</t>
  </si>
  <si>
    <t>R07</t>
  </si>
  <si>
    <t>Combined cash m24 = opening + cumulative baseline net + hires net</t>
  </si>
  <si>
    <t>R08</t>
  </si>
  <si>
    <t>Baseline cum cash m24 = opening + sum baseline net</t>
  </si>
  <si>
    <t>R09</t>
  </si>
  <si>
    <t>Active scenario rev mult resolves correctly</t>
  </si>
  <si>
    <t>R10</t>
  </si>
  <si>
    <t>Active scenario util mult resolves correctly</t>
  </si>
  <si>
    <t>R11</t>
  </si>
  <si>
    <t>R12</t>
  </si>
  <si>
    <t>R13</t>
  </si>
  <si>
    <t>R14</t>
  </si>
  <si>
    <t>R15</t>
  </si>
  <si>
    <t>R16</t>
  </si>
  <si>
    <t>R17</t>
  </si>
  <si>
    <t>R18</t>
  </si>
  <si>
    <t>R19</t>
  </si>
  <si>
    <t>R20</t>
  </si>
  <si>
    <t>Built by Infraxus, operator finance · infraxus.com</t>
  </si>
  <si>
    <t>Hire_Impact_Calculator.xlsx</t>
  </si>
  <si>
    <t>Read Me · Hire Impact Calculator</t>
  </si>
  <si>
    <t>How to use this template · what the colours mean · what to do if something looks wrong</t>
  </si>
  <si>
    <t>01</t>
  </si>
  <si>
    <t>What this is</t>
  </si>
  <si>
    <t>02</t>
  </si>
  <si>
    <t>How to use it</t>
  </si>
  <si>
    <t>03</t>
  </si>
  <si>
    <t>04</t>
  </si>
  <si>
    <t>What the colours mean</t>
  </si>
  <si>
    <t>05</t>
  </si>
  <si>
    <t>What to do if something looks wrong</t>
  </si>
  <si>
    <t>06</t>
  </si>
  <si>
    <t>Free version vs Control Sprint</t>
  </si>
  <si>
    <t>SCENARIO ASSUMPTIONS</t>
  </si>
  <si>
    <t>Scenario</t>
  </si>
  <si>
    <t>Base locked · tune Downside / Upside</t>
  </si>
  <si>
    <t>Candidate 4</t>
  </si>
  <si>
    <t>Candidate 5</t>
  </si>
  <si>
    <t>Candidate 6</t>
  </si>
  <si>
    <t>Candidate 7</t>
  </si>
  <si>
    <t>Candidate 8</t>
  </si>
  <si>
    <t>C4 cost</t>
  </si>
  <si>
    <t>C4 billed</t>
  </si>
  <si>
    <t>C4 rev coll</t>
  </si>
  <si>
    <t>C4 cum_net</t>
  </si>
  <si>
    <t>C5 cost</t>
  </si>
  <si>
    <t>C5 billed</t>
  </si>
  <si>
    <t>C5 rev coll</t>
  </si>
  <si>
    <t>C5 cum_net</t>
  </si>
  <si>
    <t>C6 cost</t>
  </si>
  <si>
    <t>C6 billed</t>
  </si>
  <si>
    <t>C6 rev coll</t>
  </si>
  <si>
    <t>C6 cum_net</t>
  </si>
  <si>
    <t>C7 cost</t>
  </si>
  <si>
    <t>C7 billed</t>
  </si>
  <si>
    <t>C7 rev coll</t>
  </si>
  <si>
    <t>C7 cum_net</t>
  </si>
  <si>
    <t>C8 cost</t>
  </si>
  <si>
    <t>C8 billed</t>
  </si>
  <si>
    <t>C8 rev coll</t>
  </si>
  <si>
    <t>C8 cum_net</t>
  </si>
  <si>
    <t>C4 pb flag</t>
  </si>
  <si>
    <t>C5 pb flag</t>
  </si>
  <si>
    <t>C6 pb flag</t>
  </si>
  <si>
    <t>C7 pb flag</t>
  </si>
  <si>
    <t>C8 pb flag</t>
  </si>
  <si>
    <t>Sum of C4 monthly cost (engine) = Total 24m cost (summary)</t>
  </si>
  <si>
    <t>Sum of C4 monthly rev collected (engine) = Total 24m revenue (summary)</t>
  </si>
  <si>
    <t>Sum of C5 monthly cost (engine) = Total 24m cost (summary)</t>
  </si>
  <si>
    <t>Sum of C5 monthly rev collected (engine) = Total 24m revenue (summary)</t>
  </si>
  <si>
    <t>Sum of C6 monthly cost (engine) = Total 24m cost (summary)</t>
  </si>
  <si>
    <t>Sum of C6 monthly rev collected (engine) = Total 24m revenue (summary)</t>
  </si>
  <si>
    <t>Sum of C7 monthly cost (engine) = Total 24m cost (summary)</t>
  </si>
  <si>
    <t>Sum of C7 monthly rev collected (engine) = Total 24m revenue (summary)</t>
  </si>
  <si>
    <t>Sum of C8 monthly cost (engine) = Total 24m cost (summary)</t>
  </si>
  <si>
    <t>Sum of C8 monthly rev collected (engine) = Total 24m revenue (summary)</t>
  </si>
  <si>
    <t>C1 cash traj</t>
  </si>
  <si>
    <t>C2 cash traj</t>
  </si>
  <si>
    <t>C3 cash traj</t>
  </si>
  <si>
    <t>C4 cash traj</t>
  </si>
  <si>
    <t>C5 cash traj</t>
  </si>
  <si>
    <t>C6 cash traj</t>
  </si>
  <si>
    <t>C7 cash traj</t>
  </si>
  <si>
    <t>C8 cash traj</t>
  </si>
  <si>
    <t>Engagement Manager</t>
  </si>
  <si>
    <t>Business Analyst</t>
  </si>
  <si>
    <t>Practice Lead</t>
  </si>
  <si>
    <t>Graduate Consultant</t>
  </si>
  <si>
    <t>Bid Manager</t>
  </si>
  <si>
    <t>What the scenario toggle does, and how to tune it</t>
  </si>
  <si>
    <t xml:space="preserve">
A free Excel template that helps owner-operators of services businesses decide whether a hire is affordable, when it pays back, and how much cash buffer to hold against the decision.
The calculator runs against numbers you enter (your revenue, your cash, your candidate assumptions) and returns a defensible directional answer in under 5 minutes.
Compare up to eight candidates side-by-side, tune your own Downside / Upside scenarios, and read payback, cash burn and floor-breach risk for each. It works for any region (AU, NZ, US) and applies research-anchored on-cost defaults you can override per candidate.</t>
  </si>
  <si>
    <t xml:space="preserve">
1. Open the Calculator sheet. Set the Region (top right, AU / NZ / US) and fill the Business Context block: monthly revenue, opex (ex-payroll), payroll for the existing team, current cash, and the floor you do not want cash to fall below.
2. In the Hire Roster, fill up to eight candidates side-by-side. Toggle Active TRUE for each one you want included; leave the rest FALSE and they drop out of every table and the chart.
3. Region picks up the on-cost and benefits defaults automatically. Type a value over either field to override it for that candidate only.
4. Pick a Scenario (Base / Downside / Upside) using the toggle next to Region, and tune what each scenario means in the Scenario Assumptions block (see section 03).
5. Read the per-candidate Summary table (Months to payback, Peak net cash burn, Net impact 24m, Floor breach) and the Recommendation lines. The cash chart and Sensitivity grids show how robust the answer is to changes in utilisation and rate. Use the candidate picker above the grids to choose which hire they analyse.</t>
  </si>
  <si>
    <t xml:space="preserve">
BLUE TEXT  Input. A cell you are meant to edit (an assumption or raw number).
OFF-WHITE TEXT  Formula. A calculated value; do not type over it.
GREEN TEXT  Override. You have typed a value over a region default (on-cost or benefits), replacing the automatic figure for that candidate. Green is also used for healthy checks, such as a floor-breach flag reading NO.
RED TEXT  A negative or a warning. A deficit, a cash-buffer breach, or a failing reconciliation check.
DARK BLUE TAB  Calculator (live workspace).  GREY TAB  Sample (worked example).  PLAIN TAB  Read Me.</t>
  </si>
  <si>
    <t xml:space="preserve">
• If the Recommendation reads INACTIVE, the candidate is toggled off. Set Active to TRUE in the roster.
• If Payback shows Never, the candidate does not pay back within 24 months at current util / rate. This is expected for non-billable / support roles. Use the candidate picker above the Sensitivity grids to point them at that hire and see where it would.
• If Master at the bottom of the Reconciliation panel reads FAIL, one or more internal ties have broken. Find the failing row (red) and check the inputs feeding it. The most common cause is an engine cell being edited by accident; download a fresh copy if so.
• Inputs are protected by Data Validation across all eight candidates: out-of-range entries (negative salary, start month outside 1–24, utilisation over 100%, etc.) are blocked at entry with a brief explanation. If you need a value the validation will not accept, the calculator is probably not the right tool for that hire. Talk to us.</t>
  </si>
  <si>
    <t xml:space="preserve">
The Scenario toggle (Base / Downside / Upside) applies four operational multipliers to the model so you can stress-test the same hire against good and bad conditions without retyping inputs. The multipliers are yours to edit: the Scenario Assumptions block (next to the roster) exposes all three rows so you can set what Downside and Upside mean for your business.
BASE.  Locked at 100% / 100% / 100% / +0. The neutral reference case; inputs are taken exactly as entered. You cannot edit Base; it is the anchor the other two are measured against.
DOWNSIDE.  Default: Revenue × 90%, billable utilisation × 90%, all costs × 105%, collection lag +1 month. Clients pay less and later, hours billed are softer, and salaries plus opex run hotter than planned. Anchored to 2023–24 services data (SPI utilisation softening; ABS WPI wage growth; Upflow median B2B DSO). The scenario worth defending against: if the hire still works here, it works. Edit the row to match your own worst realistic quarter.
UPSIDE.  Default: Revenue × 105%, utilisation × 108%, costs flat (× 100%), no extra lag. Costs do not fall in services even in good years (wages, super and software keep growing), so the upside is rev/util-led, not cost-led.
The four headline outputs (Payback, Peak net cash burn, Net impact 24m, Floor breach) respond to the toggle, as do the Sensitivity grids. Blue figures in the Scenario Assumptions block are editable; the grey Base row is locked.</t>
  </si>
  <si>
    <t xml:space="preserve">
This calculator answers one question, can you afford this hire, from numbers you type in.
The Control Sprint answers all of them. We turn your accounting and operating data into a full profit-and-cash model of your business, then hand back a control pack that shows where cash gets tight over the next 13 weeks, where profit is leaking, and which owner decisions are safe to act on. Hiring is just one of them.
Cash and profit clarity in 10 business days. Fixed fee, $5,000, no retainer. If you do not have that clarity after the delivery call, full refund, no questions.
If this calculator gives you a useful answer, that is the goal. If you want the full picture built on your actual numbers, infraxus.com.</t>
  </si>
  <si>
    <t>Want this for your whole business, not just one hire?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</si>
</sst>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Red]\-0.0%;&quot;–&quot;;@"/>
    <numFmt numFmtId="165" formatCode="&quot;$&quot;#,##0;[Red]\(&quot;$&quot;#,##0\);&quot;–&quot;;@"/>
    <numFmt numFmtId="166" formatCode="#,##0;[Red]\-#,##0;&quot;–&quot;;@"/>
    <numFmt numFmtId="167" formatCode="[&gt;900]&quot;–&quot;;[=0]&quot;–&quot;;0&quot; mo&quot;"/>
    <numFmt numFmtId="168" formatCode="&quot;$&quot;#,##0"/>
    <numFmt numFmtId="169" formatCode="&quot;$&quot;#,##0;\(&quot;$&quot;#,##0\);&quot;–&quot;;@"/>
    <numFmt numFmtId="170" formatCode="#,##0;\-#,##0;&quot;–&quot;;@"/>
  </numFmts>
  <fonts count="34" x14ac:knownFonts="1">
    <font>
      <sz val="11"/>
      <color theme="1"/>
      <name val="Calibri"/>
      <family val="2"/>
      <scheme val="minor"/>
    </font>
    <font>
      <b/>
      <sz val="11"/>
      <color rgb="FF1E50FF"/>
      <name val="Consolas"/>
      <family val="2"/>
    </font>
    <font>
      <b/>
      <sz val="10"/>
      <color rgb="FF1E50FF"/>
      <name val="Consolas"/>
      <family val="2"/>
    </font>
    <font>
      <b/>
      <sz val="12"/>
      <color rgb="FF1E50FF"/>
      <name val="Consolas"/>
      <family val="2"/>
    </font>
    <font>
      <sz val="11"/>
      <color rgb="FF000000"/>
      <name val="Calibri"/>
      <family val="2"/>
    </font>
    <font>
      <sz val="11"/>
      <color theme="1"/>
      <name val="Calibri"/>
      <family val="2"/>
      <scheme val="minor"/>
    </font>
    <font>
      <b/>
      <sz val="10"/>
      <color rgb="FF000000"/>
      <name val="Tahoma"/>
      <family val="2"/>
    </font>
    <font>
      <b/>
      <sz val="18"/>
      <color rgb="FFF2F2F2"/>
      <name val="Calibri Light"/>
      <family val="2"/>
    </font>
    <font>
      <sz val="10"/>
      <color rgb="FF8896B3"/>
      <name val="Consolas"/>
      <family val="2"/>
    </font>
    <font>
      <sz val="10"/>
      <color rgb="FF8896B3"/>
      <name val="Calibri"/>
      <family val="2"/>
    </font>
    <font>
      <b/>
      <sz val="10"/>
      <color rgb="FF8896B3"/>
      <name val="Consolas"/>
      <family val="2"/>
    </font>
    <font>
      <sz val="11"/>
      <color rgb="FFF2F2F2"/>
      <name val="Calibri"/>
      <family val="2"/>
    </font>
    <font>
      <sz val="11"/>
      <color rgb="FFF2F2F2"/>
      <name val="Consolas"/>
      <family val="2"/>
    </font>
    <font>
      <b/>
      <sz val="11"/>
      <color rgb="FFF2F2F2"/>
      <name val="Consolas"/>
      <family val="2"/>
    </font>
    <font>
      <b/>
      <sz val="11"/>
      <color rgb="FF10B981"/>
      <name val="Consolas"/>
      <family val="2"/>
    </font>
    <font>
      <b/>
      <sz val="11"/>
      <color rgb="FF8896B3"/>
      <name val="Consolas"/>
      <family val="2"/>
    </font>
    <font>
      <b/>
      <sz val="11"/>
      <color rgb="FFF2F2F2"/>
      <name val="Calibri"/>
      <family val="2"/>
      <scheme val="minor"/>
    </font>
    <font>
      <i/>
      <sz val="10"/>
      <color rgb="FF8896B3"/>
      <name val="Calibri"/>
      <family val="2"/>
    </font>
    <font>
      <sz val="11"/>
      <color rgb="FFF2F2F2"/>
      <name val="Calibri"/>
      <family val="2"/>
      <scheme val="minor"/>
    </font>
    <font>
      <b/>
      <sz val="12"/>
      <color rgb="FFF2F2F2"/>
      <name val="Consolas"/>
      <family val="2"/>
    </font>
    <font>
      <b/>
      <sz val="10"/>
      <color rgb="FFF2F2F2"/>
      <name val="Consolas"/>
      <family val="2"/>
    </font>
    <font>
      <b/>
      <sz val="11"/>
      <color rgb="FFE5484D"/>
      <name val="Consolas"/>
      <family val="2"/>
    </font>
    <font>
      <b/>
      <sz val="11"/>
      <color rgb="FF0D0D0D"/>
      <name val="Consolas"/>
      <family val="2"/>
    </font>
    <font>
      <b/>
      <sz val="12"/>
      <color rgb="FF10B981"/>
      <name val="Consolas"/>
      <family val="2"/>
    </font>
    <font>
      <sz val="10"/>
      <color rgb="FFF2F2F2"/>
      <name val="Calibri"/>
      <family val="2"/>
    </font>
    <font>
      <sz val="10"/>
      <color rgb="FFF2F2F2"/>
      <name val="Consolas"/>
      <family val="2"/>
    </font>
    <font>
      <b/>
      <sz val="16"/>
      <color rgb="FFF2F2F2"/>
      <name val="Calibri Light"/>
      <family val="2"/>
    </font>
    <font>
      <b/>
      <sz val="10"/>
      <color rgb="FF10B981"/>
      <name val="Consolas"/>
      <family val="2"/>
    </font>
    <font>
      <u/>
      <sz val="11"/>
      <color theme="10"/>
      <name val="Calibri"/>
      <family val="2"/>
      <scheme val="minor"/>
    </font>
    <font>
      <sz val="10"/>
      <color rgb="FF1E50FF"/>
      <name val="Consolas"/>
      <family val="2"/>
    </font>
    <font>
      <sz val="11"/>
      <color rgb="FF8896B3"/>
      <name val="Consolas"/>
      <family val="2"/>
    </font>
    <font>
      <sz val="11"/>
      <color theme="0"/>
      <name val="Calibri"/>
      <family val="2"/>
      <scheme val="minor"/>
    </font>
    <font>
      <b/>
      <sz val="10"/>
      <color rgb="FF5B86FF"/>
      <name val="Consolas"/>
      <family val="2"/>
    </font>
    <font>
      <b/>
      <u/>
      <sz val="10"/>
      <color rgb="FF5B86FF"/>
      <name val="Consolas"/>
      <family val="2"/>
    </font>
  </fonts>
  <fills count="9">
    <fill>
      <patternFill patternType="none"/>
    </fill>
    <fill>
      <patternFill patternType="gray125"/>
    </fill>
    <fill>
      <patternFill patternType="solid">
        <fgColor rgb="FF1C1C1E"/>
        <bgColor rgb="FF1C1C1E"/>
      </patternFill>
    </fill>
    <fill>
      <patternFill patternType="solid">
        <fgColor rgb="FF0D0D0D"/>
        <bgColor rgb="FF0D0D0D"/>
      </patternFill>
    </fill>
    <fill>
      <patternFill patternType="solid">
        <fgColor rgb="FF26282B"/>
        <bgColor rgb="FF26282B"/>
      </patternFill>
    </fill>
    <fill>
      <patternFill patternType="solid">
        <fgColor rgb="FF1C1C1E"/>
        <bgColor indexed="64"/>
      </patternFill>
    </fill>
    <fill>
      <patternFill patternType="solid">
        <fgColor rgb="FF26282B"/>
        <bgColor indexed="64"/>
      </patternFill>
    </fill>
    <fill>
      <patternFill patternType="solid">
        <fgColor rgb="FF0D0D0D"/>
        <bgColor indexed="64"/>
      </patternFill>
    </fill>
    <fill>
      <patternFill patternType="solid">
        <fgColor rgb="FF0D0D0D"/>
        <bgColor rgb="FF1C1C1E"/>
      </patternFill>
    </fill>
  </fills>
  <borders count="6">
    <border>
      <left/>
      <right/>
      <top/>
      <bottom/>
      <diagonal/>
    </border>
    <border>
      <left style="thin">
        <color rgb="FF3A3A3C"/>
      </left>
      <right style="thin">
        <color rgb="FF3A3A3C"/>
      </right>
      <top style="thin">
        <color rgb="FF3A3A3C"/>
      </top>
      <bottom style="thin">
        <color rgb="FF3A3A3C"/>
      </bottom>
      <diagonal/>
    </border>
    <border>
      <left/>
      <right/>
      <top/>
      <bottom style="thin">
        <color rgb="FF3A3A3C"/>
      </bottom>
      <diagonal/>
    </border>
    <border>
      <left style="thin">
        <color rgb="FF3A3A3C"/>
      </left>
      <right/>
      <top style="thin">
        <color rgb="FF3A3A3C"/>
      </top>
      <bottom style="thin">
        <color rgb="FF3A3A3C"/>
      </bottom>
      <diagonal/>
    </border>
    <border>
      <left style="thin">
        <color rgb="FF3A3A3C"/>
      </left>
      <right style="thin">
        <color rgb="FF3A3A3C"/>
      </right>
      <top style="thin">
        <color rgb="FF3A3A3C"/>
      </top>
      <bottom/>
      <diagonal/>
    </border>
    <border>
      <left style="thin">
        <color rgb="FF3A3A3C"/>
      </left>
      <right style="thin">
        <color rgb="FF3A3A3C"/>
      </right>
      <top/>
      <bottom style="thin">
        <color rgb="FF3A3A3C"/>
      </bottom>
      <diagonal/>
    </border>
  </borders>
  <cellStyleXfs count="3">
    <xf numFmtId="0" fontId="0" fillId="0" borderId="0"/>
    <xf numFmtId="43" fontId="5" fillId="0" borderId="0"/>
    <xf numFmtId="0" fontId="28" fillId="0" borderId="0" applyNumberFormat="0" applyFill="0" applyBorder="0" applyAlignment="0" applyProtection="0"/>
  </cellStyleXfs>
  <cellXfs count="96">
    <xf numFmtId="0" fontId="0" fillId="0" borderId="0" xfId="0"/>
    <xf numFmtId="0" fontId="0" fillId="2" borderId="0" xfId="0" applyFill="1"/>
    <xf numFmtId="0" fontId="0" fillId="3" borderId="0" xfId="0" applyFill="1"/>
    <xf numFmtId="0" fontId="8" fillId="2" borderId="0" xfId="0" applyFont="1" applyFill="1" applyAlignment="1">
      <alignment horizontal="right" vertical="center"/>
    </xf>
    <xf numFmtId="0" fontId="1" fillId="3" borderId="1" xfId="0" applyFont="1" applyFill="1" applyBorder="1" applyAlignment="1" applyProtection="1">
      <alignment horizontal="center" vertical="center"/>
      <protection locked="0"/>
    </xf>
    <xf numFmtId="0" fontId="2" fillId="2" borderId="0" xfId="0" applyFont="1" applyFill="1" applyAlignment="1">
      <alignment horizontal="left" vertical="center"/>
    </xf>
    <xf numFmtId="0" fontId="10" fillId="4" borderId="2" xfId="0" applyFont="1" applyFill="1" applyBorder="1" applyAlignment="1">
      <alignment horizontal="left" vertical="center"/>
    </xf>
    <xf numFmtId="0" fontId="10" fillId="4" borderId="2" xfId="0" applyFont="1" applyFill="1" applyBorder="1" applyAlignment="1">
      <alignment horizontal="right" vertical="center"/>
    </xf>
    <xf numFmtId="0" fontId="11" fillId="3" borderId="0" xfId="0" applyFont="1" applyFill="1" applyAlignment="1">
      <alignment horizontal="left" vertical="center"/>
    </xf>
    <xf numFmtId="164" fontId="12" fillId="3" borderId="0" xfId="0" applyNumberFormat="1" applyFont="1" applyFill="1" applyAlignment="1">
      <alignment horizontal="right" vertical="center"/>
    </xf>
    <xf numFmtId="165" fontId="12" fillId="3" borderId="0" xfId="0" applyNumberFormat="1" applyFont="1" applyFill="1" applyAlignment="1">
      <alignment horizontal="right" vertical="center"/>
    </xf>
    <xf numFmtId="0" fontId="10" fillId="2" borderId="0" xfId="0" applyFont="1" applyFill="1" applyAlignment="1">
      <alignment horizontal="left" vertical="center"/>
    </xf>
    <xf numFmtId="0" fontId="1" fillId="3" borderId="1" xfId="0" applyFont="1" applyFill="1" applyBorder="1" applyAlignment="1">
      <alignment horizontal="center" vertical="center"/>
    </xf>
    <xf numFmtId="0" fontId="8" fillId="2" borderId="0" xfId="0" applyFont="1" applyFill="1" applyAlignment="1">
      <alignment horizontal="left" vertical="center"/>
    </xf>
    <xf numFmtId="0" fontId="13" fillId="3" borderId="1" xfId="0" applyFont="1" applyFill="1" applyBorder="1" applyAlignment="1">
      <alignment horizontal="center" vertical="center"/>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16" fillId="3" borderId="0" xfId="0" applyFont="1" applyFill="1"/>
    <xf numFmtId="166" fontId="12" fillId="3" borderId="0" xfId="0" applyNumberFormat="1" applyFont="1" applyFill="1" applyAlignment="1">
      <alignment horizontal="right" vertical="center"/>
    </xf>
    <xf numFmtId="0" fontId="18" fillId="3" borderId="0" xfId="0" applyFont="1" applyFill="1"/>
    <xf numFmtId="4" fontId="18" fillId="3" borderId="0" xfId="0" applyNumberFormat="1" applyFont="1" applyFill="1"/>
    <xf numFmtId="0" fontId="10" fillId="4" borderId="2" xfId="0" applyFont="1" applyFill="1" applyBorder="1" applyAlignment="1">
      <alignment horizontal="center" vertical="center"/>
    </xf>
    <xf numFmtId="0" fontId="0" fillId="4" borderId="2" xfId="0" applyFill="1" applyBorder="1"/>
    <xf numFmtId="0" fontId="10" fillId="4" borderId="0" xfId="0" applyFont="1" applyFill="1" applyAlignment="1">
      <alignment horizontal="right" vertical="center"/>
    </xf>
    <xf numFmtId="43" fontId="0" fillId="2" borderId="0" xfId="1" applyFont="1" applyFill="1"/>
    <xf numFmtId="0" fontId="21" fillId="2" borderId="0" xfId="0" applyFont="1" applyFill="1" applyAlignment="1">
      <alignment horizontal="right" vertical="center"/>
    </xf>
    <xf numFmtId="0" fontId="10" fillId="4" borderId="2" xfId="0" applyFont="1" applyFill="1" applyBorder="1" applyAlignment="1">
      <alignment horizontal="center" vertical="center" wrapText="1"/>
    </xf>
    <xf numFmtId="0" fontId="20" fillId="3" borderId="0" xfId="0" applyFont="1" applyFill="1" applyAlignment="1">
      <alignment horizontal="center" vertical="center"/>
    </xf>
    <xf numFmtId="167" fontId="12" fillId="3" borderId="0" xfId="0" applyNumberFormat="1" applyFont="1" applyFill="1" applyAlignment="1">
      <alignment horizontal="right" vertical="center"/>
    </xf>
    <xf numFmtId="0" fontId="2" fillId="2" borderId="0" xfId="0" applyFont="1" applyFill="1" applyAlignment="1">
      <alignment horizontal="right"/>
    </xf>
    <xf numFmtId="168" fontId="10" fillId="4" borderId="2" xfId="0" applyNumberFormat="1" applyFont="1" applyFill="1" applyBorder="1" applyAlignment="1">
      <alignment horizontal="right" vertical="center"/>
    </xf>
    <xf numFmtId="9" fontId="12" fillId="3" borderId="0" xfId="0" applyNumberFormat="1" applyFont="1" applyFill="1" applyAlignment="1">
      <alignment horizontal="right" vertical="center"/>
    </xf>
    <xf numFmtId="170" fontId="22" fillId="3" borderId="0" xfId="0" applyNumberFormat="1" applyFont="1" applyFill="1" applyAlignment="1">
      <alignment horizontal="right" vertical="center"/>
    </xf>
    <xf numFmtId="169" fontId="22" fillId="3" borderId="0" xfId="0" applyNumberFormat="1" applyFont="1" applyFill="1" applyAlignment="1">
      <alignment horizontal="right" vertical="center"/>
    </xf>
    <xf numFmtId="0" fontId="23" fillId="3" borderId="1" xfId="0" applyFont="1" applyFill="1" applyBorder="1" applyAlignment="1">
      <alignment horizontal="center" vertical="center"/>
    </xf>
    <xf numFmtId="0" fontId="8" fillId="3" borderId="0" xfId="0" applyFont="1" applyFill="1" applyAlignment="1">
      <alignment horizontal="left" vertical="center"/>
    </xf>
    <xf numFmtId="165" fontId="8" fillId="3" borderId="0" xfId="0" applyNumberFormat="1" applyFont="1" applyFill="1" applyAlignment="1">
      <alignment horizontal="right" vertical="center"/>
    </xf>
    <xf numFmtId="165" fontId="25" fillId="3" borderId="0" xfId="0" applyNumberFormat="1" applyFont="1" applyFill="1" applyAlignment="1">
      <alignment horizontal="right" vertical="center"/>
    </xf>
    <xf numFmtId="166" fontId="8" fillId="3" borderId="0" xfId="0" applyNumberFormat="1" applyFont="1" applyFill="1" applyAlignment="1">
      <alignment horizontal="right" vertical="center"/>
    </xf>
    <xf numFmtId="166" fontId="25" fillId="3" borderId="0" xfId="0" applyNumberFormat="1" applyFont="1" applyFill="1" applyAlignment="1">
      <alignment horizontal="right" vertical="center"/>
    </xf>
    <xf numFmtId="49" fontId="3" fillId="2" borderId="0" xfId="0" applyNumberFormat="1" applyFont="1" applyFill="1" applyAlignment="1">
      <alignment horizontal="left" vertical="top"/>
    </xf>
    <xf numFmtId="49" fontId="3" fillId="2" borderId="0" xfId="0" applyNumberFormat="1" applyFont="1" applyFill="1" applyAlignment="1">
      <alignment horizontal="left"/>
    </xf>
    <xf numFmtId="0" fontId="26" fillId="2" borderId="0" xfId="0" applyFont="1" applyFill="1" applyAlignment="1">
      <alignment horizontal="left"/>
    </xf>
    <xf numFmtId="49" fontId="0" fillId="2" borderId="0" xfId="0" applyNumberFormat="1" applyFill="1"/>
    <xf numFmtId="0" fontId="0" fillId="2" borderId="0" xfId="0" applyFill="1" applyAlignment="1">
      <alignment wrapText="1"/>
    </xf>
    <xf numFmtId="0" fontId="29" fillId="5" borderId="0" xfId="0" applyFont="1" applyFill="1" applyAlignment="1">
      <alignment horizontal="left"/>
    </xf>
    <xf numFmtId="0" fontId="8" fillId="6" borderId="0" xfId="0" applyFont="1" applyFill="1" applyAlignment="1">
      <alignment horizontal="left"/>
    </xf>
    <xf numFmtId="0" fontId="8" fillId="6" borderId="0" xfId="0" applyFont="1" applyFill="1" applyAlignment="1">
      <alignment horizontal="right"/>
    </xf>
    <xf numFmtId="0" fontId="17" fillId="2" borderId="0" xfId="0" applyFont="1" applyFill="1" applyAlignment="1">
      <alignment vertical="center"/>
    </xf>
    <xf numFmtId="164" fontId="30" fillId="7" borderId="1" xfId="0" applyNumberFormat="1" applyFont="1" applyFill="1" applyBorder="1" applyAlignment="1">
      <alignment horizontal="right"/>
    </xf>
    <xf numFmtId="166" fontId="30" fillId="7" borderId="1" xfId="0" applyNumberFormat="1" applyFont="1" applyFill="1" applyBorder="1" applyAlignment="1">
      <alignment horizontal="right"/>
    </xf>
    <xf numFmtId="0" fontId="8" fillId="6" borderId="0" xfId="0" applyFont="1" applyFill="1" applyAlignment="1">
      <alignment horizontal="center"/>
    </xf>
    <xf numFmtId="164" fontId="12" fillId="7" borderId="1" xfId="0" applyNumberFormat="1" applyFont="1" applyFill="1" applyBorder="1" applyAlignment="1">
      <alignment horizontal="right"/>
    </xf>
    <xf numFmtId="165" fontId="12" fillId="7" borderId="1" xfId="0" applyNumberFormat="1" applyFont="1" applyFill="1" applyBorder="1" applyAlignment="1">
      <alignment horizontal="right"/>
    </xf>
    <xf numFmtId="0" fontId="11" fillId="7" borderId="0" xfId="0" applyFont="1" applyFill="1" applyAlignment="1">
      <alignment horizontal="left" vertical="center"/>
    </xf>
    <xf numFmtId="165" fontId="0" fillId="3" borderId="0" xfId="0" applyNumberFormat="1" applyFill="1"/>
    <xf numFmtId="165" fontId="12" fillId="7" borderId="0" xfId="0" applyNumberFormat="1" applyFont="1" applyFill="1" applyAlignment="1">
      <alignment horizontal="right" vertical="center"/>
    </xf>
    <xf numFmtId="0" fontId="19" fillId="3" borderId="0" xfId="0" applyFont="1" applyFill="1" applyAlignment="1">
      <alignment horizontal="right" vertical="center"/>
    </xf>
    <xf numFmtId="0" fontId="19" fillId="7" borderId="0" xfId="0" applyFont="1" applyFill="1" applyAlignment="1">
      <alignment horizontal="right" vertical="center"/>
    </xf>
    <xf numFmtId="0" fontId="27" fillId="7" borderId="0" xfId="0" applyFont="1" applyFill="1" applyAlignment="1">
      <alignment horizontal="center" vertical="center"/>
    </xf>
    <xf numFmtId="0" fontId="0" fillId="7" borderId="0" xfId="0" applyFill="1"/>
    <xf numFmtId="0" fontId="0" fillId="8" borderId="0" xfId="0" applyFill="1"/>
    <xf numFmtId="49" fontId="20" fillId="3" borderId="0" xfId="0" applyNumberFormat="1" applyFont="1" applyFill="1" applyAlignment="1">
      <alignment horizontal="right" vertical="center"/>
    </xf>
    <xf numFmtId="0" fontId="0" fillId="2" borderId="0" xfId="0" applyFill="1" applyAlignment="1">
      <alignment horizontal="right"/>
    </xf>
    <xf numFmtId="0" fontId="18" fillId="7" borderId="1" xfId="0" applyFont="1" applyFill="1" applyBorder="1" applyAlignment="1">
      <alignment horizontal="left"/>
    </xf>
    <xf numFmtId="0" fontId="0" fillId="5" borderId="0" xfId="0" applyFill="1"/>
    <xf numFmtId="0" fontId="31" fillId="7" borderId="0" xfId="0" applyFont="1" applyFill="1"/>
    <xf numFmtId="165" fontId="1" fillId="3" borderId="1" xfId="0" applyNumberFormat="1" applyFont="1" applyFill="1" applyBorder="1" applyAlignment="1" applyProtection="1">
      <alignment horizontal="right" vertical="center"/>
      <protection locked="0"/>
    </xf>
    <xf numFmtId="164" fontId="1" fillId="3" borderId="1" xfId="0" applyNumberFormat="1" applyFont="1" applyFill="1" applyBorder="1" applyAlignment="1" applyProtection="1">
      <alignment horizontal="right" vertical="center"/>
      <protection locked="0"/>
    </xf>
    <xf numFmtId="164" fontId="1" fillId="7" borderId="1" xfId="0" applyNumberFormat="1" applyFont="1" applyFill="1" applyBorder="1" applyAlignment="1">
      <alignment horizontal="right"/>
    </xf>
    <xf numFmtId="166" fontId="1" fillId="7" borderId="1" xfId="0" applyNumberFormat="1" applyFont="1" applyFill="1" applyBorder="1" applyAlignment="1">
      <alignment horizontal="right"/>
    </xf>
    <xf numFmtId="0" fontId="1" fillId="7" borderId="1" xfId="0" applyFont="1" applyFill="1" applyBorder="1" applyAlignment="1">
      <alignment horizontal="center" vertical="center"/>
    </xf>
    <xf numFmtId="49" fontId="1" fillId="3" borderId="3" xfId="0" applyNumberFormat="1" applyFont="1" applyFill="1" applyBorder="1" applyAlignment="1" applyProtection="1">
      <alignment horizontal="center" vertical="center" wrapText="1"/>
      <protection locked="0"/>
    </xf>
    <xf numFmtId="49" fontId="1" fillId="3" borderId="1" xfId="0" applyNumberFormat="1" applyFont="1" applyFill="1" applyBorder="1" applyAlignment="1" applyProtection="1">
      <alignment horizontal="center" vertical="center" wrapText="1"/>
      <protection locked="0"/>
    </xf>
    <xf numFmtId="49" fontId="1" fillId="7" borderId="5" xfId="0" applyNumberFormat="1" applyFont="1" applyFill="1" applyBorder="1" applyAlignment="1">
      <alignment horizontal="center" vertical="center" wrapText="1"/>
    </xf>
    <xf numFmtId="166" fontId="1" fillId="3" borderId="3" xfId="0" applyNumberFormat="1" applyFont="1" applyFill="1" applyBorder="1" applyAlignment="1" applyProtection="1">
      <alignment horizontal="right" vertical="center"/>
      <protection locked="0"/>
    </xf>
    <xf numFmtId="166" fontId="1" fillId="3" borderId="1" xfId="0" applyNumberFormat="1"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5" fontId="1" fillId="7" borderId="4" xfId="0" applyNumberFormat="1" applyFont="1" applyFill="1" applyBorder="1" applyAlignment="1">
      <alignment horizontal="right"/>
    </xf>
    <xf numFmtId="166" fontId="1" fillId="7" borderId="5" xfId="0" applyNumberFormat="1" applyFont="1" applyFill="1" applyBorder="1" applyAlignment="1">
      <alignment horizontal="right"/>
    </xf>
    <xf numFmtId="164" fontId="1" fillId="3" borderId="3" xfId="0" applyNumberFormat="1" applyFont="1" applyFill="1" applyBorder="1" applyAlignment="1" applyProtection="1">
      <alignment horizontal="right" vertical="center"/>
      <protection locked="0"/>
    </xf>
    <xf numFmtId="165" fontId="1" fillId="7" borderId="1" xfId="0" applyNumberFormat="1" applyFont="1" applyFill="1" applyBorder="1" applyAlignment="1">
      <alignment horizontal="right"/>
    </xf>
    <xf numFmtId="0" fontId="32" fillId="5" borderId="0" xfId="2" applyFont="1" applyFill="1" applyAlignment="1">
      <alignment horizontal="left"/>
    </xf>
    <xf numFmtId="0" fontId="18" fillId="3" borderId="0" xfId="0" applyFont="1" applyFill="1" applyAlignment="1">
      <alignment horizontal="left" vertical="top" wrapText="1"/>
    </xf>
    <xf numFmtId="0" fontId="11" fillId="3" borderId="0" xfId="0" applyFont="1" applyFill="1" applyAlignment="1">
      <alignment horizontal="left" vertical="top" wrapText="1"/>
    </xf>
    <xf numFmtId="0" fontId="0" fillId="3" borderId="0" xfId="0" applyFill="1"/>
    <xf numFmtId="0" fontId="7" fillId="2" borderId="0" xfId="0" applyFont="1" applyFill="1" applyAlignment="1">
      <alignment horizontal="left" vertical="center"/>
    </xf>
    <xf numFmtId="0" fontId="26" fillId="2" borderId="0" xfId="0" applyFont="1" applyFill="1" applyAlignment="1">
      <alignment horizontal="left" vertical="center"/>
    </xf>
    <xf numFmtId="0" fontId="9" fillId="2" borderId="0" xfId="0" applyFont="1" applyFill="1" applyAlignment="1">
      <alignment horizontal="left" vertical="center"/>
    </xf>
    <xf numFmtId="0" fontId="24" fillId="3" borderId="0" xfId="0" applyFont="1" applyFill="1" applyAlignment="1">
      <alignment horizontal="left" vertical="center"/>
    </xf>
    <xf numFmtId="0" fontId="8" fillId="2" borderId="0" xfId="0" applyFont="1" applyFill="1" applyAlignment="1">
      <alignment horizontal="right" vertical="center"/>
    </xf>
    <xf numFmtId="0" fontId="11" fillId="7" borderId="0" xfId="0" applyFont="1" applyFill="1" applyAlignment="1">
      <alignment horizontal="left" vertical="top" wrapText="1"/>
    </xf>
    <xf numFmtId="0" fontId="32" fillId="5" borderId="0" xfId="2" applyFont="1" applyFill="1" applyAlignment="1">
      <alignment horizontal="left"/>
    </xf>
    <xf numFmtId="0" fontId="10" fillId="4" borderId="2" xfId="0" applyFont="1" applyFill="1" applyBorder="1" applyAlignment="1">
      <alignment horizontal="left" vertical="center"/>
    </xf>
    <xf numFmtId="0" fontId="0" fillId="3" borderId="2" xfId="0" applyFill="1" applyBorder="1"/>
    <xf numFmtId="0" fontId="33" fillId="5" borderId="0" xfId="2" applyFont="1" applyFill="1" applyAlignment="1">
      <alignment horizontal="left"/>
    </xf>
  </cellXfs>
  <cellStyles count="3">
    <cellStyle name="Comma" xfId="1" builtinId="3"/>
    <cellStyle name="Hyperlink" xfId="2" builtinId="8"/>
    <cellStyle name="Normal" xfId="0" builtinId="0"/>
  </cellStyles>
  <dxfs count="32">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b/>
        <sz val="10"/>
        <color rgb="FF10B981"/>
        <name val="Consolas"/>
      </font>
    </dxf>
    <dxf>
      <font>
        <b/>
        <sz val="10"/>
        <color rgb="FFE5484D"/>
        <name val="Consolas"/>
      </font>
    </dxf>
    <dxf>
      <font>
        <b/>
        <sz val="10"/>
        <color rgb="FF8896B3"/>
        <name val="Consolas"/>
      </font>
    </dxf>
    <dxf>
      <font>
        <b/>
        <sz val="10"/>
        <color rgb="FFE5484D"/>
        <name val="Consolas"/>
      </font>
    </dxf>
    <dxf>
      <font>
        <b/>
        <sz val="10"/>
        <color rgb="FF8896B3"/>
        <name val="Consolas"/>
      </font>
    </dxf>
    <dxf>
      <font>
        <b/>
        <sz val="10"/>
        <color rgb="FF1E50FF"/>
        <name val="Consolas"/>
      </font>
    </dxf>
    <dxf>
      <font>
        <b/>
        <sz val="10"/>
        <color rgb="FF10B981"/>
        <name val="Consolas"/>
      </font>
    </dxf>
    <dxf>
      <font>
        <sz val="11"/>
        <color rgb="FF10B981"/>
        <name val="Consolas"/>
      </font>
    </dxf>
    <dxf>
      <font>
        <b/>
        <sz val="11"/>
        <color rgb="FFE5484D"/>
        <name val="Consolas"/>
      </font>
    </dxf>
    <dxf>
      <font>
        <color rgb="FF10B981"/>
      </font>
    </dxf>
    <dxf>
      <font>
        <b/>
        <sz val="11"/>
        <color rgb="FFE5484D"/>
        <name val="Consolas"/>
      </font>
      <fill>
        <patternFill patternType="solid">
          <fgColor rgb="FF1C1C1E"/>
          <bgColor rgb="FF1C1C1E"/>
        </patternFill>
      </fill>
    </dxf>
    <dxf>
      <font>
        <b/>
        <color rgb="FFFFFFFF"/>
      </font>
      <fill>
        <patternFill patternType="solid">
          <fgColor indexed="64"/>
          <bgColor rgb="FF1E50FF"/>
        </patternFill>
      </fill>
    </dxf>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b/>
        <sz val="10"/>
        <color rgb="FF10B981"/>
        <name val="Consolas"/>
      </font>
    </dxf>
    <dxf>
      <font>
        <b/>
        <sz val="10"/>
        <color rgb="FFE5484D"/>
        <name val="Consolas"/>
      </font>
    </dxf>
    <dxf>
      <font>
        <b/>
        <sz val="10"/>
        <color rgb="FF8896B3"/>
        <name val="Consolas"/>
      </font>
    </dxf>
    <dxf>
      <font>
        <b/>
        <sz val="10"/>
        <color rgb="FFE5484D"/>
        <name val="Consolas"/>
      </font>
    </dxf>
    <dxf>
      <font>
        <b/>
        <sz val="10"/>
        <color rgb="FF8896B3"/>
        <name val="Consolas"/>
      </font>
    </dxf>
    <dxf>
      <font>
        <b/>
        <sz val="10"/>
        <color rgb="FF1E50FF"/>
        <name val="Consolas"/>
      </font>
    </dxf>
    <dxf>
      <font>
        <b/>
        <sz val="10"/>
        <color rgb="FF10B981"/>
        <name val="Consolas"/>
      </font>
    </dxf>
    <dxf>
      <font>
        <sz val="11"/>
        <color rgb="FF10B981"/>
        <name val="Consolas"/>
      </font>
    </dxf>
    <dxf>
      <font>
        <b/>
        <sz val="11"/>
        <color rgb="FFE5484D"/>
        <name val="Consolas"/>
      </font>
    </dxf>
    <dxf>
      <font>
        <color rgb="FF10B981"/>
      </font>
    </dxf>
    <dxf>
      <font>
        <b/>
        <sz val="11"/>
        <color rgb="FFE5484D"/>
        <name val="Consolas"/>
      </font>
      <fill>
        <patternFill patternType="solid">
          <fgColor rgb="FF1C1C1E"/>
          <bgColor rgb="FF1C1C1E"/>
        </patternFill>
      </fill>
    </dxf>
    <dxf>
      <font>
        <b/>
        <color rgb="FFFFFFFF"/>
      </font>
      <fill>
        <patternFill patternType="solid">
          <fgColor indexed="64"/>
          <bgColor rgb="FF1E50FF"/>
        </patternFill>
      </fill>
    </dxf>
  </dxfs>
  <tableStyles count="0" defaultTableStyle="TableStyleMedium9" defaultPivotStyle="PivotStyleLight16"/>
  <colors>
    <mruColors>
      <color rgb="FF0D0D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strRef>
              <c:f>Calculator!$AN$25</c:f>
              <c:strCache>
                <c:ptCount val="1"/>
                <c:pt idx="0">
                  <c:v>Cash impact of the hire</c:v>
                </c:pt>
              </c:strCache>
            </c:strRef>
          </c:tx>
          <c:spPr>
            <a:ln w="30000">
              <a:solidFill>
                <a:srgbClr val="1E50FF"/>
              </a:solidFill>
              <a:prstDash val="solid"/>
            </a:ln>
          </c:spPr>
          <c:marker>
            <c:symbol val="none"/>
          </c:marker>
          <c:cat>
            <c:numRef>
              <c:f>Calculator!$M$26:$M$49</c:f>
              <c:numCache>
                <c:formatCode>#,##0;[Red]\-#,##0;"–";@</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Calculator!$AN$26:$AN$49</c:f>
              <c:numCache>
                <c:formatCode>"$"#,##0;[Red]\("$"#,##0\);"–";@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4266-A84E-B0DF-8A6E7683A728}"/>
            </c:ext>
          </c:extLst>
        </c:ser>
        <c:ser>
          <c:idx val="1"/>
          <c:order val="1"/>
          <c:tx>
            <c:strRef>
              <c:f>Calculator!$AO$25</c:f>
              <c:strCache>
                <c:ptCount val="1"/>
                <c:pt idx="0">
                  <c:v>Break-even</c:v>
                </c:pt>
              </c:strCache>
            </c:strRef>
          </c:tx>
          <c:spPr>
            <a:ln w="9000">
              <a:solidFill>
                <a:srgbClr val="8896B3"/>
              </a:solidFill>
              <a:prstDash val="solid"/>
            </a:ln>
          </c:spPr>
          <c:marker>
            <c:symbol val="none"/>
          </c:marker>
          <c:cat>
            <c:numRef>
              <c:f>Calculator!$M$26:$M$49</c:f>
              <c:numCache>
                <c:formatCode>#,##0;[Red]\-#,##0;"–";@</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Calculator!$AO$26:$AO$49</c:f>
              <c:numCache>
                <c:formatCode>"$"#,##0;[Red]\("$"#,##0\);"–";@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4266-A84E-B0DF-8A6E7683A72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Red]\-#,##0;&quot;–&quot;;@"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1"/>
        <c:ser>
          <c:idx val="0"/>
          <c:order val="0"/>
          <c:tx>
            <c:strRef>
              <c:f>Sample!$AN$25</c:f>
              <c:strCache>
                <c:ptCount val="1"/>
                <c:pt idx="0">
                  <c:v>Cash impact of the hire</c:v>
                </c:pt>
              </c:strCache>
            </c:strRef>
          </c:tx>
          <c:spPr>
            <a:ln w="30000">
              <a:solidFill>
                <a:srgbClr val="1E50FF"/>
              </a:solidFill>
              <a:prstDash val="solid"/>
            </a:ln>
          </c:spPr>
          <c:marker>
            <c:symbol val="none"/>
          </c:marker>
          <c:cat>
            <c:numRef>
              <c:f>Sample!$M$26:$M$49</c:f>
              <c:numCache>
                <c:formatCode>#,##0;[Red]\-#,##0;"–";@</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Sample!$AN$26:$AN$49</c:f>
              <c:numCache>
                <c:formatCode>"$"#,##0;[Red]\("$"#,##0\);"–";@</c:formatCode>
                <c:ptCount val="24"/>
                <c:pt idx="0">
                  <c:v>-39800</c:v>
                </c:pt>
                <c:pt idx="1">
                  <c:v>-96452.5</c:v>
                </c:pt>
                <c:pt idx="2">
                  <c:v>-151858.33333333349</c:v>
                </c:pt>
                <c:pt idx="3">
                  <c:v>-170712.50000000023</c:v>
                </c:pt>
                <c:pt idx="4">
                  <c:v>-139127</c:v>
                </c:pt>
                <c:pt idx="5">
                  <c:v>-100421.49999999977</c:v>
                </c:pt>
                <c:pt idx="6">
                  <c:v>-59636</c:v>
                </c:pt>
                <c:pt idx="7">
                  <c:v>-16770.5</c:v>
                </c:pt>
                <c:pt idx="8">
                  <c:v>26095</c:v>
                </c:pt>
                <c:pt idx="9">
                  <c:v>68960.5</c:v>
                </c:pt>
                <c:pt idx="10">
                  <c:v>111826</c:v>
                </c:pt>
                <c:pt idx="11">
                  <c:v>154691.5</c:v>
                </c:pt>
                <c:pt idx="12">
                  <c:v>197557</c:v>
                </c:pt>
                <c:pt idx="13">
                  <c:v>240422.5</c:v>
                </c:pt>
                <c:pt idx="14">
                  <c:v>283288</c:v>
                </c:pt>
                <c:pt idx="15">
                  <c:v>326153.5</c:v>
                </c:pt>
                <c:pt idx="16">
                  <c:v>369019</c:v>
                </c:pt>
                <c:pt idx="17">
                  <c:v>411884.5</c:v>
                </c:pt>
                <c:pt idx="18">
                  <c:v>454750</c:v>
                </c:pt>
                <c:pt idx="19">
                  <c:v>497615.5</c:v>
                </c:pt>
                <c:pt idx="20">
                  <c:v>540481</c:v>
                </c:pt>
                <c:pt idx="21">
                  <c:v>583346.5</c:v>
                </c:pt>
                <c:pt idx="22">
                  <c:v>626212</c:v>
                </c:pt>
                <c:pt idx="23">
                  <c:v>669077.5</c:v>
                </c:pt>
              </c:numCache>
            </c:numRef>
          </c:val>
          <c:smooth val="0"/>
          <c:extLst>
            <c:ext xmlns:c16="http://schemas.microsoft.com/office/drawing/2014/chart" uri="{C3380CC4-5D6E-409C-BE32-E72D297353CC}">
              <c16:uniqueId val="{00000000-7BBE-194A-B18B-7BFF01EEC082}"/>
            </c:ext>
          </c:extLst>
        </c:ser>
        <c:ser>
          <c:idx val="1"/>
          <c:order val="1"/>
          <c:tx>
            <c:strRef>
              <c:f>Sample!$AO$25</c:f>
              <c:strCache>
                <c:ptCount val="1"/>
                <c:pt idx="0">
                  <c:v>Break-even</c:v>
                </c:pt>
              </c:strCache>
            </c:strRef>
          </c:tx>
          <c:spPr>
            <a:ln w="9000">
              <a:solidFill>
                <a:srgbClr val="8896B3"/>
              </a:solidFill>
              <a:prstDash val="solid"/>
            </a:ln>
          </c:spPr>
          <c:marker>
            <c:symbol val="none"/>
          </c:marker>
          <c:cat>
            <c:numRef>
              <c:f>Sample!$M$26:$M$49</c:f>
              <c:numCache>
                <c:formatCode>#,##0;[Red]\-#,##0;"–";@</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Sample!$AO$26:$AO$49</c:f>
              <c:numCache>
                <c:formatCode>"$"#,##0;[Red]\("$"#,##0\);"–";@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7BBE-194A-B18B-7BFF01EEC0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Red]\-#,##0;&quot;–&quot;;@"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47</xdr:row>
      <xdr:rowOff>78151</xdr:rowOff>
    </xdr:from>
    <xdr:ext cx="12573000" cy="2833079"/>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47</xdr:row>
      <xdr:rowOff>78151</xdr:rowOff>
    </xdr:from>
    <xdr:ext cx="12573000" cy="2833079"/>
    <xdr:graphicFrame macro="">
      <xdr:nvGraphicFramePr>
        <xdr:cNvPr id="2" name="Chart 1">
          <a:extLst>
            <a:ext uri="{FF2B5EF4-FFF2-40B4-BE49-F238E27FC236}">
              <a16:creationId xmlns:a16="http://schemas.microsoft.com/office/drawing/2014/main" id="{6FEC8B69-EF73-3445-88D3-3F1C9482D4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
          <a:extLst>
            <a:ext uri="{FF2B5EF4-FFF2-40B4-BE49-F238E27FC236}">
              <a16:creationId xmlns:a16="http://schemas.microsoft.com/office/drawing/2014/main" id="{BC51DECC-2795-454C-93D1-EBA5F1833B30}"/>
            </a:ext>
          </a:extLst>
        </xdr:cNvPr>
        <xdr:cNvPicPr/>
      </xdr:nvPicPr>
      <xdr:blipFill>
        <a:blip xmlns:r="http://schemas.openxmlformats.org/officeDocument/2006/relationships" r:embed="rId2" cstate="print"/>
        <a:stretch>
          <a:fillRect/>
        </a:stretch>
      </xdr:blipFill>
      <xdr:spPr>
        <a:xfrm>
          <a:off x="152400" y="101600"/>
          <a:ext cx="1571625" cy="390525"/>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05797B4-80CA-F543-B049-678B17E6D025}">
  <we:reference id="wa200009404" version="1.0.0.8" store="en-US" storeType="OMEX"/>
  <we:alternateReferences>
    <we:reference id="WA200009404" version="1.0.0.8" store="" storeType="OMEX"/>
  </we:alternateReferences>
  <we:properties>
    <we:property name="claude.fileId" value="&quot;e9af536a-9e4b-40bf-b053-5dc64b485b6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s://infraxus.com/book"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hyperlink" Target="https://infraxus.com/book"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3"/>
  <sheetViews>
    <sheetView showGridLines="0" tabSelected="1" zoomScale="140" zoomScaleNormal="140" workbookViewId="0">
      <pane xSplit="1" ySplit="4" topLeftCell="B5" activePane="bottomRight" state="frozen"/>
      <selection pane="topRight"/>
      <selection pane="bottomLeft"/>
      <selection pane="bottomRight" activeCell="P7" sqref="P7"/>
    </sheetView>
  </sheetViews>
  <sheetFormatPr baseColWidth="10" defaultColWidth="8.83203125" defaultRowHeight="15" x14ac:dyDescent="0.2"/>
  <cols>
    <col min="1" max="1" width="2" style="60" customWidth="1"/>
    <col min="2" max="2" width="26" style="60" customWidth="1"/>
    <col min="3" max="10" width="16" style="60" customWidth="1"/>
    <col min="11" max="11" width="2" style="60" customWidth="1"/>
    <col min="12" max="16384" width="8.83203125" style="60"/>
  </cols>
  <sheetData>
    <row r="1" spans="1:11" ht="8" customHeight="1" x14ac:dyDescent="0.2">
      <c r="A1" s="1"/>
      <c r="B1" s="1"/>
      <c r="C1" s="1"/>
      <c r="D1" s="1"/>
      <c r="E1" s="1"/>
      <c r="F1" s="1"/>
      <c r="G1" s="1"/>
      <c r="H1" s="1"/>
      <c r="I1" s="1"/>
      <c r="J1" s="1"/>
      <c r="K1" s="1"/>
    </row>
    <row r="2" spans="1:11" ht="30" customHeight="1" x14ac:dyDescent="0.2">
      <c r="A2" s="1"/>
      <c r="B2" s="1"/>
      <c r="C2" s="86" t="s">
        <v>182</v>
      </c>
      <c r="D2" s="85"/>
      <c r="E2" s="85"/>
      <c r="F2" s="85"/>
      <c r="G2" s="85"/>
      <c r="H2" s="85"/>
      <c r="I2" s="85"/>
      <c r="J2" s="85"/>
      <c r="K2" s="1"/>
    </row>
    <row r="3" spans="1:11" ht="22" customHeight="1" x14ac:dyDescent="0.2">
      <c r="A3" s="1"/>
      <c r="B3" s="88" t="s">
        <v>183</v>
      </c>
      <c r="C3" s="85"/>
      <c r="D3" s="85"/>
      <c r="E3" s="85"/>
      <c r="F3" s="85"/>
      <c r="G3" s="85"/>
      <c r="H3" s="85"/>
      <c r="I3" s="85"/>
      <c r="J3" s="85"/>
      <c r="K3" s="1"/>
    </row>
    <row r="4" spans="1:11" ht="10" customHeight="1" x14ac:dyDescent="0.2">
      <c r="A4" s="1"/>
      <c r="B4" s="1"/>
      <c r="C4" s="1"/>
      <c r="D4" s="1"/>
      <c r="E4" s="1"/>
      <c r="F4" s="1"/>
      <c r="G4" s="1"/>
      <c r="H4" s="1"/>
      <c r="I4" s="1"/>
      <c r="J4" s="1"/>
      <c r="K4" s="1"/>
    </row>
    <row r="5" spans="1:11" x14ac:dyDescent="0.2">
      <c r="A5" s="1"/>
      <c r="B5" s="1"/>
      <c r="C5" s="1"/>
      <c r="D5" s="1"/>
      <c r="E5" s="1"/>
      <c r="F5" s="1"/>
      <c r="G5" s="1"/>
      <c r="H5" s="1"/>
      <c r="I5" s="1"/>
      <c r="J5" s="1"/>
      <c r="K5" s="1"/>
    </row>
    <row r="6" spans="1:11" ht="20" customHeight="1" x14ac:dyDescent="0.2">
      <c r="A6" s="1"/>
      <c r="B6" s="40" t="s">
        <v>184</v>
      </c>
      <c r="C6" s="87" t="s">
        <v>185</v>
      </c>
      <c r="D6" s="85"/>
      <c r="E6" s="85"/>
      <c r="F6" s="85"/>
      <c r="G6" s="85"/>
      <c r="H6" s="85"/>
      <c r="I6" s="85"/>
      <c r="J6" s="85"/>
      <c r="K6" s="1"/>
    </row>
    <row r="7" spans="1:11" ht="132" customHeight="1" x14ac:dyDescent="0.2">
      <c r="A7" s="1"/>
      <c r="B7" s="2"/>
      <c r="C7" s="84" t="s">
        <v>252</v>
      </c>
      <c r="D7" s="85"/>
      <c r="E7" s="85"/>
      <c r="F7" s="85"/>
      <c r="G7" s="85"/>
      <c r="H7" s="85"/>
      <c r="I7" s="85"/>
      <c r="J7" s="85"/>
      <c r="K7" s="1"/>
    </row>
    <row r="8" spans="1:11" x14ac:dyDescent="0.2">
      <c r="A8" s="1"/>
      <c r="B8" s="1"/>
      <c r="C8" s="1"/>
      <c r="D8" s="1"/>
      <c r="E8" s="1"/>
      <c r="F8" s="1"/>
      <c r="G8" s="1"/>
      <c r="H8" s="1"/>
      <c r="I8" s="1"/>
      <c r="J8" s="1"/>
      <c r="K8" s="1"/>
    </row>
    <row r="9" spans="1:11" ht="20" customHeight="1" x14ac:dyDescent="0.2">
      <c r="A9" s="1"/>
      <c r="B9" s="40" t="s">
        <v>186</v>
      </c>
      <c r="C9" s="87" t="s">
        <v>187</v>
      </c>
      <c r="D9" s="85"/>
      <c r="E9" s="85"/>
      <c r="F9" s="85"/>
      <c r="G9" s="85"/>
      <c r="H9" s="85"/>
      <c r="I9" s="85"/>
      <c r="J9" s="85"/>
      <c r="K9" s="1"/>
    </row>
    <row r="10" spans="1:11" ht="148" customHeight="1" x14ac:dyDescent="0.2">
      <c r="A10" s="1"/>
      <c r="B10" s="2"/>
      <c r="C10" s="84" t="s">
        <v>253</v>
      </c>
      <c r="D10" s="85"/>
      <c r="E10" s="85"/>
      <c r="F10" s="85"/>
      <c r="G10" s="85"/>
      <c r="H10" s="85"/>
      <c r="I10" s="85"/>
      <c r="J10" s="85"/>
      <c r="K10" s="1"/>
    </row>
    <row r="11" spans="1:11" x14ac:dyDescent="0.2">
      <c r="A11" s="1"/>
      <c r="B11" s="1"/>
      <c r="C11" s="1"/>
      <c r="D11" s="1"/>
      <c r="E11" s="1"/>
      <c r="F11" s="1"/>
      <c r="G11" s="1"/>
      <c r="H11" s="1"/>
      <c r="I11" s="1"/>
      <c r="J11" s="1"/>
      <c r="K11" s="1"/>
    </row>
    <row r="12" spans="1:11" ht="20" customHeight="1" x14ac:dyDescent="0.2">
      <c r="A12" s="1"/>
      <c r="B12" s="40" t="s">
        <v>188</v>
      </c>
      <c r="C12" s="87" t="s">
        <v>251</v>
      </c>
      <c r="D12" s="85"/>
      <c r="E12" s="85"/>
      <c r="F12" s="85"/>
      <c r="G12" s="85"/>
      <c r="H12" s="85"/>
      <c r="I12" s="85"/>
      <c r="J12" s="85"/>
      <c r="K12" s="1"/>
    </row>
    <row r="13" spans="1:11" ht="272" customHeight="1" x14ac:dyDescent="0.2">
      <c r="A13" s="1"/>
      <c r="B13" s="2"/>
      <c r="C13" s="84" t="s">
        <v>256</v>
      </c>
      <c r="D13" s="85"/>
      <c r="E13" s="85"/>
      <c r="F13" s="85"/>
      <c r="G13" s="85"/>
      <c r="H13" s="85"/>
      <c r="I13" s="85"/>
      <c r="J13" s="85"/>
      <c r="K13" s="1"/>
    </row>
    <row r="14" spans="1:11" x14ac:dyDescent="0.2">
      <c r="A14" s="1"/>
      <c r="B14" s="1"/>
      <c r="C14" s="1"/>
      <c r="D14" s="1"/>
      <c r="E14" s="1"/>
      <c r="F14" s="1"/>
      <c r="G14" s="1"/>
      <c r="H14" s="1"/>
      <c r="I14" s="1"/>
      <c r="J14" s="1"/>
      <c r="K14" s="1"/>
    </row>
    <row r="15" spans="1:11" ht="20" customHeight="1" x14ac:dyDescent="0.2">
      <c r="A15" s="1"/>
      <c r="B15" s="40" t="s">
        <v>189</v>
      </c>
      <c r="C15" s="87" t="s">
        <v>190</v>
      </c>
      <c r="D15" s="85"/>
      <c r="E15" s="85"/>
      <c r="F15" s="85"/>
      <c r="G15" s="85"/>
      <c r="H15" s="85"/>
      <c r="I15" s="85"/>
      <c r="J15" s="85"/>
      <c r="K15" s="1"/>
    </row>
    <row r="16" spans="1:11" ht="121" customHeight="1" x14ac:dyDescent="0.2">
      <c r="A16" s="1"/>
      <c r="B16" s="2"/>
      <c r="C16" s="84" t="s">
        <v>254</v>
      </c>
      <c r="D16" s="85"/>
      <c r="E16" s="85"/>
      <c r="F16" s="85"/>
      <c r="G16" s="85"/>
      <c r="H16" s="85"/>
      <c r="I16" s="85"/>
      <c r="J16" s="85"/>
      <c r="K16" s="1"/>
    </row>
    <row r="17" spans="1:11" x14ac:dyDescent="0.2">
      <c r="A17" s="1"/>
      <c r="B17" s="1"/>
      <c r="C17" s="1"/>
      <c r="D17" s="1"/>
      <c r="E17" s="1"/>
      <c r="F17" s="1"/>
      <c r="G17" s="1"/>
      <c r="H17" s="1"/>
      <c r="I17" s="1"/>
      <c r="J17" s="1"/>
      <c r="K17" s="1"/>
    </row>
    <row r="18" spans="1:11" ht="20" customHeight="1" x14ac:dyDescent="0.2">
      <c r="A18" s="1"/>
      <c r="B18" s="40" t="s">
        <v>191</v>
      </c>
      <c r="C18" s="87" t="s">
        <v>192</v>
      </c>
      <c r="D18" s="85"/>
      <c r="E18" s="85"/>
      <c r="F18" s="85"/>
      <c r="G18" s="85"/>
      <c r="H18" s="85"/>
      <c r="I18" s="85"/>
      <c r="J18" s="85"/>
      <c r="K18" s="1"/>
    </row>
    <row r="19" spans="1:11" ht="178" customHeight="1" x14ac:dyDescent="0.2">
      <c r="A19" s="1"/>
      <c r="B19" s="2"/>
      <c r="C19" s="84" t="s">
        <v>255</v>
      </c>
      <c r="D19" s="85"/>
      <c r="E19" s="85"/>
      <c r="F19" s="85"/>
      <c r="G19" s="85"/>
      <c r="H19" s="85"/>
      <c r="I19" s="85"/>
      <c r="J19" s="85"/>
      <c r="K19" s="1"/>
    </row>
    <row r="20" spans="1:11" x14ac:dyDescent="0.2">
      <c r="A20" s="1"/>
      <c r="B20" s="1"/>
      <c r="C20" s="1"/>
      <c r="D20" s="1"/>
      <c r="E20" s="1"/>
      <c r="F20" s="1"/>
      <c r="G20" s="1"/>
      <c r="H20" s="1"/>
      <c r="I20" s="1"/>
      <c r="J20" s="1"/>
      <c r="K20" s="1"/>
    </row>
    <row r="21" spans="1:11" ht="21" customHeight="1" x14ac:dyDescent="0.25">
      <c r="A21" s="1"/>
      <c r="B21" s="41" t="s">
        <v>193</v>
      </c>
      <c r="C21" s="42" t="s">
        <v>194</v>
      </c>
      <c r="D21" s="1"/>
      <c r="E21" s="1"/>
      <c r="F21" s="1"/>
      <c r="G21" s="1"/>
      <c r="H21" s="1"/>
      <c r="I21" s="1"/>
      <c r="J21" s="1"/>
      <c r="K21" s="1"/>
    </row>
    <row r="22" spans="1:11" ht="157" customHeight="1" x14ac:dyDescent="0.2">
      <c r="A22" s="1"/>
      <c r="B22" s="2"/>
      <c r="C22" s="83" t="s">
        <v>257</v>
      </c>
      <c r="D22" s="83"/>
      <c r="E22" s="83"/>
      <c r="F22" s="83"/>
      <c r="G22" s="83"/>
      <c r="H22" s="83"/>
      <c r="I22" s="83"/>
      <c r="J22" s="83"/>
      <c r="K22" s="1"/>
    </row>
    <row r="23" spans="1:11" x14ac:dyDescent="0.2">
      <c r="A23" s="1"/>
      <c r="B23" s="1"/>
      <c r="C23" s="1"/>
      <c r="D23" s="1"/>
      <c r="E23" s="1"/>
      <c r="F23" s="1"/>
      <c r="G23" s="1"/>
      <c r="H23" s="1"/>
      <c r="I23" s="1"/>
      <c r="J23" s="1"/>
      <c r="K23" s="1"/>
    </row>
    <row r="24" spans="1:11" x14ac:dyDescent="0.2">
      <c r="A24" s="1"/>
      <c r="B24" s="43"/>
      <c r="C24" s="1"/>
      <c r="D24" s="1"/>
      <c r="E24" s="1"/>
      <c r="F24" s="1"/>
      <c r="G24" s="1"/>
      <c r="H24" s="1"/>
      <c r="I24" s="1"/>
      <c r="J24" s="1"/>
      <c r="K24" s="1"/>
    </row>
    <row r="25" spans="1:11" ht="22" customHeight="1" x14ac:dyDescent="0.2">
      <c r="A25" s="1"/>
      <c r="B25" s="13" t="s">
        <v>180</v>
      </c>
      <c r="C25" s="44"/>
      <c r="D25" s="1"/>
      <c r="E25" s="1"/>
      <c r="F25" s="1"/>
      <c r="G25" s="1"/>
      <c r="H25" s="1"/>
      <c r="I25" s="1"/>
      <c r="J25" s="3" t="s">
        <v>181</v>
      </c>
      <c r="K25" s="1"/>
    </row>
    <row r="26" spans="1:11" x14ac:dyDescent="0.2">
      <c r="A26" s="1"/>
      <c r="B26" s="1"/>
      <c r="C26" s="1"/>
      <c r="D26" s="1"/>
      <c r="E26" s="1"/>
      <c r="F26" s="1"/>
      <c r="G26" s="1"/>
      <c r="H26" s="1"/>
      <c r="I26" s="1"/>
      <c r="J26" s="1"/>
      <c r="K26" s="1"/>
    </row>
    <row r="27" spans="1:11" x14ac:dyDescent="0.2">
      <c r="A27" s="61"/>
      <c r="B27" s="61"/>
      <c r="C27" s="61"/>
      <c r="D27" s="61"/>
      <c r="E27" s="61"/>
      <c r="F27" s="61"/>
      <c r="G27" s="61"/>
      <c r="H27" s="61"/>
      <c r="I27" s="61"/>
      <c r="J27" s="61"/>
      <c r="K27" s="61"/>
    </row>
    <row r="28" spans="1:11" x14ac:dyDescent="0.2">
      <c r="A28" s="61"/>
      <c r="B28" s="61"/>
      <c r="C28" s="61"/>
      <c r="D28" s="61"/>
      <c r="E28" s="61"/>
      <c r="F28" s="61"/>
      <c r="G28" s="61"/>
      <c r="H28" s="61"/>
      <c r="I28" s="61"/>
      <c r="J28" s="61"/>
      <c r="K28" s="61"/>
    </row>
    <row r="29" spans="1:11" x14ac:dyDescent="0.2">
      <c r="A29" s="61"/>
      <c r="B29" s="61"/>
      <c r="C29" s="61"/>
      <c r="D29" s="61"/>
      <c r="E29" s="61"/>
      <c r="F29" s="61"/>
      <c r="G29" s="61"/>
      <c r="H29" s="61"/>
      <c r="I29" s="61"/>
      <c r="J29" s="61"/>
      <c r="K29" s="61"/>
    </row>
    <row r="30" spans="1:11" x14ac:dyDescent="0.2">
      <c r="A30" s="61"/>
      <c r="B30" s="61"/>
      <c r="C30" s="61"/>
      <c r="D30" s="61"/>
      <c r="E30" s="61"/>
      <c r="F30" s="61"/>
      <c r="G30" s="61"/>
      <c r="H30" s="61"/>
      <c r="I30" s="61"/>
      <c r="J30" s="61"/>
      <c r="K30" s="61"/>
    </row>
    <row r="31" spans="1:11" x14ac:dyDescent="0.2">
      <c r="A31" s="61"/>
      <c r="B31" s="61"/>
      <c r="C31" s="61"/>
      <c r="D31" s="61"/>
      <c r="E31" s="61"/>
      <c r="F31" s="61"/>
      <c r="G31" s="61"/>
      <c r="H31" s="61"/>
      <c r="I31" s="61"/>
      <c r="J31" s="61"/>
      <c r="K31" s="61"/>
    </row>
    <row r="32" spans="1:11" x14ac:dyDescent="0.2">
      <c r="A32" s="61"/>
      <c r="B32" s="61"/>
      <c r="C32" s="61"/>
      <c r="D32" s="61"/>
      <c r="E32" s="61"/>
      <c r="F32" s="61"/>
      <c r="G32" s="61"/>
      <c r="H32" s="61"/>
      <c r="I32" s="61"/>
      <c r="J32" s="61"/>
      <c r="K32" s="61"/>
    </row>
    <row r="33" spans="1:11" x14ac:dyDescent="0.2">
      <c r="A33" s="61"/>
      <c r="B33" s="61"/>
      <c r="C33" s="61"/>
      <c r="D33" s="61"/>
      <c r="E33" s="61"/>
      <c r="F33" s="61"/>
      <c r="G33" s="61"/>
      <c r="H33" s="61"/>
      <c r="I33" s="61"/>
      <c r="J33" s="61"/>
      <c r="K33" s="61"/>
    </row>
    <row r="34" spans="1:11" x14ac:dyDescent="0.2">
      <c r="A34" s="61"/>
      <c r="B34" s="61"/>
      <c r="C34" s="61"/>
      <c r="D34" s="61"/>
      <c r="E34" s="61"/>
      <c r="F34" s="61"/>
      <c r="G34" s="61"/>
      <c r="H34" s="61"/>
      <c r="I34" s="61"/>
      <c r="J34" s="61"/>
      <c r="K34" s="61"/>
    </row>
    <row r="35" spans="1:11" x14ac:dyDescent="0.2">
      <c r="A35" s="61"/>
      <c r="B35" s="61"/>
      <c r="C35" s="61"/>
      <c r="D35" s="61"/>
      <c r="E35" s="61"/>
      <c r="F35" s="61"/>
      <c r="G35" s="61"/>
      <c r="H35" s="61"/>
      <c r="I35" s="61"/>
      <c r="J35" s="61"/>
      <c r="K35" s="61"/>
    </row>
    <row r="36" spans="1:11" x14ac:dyDescent="0.2">
      <c r="A36" s="61"/>
      <c r="B36" s="61"/>
      <c r="C36" s="61"/>
      <c r="D36" s="61"/>
      <c r="E36" s="61"/>
      <c r="F36" s="61"/>
      <c r="G36" s="61"/>
      <c r="H36" s="61"/>
      <c r="I36" s="61"/>
      <c r="J36" s="61"/>
      <c r="K36" s="61"/>
    </row>
    <row r="37" spans="1:11" x14ac:dyDescent="0.2">
      <c r="A37" s="61"/>
      <c r="B37" s="61"/>
      <c r="C37" s="61"/>
      <c r="D37" s="61"/>
      <c r="E37" s="61"/>
      <c r="F37" s="61"/>
      <c r="G37" s="61"/>
      <c r="H37" s="61"/>
      <c r="I37" s="61"/>
      <c r="J37" s="61"/>
      <c r="K37" s="61"/>
    </row>
    <row r="38" spans="1:11" x14ac:dyDescent="0.2">
      <c r="A38" s="61"/>
      <c r="B38" s="61"/>
      <c r="C38" s="61"/>
      <c r="D38" s="61"/>
      <c r="E38" s="61"/>
      <c r="F38" s="61"/>
      <c r="G38" s="61"/>
      <c r="H38" s="61"/>
      <c r="I38" s="61"/>
      <c r="J38" s="61"/>
      <c r="K38" s="61"/>
    </row>
    <row r="39" spans="1:11" x14ac:dyDescent="0.2">
      <c r="A39" s="61"/>
      <c r="B39" s="61"/>
      <c r="C39" s="61"/>
      <c r="D39" s="61"/>
      <c r="E39" s="61"/>
      <c r="F39" s="61"/>
      <c r="G39" s="61"/>
      <c r="H39" s="61"/>
      <c r="I39" s="61"/>
      <c r="J39" s="61"/>
      <c r="K39" s="61"/>
    </row>
    <row r="40" spans="1:11" x14ac:dyDescent="0.2">
      <c r="A40" s="61"/>
      <c r="B40" s="61"/>
      <c r="C40" s="61"/>
      <c r="D40" s="61"/>
      <c r="E40" s="61"/>
      <c r="F40" s="61"/>
      <c r="G40" s="61"/>
      <c r="H40" s="61"/>
      <c r="I40" s="61"/>
      <c r="J40" s="61"/>
      <c r="K40" s="61"/>
    </row>
    <row r="41" spans="1:11" x14ac:dyDescent="0.2">
      <c r="A41" s="61"/>
      <c r="B41" s="61"/>
      <c r="C41" s="61"/>
      <c r="D41" s="61"/>
      <c r="E41" s="61"/>
      <c r="F41" s="61"/>
      <c r="G41" s="61"/>
      <c r="H41" s="61"/>
      <c r="I41" s="61"/>
      <c r="J41" s="61"/>
      <c r="K41" s="61"/>
    </row>
    <row r="42" spans="1:11" x14ac:dyDescent="0.2">
      <c r="A42" s="61"/>
      <c r="B42" s="61"/>
      <c r="C42" s="61"/>
      <c r="D42" s="61"/>
      <c r="E42" s="61"/>
      <c r="F42" s="61"/>
      <c r="G42" s="61"/>
      <c r="H42" s="61"/>
      <c r="I42" s="61"/>
      <c r="J42" s="61"/>
      <c r="K42" s="61"/>
    </row>
    <row r="43" spans="1:11" x14ac:dyDescent="0.2">
      <c r="A43" s="61"/>
      <c r="B43" s="61"/>
      <c r="C43" s="61"/>
      <c r="D43" s="61"/>
      <c r="E43" s="61"/>
      <c r="F43" s="61"/>
      <c r="G43" s="61"/>
      <c r="H43" s="61"/>
      <c r="I43" s="61"/>
      <c r="J43" s="61"/>
      <c r="K43" s="61"/>
    </row>
    <row r="44" spans="1:11" x14ac:dyDescent="0.2">
      <c r="A44" s="61"/>
      <c r="B44" s="61"/>
      <c r="C44" s="61"/>
      <c r="D44" s="61"/>
      <c r="E44" s="61"/>
      <c r="F44" s="61"/>
      <c r="G44" s="61"/>
      <c r="H44" s="61"/>
      <c r="I44" s="61"/>
      <c r="J44" s="61"/>
      <c r="K44" s="61"/>
    </row>
    <row r="45" spans="1:11" x14ac:dyDescent="0.2">
      <c r="A45" s="61"/>
      <c r="B45" s="61"/>
      <c r="C45" s="61"/>
      <c r="D45" s="61"/>
      <c r="E45" s="61"/>
      <c r="F45" s="61"/>
      <c r="G45" s="61"/>
      <c r="H45" s="61"/>
      <c r="I45" s="61"/>
      <c r="J45" s="61"/>
      <c r="K45" s="61"/>
    </row>
    <row r="46" spans="1:11" x14ac:dyDescent="0.2">
      <c r="A46" s="61"/>
      <c r="B46" s="61"/>
      <c r="C46" s="61"/>
      <c r="D46" s="61"/>
      <c r="E46" s="61"/>
      <c r="F46" s="61"/>
      <c r="G46" s="61"/>
      <c r="H46" s="61"/>
      <c r="I46" s="61"/>
      <c r="J46" s="61"/>
      <c r="K46" s="61"/>
    </row>
    <row r="47" spans="1:11" x14ac:dyDescent="0.2">
      <c r="A47" s="61"/>
      <c r="B47" s="61"/>
      <c r="C47" s="61"/>
      <c r="D47" s="61"/>
      <c r="E47" s="61"/>
      <c r="F47" s="61"/>
      <c r="G47" s="61"/>
      <c r="H47" s="61"/>
      <c r="I47" s="61"/>
      <c r="J47" s="61"/>
      <c r="K47" s="61"/>
    </row>
    <row r="48" spans="1:11" x14ac:dyDescent="0.2">
      <c r="A48" s="61"/>
      <c r="B48" s="61"/>
      <c r="C48" s="61"/>
      <c r="D48" s="61"/>
      <c r="E48" s="61"/>
      <c r="F48" s="61"/>
      <c r="G48" s="61"/>
      <c r="H48" s="61"/>
      <c r="I48" s="61"/>
      <c r="J48" s="61"/>
      <c r="K48" s="61"/>
    </row>
    <row r="49" spans="1:11" x14ac:dyDescent="0.2">
      <c r="A49" s="61"/>
      <c r="B49" s="61"/>
      <c r="C49" s="61"/>
      <c r="D49" s="61"/>
      <c r="E49" s="61"/>
      <c r="F49" s="61"/>
      <c r="G49" s="61"/>
      <c r="H49" s="61"/>
      <c r="I49" s="61"/>
      <c r="J49" s="61"/>
      <c r="K49" s="61"/>
    </row>
    <row r="50" spans="1:11" x14ac:dyDescent="0.2">
      <c r="A50" s="61"/>
      <c r="B50" s="61"/>
      <c r="C50" s="61"/>
      <c r="D50" s="61"/>
      <c r="E50" s="61"/>
      <c r="F50" s="61"/>
      <c r="G50" s="61"/>
      <c r="H50" s="61"/>
      <c r="I50" s="61"/>
      <c r="J50" s="61"/>
      <c r="K50" s="61"/>
    </row>
    <row r="51" spans="1:11" x14ac:dyDescent="0.2">
      <c r="A51" s="61"/>
      <c r="B51" s="61"/>
      <c r="C51" s="61"/>
      <c r="D51" s="61"/>
      <c r="E51" s="61"/>
      <c r="F51" s="61"/>
      <c r="G51" s="61"/>
      <c r="H51" s="61"/>
      <c r="I51" s="61"/>
      <c r="J51" s="61"/>
      <c r="K51" s="61"/>
    </row>
    <row r="52" spans="1:11" x14ac:dyDescent="0.2">
      <c r="A52" s="61"/>
      <c r="B52" s="61"/>
      <c r="C52" s="61"/>
      <c r="D52" s="61"/>
      <c r="E52" s="61"/>
      <c r="F52" s="61"/>
      <c r="G52" s="61"/>
      <c r="H52" s="61"/>
      <c r="I52" s="61"/>
      <c r="J52" s="61"/>
      <c r="K52" s="61"/>
    </row>
    <row r="53" spans="1:11" x14ac:dyDescent="0.2">
      <c r="A53" s="61"/>
      <c r="B53" s="61"/>
      <c r="C53" s="61"/>
      <c r="D53" s="61"/>
      <c r="E53" s="61"/>
      <c r="F53" s="61"/>
      <c r="G53" s="61"/>
      <c r="H53" s="61"/>
      <c r="I53" s="61"/>
      <c r="J53" s="61"/>
      <c r="K53" s="61"/>
    </row>
    <row r="54" spans="1:11" x14ac:dyDescent="0.2">
      <c r="A54" s="61"/>
      <c r="B54" s="61"/>
      <c r="C54" s="61"/>
      <c r="D54" s="61"/>
      <c r="E54" s="61"/>
      <c r="F54" s="61"/>
      <c r="G54" s="61"/>
      <c r="H54" s="61"/>
      <c r="I54" s="61"/>
      <c r="J54" s="61"/>
      <c r="K54" s="61"/>
    </row>
    <row r="55" spans="1:11" x14ac:dyDescent="0.2">
      <c r="A55" s="61"/>
      <c r="B55" s="61"/>
      <c r="C55" s="61"/>
      <c r="D55" s="61"/>
      <c r="E55" s="61"/>
      <c r="F55" s="61"/>
      <c r="G55" s="61"/>
      <c r="H55" s="61"/>
      <c r="I55" s="61"/>
      <c r="J55" s="61"/>
      <c r="K55" s="61"/>
    </row>
    <row r="56" spans="1:11" x14ac:dyDescent="0.2">
      <c r="A56" s="61"/>
      <c r="B56" s="61"/>
      <c r="C56" s="61"/>
      <c r="D56" s="61"/>
      <c r="E56" s="61"/>
      <c r="F56" s="61"/>
      <c r="G56" s="61"/>
      <c r="H56" s="61"/>
      <c r="I56" s="61"/>
      <c r="J56" s="61"/>
      <c r="K56" s="61"/>
    </row>
    <row r="57" spans="1:11" x14ac:dyDescent="0.2">
      <c r="A57" s="61"/>
      <c r="B57" s="61"/>
      <c r="C57" s="61"/>
      <c r="D57" s="61"/>
      <c r="E57" s="61"/>
      <c r="F57" s="61"/>
      <c r="G57" s="61"/>
      <c r="H57" s="61"/>
      <c r="I57" s="61"/>
      <c r="J57" s="61"/>
      <c r="K57" s="61"/>
    </row>
    <row r="58" spans="1:11" x14ac:dyDescent="0.2">
      <c r="A58" s="61"/>
      <c r="B58" s="61"/>
      <c r="C58" s="61"/>
      <c r="D58" s="61"/>
      <c r="E58" s="61"/>
      <c r="F58" s="61"/>
      <c r="G58" s="61"/>
      <c r="H58" s="61"/>
      <c r="I58" s="61"/>
      <c r="J58" s="61"/>
      <c r="K58" s="61"/>
    </row>
    <row r="59" spans="1:11" x14ac:dyDescent="0.2">
      <c r="A59" s="61"/>
      <c r="B59" s="61"/>
      <c r="C59" s="61"/>
      <c r="D59" s="61"/>
      <c r="E59" s="61"/>
      <c r="F59" s="61"/>
      <c r="G59" s="61"/>
      <c r="H59" s="61"/>
      <c r="I59" s="61"/>
      <c r="J59" s="61"/>
      <c r="K59" s="61"/>
    </row>
    <row r="60" spans="1:11" x14ac:dyDescent="0.2">
      <c r="A60" s="61"/>
      <c r="B60" s="61"/>
      <c r="C60" s="61"/>
      <c r="D60" s="61"/>
      <c r="E60" s="61"/>
      <c r="F60" s="61"/>
      <c r="G60" s="61"/>
      <c r="H60" s="61"/>
      <c r="I60" s="61"/>
      <c r="J60" s="61"/>
      <c r="K60" s="61"/>
    </row>
    <row r="61" spans="1:11" x14ac:dyDescent="0.2">
      <c r="A61" s="61"/>
      <c r="B61" s="61"/>
      <c r="C61" s="61"/>
      <c r="D61" s="61"/>
      <c r="E61" s="61"/>
      <c r="F61" s="61"/>
      <c r="G61" s="61"/>
      <c r="H61" s="61"/>
      <c r="I61" s="61"/>
      <c r="J61" s="61"/>
      <c r="K61" s="61"/>
    </row>
    <row r="62" spans="1:11" x14ac:dyDescent="0.2">
      <c r="A62" s="61"/>
      <c r="B62" s="61"/>
      <c r="C62" s="61"/>
      <c r="D62" s="61"/>
      <c r="E62" s="61"/>
      <c r="F62" s="61"/>
      <c r="G62" s="61"/>
      <c r="H62" s="61"/>
      <c r="I62" s="61"/>
      <c r="J62" s="61"/>
      <c r="K62" s="61"/>
    </row>
    <row r="63" spans="1:11" x14ac:dyDescent="0.2">
      <c r="A63" s="61"/>
      <c r="B63" s="61"/>
      <c r="C63" s="61"/>
      <c r="D63" s="61"/>
      <c r="E63" s="61"/>
      <c r="F63" s="61"/>
      <c r="G63" s="61"/>
      <c r="H63" s="61"/>
      <c r="I63" s="61"/>
      <c r="J63" s="61"/>
      <c r="K63" s="61"/>
    </row>
    <row r="64" spans="1:11" x14ac:dyDescent="0.2">
      <c r="A64" s="61"/>
      <c r="B64" s="61"/>
      <c r="C64" s="61"/>
      <c r="D64" s="61"/>
      <c r="E64" s="61"/>
      <c r="F64" s="61"/>
      <c r="G64" s="61"/>
      <c r="H64" s="61"/>
      <c r="I64" s="61"/>
      <c r="J64" s="61"/>
      <c r="K64" s="61"/>
    </row>
    <row r="65" spans="1:11" x14ac:dyDescent="0.2">
      <c r="A65" s="61"/>
      <c r="B65" s="61"/>
      <c r="C65" s="61"/>
      <c r="D65" s="61"/>
      <c r="E65" s="61"/>
      <c r="F65" s="61"/>
      <c r="G65" s="61"/>
      <c r="H65" s="61"/>
      <c r="I65" s="61"/>
      <c r="J65" s="61"/>
      <c r="K65" s="61"/>
    </row>
    <row r="66" spans="1:11" x14ac:dyDescent="0.2">
      <c r="A66" s="61"/>
      <c r="B66" s="61"/>
      <c r="C66" s="61"/>
      <c r="D66" s="61"/>
      <c r="E66" s="61"/>
      <c r="F66" s="61"/>
      <c r="G66" s="61"/>
      <c r="H66" s="61"/>
      <c r="I66" s="61"/>
      <c r="J66" s="61"/>
      <c r="K66" s="61"/>
    </row>
    <row r="67" spans="1:11" x14ac:dyDescent="0.2">
      <c r="A67" s="61"/>
      <c r="B67" s="61"/>
      <c r="C67" s="61"/>
      <c r="D67" s="61"/>
      <c r="E67" s="61"/>
      <c r="F67" s="61"/>
      <c r="G67" s="61"/>
      <c r="H67" s="61"/>
      <c r="I67" s="61"/>
      <c r="J67" s="61"/>
      <c r="K67" s="61"/>
    </row>
    <row r="68" spans="1:11" x14ac:dyDescent="0.2">
      <c r="A68" s="61"/>
      <c r="B68" s="61"/>
      <c r="C68" s="61"/>
      <c r="D68" s="61"/>
      <c r="E68" s="61"/>
      <c r="F68" s="61"/>
      <c r="G68" s="61"/>
      <c r="H68" s="61"/>
      <c r="I68" s="61"/>
      <c r="J68" s="61"/>
      <c r="K68" s="61"/>
    </row>
    <row r="69" spans="1:11" x14ac:dyDescent="0.2">
      <c r="A69" s="61"/>
      <c r="B69" s="61"/>
      <c r="C69" s="61"/>
      <c r="D69" s="61"/>
      <c r="E69" s="61"/>
      <c r="F69" s="61"/>
      <c r="G69" s="61"/>
      <c r="H69" s="61"/>
      <c r="I69" s="61"/>
      <c r="J69" s="61"/>
      <c r="K69" s="61"/>
    </row>
    <row r="70" spans="1:11" x14ac:dyDescent="0.2">
      <c r="A70" s="61"/>
      <c r="B70" s="61"/>
      <c r="C70" s="61"/>
      <c r="D70" s="61"/>
      <c r="E70" s="61"/>
      <c r="F70" s="61"/>
      <c r="G70" s="61"/>
      <c r="H70" s="61"/>
      <c r="I70" s="61"/>
      <c r="J70" s="61"/>
      <c r="K70" s="61"/>
    </row>
    <row r="71" spans="1:11" x14ac:dyDescent="0.2">
      <c r="A71" s="61"/>
      <c r="B71" s="61"/>
      <c r="C71" s="61"/>
      <c r="D71" s="61"/>
      <c r="E71" s="61"/>
      <c r="F71" s="61"/>
      <c r="G71" s="61"/>
      <c r="H71" s="61"/>
      <c r="I71" s="61"/>
      <c r="J71" s="61"/>
      <c r="K71" s="61"/>
    </row>
    <row r="72" spans="1:11" x14ac:dyDescent="0.2">
      <c r="A72" s="61"/>
      <c r="B72" s="61"/>
      <c r="C72" s="61"/>
      <c r="D72" s="61"/>
      <c r="E72" s="61"/>
      <c r="F72" s="61"/>
      <c r="G72" s="61"/>
      <c r="H72" s="61"/>
      <c r="I72" s="61"/>
      <c r="J72" s="61"/>
      <c r="K72" s="61"/>
    </row>
    <row r="73" spans="1:11" x14ac:dyDescent="0.2">
      <c r="A73" s="61"/>
      <c r="B73" s="61"/>
      <c r="C73" s="61"/>
      <c r="D73" s="61"/>
      <c r="E73" s="61"/>
      <c r="F73" s="61"/>
      <c r="G73" s="61"/>
      <c r="H73" s="61"/>
      <c r="I73" s="61"/>
      <c r="J73" s="61"/>
      <c r="K73" s="61"/>
    </row>
    <row r="74" spans="1:11" x14ac:dyDescent="0.2">
      <c r="A74" s="61"/>
      <c r="B74" s="61"/>
      <c r="C74" s="61"/>
      <c r="D74" s="61"/>
      <c r="E74" s="61"/>
      <c r="F74" s="61"/>
      <c r="G74" s="61"/>
      <c r="H74" s="61"/>
      <c r="I74" s="61"/>
      <c r="J74" s="61"/>
      <c r="K74" s="61"/>
    </row>
    <row r="75" spans="1:11" x14ac:dyDescent="0.2">
      <c r="A75" s="61"/>
      <c r="B75" s="61"/>
      <c r="C75" s="61"/>
      <c r="D75" s="61"/>
      <c r="E75" s="61"/>
      <c r="F75" s="61"/>
      <c r="G75" s="61"/>
      <c r="H75" s="61"/>
      <c r="I75" s="61"/>
      <c r="J75" s="61"/>
      <c r="K75" s="61"/>
    </row>
    <row r="76" spans="1:11" x14ac:dyDescent="0.2">
      <c r="A76" s="61"/>
      <c r="B76" s="61"/>
      <c r="C76" s="61"/>
      <c r="D76" s="61"/>
      <c r="E76" s="61"/>
      <c r="F76" s="61"/>
      <c r="G76" s="61"/>
      <c r="H76" s="61"/>
      <c r="I76" s="61"/>
      <c r="J76" s="61"/>
      <c r="K76" s="61"/>
    </row>
    <row r="77" spans="1:11" x14ac:dyDescent="0.2">
      <c r="A77" s="61"/>
      <c r="B77" s="61"/>
      <c r="C77" s="61"/>
      <c r="D77" s="61"/>
      <c r="E77" s="61"/>
      <c r="F77" s="61"/>
      <c r="G77" s="61"/>
      <c r="H77" s="61"/>
      <c r="I77" s="61"/>
      <c r="J77" s="61"/>
      <c r="K77" s="61"/>
    </row>
    <row r="78" spans="1:11" x14ac:dyDescent="0.2">
      <c r="A78" s="61"/>
      <c r="B78" s="61"/>
      <c r="C78" s="61"/>
      <c r="D78" s="61"/>
      <c r="E78" s="61"/>
      <c r="F78" s="61"/>
      <c r="G78" s="61"/>
      <c r="H78" s="61"/>
      <c r="I78" s="61"/>
      <c r="J78" s="61"/>
      <c r="K78" s="61"/>
    </row>
    <row r="79" spans="1:11" x14ac:dyDescent="0.2">
      <c r="A79" s="61"/>
      <c r="B79" s="61"/>
      <c r="C79" s="61"/>
      <c r="D79" s="61"/>
      <c r="E79" s="61"/>
      <c r="F79" s="61"/>
      <c r="G79" s="61"/>
      <c r="H79" s="61"/>
      <c r="I79" s="61"/>
      <c r="J79" s="61"/>
      <c r="K79" s="61"/>
    </row>
    <row r="80" spans="1:11" x14ac:dyDescent="0.2">
      <c r="A80" s="61"/>
      <c r="B80" s="61"/>
      <c r="C80" s="61"/>
      <c r="D80" s="61"/>
      <c r="E80" s="61"/>
      <c r="F80" s="61"/>
      <c r="G80" s="61"/>
      <c r="H80" s="61"/>
      <c r="I80" s="61"/>
      <c r="J80" s="61"/>
      <c r="K80" s="61"/>
    </row>
    <row r="81" spans="1:11" x14ac:dyDescent="0.2">
      <c r="A81" s="61"/>
      <c r="B81" s="61"/>
      <c r="C81" s="61"/>
      <c r="D81" s="61"/>
      <c r="E81" s="61"/>
      <c r="F81" s="61"/>
      <c r="G81" s="61"/>
      <c r="H81" s="61"/>
      <c r="I81" s="61"/>
      <c r="J81" s="61"/>
      <c r="K81" s="61"/>
    </row>
    <row r="82" spans="1:11" x14ac:dyDescent="0.2">
      <c r="A82" s="61"/>
      <c r="B82" s="61"/>
      <c r="C82" s="61"/>
      <c r="D82" s="61"/>
      <c r="E82" s="61"/>
      <c r="F82" s="61"/>
      <c r="G82" s="61"/>
      <c r="H82" s="61"/>
      <c r="I82" s="61"/>
      <c r="J82" s="61"/>
      <c r="K82" s="61"/>
    </row>
    <row r="83" spans="1:11" x14ac:dyDescent="0.2">
      <c r="A83" s="61"/>
      <c r="B83" s="61"/>
      <c r="C83" s="61"/>
      <c r="D83" s="61"/>
      <c r="E83" s="61"/>
      <c r="F83" s="61"/>
      <c r="G83" s="61"/>
      <c r="H83" s="61"/>
      <c r="I83" s="61"/>
      <c r="J83" s="61"/>
      <c r="K83" s="61"/>
    </row>
  </sheetData>
  <mergeCells count="13">
    <mergeCell ref="C22:J22"/>
    <mergeCell ref="C16:J16"/>
    <mergeCell ref="C2:J2"/>
    <mergeCell ref="C19:J19"/>
    <mergeCell ref="C13:J13"/>
    <mergeCell ref="C18:J18"/>
    <mergeCell ref="C9:J9"/>
    <mergeCell ref="C12:J12"/>
    <mergeCell ref="B3:J3"/>
    <mergeCell ref="C7:J7"/>
    <mergeCell ref="C15:J15"/>
    <mergeCell ref="C6:J6"/>
    <mergeCell ref="C10:J10"/>
  </mergeCells>
  <printOptions horizontalCentered="1"/>
  <pageMargins left="0.4" right="0.4" top="0.5" bottom="0.5" header="0.3" footer="0.3"/>
  <pageSetup fitToHeight="0" orientation="landscape"/>
  <headerFooter>
    <oddHeader>&amp;L&amp;9 &amp;K8896B3Infraxus · Hire Impact Calculator · Read Me</oddHeader>
    <oddFooter>&amp;R&amp;9 &amp;K8896B3Page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pageSetUpPr fitToPage="1"/>
  </sheetPr>
  <dimension ref="A1:DO131"/>
  <sheetViews>
    <sheetView showGridLines="0" zoomScale="130" zoomScaleNormal="130" workbookViewId="0">
      <pane xSplit="1" ySplit="4" topLeftCell="B5" activePane="bottomRight" state="frozen"/>
      <selection pane="topRight"/>
      <selection pane="bottomLeft"/>
      <selection pane="bottomRight" activeCell="DI10" sqref="DI10"/>
    </sheetView>
  </sheetViews>
  <sheetFormatPr baseColWidth="10" defaultColWidth="8.83203125" defaultRowHeight="15" x14ac:dyDescent="0.2"/>
  <cols>
    <col min="1" max="1" width="2" style="60" customWidth="1"/>
    <col min="2" max="2" width="30" style="60" customWidth="1"/>
    <col min="3" max="10" width="17" style="60" customWidth="1"/>
    <col min="11" max="11" width="2" style="60" customWidth="1"/>
    <col min="12" max="12" width="1.5" style="60" hidden="1" customWidth="1"/>
    <col min="13" max="110" width="14" style="60" hidden="1" customWidth="1"/>
    <col min="111" max="115" width="8.83203125" style="60"/>
    <col min="116" max="116" width="9.1640625" style="60" bestFit="1" customWidth="1"/>
    <col min="117" max="16384" width="8.83203125" style="60"/>
  </cols>
  <sheetData>
    <row r="1" spans="1:119" ht="8" customHeight="1" x14ac:dyDescent="0.2">
      <c r="A1" s="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row>
    <row r="2" spans="1:119" ht="30" customHeight="1" x14ac:dyDescent="0.2">
      <c r="A2" s="1"/>
      <c r="B2" s="1"/>
      <c r="C2" s="86" t="s">
        <v>0</v>
      </c>
      <c r="D2" s="85"/>
      <c r="E2" s="85"/>
      <c r="F2" s="85"/>
      <c r="G2" s="3" t="s">
        <v>1</v>
      </c>
      <c r="H2" s="4" t="s">
        <v>2</v>
      </c>
      <c r="I2" s="3" t="s">
        <v>3</v>
      </c>
      <c r="J2" s="4" t="s">
        <v>4</v>
      </c>
      <c r="K2" s="1"/>
      <c r="L2" s="2"/>
      <c r="M2" s="5" t="s">
        <v>5</v>
      </c>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row>
    <row r="3" spans="1:119" ht="22" customHeight="1" x14ac:dyDescent="0.2">
      <c r="A3" s="1"/>
      <c r="B3" s="88" t="s">
        <v>6</v>
      </c>
      <c r="C3" s="85"/>
      <c r="D3" s="85"/>
      <c r="E3" s="85"/>
      <c r="F3" s="85"/>
      <c r="G3" s="90" t="s">
        <v>7</v>
      </c>
      <c r="H3" s="85"/>
      <c r="I3" s="85"/>
      <c r="J3" s="85"/>
      <c r="K3" s="1"/>
      <c r="L3" s="2"/>
      <c r="M3" s="6" t="s">
        <v>8</v>
      </c>
      <c r="N3" s="7" t="s">
        <v>9</v>
      </c>
      <c r="O3" s="7" t="s">
        <v>10</v>
      </c>
      <c r="P3" s="6" t="s">
        <v>11</v>
      </c>
      <c r="Q3" s="6" t="s">
        <v>12</v>
      </c>
      <c r="R3" s="6" t="s">
        <v>13</v>
      </c>
      <c r="S3" s="6" t="s">
        <v>14</v>
      </c>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row>
    <row r="4" spans="1:119" ht="10" customHeight="1" x14ac:dyDescent="0.2">
      <c r="A4" s="1"/>
      <c r="B4" s="1"/>
      <c r="C4" s="1"/>
      <c r="D4" s="1"/>
      <c r="E4" s="1"/>
      <c r="F4" s="1"/>
      <c r="G4" s="1"/>
      <c r="H4" s="1"/>
      <c r="I4" s="1"/>
      <c r="J4" s="1"/>
      <c r="K4" s="1"/>
      <c r="L4" s="2"/>
      <c r="M4" s="8" t="s">
        <v>2</v>
      </c>
      <c r="N4" s="9">
        <v>0.185</v>
      </c>
      <c r="O4" s="10">
        <v>100</v>
      </c>
      <c r="P4" s="8" t="s">
        <v>15</v>
      </c>
      <c r="Q4" s="8" t="s">
        <v>16</v>
      </c>
      <c r="R4" s="8" t="s">
        <v>17</v>
      </c>
      <c r="S4" s="8" t="s">
        <v>18</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row>
    <row r="5" spans="1:119" x14ac:dyDescent="0.2">
      <c r="A5" s="1"/>
      <c r="B5" s="1"/>
      <c r="C5" s="1"/>
      <c r="D5" s="1"/>
      <c r="E5" s="1"/>
      <c r="F5" s="1"/>
      <c r="G5" s="1"/>
      <c r="H5" s="1"/>
      <c r="I5" s="1"/>
      <c r="J5" s="1"/>
      <c r="K5" s="1"/>
      <c r="L5" s="2"/>
      <c r="M5" s="8" t="s">
        <v>19</v>
      </c>
      <c r="N5" s="9">
        <v>4.4999999999999998E-2</v>
      </c>
      <c r="O5" s="10">
        <v>100</v>
      </c>
      <c r="P5" s="8" t="s">
        <v>20</v>
      </c>
      <c r="Q5" s="8" t="s">
        <v>21</v>
      </c>
      <c r="R5" s="8" t="s">
        <v>22</v>
      </c>
      <c r="S5" s="8" t="s">
        <v>23</v>
      </c>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row>
    <row r="6" spans="1:119" ht="22" customHeight="1" x14ac:dyDescent="0.2">
      <c r="A6" s="1"/>
      <c r="B6" s="11" t="s">
        <v>24</v>
      </c>
      <c r="C6" s="12" t="s">
        <v>25</v>
      </c>
      <c r="D6" s="13" t="s">
        <v>26</v>
      </c>
      <c r="E6" s="14" t="s">
        <v>25</v>
      </c>
      <c r="F6" s="13" t="s">
        <v>27</v>
      </c>
      <c r="G6" s="15" t="s">
        <v>25</v>
      </c>
      <c r="H6" s="13" t="s">
        <v>28</v>
      </c>
      <c r="I6" s="16" t="s">
        <v>25</v>
      </c>
      <c r="J6" s="13" t="s">
        <v>29</v>
      </c>
      <c r="K6" s="1"/>
      <c r="L6" s="2"/>
      <c r="M6" s="8" t="s">
        <v>30</v>
      </c>
      <c r="N6" s="9">
        <v>0.105</v>
      </c>
      <c r="O6" s="10">
        <v>700</v>
      </c>
      <c r="P6" s="8" t="s">
        <v>31</v>
      </c>
      <c r="Q6" s="8" t="s">
        <v>32</v>
      </c>
      <c r="R6" s="8" t="s">
        <v>33</v>
      </c>
      <c r="S6" s="8" t="s">
        <v>34</v>
      </c>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row>
    <row r="7" spans="1:119" ht="4" customHeight="1" x14ac:dyDescent="0.2">
      <c r="A7" s="1"/>
      <c r="B7" s="1"/>
      <c r="C7" s="1"/>
      <c r="D7" s="1"/>
      <c r="E7" s="1"/>
      <c r="F7" s="1"/>
      <c r="G7" s="1"/>
      <c r="H7" s="1"/>
      <c r="I7" s="1"/>
      <c r="J7" s="1"/>
      <c r="K7" s="1"/>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row>
    <row r="8" spans="1:119" x14ac:dyDescent="0.2">
      <c r="A8" s="1"/>
      <c r="B8" s="1"/>
      <c r="C8" s="1"/>
      <c r="D8" s="1"/>
      <c r="E8" s="1"/>
      <c r="F8" s="1"/>
      <c r="G8" s="1"/>
      <c r="H8" s="1"/>
      <c r="I8" s="1"/>
      <c r="J8" s="1"/>
      <c r="K8" s="1"/>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17"/>
      <c r="DK8" s="2"/>
      <c r="DL8" s="2"/>
      <c r="DM8" s="2"/>
    </row>
    <row r="9" spans="1:119" ht="22" customHeight="1" x14ac:dyDescent="0.2">
      <c r="A9" s="1"/>
      <c r="B9" s="5" t="s">
        <v>35</v>
      </c>
      <c r="C9" s="48" t="s">
        <v>36</v>
      </c>
      <c r="D9" s="48"/>
      <c r="E9" s="48"/>
      <c r="F9" s="45" t="s">
        <v>195</v>
      </c>
      <c r="G9" s="48"/>
      <c r="H9" s="48"/>
      <c r="I9" s="48"/>
      <c r="J9" s="48"/>
      <c r="K9" s="1"/>
      <c r="L9" s="2"/>
      <c r="M9" s="5" t="s">
        <v>37</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row>
    <row r="10" spans="1:119" ht="22" customHeight="1" x14ac:dyDescent="0.2">
      <c r="A10" s="1"/>
      <c r="B10" s="8" t="s">
        <v>38</v>
      </c>
      <c r="C10" s="67"/>
      <c r="D10" s="2"/>
      <c r="E10" s="2"/>
      <c r="F10" s="2"/>
      <c r="G10" s="2"/>
      <c r="H10" s="2" t="s">
        <v>197</v>
      </c>
      <c r="I10" s="2"/>
      <c r="J10" s="2"/>
      <c r="K10" s="1"/>
      <c r="L10" s="2"/>
      <c r="M10" s="6" t="s">
        <v>39</v>
      </c>
      <c r="N10" s="7" t="s">
        <v>40</v>
      </c>
      <c r="O10" s="7" t="s">
        <v>41</v>
      </c>
      <c r="P10" s="7" t="s">
        <v>42</v>
      </c>
      <c r="Q10" s="7" t="s">
        <v>43</v>
      </c>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17"/>
      <c r="DK10" s="17"/>
      <c r="DL10" s="17"/>
      <c r="DM10" s="17"/>
    </row>
    <row r="11" spans="1:119" ht="22" customHeight="1" x14ac:dyDescent="0.2">
      <c r="A11" s="1"/>
      <c r="B11" s="8" t="s">
        <v>45</v>
      </c>
      <c r="C11" s="67"/>
      <c r="D11" s="2"/>
      <c r="E11" s="2"/>
      <c r="F11" s="46" t="s">
        <v>196</v>
      </c>
      <c r="G11" s="47" t="s">
        <v>40</v>
      </c>
      <c r="H11" s="47" t="s">
        <v>41</v>
      </c>
      <c r="I11" s="47" t="s">
        <v>42</v>
      </c>
      <c r="J11" s="47" t="s">
        <v>43</v>
      </c>
      <c r="K11" s="1"/>
      <c r="L11" s="2"/>
      <c r="M11" s="8" t="s">
        <v>4</v>
      </c>
      <c r="N11" s="9">
        <f t="shared" ref="N11:Q13" si="0">G12</f>
        <v>1</v>
      </c>
      <c r="O11" s="9">
        <f t="shared" si="0"/>
        <v>1</v>
      </c>
      <c r="P11" s="9">
        <f t="shared" si="0"/>
        <v>1</v>
      </c>
      <c r="Q11" s="18">
        <f t="shared" si="0"/>
        <v>0</v>
      </c>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19"/>
      <c r="DK11" s="20"/>
      <c r="DL11" s="20"/>
      <c r="DM11" s="20"/>
      <c r="DO11" s="66"/>
    </row>
    <row r="12" spans="1:119" ht="22" customHeight="1" x14ac:dyDescent="0.2">
      <c r="A12" s="1"/>
      <c r="B12" s="8" t="s">
        <v>46</v>
      </c>
      <c r="C12" s="67"/>
      <c r="D12" s="2"/>
      <c r="E12" s="2"/>
      <c r="F12" s="64" t="s">
        <v>4</v>
      </c>
      <c r="G12" s="49">
        <v>1</v>
      </c>
      <c r="H12" s="49">
        <v>1</v>
      </c>
      <c r="I12" s="49">
        <v>1</v>
      </c>
      <c r="J12" s="50">
        <v>0</v>
      </c>
      <c r="K12" s="1"/>
      <c r="L12" s="2"/>
      <c r="M12" s="8" t="s">
        <v>47</v>
      </c>
      <c r="N12" s="9">
        <f t="shared" si="0"/>
        <v>0.9</v>
      </c>
      <c r="O12" s="9">
        <f t="shared" si="0"/>
        <v>0.9</v>
      </c>
      <c r="P12" s="9">
        <f t="shared" si="0"/>
        <v>1.05</v>
      </c>
      <c r="Q12" s="18">
        <f t="shared" si="0"/>
        <v>1</v>
      </c>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19"/>
      <c r="DK12" s="20"/>
      <c r="DL12" s="20"/>
      <c r="DM12" s="20"/>
      <c r="DO12" s="66"/>
    </row>
    <row r="13" spans="1:119" ht="22" customHeight="1" x14ac:dyDescent="0.2">
      <c r="A13" s="1"/>
      <c r="B13" s="8" t="s">
        <v>48</v>
      </c>
      <c r="C13" s="67"/>
      <c r="D13" s="2"/>
      <c r="E13" s="2"/>
      <c r="F13" s="64" t="s">
        <v>47</v>
      </c>
      <c r="G13" s="69">
        <v>0.9</v>
      </c>
      <c r="H13" s="69">
        <v>0.9</v>
      </c>
      <c r="I13" s="69">
        <v>1.05</v>
      </c>
      <c r="J13" s="70">
        <v>1</v>
      </c>
      <c r="K13" s="1"/>
      <c r="L13" s="2"/>
      <c r="M13" s="8" t="s">
        <v>49</v>
      </c>
      <c r="N13" s="9">
        <f t="shared" si="0"/>
        <v>1.05</v>
      </c>
      <c r="O13" s="9">
        <f t="shared" si="0"/>
        <v>1.08</v>
      </c>
      <c r="P13" s="9">
        <f t="shared" si="0"/>
        <v>1</v>
      </c>
      <c r="Q13" s="18">
        <f t="shared" si="0"/>
        <v>0</v>
      </c>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19"/>
      <c r="DK13" s="20"/>
      <c r="DL13" s="20"/>
      <c r="DM13" s="20"/>
      <c r="DO13" s="66"/>
    </row>
    <row r="14" spans="1:119" ht="22" customHeight="1" x14ac:dyDescent="0.2">
      <c r="A14" s="1"/>
      <c r="B14" s="8" t="s">
        <v>50</v>
      </c>
      <c r="C14" s="67"/>
      <c r="D14" s="2"/>
      <c r="E14" s="2"/>
      <c r="F14" s="64" t="s">
        <v>49</v>
      </c>
      <c r="G14" s="69">
        <v>1.05</v>
      </c>
      <c r="H14" s="69">
        <v>1.08</v>
      </c>
      <c r="I14" s="69">
        <v>1</v>
      </c>
      <c r="J14" s="70">
        <v>0</v>
      </c>
      <c r="K14" s="1"/>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19"/>
      <c r="DK14" s="20"/>
      <c r="DL14" s="20"/>
      <c r="DM14" s="20"/>
      <c r="DO14" s="66"/>
    </row>
    <row r="15" spans="1:119" ht="22" customHeight="1" x14ac:dyDescent="0.2">
      <c r="A15" s="1"/>
      <c r="B15" s="8" t="s">
        <v>51</v>
      </c>
      <c r="C15" s="68"/>
      <c r="D15" s="2"/>
      <c r="E15" s="2"/>
      <c r="F15" s="2"/>
      <c r="G15" s="2"/>
      <c r="H15" s="2"/>
      <c r="I15" s="2"/>
      <c r="J15" s="2"/>
      <c r="K15" s="1"/>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19"/>
      <c r="DK15" s="20"/>
      <c r="DL15" s="20"/>
      <c r="DM15" s="20"/>
      <c r="DO15" s="66"/>
    </row>
    <row r="16" spans="1:119" ht="4" customHeight="1" x14ac:dyDescent="0.2">
      <c r="A16" s="1"/>
      <c r="B16" s="1"/>
      <c r="C16" s="1"/>
      <c r="D16" s="1"/>
      <c r="E16" s="1"/>
      <c r="F16" s="1"/>
      <c r="G16" s="1"/>
      <c r="H16" s="1"/>
      <c r="I16" s="1"/>
      <c r="J16" s="1"/>
      <c r="K16" s="1"/>
      <c r="L16" s="2"/>
      <c r="M16" s="5" t="s">
        <v>52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19"/>
      <c r="DK16" s="20"/>
      <c r="DL16" s="20"/>
      <c r="DM16" s="20"/>
      <c r="DO16" s="66"/>
    </row>
    <row r="17" spans="1:119" x14ac:dyDescent="0.2">
      <c r="A17" s="1"/>
      <c r="B17" s="1"/>
      <c r="C17" s="1"/>
      <c r="D17" s="1"/>
      <c r="E17" s="1"/>
      <c r="F17" s="1"/>
      <c r="G17" s="1"/>
      <c r="H17" s="1"/>
      <c r="I17" s="1"/>
      <c r="J17" s="1"/>
      <c r="K17" s="1"/>
      <c r="L17" s="2"/>
      <c r="M17" s="6" t="s">
        <v>40</v>
      </c>
      <c r="N17" s="9">
        <f>INDEX(ref_scn_rev_all,MATCH(inp_scn_active,ref_scn_codes,0))</f>
        <v>1</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19"/>
      <c r="DK17" s="20"/>
      <c r="DL17" s="20"/>
      <c r="DM17" s="20"/>
      <c r="DO17" s="66"/>
    </row>
    <row r="18" spans="1:119" x14ac:dyDescent="0.2">
      <c r="A18" s="1"/>
      <c r="B18" s="1"/>
      <c r="C18" s="1"/>
      <c r="D18" s="1"/>
      <c r="E18" s="1"/>
      <c r="F18" s="1"/>
      <c r="G18" s="1"/>
      <c r="H18" s="1"/>
      <c r="I18" s="1"/>
      <c r="J18" s="1"/>
      <c r="K18" s="1"/>
      <c r="L18" s="2"/>
      <c r="M18" s="6" t="s">
        <v>41</v>
      </c>
      <c r="N18" s="9">
        <f>INDEX(ref_scn_util_all,MATCH(inp_scn_active,ref_scn_codes,0))</f>
        <v>1</v>
      </c>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19"/>
      <c r="DK18" s="20"/>
      <c r="DL18" s="20"/>
      <c r="DM18" s="20"/>
      <c r="DO18" s="66"/>
    </row>
    <row r="19" spans="1:119" ht="22" customHeight="1" x14ac:dyDescent="0.2">
      <c r="A19" s="1"/>
      <c r="B19" s="5" t="s">
        <v>53</v>
      </c>
      <c r="C19" s="1"/>
      <c r="D19" s="1"/>
      <c r="E19" s="1"/>
      <c r="F19" s="1"/>
      <c r="G19" s="1"/>
      <c r="H19" s="1"/>
      <c r="I19" s="1"/>
      <c r="J19" s="1"/>
      <c r="K19" s="1"/>
      <c r="L19" s="2"/>
      <c r="M19" s="6" t="s">
        <v>42</v>
      </c>
      <c r="N19" s="9">
        <f>INDEX(ref_scn_cost_all,MATCH(inp_scn_active,ref_scn_codes,0))</f>
        <v>1</v>
      </c>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19"/>
      <c r="DK19" s="20"/>
      <c r="DL19" s="20"/>
      <c r="DM19" s="20"/>
      <c r="DO19" s="66"/>
    </row>
    <row r="20" spans="1:119" ht="22" customHeight="1" x14ac:dyDescent="0.2">
      <c r="A20" s="1"/>
      <c r="B20" s="6" t="s">
        <v>54</v>
      </c>
      <c r="C20" s="21" t="s">
        <v>55</v>
      </c>
      <c r="D20" s="21" t="s">
        <v>56</v>
      </c>
      <c r="E20" s="21" t="s">
        <v>57</v>
      </c>
      <c r="F20" s="51" t="s">
        <v>198</v>
      </c>
      <c r="G20" s="51" t="s">
        <v>199</v>
      </c>
      <c r="H20" s="51" t="s">
        <v>200</v>
      </c>
      <c r="I20" s="51" t="s">
        <v>201</v>
      </c>
      <c r="J20" s="51" t="s">
        <v>202</v>
      </c>
      <c r="K20" s="1"/>
      <c r="L20" s="2"/>
      <c r="M20" s="6" t="s">
        <v>58</v>
      </c>
      <c r="N20" s="18">
        <f>INDEX(ref_scn_collect_all,MATCH(inp_scn_active,ref_scn_codes,0))</f>
        <v>0</v>
      </c>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19"/>
      <c r="DK20" s="20"/>
      <c r="DL20" s="20"/>
      <c r="DM20" s="20"/>
      <c r="DO20" s="66"/>
    </row>
    <row r="21" spans="1:119" ht="22" customHeight="1" x14ac:dyDescent="0.2">
      <c r="A21" s="1"/>
      <c r="B21" s="8" t="s">
        <v>59</v>
      </c>
      <c r="C21" s="71"/>
      <c r="D21" s="71"/>
      <c r="E21" s="71"/>
      <c r="F21" s="71"/>
      <c r="G21" s="71"/>
      <c r="H21" s="71"/>
      <c r="I21" s="71"/>
      <c r="J21" s="71"/>
      <c r="K21" s="1"/>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19"/>
      <c r="DK21" s="20"/>
      <c r="DL21" s="20"/>
      <c r="DM21" s="20"/>
      <c r="DO21" s="66"/>
    </row>
    <row r="22" spans="1:119" ht="44" customHeight="1" x14ac:dyDescent="0.2">
      <c r="A22" s="1"/>
      <c r="B22" s="8" t="s">
        <v>60</v>
      </c>
      <c r="C22" s="72"/>
      <c r="D22" s="73"/>
      <c r="E22" s="72"/>
      <c r="F22" s="74"/>
      <c r="G22" s="74"/>
      <c r="H22" s="74"/>
      <c r="I22" s="74"/>
      <c r="J22" s="74"/>
      <c r="K22" s="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19"/>
      <c r="DK22" s="20"/>
      <c r="DL22" s="20"/>
      <c r="DM22" s="20"/>
      <c r="DO22" s="66"/>
    </row>
    <row r="23" spans="1:119" ht="22" customHeight="1" x14ac:dyDescent="0.2">
      <c r="A23" s="1"/>
      <c r="B23" s="8" t="s">
        <v>62</v>
      </c>
      <c r="C23" s="75"/>
      <c r="D23" s="76"/>
      <c r="E23" s="75"/>
      <c r="F23" s="70"/>
      <c r="G23" s="70"/>
      <c r="H23" s="70"/>
      <c r="I23" s="70"/>
      <c r="J23" s="70"/>
      <c r="K23" s="1"/>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19"/>
      <c r="DK23" s="20"/>
      <c r="DL23" s="20"/>
      <c r="DM23" s="20"/>
      <c r="DO23" s="66"/>
    </row>
    <row r="24" spans="1:119" ht="22" customHeight="1" x14ac:dyDescent="0.2">
      <c r="A24" s="1"/>
      <c r="B24" s="8" t="s">
        <v>63</v>
      </c>
      <c r="C24" s="77"/>
      <c r="D24" s="67"/>
      <c r="E24" s="77"/>
      <c r="F24" s="78"/>
      <c r="G24" s="78"/>
      <c r="H24" s="78"/>
      <c r="I24" s="78"/>
      <c r="J24" s="78"/>
      <c r="K24" s="1"/>
      <c r="L24" s="2"/>
      <c r="M24" s="5" t="s">
        <v>64</v>
      </c>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19"/>
      <c r="DK24" s="20"/>
      <c r="DL24" s="20"/>
      <c r="DM24" s="20"/>
      <c r="DO24" s="66"/>
    </row>
    <row r="25" spans="1:119" ht="22" customHeight="1" x14ac:dyDescent="0.2">
      <c r="A25" s="1"/>
      <c r="B25" s="8" t="s">
        <v>65</v>
      </c>
      <c r="C25" s="52">
        <f t="shared" ref="C25:J25" si="1">IFERROR(INDEX(ref_region_oncost_all,MATCH(inp_biz_region,ref_region_codes,0)),0)</f>
        <v>0.185</v>
      </c>
      <c r="D25" s="52">
        <f t="shared" si="1"/>
        <v>0.185</v>
      </c>
      <c r="E25" s="52">
        <f t="shared" si="1"/>
        <v>0.185</v>
      </c>
      <c r="F25" s="52">
        <f t="shared" si="1"/>
        <v>0.185</v>
      </c>
      <c r="G25" s="52">
        <f t="shared" si="1"/>
        <v>0.185</v>
      </c>
      <c r="H25" s="52">
        <f t="shared" si="1"/>
        <v>0.185</v>
      </c>
      <c r="I25" s="52">
        <f t="shared" si="1"/>
        <v>0.185</v>
      </c>
      <c r="J25" s="52">
        <f t="shared" si="1"/>
        <v>0.185</v>
      </c>
      <c r="K25" s="1"/>
      <c r="L25" s="2"/>
      <c r="M25" s="6" t="s">
        <v>44</v>
      </c>
      <c r="N25"/>
      <c r="O25"/>
      <c r="P25"/>
      <c r="Q25"/>
      <c r="R25"/>
      <c r="S25"/>
      <c r="T25"/>
      <c r="U25"/>
      <c r="V25"/>
      <c r="W25"/>
      <c r="X25"/>
      <c r="Y25"/>
      <c r="Z25" s="7" t="s">
        <v>78</v>
      </c>
      <c r="AA25" s="7" t="s">
        <v>79</v>
      </c>
      <c r="AB25" s="7" t="s">
        <v>80</v>
      </c>
      <c r="AC25" s="7" t="s">
        <v>81</v>
      </c>
      <c r="AD25" s="7" t="s">
        <v>82</v>
      </c>
      <c r="AE25" s="7" t="s">
        <v>83</v>
      </c>
      <c r="AF25" s="7" t="s">
        <v>84</v>
      </c>
      <c r="AG25" s="7" t="s">
        <v>85</v>
      </c>
      <c r="AH25" s="7" t="s">
        <v>86</v>
      </c>
      <c r="AI25" s="7" t="s">
        <v>87</v>
      </c>
      <c r="AJ25"/>
      <c r="AK25"/>
      <c r="AL25"/>
      <c r="AM25" s="7" t="s">
        <v>88</v>
      </c>
      <c r="AN25" s="7" t="s">
        <v>89</v>
      </c>
      <c r="AO25" s="7" t="s">
        <v>90</v>
      </c>
      <c r="AP25" s="2"/>
      <c r="AQ25" s="2"/>
      <c r="AR25" s="2"/>
      <c r="AS25"/>
      <c r="AT25"/>
      <c r="AU25"/>
      <c r="AV25" s="7" t="s">
        <v>94</v>
      </c>
      <c r="AW25" s="7" t="s">
        <v>95</v>
      </c>
      <c r="AX25" s="7" t="s">
        <v>96</v>
      </c>
      <c r="AY25" s="7" t="s">
        <v>97</v>
      </c>
      <c r="AZ25" s="7" t="s">
        <v>98</v>
      </c>
      <c r="BA25" s="7" t="s">
        <v>99</v>
      </c>
      <c r="BB25" s="2"/>
      <c r="BC25" s="23" t="s">
        <v>44</v>
      </c>
      <c r="BD25" s="23" t="s">
        <v>66</v>
      </c>
      <c r="BE25" s="23" t="s">
        <v>67</v>
      </c>
      <c r="BF25" s="2" t="s">
        <v>68</v>
      </c>
      <c r="BG25" s="2" t="s">
        <v>69</v>
      </c>
      <c r="BH25" s="2" t="s">
        <v>70</v>
      </c>
      <c r="BI25" s="2" t="s">
        <v>71</v>
      </c>
      <c r="BJ25" s="2" t="s">
        <v>72</v>
      </c>
      <c r="BK25" s="2" t="s">
        <v>73</v>
      </c>
      <c r="BL25" s="2" t="s">
        <v>74</v>
      </c>
      <c r="BM25" s="2" t="s">
        <v>75</v>
      </c>
      <c r="BN25" s="2" t="s">
        <v>76</v>
      </c>
      <c r="BO25" s="2" t="s">
        <v>77</v>
      </c>
      <c r="BP25" s="2" t="s">
        <v>203</v>
      </c>
      <c r="BQ25" s="2" t="s">
        <v>204</v>
      </c>
      <c r="BR25" s="2" t="s">
        <v>205</v>
      </c>
      <c r="BS25" s="2" t="s">
        <v>206</v>
      </c>
      <c r="BT25" s="2" t="s">
        <v>207</v>
      </c>
      <c r="BU25" s="2" t="s">
        <v>208</v>
      </c>
      <c r="BV25" s="2" t="s">
        <v>209</v>
      </c>
      <c r="BW25" s="2" t="s">
        <v>210</v>
      </c>
      <c r="BX25" s="2" t="s">
        <v>211</v>
      </c>
      <c r="BY25" s="2" t="s">
        <v>212</v>
      </c>
      <c r="BZ25" s="2" t="s">
        <v>213</v>
      </c>
      <c r="CA25" s="2" t="s">
        <v>214</v>
      </c>
      <c r="CB25" s="2" t="s">
        <v>215</v>
      </c>
      <c r="CC25" s="2" t="s">
        <v>216</v>
      </c>
      <c r="CD25" s="2" t="s">
        <v>217</v>
      </c>
      <c r="CE25" s="2" t="s">
        <v>218</v>
      </c>
      <c r="CF25" s="2" t="s">
        <v>219</v>
      </c>
      <c r="CG25" s="2" t="s">
        <v>220</v>
      </c>
      <c r="CH25" s="2" t="s">
        <v>221</v>
      </c>
      <c r="CI25" s="2" t="s">
        <v>222</v>
      </c>
      <c r="CJ25" s="2"/>
      <c r="CK25" s="2"/>
      <c r="CL25" s="2"/>
      <c r="CM25" s="2" t="s">
        <v>91</v>
      </c>
      <c r="CN25" s="2" t="s">
        <v>92</v>
      </c>
      <c r="CO25" s="2" t="s">
        <v>93</v>
      </c>
      <c r="CP25" s="2" t="s">
        <v>223</v>
      </c>
      <c r="CQ25" s="2" t="s">
        <v>224</v>
      </c>
      <c r="CR25" s="2" t="s">
        <v>225</v>
      </c>
      <c r="CS25" s="2" t="s">
        <v>226</v>
      </c>
      <c r="CT25" s="2" t="s">
        <v>227</v>
      </c>
      <c r="CU25" s="2"/>
      <c r="CV25" s="2" t="s">
        <v>238</v>
      </c>
      <c r="CW25" s="2" t="s">
        <v>239</v>
      </c>
      <c r="CX25" s="2" t="s">
        <v>240</v>
      </c>
      <c r="CY25" s="2" t="s">
        <v>241</v>
      </c>
      <c r="CZ25" s="2" t="s">
        <v>242</v>
      </c>
      <c r="DA25" s="2" t="s">
        <v>243</v>
      </c>
      <c r="DB25" s="2" t="s">
        <v>244</v>
      </c>
      <c r="DC25" s="2" t="s">
        <v>245</v>
      </c>
      <c r="DD25" s="2"/>
      <c r="DE25" s="2"/>
      <c r="DF25" s="2"/>
      <c r="DG25" s="2"/>
      <c r="DH25" s="2"/>
      <c r="DI25" s="2"/>
      <c r="DJ25" s="19"/>
      <c r="DK25" s="20"/>
      <c r="DL25" s="20"/>
      <c r="DM25" s="20"/>
      <c r="DO25" s="66"/>
    </row>
    <row r="26" spans="1:119" ht="22" customHeight="1" x14ac:dyDescent="0.2">
      <c r="A26" s="1"/>
      <c r="B26" s="8" t="s">
        <v>100</v>
      </c>
      <c r="C26" s="53">
        <f t="shared" ref="C26:J26" si="2">IFERROR(INDEX(ref_region_benefits_all,MATCH(inp_biz_region,ref_region_codes,0)),0)</f>
        <v>100</v>
      </c>
      <c r="D26" s="53">
        <f t="shared" si="2"/>
        <v>100</v>
      </c>
      <c r="E26" s="53">
        <f t="shared" si="2"/>
        <v>100</v>
      </c>
      <c r="F26" s="53">
        <f t="shared" si="2"/>
        <v>100</v>
      </c>
      <c r="G26" s="53">
        <f t="shared" si="2"/>
        <v>100</v>
      </c>
      <c r="H26" s="53">
        <f t="shared" si="2"/>
        <v>100</v>
      </c>
      <c r="I26" s="53">
        <f t="shared" si="2"/>
        <v>100</v>
      </c>
      <c r="J26" s="53">
        <f t="shared" si="2"/>
        <v>100</v>
      </c>
      <c r="K26" s="1"/>
      <c r="L26" s="2"/>
      <c r="M26" s="18">
        <v>1</v>
      </c>
      <c r="N26"/>
      <c r="O26"/>
      <c r="P26"/>
      <c r="Q26"/>
      <c r="R26"/>
      <c r="S26"/>
      <c r="T26"/>
      <c r="U26"/>
      <c r="V26"/>
      <c r="W26"/>
      <c r="X26"/>
      <c r="Y26"/>
      <c r="Z26" s="10">
        <f>inp_biz_revenue_m0*(1+inp_biz_rev_growth)^(1-1)*calc_scn_rev_mult</f>
        <v>0</v>
      </c>
      <c r="AA26" s="10">
        <f t="shared" ref="AA26:AA49" si="3">inp_biz_opex_m0*calc_scn_cost_mult</f>
        <v>0</v>
      </c>
      <c r="AB26" s="10">
        <f t="shared" ref="AB26:AB49" si="4">inp_biz_payroll_m0*calc_scn_cost_mult</f>
        <v>0</v>
      </c>
      <c r="AC26" s="10">
        <f t="shared" ref="AC26:AC49" si="5">Z26-AA26-AB26</f>
        <v>0</v>
      </c>
      <c r="AD26" s="10">
        <f>inp_biz_cash_open+SUM(AC$26:AC26)</f>
        <v>0</v>
      </c>
      <c r="AE26" s="10">
        <f t="shared" ref="AE26:AE49" si="6">BD26+BH26+BL26+BP26+BT26+BX26+CB26+CF26</f>
        <v>0</v>
      </c>
      <c r="AF26" s="10">
        <f t="shared" ref="AF26:AF49" si="7">BF26+BJ26+BN26+BR26+BV26+BZ26+CD26+CH26</f>
        <v>0</v>
      </c>
      <c r="AG26" s="10">
        <f t="shared" ref="AG26:AG49" si="8">AC26+AF26-AE26</f>
        <v>0</v>
      </c>
      <c r="AH26" s="10">
        <f>inp_biz_cash_open+SUM(AG$26:AG26)</f>
        <v>0</v>
      </c>
      <c r="AI26" s="18">
        <f t="shared" ref="AI26:AI49" si="9">IF(AH26&lt;inp_biz_floor,1,0)</f>
        <v>0</v>
      </c>
      <c r="AJ26"/>
      <c r="AK26"/>
      <c r="AL26"/>
      <c r="AM26" s="10">
        <f t="shared" ref="AM26:AM49" si="10">inp_biz_floor</f>
        <v>0</v>
      </c>
      <c r="AN26" s="10">
        <f t="shared" ref="AN26:AN49" si="11">AH26-AD26</f>
        <v>0</v>
      </c>
      <c r="AO26" s="10">
        <f>0</f>
        <v>0</v>
      </c>
      <c r="AP26" s="2"/>
      <c r="AQ26" s="2"/>
      <c r="AR26" s="2"/>
      <c r="AS26"/>
      <c r="AT26"/>
      <c r="AU26"/>
      <c r="AV26" s="10">
        <f t="shared" ref="AV26:AV49" si="12">IF(ROW()-25&lt;sel_start_m,0,(sel_salary/12*(1+sel_oncost)+sel_benefits)*calc_scn_cost_mult)</f>
        <v>100</v>
      </c>
      <c r="AW26" s="10">
        <f t="shared" ref="AW26:AW49" si="13">IF(ROW()-25&lt;sel_start_m,0,sel_bill_hours*sel_util*sel_rate*calc_scn_rev_mult*calc_scn_util_mult*MIN(1,sel_m1_prod+(ROW()-25-sel_start_m)*(1-sel_m1_prod)/MAX(sel_ramp_m-1,1)))</f>
        <v>0</v>
      </c>
      <c r="AX26" s="10">
        <f t="array" ref="AX26">IF((ROW()-25)-(sel_collect_lag+calc_scn_collect_add)&gt;=1,INDEX(AW$26:AW$49,(ROW()-25)-(sel_collect_lag+calc_scn_collect_add)),0)</f>
        <v>0</v>
      </c>
      <c r="AY26" s="10">
        <f>SUM(AV$26:AV26)</f>
        <v>100</v>
      </c>
      <c r="AZ26" s="10">
        <f>SUM(AX$26:AX26)</f>
        <v>0</v>
      </c>
      <c r="BA26" s="10">
        <f t="shared" ref="BA26:BA49" si="14">AD26-inp_biz_cash_open</f>
        <v>0</v>
      </c>
      <c r="BB26" s="2"/>
      <c r="BC26" s="19">
        <f t="shared" ref="BC26:BC49" si="15">M26</f>
        <v>1</v>
      </c>
      <c r="BD26" s="19">
        <f>IF(OR(NOT(inp_c1_active),1&lt;inp_c1_start_m),0,((inp_c1_salary/12)*(1+inp_c1_oncost)+inp_c1_benefits)*calc_scn_cost_mult)</f>
        <v>0</v>
      </c>
      <c r="BE26" s="19">
        <f>IF(OR(NOT(inp_c1_active),1&lt;inp_c1_start_m),0,inp_c1_bill_hours*inp_c1_rate*calc_scn_rev_mult*calc_scn_util_mult*(inp_c1_m1_prod+MAX(0,MIN(1-inp_c1_start_m,inp_c1_ramp_m-1))*(inp_c1_util-inp_c1_m1_prod)/MAX(inp_c1_ramp_m-1,1)))</f>
        <v>0</v>
      </c>
      <c r="BF26" s="2">
        <f>IF((1-(inp_c1_collect_lag+calc_scn_collect_add))&gt;=1,INDEX(BE:BE,25+1-(inp_c1_collect_lag+calc_scn_collect_add)),0)</f>
        <v>0</v>
      </c>
      <c r="BG26" s="2">
        <f>SUM(BF$26:BF26)-SUM(BD$26:BD26)</f>
        <v>0</v>
      </c>
      <c r="BH26" s="2">
        <f>IF(OR(NOT(inp_c2_active),1&lt;inp_c2_start_m),0,((inp_c2_salary/12)*(1+inp_c2_oncost)+inp_c2_benefits)*calc_scn_cost_mult)</f>
        <v>0</v>
      </c>
      <c r="BI26" s="2">
        <f>IF(OR(NOT(inp_c2_active),1&lt;inp_c2_start_m),0,inp_c2_bill_hours*inp_c2_rate*calc_scn_rev_mult*calc_scn_util_mult*(inp_c2_m1_prod+MAX(0,MIN(1-inp_c2_start_m,inp_c2_ramp_m-1))*(inp_c2_util-inp_c2_m1_prod)/MAX(inp_c2_ramp_m-1,1)))</f>
        <v>0</v>
      </c>
      <c r="BJ26" s="2">
        <f>IF((1-(inp_c2_collect_lag+calc_scn_collect_add))&gt;=1,INDEX(BI:BI,25+1-(inp_c2_collect_lag+calc_scn_collect_add)),0)</f>
        <v>0</v>
      </c>
      <c r="BK26" s="2">
        <f>SUM(BJ$26:BJ26)-SUM(BH$26:BH26)</f>
        <v>0</v>
      </c>
      <c r="BL26" s="2">
        <f>IF(OR(NOT(inp_c3_active),1&lt;inp_c3_start_m),0,((inp_c3_salary/12)*(1+inp_c3_oncost)+inp_c3_benefits)*calc_scn_cost_mult)</f>
        <v>0</v>
      </c>
      <c r="BM26" s="2">
        <f>IF(OR(NOT(inp_c3_active),1&lt;inp_c3_start_m),0,inp_c3_bill_hours*inp_c3_rate*calc_scn_rev_mult*calc_scn_util_mult*(inp_c3_m1_prod+MAX(0,MIN(1-inp_c3_start_m,inp_c3_ramp_m-1))*(inp_c3_util-inp_c3_m1_prod)/MAX(inp_c3_ramp_m-1,1)))</f>
        <v>0</v>
      </c>
      <c r="BN26" s="2">
        <f>IF((1-(inp_c3_collect_lag+calc_scn_collect_add))&gt;=1,INDEX(BM:BM,25+1-(inp_c3_collect_lag+calc_scn_collect_add)),0)</f>
        <v>0</v>
      </c>
      <c r="BO26" s="2">
        <f>SUM(BN$26:BN26)-SUM(BL$26:BL26)</f>
        <v>0</v>
      </c>
      <c r="BP26" s="2">
        <f>IF(OR(NOT(inp_c4_active),1&lt;inp_c4_start_m),0,((inp_c4_salary/12)*(1+inp_c4_oncost)+inp_c4_benefits)*calc_scn_cost_mult)</f>
        <v>0</v>
      </c>
      <c r="BQ26" s="2">
        <f>IF(OR(NOT(inp_c4_active),1&lt;inp_c4_start_m),0,inp_c4_bill_hours*inp_c4_rate*calc_scn_rev_mult*calc_scn_util_mult*(inp_c4_m1_prod+MAX(0,MIN(1-inp_c4_start_m,inp_c4_ramp_m-1))*(inp_c4_util-inp_c4_m1_prod)/MAX(inp_c4_ramp_m-1,1)))</f>
        <v>0</v>
      </c>
      <c r="BR26" s="2">
        <f>IF((1-(inp_c4_collect_lag+calc_scn_collect_add))&gt;=1,INDEX(BQ:BQ,25+1-(inp_c4_collect_lag+calc_scn_collect_add)),0)</f>
        <v>0</v>
      </c>
      <c r="BS26" s="2">
        <f>SUM(BR$26:BR26)-SUM(BP$26:BP26)</f>
        <v>0</v>
      </c>
      <c r="BT26" s="2">
        <f>IF(OR(NOT(inp_c5_active),1&lt;inp_c5_start_m),0,((inp_c5_salary/12)*(1+inp_c5_oncost)+inp_c5_benefits)*calc_scn_cost_mult)</f>
        <v>0</v>
      </c>
      <c r="BU26" s="2">
        <f>IF(OR(NOT(inp_c5_active),1&lt;inp_c5_start_m),0,inp_c5_bill_hours*inp_c5_rate*calc_scn_rev_mult*calc_scn_util_mult*(inp_c5_m1_prod+MAX(0,MIN(1-inp_c5_start_m,inp_c5_ramp_m-1))*(inp_c5_util-inp_c5_m1_prod)/MAX(inp_c5_ramp_m-1,1)))</f>
        <v>0</v>
      </c>
      <c r="BV26" s="2">
        <f>IF((1-(inp_c5_collect_lag+calc_scn_collect_add))&gt;=1,INDEX(BU:BU,25+1-(inp_c5_collect_lag+calc_scn_collect_add)),0)</f>
        <v>0</v>
      </c>
      <c r="BW26" s="2">
        <f>SUM(BV$26:BV26)-SUM(BT$26:BT26)</f>
        <v>0</v>
      </c>
      <c r="BX26" s="2">
        <f>IF(OR(NOT(inp_c6_active),1&lt;inp_c6_start_m),0,((inp_c6_salary/12)*(1+inp_c6_oncost)+inp_c6_benefits)*calc_scn_cost_mult)</f>
        <v>0</v>
      </c>
      <c r="BY26" s="2">
        <f>IF(OR(NOT(inp_c6_active),1&lt;inp_c6_start_m),0,inp_c6_bill_hours*inp_c6_rate*calc_scn_rev_mult*calc_scn_util_mult*(inp_c6_m1_prod+MAX(0,MIN(1-inp_c6_start_m,inp_c6_ramp_m-1))*(inp_c6_util-inp_c6_m1_prod)/MAX(inp_c6_ramp_m-1,1)))</f>
        <v>0</v>
      </c>
      <c r="BZ26" s="2">
        <f>IF((1-(inp_c6_collect_lag+calc_scn_collect_add))&gt;=1,INDEX(BY:BY,25+1-(inp_c6_collect_lag+calc_scn_collect_add)),0)</f>
        <v>0</v>
      </c>
      <c r="CA26" s="2">
        <f>SUM(BZ$26:BZ26)-SUM(BX$26:BX26)</f>
        <v>0</v>
      </c>
      <c r="CB26" s="2">
        <f>IF(OR(NOT(inp_c7_active),1&lt;inp_c7_start_m),0,((inp_c7_salary/12)*(1+inp_c7_oncost)+inp_c7_benefits)*calc_scn_cost_mult)</f>
        <v>0</v>
      </c>
      <c r="CC26" s="2">
        <f>IF(OR(NOT(inp_c7_active),1&lt;inp_c7_start_m),0,inp_c7_bill_hours*inp_c7_rate*calc_scn_rev_mult*calc_scn_util_mult*(inp_c7_m1_prod+MAX(0,MIN(1-inp_c7_start_m,inp_c7_ramp_m-1))*(inp_c7_util-inp_c7_m1_prod)/MAX(inp_c7_ramp_m-1,1)))</f>
        <v>0</v>
      </c>
      <c r="CD26" s="2">
        <f>IF((1-(inp_c7_collect_lag+calc_scn_collect_add))&gt;=1,INDEX(CC:CC,25+1-(inp_c7_collect_lag+calc_scn_collect_add)),0)</f>
        <v>0</v>
      </c>
      <c r="CE26" s="2">
        <f>SUM(CD$26:CD26)-SUM(CB$26:CB26)</f>
        <v>0</v>
      </c>
      <c r="CF26" s="2">
        <f>IF(OR(NOT(inp_c8_active),1&lt;inp_c8_start_m),0,((inp_c8_salary/12)*(1+inp_c8_oncost)+inp_c8_benefits)*calc_scn_cost_mult)</f>
        <v>0</v>
      </c>
      <c r="CG26" s="2">
        <f>IF(OR(NOT(inp_c8_active),1&lt;inp_c8_start_m),0,inp_c8_bill_hours*inp_c8_rate*calc_scn_rev_mult*calc_scn_util_mult*(inp_c8_m1_prod+MAX(0,MIN(1-inp_c8_start_m,inp_c8_ramp_m-1))*(inp_c8_util-inp_c8_m1_prod)/MAX(inp_c8_ramp_m-1,1)))</f>
        <v>0</v>
      </c>
      <c r="CH26" s="2">
        <f>IF((1-(inp_c8_collect_lag+calc_scn_collect_add))&gt;=1,INDEX(CG:CG,25+1-(inp_c8_collect_lag+calc_scn_collect_add)),0)</f>
        <v>0</v>
      </c>
      <c r="CI26" s="2">
        <f>SUM(CH$26:CH26)-SUM(CF$26:CF26)</f>
        <v>0</v>
      </c>
      <c r="CJ26" s="2"/>
      <c r="CK26" s="2"/>
      <c r="CL26" s="2"/>
      <c r="CM26" s="2">
        <f>IF(AND(BG26&gt;=0,1&gt;=inp_c1_start_m),1,9999)</f>
        <v>1</v>
      </c>
      <c r="CN26" s="2">
        <f>IF(AND(BK26&gt;=0,1&gt;=inp_c2_start_m),1,9999)</f>
        <v>1</v>
      </c>
      <c r="CO26" s="2">
        <f>IF(AND(BO26&gt;=0,1&gt;=inp_c3_start_m),1,9999)</f>
        <v>1</v>
      </c>
      <c r="CP26" s="2">
        <f>IF(AND(BS26&gt;=0,1&gt;=inp_c4_start_m),1,9999)</f>
        <v>1</v>
      </c>
      <c r="CQ26" s="2">
        <f>IF(AND(BW26&gt;=0,1&gt;=inp_c5_start_m),1,9999)</f>
        <v>1</v>
      </c>
      <c r="CR26" s="2">
        <f>IF(AND(CA26&gt;=0,1&gt;=inp_c6_start_m),1,9999)</f>
        <v>1</v>
      </c>
      <c r="CS26" s="2">
        <f>IF(AND(CE26&gt;=0,1&gt;=inp_c7_start_m),1,9999)</f>
        <v>1</v>
      </c>
      <c r="CT26" s="2">
        <f>IF(AND(CI26&gt;=0,1&gt;=inp_c8_start_m),1,9999)</f>
        <v>1</v>
      </c>
      <c r="CU26" s="2"/>
      <c r="CV26" s="55">
        <f>inp_biz_cash_open+SUM(AC$26:AC26)+SUM(BF$26:BF26)-SUM(BD$26:BD26)</f>
        <v>0</v>
      </c>
      <c r="CW26" s="55">
        <f>inp_biz_cash_open+SUM(AC$26:AC26)+SUM(BJ$26:BJ26)-SUM(BH$26:BH26)</f>
        <v>0</v>
      </c>
      <c r="CX26" s="55">
        <f>inp_biz_cash_open+SUM(AC$26:AC26)+SUM(BN$26:BN26)-SUM(BL$26:BL26)</f>
        <v>0</v>
      </c>
      <c r="CY26" s="55">
        <f>inp_biz_cash_open+SUM(AC$26:AC26)+SUM(BR$26:BR26)-SUM(BP$26:BP26)</f>
        <v>0</v>
      </c>
      <c r="CZ26" s="55">
        <f>inp_biz_cash_open+SUM(AC$26:AC26)+SUM(BV$26:BV26)-SUM(BT$26:BT26)</f>
        <v>0</v>
      </c>
      <c r="DA26" s="55">
        <f>inp_biz_cash_open+SUM(AC$26:AC26)+SUM(BZ$26:BZ26)-SUM(BX$26:BX26)</f>
        <v>0</v>
      </c>
      <c r="DB26" s="55">
        <f>inp_biz_cash_open+SUM(AC$26:AC26)+SUM(CD$26:CD26)-SUM(CB$26:CB26)</f>
        <v>0</v>
      </c>
      <c r="DC26" s="55">
        <f>inp_biz_cash_open+SUM(AC$26:AC26)+SUM(CH$26:CH26)-SUM(CF$26:CF26)</f>
        <v>0</v>
      </c>
      <c r="DD26" s="2"/>
      <c r="DE26" s="2"/>
      <c r="DF26" s="2"/>
      <c r="DG26" s="2"/>
      <c r="DH26" s="2"/>
      <c r="DI26" s="2"/>
      <c r="DJ26" s="19"/>
      <c r="DK26" s="20"/>
      <c r="DL26" s="20"/>
      <c r="DM26" s="20"/>
      <c r="DO26" s="66"/>
    </row>
    <row r="27" spans="1:119" ht="22" customHeight="1" x14ac:dyDescent="0.2">
      <c r="A27" s="1"/>
      <c r="B27" s="8" t="s">
        <v>101</v>
      </c>
      <c r="C27" s="75"/>
      <c r="D27" s="76"/>
      <c r="E27" s="75"/>
      <c r="F27" s="79"/>
      <c r="G27" s="79"/>
      <c r="H27" s="79"/>
      <c r="I27" s="79"/>
      <c r="J27" s="79"/>
      <c r="K27" s="1"/>
      <c r="L27" s="2"/>
      <c r="M27" s="18">
        <v>2</v>
      </c>
      <c r="N27"/>
      <c r="O27"/>
      <c r="P27"/>
      <c r="Q27"/>
      <c r="R27"/>
      <c r="S27"/>
      <c r="T27"/>
      <c r="U27"/>
      <c r="V27"/>
      <c r="W27"/>
      <c r="X27"/>
      <c r="Y27"/>
      <c r="Z27" s="10">
        <f>inp_biz_revenue_m0*(1+inp_biz_rev_growth)^(2-1)*calc_scn_rev_mult</f>
        <v>0</v>
      </c>
      <c r="AA27" s="10">
        <f t="shared" si="3"/>
        <v>0</v>
      </c>
      <c r="AB27" s="10">
        <f t="shared" si="4"/>
        <v>0</v>
      </c>
      <c r="AC27" s="10">
        <f t="shared" si="5"/>
        <v>0</v>
      </c>
      <c r="AD27" s="10">
        <f>inp_biz_cash_open+SUM(AC$26:AC27)</f>
        <v>0</v>
      </c>
      <c r="AE27" s="10">
        <f t="shared" si="6"/>
        <v>0</v>
      </c>
      <c r="AF27" s="10">
        <f t="shared" si="7"/>
        <v>0</v>
      </c>
      <c r="AG27" s="10">
        <f t="shared" si="8"/>
        <v>0</v>
      </c>
      <c r="AH27" s="10">
        <f>inp_biz_cash_open+SUM(AG$26:AG27)</f>
        <v>0</v>
      </c>
      <c r="AI27" s="18">
        <f t="shared" si="9"/>
        <v>0</v>
      </c>
      <c r="AJ27"/>
      <c r="AK27"/>
      <c r="AL27"/>
      <c r="AM27" s="10">
        <f t="shared" si="10"/>
        <v>0</v>
      </c>
      <c r="AN27" s="10">
        <f t="shared" si="11"/>
        <v>0</v>
      </c>
      <c r="AO27" s="10">
        <f>0</f>
        <v>0</v>
      </c>
      <c r="AP27" s="2"/>
      <c r="AQ27" s="2"/>
      <c r="AR27" s="2"/>
      <c r="AS27"/>
      <c r="AT27"/>
      <c r="AU27"/>
      <c r="AV27" s="10">
        <f t="shared" si="12"/>
        <v>100</v>
      </c>
      <c r="AW27" s="10">
        <f t="shared" si="13"/>
        <v>0</v>
      </c>
      <c r="AX27" s="10">
        <f t="array" ref="AX27">IF((ROW()-25)-(sel_collect_lag+calc_scn_collect_add)&gt;=1,INDEX(AW$26:AW$49,(ROW()-25)-(sel_collect_lag+calc_scn_collect_add)),0)</f>
        <v>0</v>
      </c>
      <c r="AY27" s="10">
        <f>SUM(AV$26:AV27)</f>
        <v>200</v>
      </c>
      <c r="AZ27" s="10">
        <f>SUM(AX$26:AX27)</f>
        <v>0</v>
      </c>
      <c r="BA27" s="10">
        <f t="shared" si="14"/>
        <v>0</v>
      </c>
      <c r="BB27" s="2"/>
      <c r="BC27" s="19">
        <f t="shared" si="15"/>
        <v>2</v>
      </c>
      <c r="BD27" s="19">
        <f>IF(OR(NOT(inp_c1_active),2&lt;inp_c1_start_m),0,((inp_c1_salary/12)*(1+inp_c1_oncost)+inp_c1_benefits)*calc_scn_cost_mult)</f>
        <v>0</v>
      </c>
      <c r="BE27" s="19">
        <f>IF(OR(NOT(inp_c1_active),2&lt;inp_c1_start_m),0,inp_c1_bill_hours*inp_c1_rate*calc_scn_rev_mult*calc_scn_util_mult*(inp_c1_m1_prod+MAX(0,MIN(2-inp_c1_start_m,inp_c1_ramp_m-1))*(inp_c1_util-inp_c1_m1_prod)/MAX(inp_c1_ramp_m-1,1)))</f>
        <v>0</v>
      </c>
      <c r="BF27" s="2">
        <f>IF((2-(inp_c1_collect_lag+calc_scn_collect_add))&gt;=1,INDEX(BE:BE,25+2-(inp_c1_collect_lag+calc_scn_collect_add)),0)</f>
        <v>0</v>
      </c>
      <c r="BG27" s="2">
        <f>SUM(BF$26:BF27)-SUM(BD$26:BD27)</f>
        <v>0</v>
      </c>
      <c r="BH27" s="2">
        <f>IF(OR(NOT(inp_c2_active),2&lt;inp_c2_start_m),0,((inp_c2_salary/12)*(1+inp_c2_oncost)+inp_c2_benefits)*calc_scn_cost_mult)</f>
        <v>0</v>
      </c>
      <c r="BI27" s="2">
        <f>IF(OR(NOT(inp_c2_active),2&lt;inp_c2_start_m),0,inp_c2_bill_hours*inp_c2_rate*calc_scn_rev_mult*calc_scn_util_mult*(inp_c2_m1_prod+MAX(0,MIN(2-inp_c2_start_m,inp_c2_ramp_m-1))*(inp_c2_util-inp_c2_m1_prod)/MAX(inp_c2_ramp_m-1,1)))</f>
        <v>0</v>
      </c>
      <c r="BJ27" s="2">
        <f>IF((2-(inp_c2_collect_lag+calc_scn_collect_add))&gt;=1,INDEX(BI:BI,25+2-(inp_c2_collect_lag+calc_scn_collect_add)),0)</f>
        <v>0</v>
      </c>
      <c r="BK27" s="2">
        <f>SUM(BJ$26:BJ27)-SUM(BH$26:BH27)</f>
        <v>0</v>
      </c>
      <c r="BL27" s="2">
        <f>IF(OR(NOT(inp_c3_active),2&lt;inp_c3_start_m),0,((inp_c3_salary/12)*(1+inp_c3_oncost)+inp_c3_benefits)*calc_scn_cost_mult)</f>
        <v>0</v>
      </c>
      <c r="BM27" s="2">
        <f>IF(OR(NOT(inp_c3_active),2&lt;inp_c3_start_m),0,inp_c3_bill_hours*inp_c3_rate*calc_scn_rev_mult*calc_scn_util_mult*(inp_c3_m1_prod+MAX(0,MIN(2-inp_c3_start_m,inp_c3_ramp_m-1))*(inp_c3_util-inp_c3_m1_prod)/MAX(inp_c3_ramp_m-1,1)))</f>
        <v>0</v>
      </c>
      <c r="BN27" s="2">
        <f>IF((2-(inp_c3_collect_lag+calc_scn_collect_add))&gt;=1,INDEX(BM:BM,25+2-(inp_c3_collect_lag+calc_scn_collect_add)),0)</f>
        <v>0</v>
      </c>
      <c r="BO27" s="2">
        <f>SUM(BN$26:BN27)-SUM(BL$26:BL27)</f>
        <v>0</v>
      </c>
      <c r="BP27" s="2">
        <f>IF(OR(NOT(inp_c4_active),2&lt;inp_c4_start_m),0,((inp_c4_salary/12)*(1+inp_c4_oncost)+inp_c4_benefits)*calc_scn_cost_mult)</f>
        <v>0</v>
      </c>
      <c r="BQ27" s="2">
        <f>IF(OR(NOT(inp_c4_active),2&lt;inp_c4_start_m),0,inp_c4_bill_hours*inp_c4_rate*calc_scn_rev_mult*calc_scn_util_mult*(inp_c4_m1_prod+MAX(0,MIN(2-inp_c4_start_m,inp_c4_ramp_m-1))*(inp_c4_util-inp_c4_m1_prod)/MAX(inp_c4_ramp_m-1,1)))</f>
        <v>0</v>
      </c>
      <c r="BR27" s="2">
        <f>IF((2-(inp_c4_collect_lag+calc_scn_collect_add))&gt;=1,INDEX(BQ:BQ,25+2-(inp_c4_collect_lag+calc_scn_collect_add)),0)</f>
        <v>0</v>
      </c>
      <c r="BS27" s="2">
        <f>SUM(BR$26:BR27)-SUM(BP$26:BP27)</f>
        <v>0</v>
      </c>
      <c r="BT27" s="2">
        <f>IF(OR(NOT(inp_c5_active),2&lt;inp_c5_start_m),0,((inp_c5_salary/12)*(1+inp_c5_oncost)+inp_c5_benefits)*calc_scn_cost_mult)</f>
        <v>0</v>
      </c>
      <c r="BU27" s="2">
        <f>IF(OR(NOT(inp_c5_active),2&lt;inp_c5_start_m),0,inp_c5_bill_hours*inp_c5_rate*calc_scn_rev_mult*calc_scn_util_mult*(inp_c5_m1_prod+MAX(0,MIN(2-inp_c5_start_m,inp_c5_ramp_m-1))*(inp_c5_util-inp_c5_m1_prod)/MAX(inp_c5_ramp_m-1,1)))</f>
        <v>0</v>
      </c>
      <c r="BV27" s="2">
        <f>IF((2-(inp_c5_collect_lag+calc_scn_collect_add))&gt;=1,INDEX(BU:BU,25+2-(inp_c5_collect_lag+calc_scn_collect_add)),0)</f>
        <v>0</v>
      </c>
      <c r="BW27" s="2">
        <f>SUM(BV$26:BV27)-SUM(BT$26:BT27)</f>
        <v>0</v>
      </c>
      <c r="BX27" s="2">
        <f>IF(OR(NOT(inp_c6_active),2&lt;inp_c6_start_m),0,((inp_c6_salary/12)*(1+inp_c6_oncost)+inp_c6_benefits)*calc_scn_cost_mult)</f>
        <v>0</v>
      </c>
      <c r="BY27" s="2">
        <f>IF(OR(NOT(inp_c6_active),2&lt;inp_c6_start_m),0,inp_c6_bill_hours*inp_c6_rate*calc_scn_rev_mult*calc_scn_util_mult*(inp_c6_m1_prod+MAX(0,MIN(2-inp_c6_start_m,inp_c6_ramp_m-1))*(inp_c6_util-inp_c6_m1_prod)/MAX(inp_c6_ramp_m-1,1)))</f>
        <v>0</v>
      </c>
      <c r="BZ27" s="2">
        <f>IF((2-(inp_c6_collect_lag+calc_scn_collect_add))&gt;=1,INDEX(BY:BY,25+2-(inp_c6_collect_lag+calc_scn_collect_add)),0)</f>
        <v>0</v>
      </c>
      <c r="CA27" s="2">
        <f>SUM(BZ$26:BZ27)-SUM(BX$26:BX27)</f>
        <v>0</v>
      </c>
      <c r="CB27" s="2">
        <f>IF(OR(NOT(inp_c7_active),2&lt;inp_c7_start_m),0,((inp_c7_salary/12)*(1+inp_c7_oncost)+inp_c7_benefits)*calc_scn_cost_mult)</f>
        <v>0</v>
      </c>
      <c r="CC27" s="2">
        <f>IF(OR(NOT(inp_c7_active),2&lt;inp_c7_start_m),0,inp_c7_bill_hours*inp_c7_rate*calc_scn_rev_mult*calc_scn_util_mult*(inp_c7_m1_prod+MAX(0,MIN(2-inp_c7_start_m,inp_c7_ramp_m-1))*(inp_c7_util-inp_c7_m1_prod)/MAX(inp_c7_ramp_m-1,1)))</f>
        <v>0</v>
      </c>
      <c r="CD27" s="2">
        <f>IF((2-(inp_c7_collect_lag+calc_scn_collect_add))&gt;=1,INDEX(CC:CC,25+2-(inp_c7_collect_lag+calc_scn_collect_add)),0)</f>
        <v>0</v>
      </c>
      <c r="CE27" s="2">
        <f>SUM(CD$26:CD27)-SUM(CB$26:CB27)</f>
        <v>0</v>
      </c>
      <c r="CF27" s="2">
        <f>IF(OR(NOT(inp_c8_active),2&lt;inp_c8_start_m),0,((inp_c8_salary/12)*(1+inp_c8_oncost)+inp_c8_benefits)*calc_scn_cost_mult)</f>
        <v>0</v>
      </c>
      <c r="CG27" s="2">
        <f>IF(OR(NOT(inp_c8_active),2&lt;inp_c8_start_m),0,inp_c8_bill_hours*inp_c8_rate*calc_scn_rev_mult*calc_scn_util_mult*(inp_c8_m1_prod+MAX(0,MIN(2-inp_c8_start_m,inp_c8_ramp_m-1))*(inp_c8_util-inp_c8_m1_prod)/MAX(inp_c8_ramp_m-1,1)))</f>
        <v>0</v>
      </c>
      <c r="CH27" s="2">
        <f>IF((2-(inp_c8_collect_lag+calc_scn_collect_add))&gt;=1,INDEX(CG:CG,25+2-(inp_c8_collect_lag+calc_scn_collect_add)),0)</f>
        <v>0</v>
      </c>
      <c r="CI27" s="2">
        <f>SUM(CH$26:CH27)-SUM(CF$26:CF27)</f>
        <v>0</v>
      </c>
      <c r="CJ27" s="2"/>
      <c r="CK27" s="2"/>
      <c r="CL27" s="2"/>
      <c r="CM27" s="2">
        <f>IF(AND(BG27&gt;=0,2&gt;=inp_c1_start_m),2,9999)</f>
        <v>2</v>
      </c>
      <c r="CN27" s="2">
        <f>IF(AND(BK27&gt;=0,2&gt;=inp_c2_start_m),2,9999)</f>
        <v>2</v>
      </c>
      <c r="CO27" s="2">
        <f>IF(AND(BO27&gt;=0,2&gt;=inp_c3_start_m),2,9999)</f>
        <v>2</v>
      </c>
      <c r="CP27" s="2">
        <f>IF(AND(BS27&gt;=0,2&gt;=inp_c4_start_m),2,9999)</f>
        <v>2</v>
      </c>
      <c r="CQ27" s="2">
        <f>IF(AND(BW27&gt;=0,2&gt;=inp_c5_start_m),2,9999)</f>
        <v>2</v>
      </c>
      <c r="CR27" s="2">
        <f>IF(AND(CA27&gt;=0,2&gt;=inp_c6_start_m),2,9999)</f>
        <v>2</v>
      </c>
      <c r="CS27" s="2">
        <f>IF(AND(CE27&gt;=0,2&gt;=inp_c7_start_m),2,9999)</f>
        <v>2</v>
      </c>
      <c r="CT27" s="2">
        <f>IF(AND(CI27&gt;=0,2&gt;=inp_c8_start_m),2,9999)</f>
        <v>2</v>
      </c>
      <c r="CU27" s="2"/>
      <c r="CV27" s="55">
        <f>inp_biz_cash_open+SUM(AC$26:AC27)+SUM(BF$26:BF27)-SUM(BD$26:BD27)</f>
        <v>0</v>
      </c>
      <c r="CW27" s="55">
        <f>inp_biz_cash_open+SUM(AC$26:AC27)+SUM(BJ$26:BJ27)-SUM(BH$26:BH27)</f>
        <v>0</v>
      </c>
      <c r="CX27" s="55">
        <f>inp_biz_cash_open+SUM(AC$26:AC27)+SUM(BN$26:BN27)-SUM(BL$26:BL27)</f>
        <v>0</v>
      </c>
      <c r="CY27" s="55">
        <f>inp_biz_cash_open+SUM(AC$26:AC27)+SUM(BR$26:BR27)-SUM(BP$26:BP27)</f>
        <v>0</v>
      </c>
      <c r="CZ27" s="55">
        <f>inp_biz_cash_open+SUM(AC$26:AC27)+SUM(BV$26:BV27)-SUM(BT$26:BT27)</f>
        <v>0</v>
      </c>
      <c r="DA27" s="55">
        <f>inp_biz_cash_open+SUM(AC$26:AC27)+SUM(BZ$26:BZ27)-SUM(BX$26:BX27)</f>
        <v>0</v>
      </c>
      <c r="DB27" s="55">
        <f>inp_biz_cash_open+SUM(AC$26:AC27)+SUM(CD$26:CD27)-SUM(CB$26:CB27)</f>
        <v>0</v>
      </c>
      <c r="DC27" s="55">
        <f>inp_biz_cash_open+SUM(AC$26:AC27)+SUM(CH$26:CH27)-SUM(CF$26:CF27)</f>
        <v>0</v>
      </c>
      <c r="DD27" s="2"/>
      <c r="DE27" s="2"/>
      <c r="DF27" s="2"/>
      <c r="DG27" s="2"/>
      <c r="DH27" s="2"/>
      <c r="DI27" s="2"/>
      <c r="DJ27" s="19"/>
      <c r="DK27" s="20"/>
      <c r="DL27" s="20"/>
      <c r="DM27" s="20"/>
      <c r="DO27" s="66"/>
    </row>
    <row r="28" spans="1:119" ht="22" customHeight="1" x14ac:dyDescent="0.2">
      <c r="A28" s="1"/>
      <c r="B28" s="8" t="s">
        <v>102</v>
      </c>
      <c r="C28" s="80"/>
      <c r="D28" s="68"/>
      <c r="E28" s="80"/>
      <c r="F28" s="69"/>
      <c r="G28" s="69"/>
      <c r="H28" s="69"/>
      <c r="I28" s="69"/>
      <c r="J28" s="69"/>
      <c r="K28" s="1"/>
      <c r="L28" s="2"/>
      <c r="M28" s="18">
        <v>3</v>
      </c>
      <c r="N28"/>
      <c r="O28"/>
      <c r="P28"/>
      <c r="Q28"/>
      <c r="R28"/>
      <c r="S28"/>
      <c r="T28"/>
      <c r="U28"/>
      <c r="V28"/>
      <c r="W28"/>
      <c r="X28"/>
      <c r="Y28"/>
      <c r="Z28" s="10">
        <f>inp_biz_revenue_m0*(1+inp_biz_rev_growth)^(3-1)*calc_scn_rev_mult</f>
        <v>0</v>
      </c>
      <c r="AA28" s="10">
        <f t="shared" si="3"/>
        <v>0</v>
      </c>
      <c r="AB28" s="10">
        <f t="shared" si="4"/>
        <v>0</v>
      </c>
      <c r="AC28" s="10">
        <f t="shared" si="5"/>
        <v>0</v>
      </c>
      <c r="AD28" s="10">
        <f>inp_biz_cash_open+SUM(AC$26:AC28)</f>
        <v>0</v>
      </c>
      <c r="AE28" s="10">
        <f t="shared" si="6"/>
        <v>0</v>
      </c>
      <c r="AF28" s="10">
        <f t="shared" si="7"/>
        <v>0</v>
      </c>
      <c r="AG28" s="10">
        <f t="shared" si="8"/>
        <v>0</v>
      </c>
      <c r="AH28" s="10">
        <f>inp_biz_cash_open+SUM(AG$26:AG28)</f>
        <v>0</v>
      </c>
      <c r="AI28" s="18">
        <f t="shared" si="9"/>
        <v>0</v>
      </c>
      <c r="AJ28"/>
      <c r="AK28"/>
      <c r="AL28"/>
      <c r="AM28" s="10">
        <f t="shared" si="10"/>
        <v>0</v>
      </c>
      <c r="AN28" s="10">
        <f t="shared" si="11"/>
        <v>0</v>
      </c>
      <c r="AO28" s="10">
        <f>0</f>
        <v>0</v>
      </c>
      <c r="AP28" s="2"/>
      <c r="AQ28" s="2"/>
      <c r="AR28" s="2"/>
      <c r="AS28"/>
      <c r="AT28"/>
      <c r="AU28"/>
      <c r="AV28" s="10">
        <f t="shared" si="12"/>
        <v>100</v>
      </c>
      <c r="AW28" s="10">
        <f t="shared" si="13"/>
        <v>0</v>
      </c>
      <c r="AX28" s="10">
        <f t="array" ref="AX28">IF((ROW()-25)-(sel_collect_lag+calc_scn_collect_add)&gt;=1,INDEX(AW$26:AW$49,(ROW()-25)-(sel_collect_lag+calc_scn_collect_add)),0)</f>
        <v>0</v>
      </c>
      <c r="AY28" s="10">
        <f>SUM(AV$26:AV28)</f>
        <v>300</v>
      </c>
      <c r="AZ28" s="10">
        <f>SUM(AX$26:AX28)</f>
        <v>0</v>
      </c>
      <c r="BA28" s="10">
        <f t="shared" si="14"/>
        <v>0</v>
      </c>
      <c r="BB28" s="2"/>
      <c r="BC28" s="19">
        <f t="shared" si="15"/>
        <v>3</v>
      </c>
      <c r="BD28" s="19">
        <f>IF(OR(NOT(inp_c1_active),3&lt;inp_c1_start_m),0,((inp_c1_salary/12)*(1+inp_c1_oncost)+inp_c1_benefits)*calc_scn_cost_mult)</f>
        <v>0</v>
      </c>
      <c r="BE28" s="19">
        <f>IF(OR(NOT(inp_c1_active),3&lt;inp_c1_start_m),0,inp_c1_bill_hours*inp_c1_rate*calc_scn_rev_mult*calc_scn_util_mult*(inp_c1_m1_prod+MAX(0,MIN(3-inp_c1_start_m,inp_c1_ramp_m-1))*(inp_c1_util-inp_c1_m1_prod)/MAX(inp_c1_ramp_m-1,1)))</f>
        <v>0</v>
      </c>
      <c r="BF28" s="2">
        <f>IF((3-(inp_c1_collect_lag+calc_scn_collect_add))&gt;=1,INDEX(BE:BE,25+3-(inp_c1_collect_lag+calc_scn_collect_add)),0)</f>
        <v>0</v>
      </c>
      <c r="BG28" s="2">
        <f>SUM(BF$26:BF28)-SUM(BD$26:BD28)</f>
        <v>0</v>
      </c>
      <c r="BH28" s="2">
        <f>IF(OR(NOT(inp_c2_active),3&lt;inp_c2_start_m),0,((inp_c2_salary/12)*(1+inp_c2_oncost)+inp_c2_benefits)*calc_scn_cost_mult)</f>
        <v>0</v>
      </c>
      <c r="BI28" s="2">
        <f>IF(OR(NOT(inp_c2_active),3&lt;inp_c2_start_m),0,inp_c2_bill_hours*inp_c2_rate*calc_scn_rev_mult*calc_scn_util_mult*(inp_c2_m1_prod+MAX(0,MIN(3-inp_c2_start_m,inp_c2_ramp_m-1))*(inp_c2_util-inp_c2_m1_prod)/MAX(inp_c2_ramp_m-1,1)))</f>
        <v>0</v>
      </c>
      <c r="BJ28" s="2">
        <f>IF((3-(inp_c2_collect_lag+calc_scn_collect_add))&gt;=1,INDEX(BI:BI,25+3-(inp_c2_collect_lag+calc_scn_collect_add)),0)</f>
        <v>0</v>
      </c>
      <c r="BK28" s="2">
        <f>SUM(BJ$26:BJ28)-SUM(BH$26:BH28)</f>
        <v>0</v>
      </c>
      <c r="BL28" s="2">
        <f>IF(OR(NOT(inp_c3_active),3&lt;inp_c3_start_m),0,((inp_c3_salary/12)*(1+inp_c3_oncost)+inp_c3_benefits)*calc_scn_cost_mult)</f>
        <v>0</v>
      </c>
      <c r="BM28" s="2">
        <f>IF(OR(NOT(inp_c3_active),3&lt;inp_c3_start_m),0,inp_c3_bill_hours*inp_c3_rate*calc_scn_rev_mult*calc_scn_util_mult*(inp_c3_m1_prod+MAX(0,MIN(3-inp_c3_start_m,inp_c3_ramp_m-1))*(inp_c3_util-inp_c3_m1_prod)/MAX(inp_c3_ramp_m-1,1)))</f>
        <v>0</v>
      </c>
      <c r="BN28" s="2">
        <f>IF((3-(inp_c3_collect_lag+calc_scn_collect_add))&gt;=1,INDEX(BM:BM,25+3-(inp_c3_collect_lag+calc_scn_collect_add)),0)</f>
        <v>0</v>
      </c>
      <c r="BO28" s="2">
        <f>SUM(BN$26:BN28)-SUM(BL$26:BL28)</f>
        <v>0</v>
      </c>
      <c r="BP28" s="2">
        <f>IF(OR(NOT(inp_c4_active),3&lt;inp_c4_start_m),0,((inp_c4_salary/12)*(1+inp_c4_oncost)+inp_c4_benefits)*calc_scn_cost_mult)</f>
        <v>0</v>
      </c>
      <c r="BQ28" s="2">
        <f>IF(OR(NOT(inp_c4_active),3&lt;inp_c4_start_m),0,inp_c4_bill_hours*inp_c4_rate*calc_scn_rev_mult*calc_scn_util_mult*(inp_c4_m1_prod+MAX(0,MIN(3-inp_c4_start_m,inp_c4_ramp_m-1))*(inp_c4_util-inp_c4_m1_prod)/MAX(inp_c4_ramp_m-1,1)))</f>
        <v>0</v>
      </c>
      <c r="BR28" s="2">
        <f>IF((3-(inp_c4_collect_lag+calc_scn_collect_add))&gt;=1,INDEX(BQ:BQ,25+3-(inp_c4_collect_lag+calc_scn_collect_add)),0)</f>
        <v>0</v>
      </c>
      <c r="BS28" s="2">
        <f>SUM(BR$26:BR28)-SUM(BP$26:BP28)</f>
        <v>0</v>
      </c>
      <c r="BT28" s="2">
        <f>IF(OR(NOT(inp_c5_active),3&lt;inp_c5_start_m),0,((inp_c5_salary/12)*(1+inp_c5_oncost)+inp_c5_benefits)*calc_scn_cost_mult)</f>
        <v>0</v>
      </c>
      <c r="BU28" s="2">
        <f>IF(OR(NOT(inp_c5_active),3&lt;inp_c5_start_m),0,inp_c5_bill_hours*inp_c5_rate*calc_scn_rev_mult*calc_scn_util_mult*(inp_c5_m1_prod+MAX(0,MIN(3-inp_c5_start_m,inp_c5_ramp_m-1))*(inp_c5_util-inp_c5_m1_prod)/MAX(inp_c5_ramp_m-1,1)))</f>
        <v>0</v>
      </c>
      <c r="BV28" s="2">
        <f>IF((3-(inp_c5_collect_lag+calc_scn_collect_add))&gt;=1,INDEX(BU:BU,25+3-(inp_c5_collect_lag+calc_scn_collect_add)),0)</f>
        <v>0</v>
      </c>
      <c r="BW28" s="2">
        <f>SUM(BV$26:BV28)-SUM(BT$26:BT28)</f>
        <v>0</v>
      </c>
      <c r="BX28" s="2">
        <f>IF(OR(NOT(inp_c6_active),3&lt;inp_c6_start_m),0,((inp_c6_salary/12)*(1+inp_c6_oncost)+inp_c6_benefits)*calc_scn_cost_mult)</f>
        <v>0</v>
      </c>
      <c r="BY28" s="2">
        <f>IF(OR(NOT(inp_c6_active),3&lt;inp_c6_start_m),0,inp_c6_bill_hours*inp_c6_rate*calc_scn_rev_mult*calc_scn_util_mult*(inp_c6_m1_prod+MAX(0,MIN(3-inp_c6_start_m,inp_c6_ramp_m-1))*(inp_c6_util-inp_c6_m1_prod)/MAX(inp_c6_ramp_m-1,1)))</f>
        <v>0</v>
      </c>
      <c r="BZ28" s="2">
        <f>IF((3-(inp_c6_collect_lag+calc_scn_collect_add))&gt;=1,INDEX(BY:BY,25+3-(inp_c6_collect_lag+calc_scn_collect_add)),0)</f>
        <v>0</v>
      </c>
      <c r="CA28" s="2">
        <f>SUM(BZ$26:BZ28)-SUM(BX$26:BX28)</f>
        <v>0</v>
      </c>
      <c r="CB28" s="2">
        <f>IF(OR(NOT(inp_c7_active),3&lt;inp_c7_start_m),0,((inp_c7_salary/12)*(1+inp_c7_oncost)+inp_c7_benefits)*calc_scn_cost_mult)</f>
        <v>0</v>
      </c>
      <c r="CC28" s="2">
        <f>IF(OR(NOT(inp_c7_active),3&lt;inp_c7_start_m),0,inp_c7_bill_hours*inp_c7_rate*calc_scn_rev_mult*calc_scn_util_mult*(inp_c7_m1_prod+MAX(0,MIN(3-inp_c7_start_m,inp_c7_ramp_m-1))*(inp_c7_util-inp_c7_m1_prod)/MAX(inp_c7_ramp_m-1,1)))</f>
        <v>0</v>
      </c>
      <c r="CD28" s="2">
        <f>IF((3-(inp_c7_collect_lag+calc_scn_collect_add))&gt;=1,INDEX(CC:CC,25+3-(inp_c7_collect_lag+calc_scn_collect_add)),0)</f>
        <v>0</v>
      </c>
      <c r="CE28" s="2">
        <f>SUM(CD$26:CD28)-SUM(CB$26:CB28)</f>
        <v>0</v>
      </c>
      <c r="CF28" s="2">
        <f>IF(OR(NOT(inp_c8_active),3&lt;inp_c8_start_m),0,((inp_c8_salary/12)*(1+inp_c8_oncost)+inp_c8_benefits)*calc_scn_cost_mult)</f>
        <v>0</v>
      </c>
      <c r="CG28" s="2">
        <f>IF(OR(NOT(inp_c8_active),3&lt;inp_c8_start_m),0,inp_c8_bill_hours*inp_c8_rate*calc_scn_rev_mult*calc_scn_util_mult*(inp_c8_m1_prod+MAX(0,MIN(3-inp_c8_start_m,inp_c8_ramp_m-1))*(inp_c8_util-inp_c8_m1_prod)/MAX(inp_c8_ramp_m-1,1)))</f>
        <v>0</v>
      </c>
      <c r="CH28" s="2">
        <f>IF((3-(inp_c8_collect_lag+calc_scn_collect_add))&gt;=1,INDEX(CG:CG,25+3-(inp_c8_collect_lag+calc_scn_collect_add)),0)</f>
        <v>0</v>
      </c>
      <c r="CI28" s="2">
        <f>SUM(CH$26:CH28)-SUM(CF$26:CF28)</f>
        <v>0</v>
      </c>
      <c r="CJ28" s="2"/>
      <c r="CK28" s="2"/>
      <c r="CL28" s="2"/>
      <c r="CM28" s="2">
        <f>IF(AND(BG28&gt;=0,3&gt;=inp_c1_start_m),3,9999)</f>
        <v>3</v>
      </c>
      <c r="CN28" s="2">
        <f>IF(AND(BK28&gt;=0,3&gt;=inp_c2_start_m),3,9999)</f>
        <v>3</v>
      </c>
      <c r="CO28" s="2">
        <f>IF(AND(BO28&gt;=0,3&gt;=inp_c3_start_m),3,9999)</f>
        <v>3</v>
      </c>
      <c r="CP28" s="2">
        <f>IF(AND(BS28&gt;=0,3&gt;=inp_c4_start_m),3,9999)</f>
        <v>3</v>
      </c>
      <c r="CQ28" s="2">
        <f>IF(AND(BW28&gt;=0,3&gt;=inp_c5_start_m),3,9999)</f>
        <v>3</v>
      </c>
      <c r="CR28" s="2">
        <f>IF(AND(CA28&gt;=0,3&gt;=inp_c6_start_m),3,9999)</f>
        <v>3</v>
      </c>
      <c r="CS28" s="2">
        <f>IF(AND(CE28&gt;=0,3&gt;=inp_c7_start_m),3,9999)</f>
        <v>3</v>
      </c>
      <c r="CT28" s="2">
        <f>IF(AND(CI28&gt;=0,3&gt;=inp_c8_start_m),3,9999)</f>
        <v>3</v>
      </c>
      <c r="CU28" s="2"/>
      <c r="CV28" s="55">
        <f>inp_biz_cash_open+SUM(AC$26:AC28)+SUM(BF$26:BF28)-SUM(BD$26:BD28)</f>
        <v>0</v>
      </c>
      <c r="CW28" s="55">
        <f>inp_biz_cash_open+SUM(AC$26:AC28)+SUM(BJ$26:BJ28)-SUM(BH$26:BH28)</f>
        <v>0</v>
      </c>
      <c r="CX28" s="55">
        <f>inp_biz_cash_open+SUM(AC$26:AC28)+SUM(BN$26:BN28)-SUM(BL$26:BL28)</f>
        <v>0</v>
      </c>
      <c r="CY28" s="55">
        <f>inp_biz_cash_open+SUM(AC$26:AC28)+SUM(BR$26:BR28)-SUM(BP$26:BP28)</f>
        <v>0</v>
      </c>
      <c r="CZ28" s="55">
        <f>inp_biz_cash_open+SUM(AC$26:AC28)+SUM(BV$26:BV28)-SUM(BT$26:BT28)</f>
        <v>0</v>
      </c>
      <c r="DA28" s="55">
        <f>inp_biz_cash_open+SUM(AC$26:AC28)+SUM(BZ$26:BZ28)-SUM(BX$26:BX28)</f>
        <v>0</v>
      </c>
      <c r="DB28" s="55">
        <f>inp_biz_cash_open+SUM(AC$26:AC28)+SUM(CD$26:CD28)-SUM(CB$26:CB28)</f>
        <v>0</v>
      </c>
      <c r="DC28" s="55">
        <f>inp_biz_cash_open+SUM(AC$26:AC28)+SUM(CH$26:CH28)-SUM(CF$26:CF28)</f>
        <v>0</v>
      </c>
      <c r="DD28" s="2"/>
      <c r="DE28" s="2"/>
      <c r="DF28" s="2"/>
      <c r="DG28" s="2"/>
      <c r="DH28" s="2"/>
      <c r="DI28" s="2"/>
      <c r="DJ28" s="19"/>
      <c r="DK28" s="20"/>
      <c r="DL28" s="20"/>
      <c r="DM28" s="20"/>
      <c r="DO28" s="66"/>
    </row>
    <row r="29" spans="1:119" ht="22" customHeight="1" x14ac:dyDescent="0.2">
      <c r="A29" s="1"/>
      <c r="B29" s="8" t="s">
        <v>103</v>
      </c>
      <c r="C29" s="75"/>
      <c r="D29" s="76"/>
      <c r="E29" s="75"/>
      <c r="F29" s="70"/>
      <c r="G29" s="70"/>
      <c r="H29" s="70"/>
      <c r="I29" s="70"/>
      <c r="J29" s="70"/>
      <c r="K29" s="1"/>
      <c r="L29" s="2"/>
      <c r="M29" s="18">
        <v>4</v>
      </c>
      <c r="N29"/>
      <c r="O29"/>
      <c r="P29"/>
      <c r="Q29"/>
      <c r="R29"/>
      <c r="S29"/>
      <c r="T29"/>
      <c r="U29"/>
      <c r="V29"/>
      <c r="W29"/>
      <c r="X29"/>
      <c r="Y29"/>
      <c r="Z29" s="10">
        <f>inp_biz_revenue_m0*(1+inp_biz_rev_growth)^(4-1)*calc_scn_rev_mult</f>
        <v>0</v>
      </c>
      <c r="AA29" s="10">
        <f t="shared" si="3"/>
        <v>0</v>
      </c>
      <c r="AB29" s="10">
        <f t="shared" si="4"/>
        <v>0</v>
      </c>
      <c r="AC29" s="10">
        <f t="shared" si="5"/>
        <v>0</v>
      </c>
      <c r="AD29" s="10">
        <f>inp_biz_cash_open+SUM(AC$26:AC29)</f>
        <v>0</v>
      </c>
      <c r="AE29" s="10">
        <f t="shared" si="6"/>
        <v>0</v>
      </c>
      <c r="AF29" s="10">
        <f t="shared" si="7"/>
        <v>0</v>
      </c>
      <c r="AG29" s="10">
        <f t="shared" si="8"/>
        <v>0</v>
      </c>
      <c r="AH29" s="10">
        <f>inp_biz_cash_open+SUM(AG$26:AG29)</f>
        <v>0</v>
      </c>
      <c r="AI29" s="18">
        <f t="shared" si="9"/>
        <v>0</v>
      </c>
      <c r="AJ29"/>
      <c r="AK29"/>
      <c r="AL29"/>
      <c r="AM29" s="10">
        <f t="shared" si="10"/>
        <v>0</v>
      </c>
      <c r="AN29" s="10">
        <f t="shared" si="11"/>
        <v>0</v>
      </c>
      <c r="AO29" s="10">
        <f>0</f>
        <v>0</v>
      </c>
      <c r="AP29" s="2"/>
      <c r="AQ29" s="2"/>
      <c r="AR29" s="2"/>
      <c r="AS29"/>
      <c r="AT29"/>
      <c r="AU29"/>
      <c r="AV29" s="10">
        <f t="shared" si="12"/>
        <v>100</v>
      </c>
      <c r="AW29" s="10">
        <f t="shared" si="13"/>
        <v>0</v>
      </c>
      <c r="AX29" s="10">
        <f t="array" ref="AX29">IF((ROW()-25)-(sel_collect_lag+calc_scn_collect_add)&gt;=1,INDEX(AW$26:AW$49,(ROW()-25)-(sel_collect_lag+calc_scn_collect_add)),0)</f>
        <v>0</v>
      </c>
      <c r="AY29" s="10">
        <f>SUM(AV$26:AV29)</f>
        <v>400</v>
      </c>
      <c r="AZ29" s="10">
        <f>SUM(AX$26:AX29)</f>
        <v>0</v>
      </c>
      <c r="BA29" s="10">
        <f t="shared" si="14"/>
        <v>0</v>
      </c>
      <c r="BB29" s="2"/>
      <c r="BC29" s="19">
        <f t="shared" si="15"/>
        <v>4</v>
      </c>
      <c r="BD29" s="19">
        <f>IF(OR(NOT(inp_c1_active),4&lt;inp_c1_start_m),0,((inp_c1_salary/12)*(1+inp_c1_oncost)+inp_c1_benefits)*calc_scn_cost_mult)</f>
        <v>0</v>
      </c>
      <c r="BE29" s="19">
        <f>IF(OR(NOT(inp_c1_active),4&lt;inp_c1_start_m),0,inp_c1_bill_hours*inp_c1_rate*calc_scn_rev_mult*calc_scn_util_mult*(inp_c1_m1_prod+MAX(0,MIN(4-inp_c1_start_m,inp_c1_ramp_m-1))*(inp_c1_util-inp_c1_m1_prod)/MAX(inp_c1_ramp_m-1,1)))</f>
        <v>0</v>
      </c>
      <c r="BF29" s="2">
        <f>IF((4-(inp_c1_collect_lag+calc_scn_collect_add))&gt;=1,INDEX(BE:BE,25+4-(inp_c1_collect_lag+calc_scn_collect_add)),0)</f>
        <v>0</v>
      </c>
      <c r="BG29" s="2">
        <f>SUM(BF$26:BF29)-SUM(BD$26:BD29)</f>
        <v>0</v>
      </c>
      <c r="BH29" s="2">
        <f>IF(OR(NOT(inp_c2_active),4&lt;inp_c2_start_m),0,((inp_c2_salary/12)*(1+inp_c2_oncost)+inp_c2_benefits)*calc_scn_cost_mult)</f>
        <v>0</v>
      </c>
      <c r="BI29" s="2">
        <f>IF(OR(NOT(inp_c2_active),4&lt;inp_c2_start_m),0,inp_c2_bill_hours*inp_c2_rate*calc_scn_rev_mult*calc_scn_util_mult*(inp_c2_m1_prod+MAX(0,MIN(4-inp_c2_start_m,inp_c2_ramp_m-1))*(inp_c2_util-inp_c2_m1_prod)/MAX(inp_c2_ramp_m-1,1)))</f>
        <v>0</v>
      </c>
      <c r="BJ29" s="2">
        <f>IF((4-(inp_c2_collect_lag+calc_scn_collect_add))&gt;=1,INDEX(BI:BI,25+4-(inp_c2_collect_lag+calc_scn_collect_add)),0)</f>
        <v>0</v>
      </c>
      <c r="BK29" s="2">
        <f>SUM(BJ$26:BJ29)-SUM(BH$26:BH29)</f>
        <v>0</v>
      </c>
      <c r="BL29" s="2">
        <f>IF(OR(NOT(inp_c3_active),4&lt;inp_c3_start_m),0,((inp_c3_salary/12)*(1+inp_c3_oncost)+inp_c3_benefits)*calc_scn_cost_mult)</f>
        <v>0</v>
      </c>
      <c r="BM29" s="2">
        <f>IF(OR(NOT(inp_c3_active),4&lt;inp_c3_start_m),0,inp_c3_bill_hours*inp_c3_rate*calc_scn_rev_mult*calc_scn_util_mult*(inp_c3_m1_prod+MAX(0,MIN(4-inp_c3_start_m,inp_c3_ramp_m-1))*(inp_c3_util-inp_c3_m1_prod)/MAX(inp_c3_ramp_m-1,1)))</f>
        <v>0</v>
      </c>
      <c r="BN29" s="2">
        <f>IF((4-(inp_c3_collect_lag+calc_scn_collect_add))&gt;=1,INDEX(BM:BM,25+4-(inp_c3_collect_lag+calc_scn_collect_add)),0)</f>
        <v>0</v>
      </c>
      <c r="BO29" s="2">
        <f>SUM(BN$26:BN29)-SUM(BL$26:BL29)</f>
        <v>0</v>
      </c>
      <c r="BP29" s="2">
        <f>IF(OR(NOT(inp_c4_active),4&lt;inp_c4_start_m),0,((inp_c4_salary/12)*(1+inp_c4_oncost)+inp_c4_benefits)*calc_scn_cost_mult)</f>
        <v>0</v>
      </c>
      <c r="BQ29" s="2">
        <f>IF(OR(NOT(inp_c4_active),4&lt;inp_c4_start_m),0,inp_c4_bill_hours*inp_c4_rate*calc_scn_rev_mult*calc_scn_util_mult*(inp_c4_m1_prod+MAX(0,MIN(4-inp_c4_start_m,inp_c4_ramp_m-1))*(inp_c4_util-inp_c4_m1_prod)/MAX(inp_c4_ramp_m-1,1)))</f>
        <v>0</v>
      </c>
      <c r="BR29" s="2">
        <f>IF((4-(inp_c4_collect_lag+calc_scn_collect_add))&gt;=1,INDEX(BQ:BQ,25+4-(inp_c4_collect_lag+calc_scn_collect_add)),0)</f>
        <v>0</v>
      </c>
      <c r="BS29" s="2">
        <f>SUM(BR$26:BR29)-SUM(BP$26:BP29)</f>
        <v>0</v>
      </c>
      <c r="BT29" s="2">
        <f>IF(OR(NOT(inp_c5_active),4&lt;inp_c5_start_m),0,((inp_c5_salary/12)*(1+inp_c5_oncost)+inp_c5_benefits)*calc_scn_cost_mult)</f>
        <v>0</v>
      </c>
      <c r="BU29" s="2">
        <f>IF(OR(NOT(inp_c5_active),4&lt;inp_c5_start_m),0,inp_c5_bill_hours*inp_c5_rate*calc_scn_rev_mult*calc_scn_util_mult*(inp_c5_m1_prod+MAX(0,MIN(4-inp_c5_start_m,inp_c5_ramp_m-1))*(inp_c5_util-inp_c5_m1_prod)/MAX(inp_c5_ramp_m-1,1)))</f>
        <v>0</v>
      </c>
      <c r="BV29" s="2">
        <f>IF((4-(inp_c5_collect_lag+calc_scn_collect_add))&gt;=1,INDEX(BU:BU,25+4-(inp_c5_collect_lag+calc_scn_collect_add)),0)</f>
        <v>0</v>
      </c>
      <c r="BW29" s="2">
        <f>SUM(BV$26:BV29)-SUM(BT$26:BT29)</f>
        <v>0</v>
      </c>
      <c r="BX29" s="2">
        <f>IF(OR(NOT(inp_c6_active),4&lt;inp_c6_start_m),0,((inp_c6_salary/12)*(1+inp_c6_oncost)+inp_c6_benefits)*calc_scn_cost_mult)</f>
        <v>0</v>
      </c>
      <c r="BY29" s="2">
        <f>IF(OR(NOT(inp_c6_active),4&lt;inp_c6_start_m),0,inp_c6_bill_hours*inp_c6_rate*calc_scn_rev_mult*calc_scn_util_mult*(inp_c6_m1_prod+MAX(0,MIN(4-inp_c6_start_m,inp_c6_ramp_m-1))*(inp_c6_util-inp_c6_m1_prod)/MAX(inp_c6_ramp_m-1,1)))</f>
        <v>0</v>
      </c>
      <c r="BZ29" s="2">
        <f>IF((4-(inp_c6_collect_lag+calc_scn_collect_add))&gt;=1,INDEX(BY:BY,25+4-(inp_c6_collect_lag+calc_scn_collect_add)),0)</f>
        <v>0</v>
      </c>
      <c r="CA29" s="2">
        <f>SUM(BZ$26:BZ29)-SUM(BX$26:BX29)</f>
        <v>0</v>
      </c>
      <c r="CB29" s="2">
        <f>IF(OR(NOT(inp_c7_active),4&lt;inp_c7_start_m),0,((inp_c7_salary/12)*(1+inp_c7_oncost)+inp_c7_benefits)*calc_scn_cost_mult)</f>
        <v>0</v>
      </c>
      <c r="CC29" s="2">
        <f>IF(OR(NOT(inp_c7_active),4&lt;inp_c7_start_m),0,inp_c7_bill_hours*inp_c7_rate*calc_scn_rev_mult*calc_scn_util_mult*(inp_c7_m1_prod+MAX(0,MIN(4-inp_c7_start_m,inp_c7_ramp_m-1))*(inp_c7_util-inp_c7_m1_prod)/MAX(inp_c7_ramp_m-1,1)))</f>
        <v>0</v>
      </c>
      <c r="CD29" s="2">
        <f>IF((4-(inp_c7_collect_lag+calc_scn_collect_add))&gt;=1,INDEX(CC:CC,25+4-(inp_c7_collect_lag+calc_scn_collect_add)),0)</f>
        <v>0</v>
      </c>
      <c r="CE29" s="2">
        <f>SUM(CD$26:CD29)-SUM(CB$26:CB29)</f>
        <v>0</v>
      </c>
      <c r="CF29" s="2">
        <f>IF(OR(NOT(inp_c8_active),4&lt;inp_c8_start_m),0,((inp_c8_salary/12)*(1+inp_c8_oncost)+inp_c8_benefits)*calc_scn_cost_mult)</f>
        <v>0</v>
      </c>
      <c r="CG29" s="2">
        <f>IF(OR(NOT(inp_c8_active),4&lt;inp_c8_start_m),0,inp_c8_bill_hours*inp_c8_rate*calc_scn_rev_mult*calc_scn_util_mult*(inp_c8_m1_prod+MAX(0,MIN(4-inp_c8_start_m,inp_c8_ramp_m-1))*(inp_c8_util-inp_c8_m1_prod)/MAX(inp_c8_ramp_m-1,1)))</f>
        <v>0</v>
      </c>
      <c r="CH29" s="2">
        <f>IF((4-(inp_c8_collect_lag+calc_scn_collect_add))&gt;=1,INDEX(CG:CG,25+4-(inp_c8_collect_lag+calc_scn_collect_add)),0)</f>
        <v>0</v>
      </c>
      <c r="CI29" s="2">
        <f>SUM(CH$26:CH29)-SUM(CF$26:CF29)</f>
        <v>0</v>
      </c>
      <c r="CJ29" s="2"/>
      <c r="CK29" s="2"/>
      <c r="CL29" s="2"/>
      <c r="CM29" s="2">
        <f>IF(AND(BG29&gt;=0,4&gt;=inp_c1_start_m),4,9999)</f>
        <v>4</v>
      </c>
      <c r="CN29" s="2">
        <f>IF(AND(BK29&gt;=0,4&gt;=inp_c2_start_m),4,9999)</f>
        <v>4</v>
      </c>
      <c r="CO29" s="2">
        <f>IF(AND(BO29&gt;=0,4&gt;=inp_c3_start_m),4,9999)</f>
        <v>4</v>
      </c>
      <c r="CP29" s="2">
        <f>IF(AND(BS29&gt;=0,4&gt;=inp_c4_start_m),4,9999)</f>
        <v>4</v>
      </c>
      <c r="CQ29" s="2">
        <f>IF(AND(BW29&gt;=0,4&gt;=inp_c5_start_m),4,9999)</f>
        <v>4</v>
      </c>
      <c r="CR29" s="2">
        <f>IF(AND(CA29&gt;=0,4&gt;=inp_c6_start_m),4,9999)</f>
        <v>4</v>
      </c>
      <c r="CS29" s="2">
        <f>IF(AND(CE29&gt;=0,4&gt;=inp_c7_start_m),4,9999)</f>
        <v>4</v>
      </c>
      <c r="CT29" s="2">
        <f>IF(AND(CI29&gt;=0,4&gt;=inp_c8_start_m),4,9999)</f>
        <v>4</v>
      </c>
      <c r="CU29" s="2"/>
      <c r="CV29" s="55">
        <f>inp_biz_cash_open+SUM(AC$26:AC29)+SUM(BF$26:BF29)-SUM(BD$26:BD29)</f>
        <v>0</v>
      </c>
      <c r="CW29" s="55">
        <f>inp_biz_cash_open+SUM(AC$26:AC29)+SUM(BJ$26:BJ29)-SUM(BH$26:BH29)</f>
        <v>0</v>
      </c>
      <c r="CX29" s="55">
        <f>inp_biz_cash_open+SUM(AC$26:AC29)+SUM(BN$26:BN29)-SUM(BL$26:BL29)</f>
        <v>0</v>
      </c>
      <c r="CY29" s="55">
        <f>inp_biz_cash_open+SUM(AC$26:AC29)+SUM(BR$26:BR29)-SUM(BP$26:BP29)</f>
        <v>0</v>
      </c>
      <c r="CZ29" s="55">
        <f>inp_biz_cash_open+SUM(AC$26:AC29)+SUM(BV$26:BV29)-SUM(BT$26:BT29)</f>
        <v>0</v>
      </c>
      <c r="DA29" s="55">
        <f>inp_biz_cash_open+SUM(AC$26:AC29)+SUM(BZ$26:BZ29)-SUM(BX$26:BX29)</f>
        <v>0</v>
      </c>
      <c r="DB29" s="55">
        <f>inp_biz_cash_open+SUM(AC$26:AC29)+SUM(CD$26:CD29)-SUM(CB$26:CB29)</f>
        <v>0</v>
      </c>
      <c r="DC29" s="55">
        <f>inp_biz_cash_open+SUM(AC$26:AC29)+SUM(CH$26:CH29)-SUM(CF$26:CF29)</f>
        <v>0</v>
      </c>
      <c r="DD29" s="2"/>
      <c r="DE29" s="2"/>
      <c r="DF29" s="2"/>
      <c r="DG29" s="2"/>
      <c r="DH29" s="2"/>
      <c r="DI29" s="2"/>
      <c r="DJ29" s="19"/>
      <c r="DK29" s="20"/>
      <c r="DL29" s="20"/>
      <c r="DM29" s="20"/>
      <c r="DO29" s="66"/>
    </row>
    <row r="30" spans="1:119" ht="22" customHeight="1" x14ac:dyDescent="0.2">
      <c r="A30" s="1"/>
      <c r="B30" s="8" t="s">
        <v>104</v>
      </c>
      <c r="C30" s="80"/>
      <c r="D30" s="68"/>
      <c r="E30" s="80"/>
      <c r="F30" s="69"/>
      <c r="G30" s="69"/>
      <c r="H30" s="69"/>
      <c r="I30" s="69"/>
      <c r="J30" s="69"/>
      <c r="K30" s="1"/>
      <c r="L30" s="2"/>
      <c r="M30" s="18">
        <v>5</v>
      </c>
      <c r="N30"/>
      <c r="O30"/>
      <c r="P30"/>
      <c r="Q30"/>
      <c r="R30"/>
      <c r="S30"/>
      <c r="T30"/>
      <c r="U30"/>
      <c r="V30"/>
      <c r="W30"/>
      <c r="X30"/>
      <c r="Y30"/>
      <c r="Z30" s="10">
        <f>inp_biz_revenue_m0*(1+inp_biz_rev_growth)^(5-1)*calc_scn_rev_mult</f>
        <v>0</v>
      </c>
      <c r="AA30" s="10">
        <f t="shared" si="3"/>
        <v>0</v>
      </c>
      <c r="AB30" s="10">
        <f t="shared" si="4"/>
        <v>0</v>
      </c>
      <c r="AC30" s="10">
        <f t="shared" si="5"/>
        <v>0</v>
      </c>
      <c r="AD30" s="10">
        <f>inp_biz_cash_open+SUM(AC$26:AC30)</f>
        <v>0</v>
      </c>
      <c r="AE30" s="10">
        <f t="shared" si="6"/>
        <v>0</v>
      </c>
      <c r="AF30" s="10">
        <f t="shared" si="7"/>
        <v>0</v>
      </c>
      <c r="AG30" s="10">
        <f t="shared" si="8"/>
        <v>0</v>
      </c>
      <c r="AH30" s="10">
        <f>inp_biz_cash_open+SUM(AG$26:AG30)</f>
        <v>0</v>
      </c>
      <c r="AI30" s="18">
        <f t="shared" si="9"/>
        <v>0</v>
      </c>
      <c r="AJ30"/>
      <c r="AK30"/>
      <c r="AL30"/>
      <c r="AM30" s="10">
        <f t="shared" si="10"/>
        <v>0</v>
      </c>
      <c r="AN30" s="10">
        <f t="shared" si="11"/>
        <v>0</v>
      </c>
      <c r="AO30" s="10">
        <f>0</f>
        <v>0</v>
      </c>
      <c r="AP30" s="2"/>
      <c r="AQ30" s="2"/>
      <c r="AR30" s="2"/>
      <c r="AS30"/>
      <c r="AT30"/>
      <c r="AU30"/>
      <c r="AV30" s="10">
        <f t="shared" si="12"/>
        <v>100</v>
      </c>
      <c r="AW30" s="10">
        <f t="shared" si="13"/>
        <v>0</v>
      </c>
      <c r="AX30" s="10">
        <f t="array" ref="AX30">IF((ROW()-25)-(sel_collect_lag+calc_scn_collect_add)&gt;=1,INDEX(AW$26:AW$49,(ROW()-25)-(sel_collect_lag+calc_scn_collect_add)),0)</f>
        <v>0</v>
      </c>
      <c r="AY30" s="10">
        <f>SUM(AV$26:AV30)</f>
        <v>500</v>
      </c>
      <c r="AZ30" s="10">
        <f>SUM(AX$26:AX30)</f>
        <v>0</v>
      </c>
      <c r="BA30" s="10">
        <f t="shared" si="14"/>
        <v>0</v>
      </c>
      <c r="BB30" s="2"/>
      <c r="BC30" s="19">
        <f t="shared" si="15"/>
        <v>5</v>
      </c>
      <c r="BD30" s="19">
        <f>IF(OR(NOT(inp_c1_active),5&lt;inp_c1_start_m),0,((inp_c1_salary/12)*(1+inp_c1_oncost)+inp_c1_benefits)*calc_scn_cost_mult)</f>
        <v>0</v>
      </c>
      <c r="BE30" s="19">
        <f>IF(OR(NOT(inp_c1_active),5&lt;inp_c1_start_m),0,inp_c1_bill_hours*inp_c1_rate*calc_scn_rev_mult*calc_scn_util_mult*(inp_c1_m1_prod+MAX(0,MIN(5-inp_c1_start_m,inp_c1_ramp_m-1))*(inp_c1_util-inp_c1_m1_prod)/MAX(inp_c1_ramp_m-1,1)))</f>
        <v>0</v>
      </c>
      <c r="BF30" s="2">
        <f>IF((5-(inp_c1_collect_lag+calc_scn_collect_add))&gt;=1,INDEX(BE:BE,25+5-(inp_c1_collect_lag+calc_scn_collect_add)),0)</f>
        <v>0</v>
      </c>
      <c r="BG30" s="2">
        <f>SUM(BF$26:BF30)-SUM(BD$26:BD30)</f>
        <v>0</v>
      </c>
      <c r="BH30" s="2">
        <f>IF(OR(NOT(inp_c2_active),5&lt;inp_c2_start_m),0,((inp_c2_salary/12)*(1+inp_c2_oncost)+inp_c2_benefits)*calc_scn_cost_mult)</f>
        <v>0</v>
      </c>
      <c r="BI30" s="2">
        <f>IF(OR(NOT(inp_c2_active),5&lt;inp_c2_start_m),0,inp_c2_bill_hours*inp_c2_rate*calc_scn_rev_mult*calc_scn_util_mult*(inp_c2_m1_prod+MAX(0,MIN(5-inp_c2_start_m,inp_c2_ramp_m-1))*(inp_c2_util-inp_c2_m1_prod)/MAX(inp_c2_ramp_m-1,1)))</f>
        <v>0</v>
      </c>
      <c r="BJ30" s="2">
        <f>IF((5-(inp_c2_collect_lag+calc_scn_collect_add))&gt;=1,INDEX(BI:BI,25+5-(inp_c2_collect_lag+calc_scn_collect_add)),0)</f>
        <v>0</v>
      </c>
      <c r="BK30" s="2">
        <f>SUM(BJ$26:BJ30)-SUM(BH$26:BH30)</f>
        <v>0</v>
      </c>
      <c r="BL30" s="2">
        <f>IF(OR(NOT(inp_c3_active),5&lt;inp_c3_start_m),0,((inp_c3_salary/12)*(1+inp_c3_oncost)+inp_c3_benefits)*calc_scn_cost_mult)</f>
        <v>0</v>
      </c>
      <c r="BM30" s="2">
        <f>IF(OR(NOT(inp_c3_active),5&lt;inp_c3_start_m),0,inp_c3_bill_hours*inp_c3_rate*calc_scn_rev_mult*calc_scn_util_mult*(inp_c3_m1_prod+MAX(0,MIN(5-inp_c3_start_m,inp_c3_ramp_m-1))*(inp_c3_util-inp_c3_m1_prod)/MAX(inp_c3_ramp_m-1,1)))</f>
        <v>0</v>
      </c>
      <c r="BN30" s="2">
        <f>IF((5-(inp_c3_collect_lag+calc_scn_collect_add))&gt;=1,INDEX(BM:BM,25+5-(inp_c3_collect_lag+calc_scn_collect_add)),0)</f>
        <v>0</v>
      </c>
      <c r="BO30" s="2">
        <f>SUM(BN$26:BN30)-SUM(BL$26:BL30)</f>
        <v>0</v>
      </c>
      <c r="BP30" s="2">
        <f>IF(OR(NOT(inp_c4_active),5&lt;inp_c4_start_m),0,((inp_c4_salary/12)*(1+inp_c4_oncost)+inp_c4_benefits)*calc_scn_cost_mult)</f>
        <v>0</v>
      </c>
      <c r="BQ30" s="2">
        <f>IF(OR(NOT(inp_c4_active),5&lt;inp_c4_start_m),0,inp_c4_bill_hours*inp_c4_rate*calc_scn_rev_mult*calc_scn_util_mult*(inp_c4_m1_prod+MAX(0,MIN(5-inp_c4_start_m,inp_c4_ramp_m-1))*(inp_c4_util-inp_c4_m1_prod)/MAX(inp_c4_ramp_m-1,1)))</f>
        <v>0</v>
      </c>
      <c r="BR30" s="2">
        <f>IF((5-(inp_c4_collect_lag+calc_scn_collect_add))&gt;=1,INDEX(BQ:BQ,25+5-(inp_c4_collect_lag+calc_scn_collect_add)),0)</f>
        <v>0</v>
      </c>
      <c r="BS30" s="2">
        <f>SUM(BR$26:BR30)-SUM(BP$26:BP30)</f>
        <v>0</v>
      </c>
      <c r="BT30" s="2">
        <f>IF(OR(NOT(inp_c5_active),5&lt;inp_c5_start_m),0,((inp_c5_salary/12)*(1+inp_c5_oncost)+inp_c5_benefits)*calc_scn_cost_mult)</f>
        <v>0</v>
      </c>
      <c r="BU30" s="2">
        <f>IF(OR(NOT(inp_c5_active),5&lt;inp_c5_start_m),0,inp_c5_bill_hours*inp_c5_rate*calc_scn_rev_mult*calc_scn_util_mult*(inp_c5_m1_prod+MAX(0,MIN(5-inp_c5_start_m,inp_c5_ramp_m-1))*(inp_c5_util-inp_c5_m1_prod)/MAX(inp_c5_ramp_m-1,1)))</f>
        <v>0</v>
      </c>
      <c r="BV30" s="2">
        <f>IF((5-(inp_c5_collect_lag+calc_scn_collect_add))&gt;=1,INDEX(BU:BU,25+5-(inp_c5_collect_lag+calc_scn_collect_add)),0)</f>
        <v>0</v>
      </c>
      <c r="BW30" s="2">
        <f>SUM(BV$26:BV30)-SUM(BT$26:BT30)</f>
        <v>0</v>
      </c>
      <c r="BX30" s="2">
        <f>IF(OR(NOT(inp_c6_active),5&lt;inp_c6_start_m),0,((inp_c6_salary/12)*(1+inp_c6_oncost)+inp_c6_benefits)*calc_scn_cost_mult)</f>
        <v>0</v>
      </c>
      <c r="BY30" s="2">
        <f>IF(OR(NOT(inp_c6_active),5&lt;inp_c6_start_m),0,inp_c6_bill_hours*inp_c6_rate*calc_scn_rev_mult*calc_scn_util_mult*(inp_c6_m1_prod+MAX(0,MIN(5-inp_c6_start_m,inp_c6_ramp_m-1))*(inp_c6_util-inp_c6_m1_prod)/MAX(inp_c6_ramp_m-1,1)))</f>
        <v>0</v>
      </c>
      <c r="BZ30" s="2">
        <f>IF((5-(inp_c6_collect_lag+calc_scn_collect_add))&gt;=1,INDEX(BY:BY,25+5-(inp_c6_collect_lag+calc_scn_collect_add)),0)</f>
        <v>0</v>
      </c>
      <c r="CA30" s="2">
        <f>SUM(BZ$26:BZ30)-SUM(BX$26:BX30)</f>
        <v>0</v>
      </c>
      <c r="CB30" s="2">
        <f>IF(OR(NOT(inp_c7_active),5&lt;inp_c7_start_m),0,((inp_c7_salary/12)*(1+inp_c7_oncost)+inp_c7_benefits)*calc_scn_cost_mult)</f>
        <v>0</v>
      </c>
      <c r="CC30" s="2">
        <f>IF(OR(NOT(inp_c7_active),5&lt;inp_c7_start_m),0,inp_c7_bill_hours*inp_c7_rate*calc_scn_rev_mult*calc_scn_util_mult*(inp_c7_m1_prod+MAX(0,MIN(5-inp_c7_start_m,inp_c7_ramp_m-1))*(inp_c7_util-inp_c7_m1_prod)/MAX(inp_c7_ramp_m-1,1)))</f>
        <v>0</v>
      </c>
      <c r="CD30" s="2">
        <f>IF((5-(inp_c7_collect_lag+calc_scn_collect_add))&gt;=1,INDEX(CC:CC,25+5-(inp_c7_collect_lag+calc_scn_collect_add)),0)</f>
        <v>0</v>
      </c>
      <c r="CE30" s="2">
        <f>SUM(CD$26:CD30)-SUM(CB$26:CB30)</f>
        <v>0</v>
      </c>
      <c r="CF30" s="2">
        <f>IF(OR(NOT(inp_c8_active),5&lt;inp_c8_start_m),0,((inp_c8_salary/12)*(1+inp_c8_oncost)+inp_c8_benefits)*calc_scn_cost_mult)</f>
        <v>0</v>
      </c>
      <c r="CG30" s="2">
        <f>IF(OR(NOT(inp_c8_active),5&lt;inp_c8_start_m),0,inp_c8_bill_hours*inp_c8_rate*calc_scn_rev_mult*calc_scn_util_mult*(inp_c8_m1_prod+MAX(0,MIN(5-inp_c8_start_m,inp_c8_ramp_m-1))*(inp_c8_util-inp_c8_m1_prod)/MAX(inp_c8_ramp_m-1,1)))</f>
        <v>0</v>
      </c>
      <c r="CH30" s="2">
        <f>IF((5-(inp_c8_collect_lag+calc_scn_collect_add))&gt;=1,INDEX(CG:CG,25+5-(inp_c8_collect_lag+calc_scn_collect_add)),0)</f>
        <v>0</v>
      </c>
      <c r="CI30" s="2">
        <f>SUM(CH$26:CH30)-SUM(CF$26:CF30)</f>
        <v>0</v>
      </c>
      <c r="CJ30" s="2"/>
      <c r="CK30" s="2"/>
      <c r="CL30" s="2"/>
      <c r="CM30" s="2">
        <f>IF(AND(BG30&gt;=0,5&gt;=inp_c1_start_m),5,9999)</f>
        <v>5</v>
      </c>
      <c r="CN30" s="2">
        <f>IF(AND(BK30&gt;=0,5&gt;=inp_c2_start_m),5,9999)</f>
        <v>5</v>
      </c>
      <c r="CO30" s="2">
        <f>IF(AND(BO30&gt;=0,5&gt;=inp_c3_start_m),5,9999)</f>
        <v>5</v>
      </c>
      <c r="CP30" s="2">
        <f>IF(AND(BS30&gt;=0,5&gt;=inp_c4_start_m),5,9999)</f>
        <v>5</v>
      </c>
      <c r="CQ30" s="2">
        <f>IF(AND(BW30&gt;=0,5&gt;=inp_c5_start_m),5,9999)</f>
        <v>5</v>
      </c>
      <c r="CR30" s="2">
        <f>IF(AND(CA30&gt;=0,5&gt;=inp_c6_start_m),5,9999)</f>
        <v>5</v>
      </c>
      <c r="CS30" s="2">
        <f>IF(AND(CE30&gt;=0,5&gt;=inp_c7_start_m),5,9999)</f>
        <v>5</v>
      </c>
      <c r="CT30" s="2">
        <f>IF(AND(CI30&gt;=0,5&gt;=inp_c8_start_m),5,9999)</f>
        <v>5</v>
      </c>
      <c r="CU30" s="2"/>
      <c r="CV30" s="55">
        <f>inp_biz_cash_open+SUM(AC$26:AC30)+SUM(BF$26:BF30)-SUM(BD$26:BD30)</f>
        <v>0</v>
      </c>
      <c r="CW30" s="55">
        <f>inp_biz_cash_open+SUM(AC$26:AC30)+SUM(BJ$26:BJ30)-SUM(BH$26:BH30)</f>
        <v>0</v>
      </c>
      <c r="CX30" s="55">
        <f>inp_biz_cash_open+SUM(AC$26:AC30)+SUM(BN$26:BN30)-SUM(BL$26:BL30)</f>
        <v>0</v>
      </c>
      <c r="CY30" s="55">
        <f>inp_biz_cash_open+SUM(AC$26:AC30)+SUM(BR$26:BR30)-SUM(BP$26:BP30)</f>
        <v>0</v>
      </c>
      <c r="CZ30" s="55">
        <f>inp_biz_cash_open+SUM(AC$26:AC30)+SUM(BV$26:BV30)-SUM(BT$26:BT30)</f>
        <v>0</v>
      </c>
      <c r="DA30" s="55">
        <f>inp_biz_cash_open+SUM(AC$26:AC30)+SUM(BZ$26:BZ30)-SUM(BX$26:BX30)</f>
        <v>0</v>
      </c>
      <c r="DB30" s="55">
        <f>inp_biz_cash_open+SUM(AC$26:AC30)+SUM(CD$26:CD30)-SUM(CB$26:CB30)</f>
        <v>0</v>
      </c>
      <c r="DC30" s="55">
        <f>inp_biz_cash_open+SUM(AC$26:AC30)+SUM(CH$26:CH30)-SUM(CF$26:CF30)</f>
        <v>0</v>
      </c>
      <c r="DD30" s="2"/>
      <c r="DE30" s="2"/>
      <c r="DF30" s="2"/>
      <c r="DG30" s="2"/>
      <c r="DH30" s="2"/>
      <c r="DI30" s="2"/>
      <c r="DJ30" s="19"/>
      <c r="DK30" s="20"/>
      <c r="DL30" s="20"/>
      <c r="DM30" s="20"/>
      <c r="DO30" s="66"/>
    </row>
    <row r="31" spans="1:119" ht="22" customHeight="1" x14ac:dyDescent="0.2">
      <c r="A31" s="1"/>
      <c r="B31" s="8" t="s">
        <v>105</v>
      </c>
      <c r="C31" s="77"/>
      <c r="D31" s="67"/>
      <c r="E31" s="77"/>
      <c r="F31" s="81"/>
      <c r="G31" s="81"/>
      <c r="H31" s="81"/>
      <c r="I31" s="81"/>
      <c r="J31" s="81"/>
      <c r="K31" s="1"/>
      <c r="L31" s="2"/>
      <c r="M31" s="18">
        <v>6</v>
      </c>
      <c r="N31"/>
      <c r="O31"/>
      <c r="P31"/>
      <c r="Q31"/>
      <c r="R31"/>
      <c r="S31"/>
      <c r="T31"/>
      <c r="U31"/>
      <c r="V31"/>
      <c r="W31"/>
      <c r="X31"/>
      <c r="Y31"/>
      <c r="Z31" s="10">
        <f>inp_biz_revenue_m0*(1+inp_biz_rev_growth)^(6-1)*calc_scn_rev_mult</f>
        <v>0</v>
      </c>
      <c r="AA31" s="10">
        <f t="shared" si="3"/>
        <v>0</v>
      </c>
      <c r="AB31" s="10">
        <f t="shared" si="4"/>
        <v>0</v>
      </c>
      <c r="AC31" s="10">
        <f t="shared" si="5"/>
        <v>0</v>
      </c>
      <c r="AD31" s="10">
        <f>inp_biz_cash_open+SUM(AC$26:AC31)</f>
        <v>0</v>
      </c>
      <c r="AE31" s="10">
        <f t="shared" si="6"/>
        <v>0</v>
      </c>
      <c r="AF31" s="10">
        <f t="shared" si="7"/>
        <v>0</v>
      </c>
      <c r="AG31" s="10">
        <f t="shared" si="8"/>
        <v>0</v>
      </c>
      <c r="AH31" s="10">
        <f>inp_biz_cash_open+SUM(AG$26:AG31)</f>
        <v>0</v>
      </c>
      <c r="AI31" s="18">
        <f t="shared" si="9"/>
        <v>0</v>
      </c>
      <c r="AJ31"/>
      <c r="AK31"/>
      <c r="AL31"/>
      <c r="AM31" s="10">
        <f t="shared" si="10"/>
        <v>0</v>
      </c>
      <c r="AN31" s="10">
        <f t="shared" si="11"/>
        <v>0</v>
      </c>
      <c r="AO31" s="10">
        <f>0</f>
        <v>0</v>
      </c>
      <c r="AP31" s="2"/>
      <c r="AQ31" s="2"/>
      <c r="AR31" s="2"/>
      <c r="AS31"/>
      <c r="AT31"/>
      <c r="AU31"/>
      <c r="AV31" s="10">
        <f t="shared" si="12"/>
        <v>100</v>
      </c>
      <c r="AW31" s="10">
        <f t="shared" si="13"/>
        <v>0</v>
      </c>
      <c r="AX31" s="10">
        <f t="array" ref="AX31">IF((ROW()-25)-(sel_collect_lag+calc_scn_collect_add)&gt;=1,INDEX(AW$26:AW$49,(ROW()-25)-(sel_collect_lag+calc_scn_collect_add)),0)</f>
        <v>0</v>
      </c>
      <c r="AY31" s="10">
        <f>SUM(AV$26:AV31)</f>
        <v>600</v>
      </c>
      <c r="AZ31" s="10">
        <f>SUM(AX$26:AX31)</f>
        <v>0</v>
      </c>
      <c r="BA31" s="10">
        <f t="shared" si="14"/>
        <v>0</v>
      </c>
      <c r="BB31" s="2"/>
      <c r="BC31" s="19">
        <f t="shared" si="15"/>
        <v>6</v>
      </c>
      <c r="BD31" s="19">
        <f>IF(OR(NOT(inp_c1_active),6&lt;inp_c1_start_m),0,((inp_c1_salary/12)*(1+inp_c1_oncost)+inp_c1_benefits)*calc_scn_cost_mult)</f>
        <v>0</v>
      </c>
      <c r="BE31" s="19">
        <f>IF(OR(NOT(inp_c1_active),6&lt;inp_c1_start_m),0,inp_c1_bill_hours*inp_c1_rate*calc_scn_rev_mult*calc_scn_util_mult*(inp_c1_m1_prod+MAX(0,MIN(6-inp_c1_start_m,inp_c1_ramp_m-1))*(inp_c1_util-inp_c1_m1_prod)/MAX(inp_c1_ramp_m-1,1)))</f>
        <v>0</v>
      </c>
      <c r="BF31" s="2">
        <f>IF((6-(inp_c1_collect_lag+calc_scn_collect_add))&gt;=1,INDEX(BE:BE,25+6-(inp_c1_collect_lag+calc_scn_collect_add)),0)</f>
        <v>0</v>
      </c>
      <c r="BG31" s="2">
        <f>SUM(BF$26:BF31)-SUM(BD$26:BD31)</f>
        <v>0</v>
      </c>
      <c r="BH31" s="2">
        <f>IF(OR(NOT(inp_c2_active),6&lt;inp_c2_start_m),0,((inp_c2_salary/12)*(1+inp_c2_oncost)+inp_c2_benefits)*calc_scn_cost_mult)</f>
        <v>0</v>
      </c>
      <c r="BI31" s="2">
        <f>IF(OR(NOT(inp_c2_active),6&lt;inp_c2_start_m),0,inp_c2_bill_hours*inp_c2_rate*calc_scn_rev_mult*calc_scn_util_mult*(inp_c2_m1_prod+MAX(0,MIN(6-inp_c2_start_m,inp_c2_ramp_m-1))*(inp_c2_util-inp_c2_m1_prod)/MAX(inp_c2_ramp_m-1,1)))</f>
        <v>0</v>
      </c>
      <c r="BJ31" s="2">
        <f>IF((6-(inp_c2_collect_lag+calc_scn_collect_add))&gt;=1,INDEX(BI:BI,25+6-(inp_c2_collect_lag+calc_scn_collect_add)),0)</f>
        <v>0</v>
      </c>
      <c r="BK31" s="2">
        <f>SUM(BJ$26:BJ31)-SUM(BH$26:BH31)</f>
        <v>0</v>
      </c>
      <c r="BL31" s="2">
        <f>IF(OR(NOT(inp_c3_active),6&lt;inp_c3_start_m),0,((inp_c3_salary/12)*(1+inp_c3_oncost)+inp_c3_benefits)*calc_scn_cost_mult)</f>
        <v>0</v>
      </c>
      <c r="BM31" s="2">
        <f>IF(OR(NOT(inp_c3_active),6&lt;inp_c3_start_m),0,inp_c3_bill_hours*inp_c3_rate*calc_scn_rev_mult*calc_scn_util_mult*(inp_c3_m1_prod+MAX(0,MIN(6-inp_c3_start_m,inp_c3_ramp_m-1))*(inp_c3_util-inp_c3_m1_prod)/MAX(inp_c3_ramp_m-1,1)))</f>
        <v>0</v>
      </c>
      <c r="BN31" s="2">
        <f>IF((6-(inp_c3_collect_lag+calc_scn_collect_add))&gt;=1,INDEX(BM:BM,25+6-(inp_c3_collect_lag+calc_scn_collect_add)),0)</f>
        <v>0</v>
      </c>
      <c r="BO31" s="2">
        <f>SUM(BN$26:BN31)-SUM(BL$26:BL31)</f>
        <v>0</v>
      </c>
      <c r="BP31" s="2">
        <f>IF(OR(NOT(inp_c4_active),6&lt;inp_c4_start_m),0,((inp_c4_salary/12)*(1+inp_c4_oncost)+inp_c4_benefits)*calc_scn_cost_mult)</f>
        <v>0</v>
      </c>
      <c r="BQ31" s="2">
        <f>IF(OR(NOT(inp_c4_active),6&lt;inp_c4_start_m),0,inp_c4_bill_hours*inp_c4_rate*calc_scn_rev_mult*calc_scn_util_mult*(inp_c4_m1_prod+MAX(0,MIN(6-inp_c4_start_m,inp_c4_ramp_m-1))*(inp_c4_util-inp_c4_m1_prod)/MAX(inp_c4_ramp_m-1,1)))</f>
        <v>0</v>
      </c>
      <c r="BR31" s="2">
        <f>IF((6-(inp_c4_collect_lag+calc_scn_collect_add))&gt;=1,INDEX(BQ:BQ,25+6-(inp_c4_collect_lag+calc_scn_collect_add)),0)</f>
        <v>0</v>
      </c>
      <c r="BS31" s="2">
        <f>SUM(BR$26:BR31)-SUM(BP$26:BP31)</f>
        <v>0</v>
      </c>
      <c r="BT31" s="2">
        <f>IF(OR(NOT(inp_c5_active),6&lt;inp_c5_start_m),0,((inp_c5_salary/12)*(1+inp_c5_oncost)+inp_c5_benefits)*calc_scn_cost_mult)</f>
        <v>0</v>
      </c>
      <c r="BU31" s="2">
        <f>IF(OR(NOT(inp_c5_active),6&lt;inp_c5_start_m),0,inp_c5_bill_hours*inp_c5_rate*calc_scn_rev_mult*calc_scn_util_mult*(inp_c5_m1_prod+MAX(0,MIN(6-inp_c5_start_m,inp_c5_ramp_m-1))*(inp_c5_util-inp_c5_m1_prod)/MAX(inp_c5_ramp_m-1,1)))</f>
        <v>0</v>
      </c>
      <c r="BV31" s="2">
        <f>IF((6-(inp_c5_collect_lag+calc_scn_collect_add))&gt;=1,INDEX(BU:BU,25+6-(inp_c5_collect_lag+calc_scn_collect_add)),0)</f>
        <v>0</v>
      </c>
      <c r="BW31" s="2">
        <f>SUM(BV$26:BV31)-SUM(BT$26:BT31)</f>
        <v>0</v>
      </c>
      <c r="BX31" s="2">
        <f>IF(OR(NOT(inp_c6_active),6&lt;inp_c6_start_m),0,((inp_c6_salary/12)*(1+inp_c6_oncost)+inp_c6_benefits)*calc_scn_cost_mult)</f>
        <v>0</v>
      </c>
      <c r="BY31" s="2">
        <f>IF(OR(NOT(inp_c6_active),6&lt;inp_c6_start_m),0,inp_c6_bill_hours*inp_c6_rate*calc_scn_rev_mult*calc_scn_util_mult*(inp_c6_m1_prod+MAX(0,MIN(6-inp_c6_start_m,inp_c6_ramp_m-1))*(inp_c6_util-inp_c6_m1_prod)/MAX(inp_c6_ramp_m-1,1)))</f>
        <v>0</v>
      </c>
      <c r="BZ31" s="2">
        <f>IF((6-(inp_c6_collect_lag+calc_scn_collect_add))&gt;=1,INDEX(BY:BY,25+6-(inp_c6_collect_lag+calc_scn_collect_add)),0)</f>
        <v>0</v>
      </c>
      <c r="CA31" s="2">
        <f>SUM(BZ$26:BZ31)-SUM(BX$26:BX31)</f>
        <v>0</v>
      </c>
      <c r="CB31" s="2">
        <f>IF(OR(NOT(inp_c7_active),6&lt;inp_c7_start_m),0,((inp_c7_salary/12)*(1+inp_c7_oncost)+inp_c7_benefits)*calc_scn_cost_mult)</f>
        <v>0</v>
      </c>
      <c r="CC31" s="2">
        <f>IF(OR(NOT(inp_c7_active),6&lt;inp_c7_start_m),0,inp_c7_bill_hours*inp_c7_rate*calc_scn_rev_mult*calc_scn_util_mult*(inp_c7_m1_prod+MAX(0,MIN(6-inp_c7_start_m,inp_c7_ramp_m-1))*(inp_c7_util-inp_c7_m1_prod)/MAX(inp_c7_ramp_m-1,1)))</f>
        <v>0</v>
      </c>
      <c r="CD31" s="2">
        <f>IF((6-(inp_c7_collect_lag+calc_scn_collect_add))&gt;=1,INDEX(CC:CC,25+6-(inp_c7_collect_lag+calc_scn_collect_add)),0)</f>
        <v>0</v>
      </c>
      <c r="CE31" s="2">
        <f>SUM(CD$26:CD31)-SUM(CB$26:CB31)</f>
        <v>0</v>
      </c>
      <c r="CF31" s="2">
        <f>IF(OR(NOT(inp_c8_active),6&lt;inp_c8_start_m),0,((inp_c8_salary/12)*(1+inp_c8_oncost)+inp_c8_benefits)*calc_scn_cost_mult)</f>
        <v>0</v>
      </c>
      <c r="CG31" s="2">
        <f>IF(OR(NOT(inp_c8_active),6&lt;inp_c8_start_m),0,inp_c8_bill_hours*inp_c8_rate*calc_scn_rev_mult*calc_scn_util_mult*(inp_c8_m1_prod+MAX(0,MIN(6-inp_c8_start_m,inp_c8_ramp_m-1))*(inp_c8_util-inp_c8_m1_prod)/MAX(inp_c8_ramp_m-1,1)))</f>
        <v>0</v>
      </c>
      <c r="CH31" s="2">
        <f>IF((6-(inp_c8_collect_lag+calc_scn_collect_add))&gt;=1,INDEX(CG:CG,25+6-(inp_c8_collect_lag+calc_scn_collect_add)),0)</f>
        <v>0</v>
      </c>
      <c r="CI31" s="2">
        <f>SUM(CH$26:CH31)-SUM(CF$26:CF31)</f>
        <v>0</v>
      </c>
      <c r="CJ31" s="2"/>
      <c r="CK31" s="2"/>
      <c r="CL31" s="2"/>
      <c r="CM31" s="2">
        <f>IF(AND(BG31&gt;=0,6&gt;=inp_c1_start_m),6,9999)</f>
        <v>6</v>
      </c>
      <c r="CN31" s="2">
        <f>IF(AND(BK31&gt;=0,6&gt;=inp_c2_start_m),6,9999)</f>
        <v>6</v>
      </c>
      <c r="CO31" s="2">
        <f>IF(AND(BO31&gt;=0,6&gt;=inp_c3_start_m),6,9999)</f>
        <v>6</v>
      </c>
      <c r="CP31" s="2">
        <f>IF(AND(BS31&gt;=0,6&gt;=inp_c4_start_m),6,9999)</f>
        <v>6</v>
      </c>
      <c r="CQ31" s="2">
        <f>IF(AND(BW31&gt;=0,6&gt;=inp_c5_start_m),6,9999)</f>
        <v>6</v>
      </c>
      <c r="CR31" s="2">
        <f>IF(AND(CA31&gt;=0,6&gt;=inp_c6_start_m),6,9999)</f>
        <v>6</v>
      </c>
      <c r="CS31" s="2">
        <f>IF(AND(CE31&gt;=0,6&gt;=inp_c7_start_m),6,9999)</f>
        <v>6</v>
      </c>
      <c r="CT31" s="2">
        <f>IF(AND(CI31&gt;=0,6&gt;=inp_c8_start_m),6,9999)</f>
        <v>6</v>
      </c>
      <c r="CU31" s="2"/>
      <c r="CV31" s="55">
        <f>inp_biz_cash_open+SUM(AC$26:AC31)+SUM(BF$26:BF31)-SUM(BD$26:BD31)</f>
        <v>0</v>
      </c>
      <c r="CW31" s="55">
        <f>inp_biz_cash_open+SUM(AC$26:AC31)+SUM(BJ$26:BJ31)-SUM(BH$26:BH31)</f>
        <v>0</v>
      </c>
      <c r="CX31" s="55">
        <f>inp_biz_cash_open+SUM(AC$26:AC31)+SUM(BN$26:BN31)-SUM(BL$26:BL31)</f>
        <v>0</v>
      </c>
      <c r="CY31" s="55">
        <f>inp_biz_cash_open+SUM(AC$26:AC31)+SUM(BR$26:BR31)-SUM(BP$26:BP31)</f>
        <v>0</v>
      </c>
      <c r="CZ31" s="55">
        <f>inp_biz_cash_open+SUM(AC$26:AC31)+SUM(BV$26:BV31)-SUM(BT$26:BT31)</f>
        <v>0</v>
      </c>
      <c r="DA31" s="55">
        <f>inp_biz_cash_open+SUM(AC$26:AC31)+SUM(BZ$26:BZ31)-SUM(BX$26:BX31)</f>
        <v>0</v>
      </c>
      <c r="DB31" s="55">
        <f>inp_biz_cash_open+SUM(AC$26:AC31)+SUM(CD$26:CD31)-SUM(CB$26:CB31)</f>
        <v>0</v>
      </c>
      <c r="DC31" s="55">
        <f>inp_biz_cash_open+SUM(AC$26:AC31)+SUM(CH$26:CH31)-SUM(CF$26:CF31)</f>
        <v>0</v>
      </c>
      <c r="DD31" s="2"/>
      <c r="DE31" s="2"/>
      <c r="DF31" s="2"/>
      <c r="DG31" s="2"/>
      <c r="DH31" s="2"/>
      <c r="DI31" s="2"/>
      <c r="DJ31" s="19"/>
      <c r="DK31" s="20"/>
      <c r="DL31" s="20"/>
      <c r="DM31" s="20"/>
      <c r="DO31" s="66"/>
    </row>
    <row r="32" spans="1:119" ht="22" customHeight="1" x14ac:dyDescent="0.2">
      <c r="A32" s="1"/>
      <c r="B32" s="8" t="s">
        <v>106</v>
      </c>
      <c r="C32" s="75"/>
      <c r="D32" s="76"/>
      <c r="E32" s="75"/>
      <c r="F32" s="70"/>
      <c r="G32" s="70"/>
      <c r="H32" s="70"/>
      <c r="I32" s="70"/>
      <c r="J32" s="70"/>
      <c r="K32" s="1"/>
      <c r="L32" s="2"/>
      <c r="M32" s="18">
        <v>7</v>
      </c>
      <c r="N32"/>
      <c r="O32"/>
      <c r="P32"/>
      <c r="Q32"/>
      <c r="R32"/>
      <c r="S32"/>
      <c r="T32"/>
      <c r="U32"/>
      <c r="V32"/>
      <c r="W32"/>
      <c r="X32"/>
      <c r="Y32"/>
      <c r="Z32" s="10">
        <f>inp_biz_revenue_m0*(1+inp_biz_rev_growth)^(7-1)*calc_scn_rev_mult</f>
        <v>0</v>
      </c>
      <c r="AA32" s="10">
        <f t="shared" si="3"/>
        <v>0</v>
      </c>
      <c r="AB32" s="10">
        <f t="shared" si="4"/>
        <v>0</v>
      </c>
      <c r="AC32" s="10">
        <f t="shared" si="5"/>
        <v>0</v>
      </c>
      <c r="AD32" s="10">
        <f>inp_biz_cash_open+SUM(AC$26:AC32)</f>
        <v>0</v>
      </c>
      <c r="AE32" s="10">
        <f t="shared" si="6"/>
        <v>0</v>
      </c>
      <c r="AF32" s="10">
        <f t="shared" si="7"/>
        <v>0</v>
      </c>
      <c r="AG32" s="10">
        <f t="shared" si="8"/>
        <v>0</v>
      </c>
      <c r="AH32" s="10">
        <f>inp_biz_cash_open+SUM(AG$26:AG32)</f>
        <v>0</v>
      </c>
      <c r="AI32" s="18">
        <f t="shared" si="9"/>
        <v>0</v>
      </c>
      <c r="AJ32"/>
      <c r="AK32"/>
      <c r="AL32"/>
      <c r="AM32" s="10">
        <f t="shared" si="10"/>
        <v>0</v>
      </c>
      <c r="AN32" s="10">
        <f t="shared" si="11"/>
        <v>0</v>
      </c>
      <c r="AO32" s="10">
        <f>0</f>
        <v>0</v>
      </c>
      <c r="AP32" s="2"/>
      <c r="AQ32" s="2"/>
      <c r="AR32" s="2"/>
      <c r="AS32"/>
      <c r="AT32"/>
      <c r="AU32"/>
      <c r="AV32" s="10">
        <f t="shared" si="12"/>
        <v>100</v>
      </c>
      <c r="AW32" s="10">
        <f t="shared" si="13"/>
        <v>0</v>
      </c>
      <c r="AX32" s="10">
        <f t="array" ref="AX32">IF((ROW()-25)-(sel_collect_lag+calc_scn_collect_add)&gt;=1,INDEX(AW$26:AW$49,(ROW()-25)-(sel_collect_lag+calc_scn_collect_add)),0)</f>
        <v>0</v>
      </c>
      <c r="AY32" s="10">
        <f>SUM(AV$26:AV32)</f>
        <v>700</v>
      </c>
      <c r="AZ32" s="10">
        <f>SUM(AX$26:AX32)</f>
        <v>0</v>
      </c>
      <c r="BA32" s="10">
        <f t="shared" si="14"/>
        <v>0</v>
      </c>
      <c r="BB32" s="2"/>
      <c r="BC32" s="19">
        <f t="shared" si="15"/>
        <v>7</v>
      </c>
      <c r="BD32" s="19">
        <f>IF(OR(NOT(inp_c1_active),7&lt;inp_c1_start_m),0,((inp_c1_salary/12)*(1+inp_c1_oncost)+inp_c1_benefits)*calc_scn_cost_mult)</f>
        <v>0</v>
      </c>
      <c r="BE32" s="19">
        <f>IF(OR(NOT(inp_c1_active),7&lt;inp_c1_start_m),0,inp_c1_bill_hours*inp_c1_rate*calc_scn_rev_mult*calc_scn_util_mult*(inp_c1_m1_prod+MAX(0,MIN(7-inp_c1_start_m,inp_c1_ramp_m-1))*(inp_c1_util-inp_c1_m1_prod)/MAX(inp_c1_ramp_m-1,1)))</f>
        <v>0</v>
      </c>
      <c r="BF32" s="2">
        <f>IF((7-(inp_c1_collect_lag+calc_scn_collect_add))&gt;=1,INDEX(BE:BE,25+7-(inp_c1_collect_lag+calc_scn_collect_add)),0)</f>
        <v>0</v>
      </c>
      <c r="BG32" s="2">
        <f>SUM(BF$26:BF32)-SUM(BD$26:BD32)</f>
        <v>0</v>
      </c>
      <c r="BH32" s="2">
        <f>IF(OR(NOT(inp_c2_active),7&lt;inp_c2_start_m),0,((inp_c2_salary/12)*(1+inp_c2_oncost)+inp_c2_benefits)*calc_scn_cost_mult)</f>
        <v>0</v>
      </c>
      <c r="BI32" s="2">
        <f>IF(OR(NOT(inp_c2_active),7&lt;inp_c2_start_m),0,inp_c2_bill_hours*inp_c2_rate*calc_scn_rev_mult*calc_scn_util_mult*(inp_c2_m1_prod+MAX(0,MIN(7-inp_c2_start_m,inp_c2_ramp_m-1))*(inp_c2_util-inp_c2_m1_prod)/MAX(inp_c2_ramp_m-1,1)))</f>
        <v>0</v>
      </c>
      <c r="BJ32" s="2">
        <f>IF((7-(inp_c2_collect_lag+calc_scn_collect_add))&gt;=1,INDEX(BI:BI,25+7-(inp_c2_collect_lag+calc_scn_collect_add)),0)</f>
        <v>0</v>
      </c>
      <c r="BK32" s="2">
        <f>SUM(BJ$26:BJ32)-SUM(BH$26:BH32)</f>
        <v>0</v>
      </c>
      <c r="BL32" s="2">
        <f>IF(OR(NOT(inp_c3_active),7&lt;inp_c3_start_m),0,((inp_c3_salary/12)*(1+inp_c3_oncost)+inp_c3_benefits)*calc_scn_cost_mult)</f>
        <v>0</v>
      </c>
      <c r="BM32" s="2">
        <f>IF(OR(NOT(inp_c3_active),7&lt;inp_c3_start_m),0,inp_c3_bill_hours*inp_c3_rate*calc_scn_rev_mult*calc_scn_util_mult*(inp_c3_m1_prod+MAX(0,MIN(7-inp_c3_start_m,inp_c3_ramp_m-1))*(inp_c3_util-inp_c3_m1_prod)/MAX(inp_c3_ramp_m-1,1)))</f>
        <v>0</v>
      </c>
      <c r="BN32" s="2">
        <f>IF((7-(inp_c3_collect_lag+calc_scn_collect_add))&gt;=1,INDEX(BM:BM,25+7-(inp_c3_collect_lag+calc_scn_collect_add)),0)</f>
        <v>0</v>
      </c>
      <c r="BO32" s="2">
        <f>SUM(BN$26:BN32)-SUM(BL$26:BL32)</f>
        <v>0</v>
      </c>
      <c r="BP32" s="2">
        <f>IF(OR(NOT(inp_c4_active),7&lt;inp_c4_start_m),0,((inp_c4_salary/12)*(1+inp_c4_oncost)+inp_c4_benefits)*calc_scn_cost_mult)</f>
        <v>0</v>
      </c>
      <c r="BQ32" s="2">
        <f>IF(OR(NOT(inp_c4_active),7&lt;inp_c4_start_m),0,inp_c4_bill_hours*inp_c4_rate*calc_scn_rev_mult*calc_scn_util_mult*(inp_c4_m1_prod+MAX(0,MIN(7-inp_c4_start_m,inp_c4_ramp_m-1))*(inp_c4_util-inp_c4_m1_prod)/MAX(inp_c4_ramp_m-1,1)))</f>
        <v>0</v>
      </c>
      <c r="BR32" s="2">
        <f>IF((7-(inp_c4_collect_lag+calc_scn_collect_add))&gt;=1,INDEX(BQ:BQ,25+7-(inp_c4_collect_lag+calc_scn_collect_add)),0)</f>
        <v>0</v>
      </c>
      <c r="BS32" s="2">
        <f>SUM(BR$26:BR32)-SUM(BP$26:BP32)</f>
        <v>0</v>
      </c>
      <c r="BT32" s="2">
        <f>IF(OR(NOT(inp_c5_active),7&lt;inp_c5_start_m),0,((inp_c5_salary/12)*(1+inp_c5_oncost)+inp_c5_benefits)*calc_scn_cost_mult)</f>
        <v>0</v>
      </c>
      <c r="BU32" s="2">
        <f>IF(OR(NOT(inp_c5_active),7&lt;inp_c5_start_m),0,inp_c5_bill_hours*inp_c5_rate*calc_scn_rev_mult*calc_scn_util_mult*(inp_c5_m1_prod+MAX(0,MIN(7-inp_c5_start_m,inp_c5_ramp_m-1))*(inp_c5_util-inp_c5_m1_prod)/MAX(inp_c5_ramp_m-1,1)))</f>
        <v>0</v>
      </c>
      <c r="BV32" s="2">
        <f>IF((7-(inp_c5_collect_lag+calc_scn_collect_add))&gt;=1,INDEX(BU:BU,25+7-(inp_c5_collect_lag+calc_scn_collect_add)),0)</f>
        <v>0</v>
      </c>
      <c r="BW32" s="2">
        <f>SUM(BV$26:BV32)-SUM(BT$26:BT32)</f>
        <v>0</v>
      </c>
      <c r="BX32" s="2">
        <f>IF(OR(NOT(inp_c6_active),7&lt;inp_c6_start_m),0,((inp_c6_salary/12)*(1+inp_c6_oncost)+inp_c6_benefits)*calc_scn_cost_mult)</f>
        <v>0</v>
      </c>
      <c r="BY32" s="2">
        <f>IF(OR(NOT(inp_c6_active),7&lt;inp_c6_start_m),0,inp_c6_bill_hours*inp_c6_rate*calc_scn_rev_mult*calc_scn_util_mult*(inp_c6_m1_prod+MAX(0,MIN(7-inp_c6_start_m,inp_c6_ramp_m-1))*(inp_c6_util-inp_c6_m1_prod)/MAX(inp_c6_ramp_m-1,1)))</f>
        <v>0</v>
      </c>
      <c r="BZ32" s="2">
        <f>IF((7-(inp_c6_collect_lag+calc_scn_collect_add))&gt;=1,INDEX(BY:BY,25+7-(inp_c6_collect_lag+calc_scn_collect_add)),0)</f>
        <v>0</v>
      </c>
      <c r="CA32" s="2">
        <f>SUM(BZ$26:BZ32)-SUM(BX$26:BX32)</f>
        <v>0</v>
      </c>
      <c r="CB32" s="2">
        <f>IF(OR(NOT(inp_c7_active),7&lt;inp_c7_start_m),0,((inp_c7_salary/12)*(1+inp_c7_oncost)+inp_c7_benefits)*calc_scn_cost_mult)</f>
        <v>0</v>
      </c>
      <c r="CC32" s="2">
        <f>IF(OR(NOT(inp_c7_active),7&lt;inp_c7_start_m),0,inp_c7_bill_hours*inp_c7_rate*calc_scn_rev_mult*calc_scn_util_mult*(inp_c7_m1_prod+MAX(0,MIN(7-inp_c7_start_m,inp_c7_ramp_m-1))*(inp_c7_util-inp_c7_m1_prod)/MAX(inp_c7_ramp_m-1,1)))</f>
        <v>0</v>
      </c>
      <c r="CD32" s="2">
        <f>IF((7-(inp_c7_collect_lag+calc_scn_collect_add))&gt;=1,INDEX(CC:CC,25+7-(inp_c7_collect_lag+calc_scn_collect_add)),0)</f>
        <v>0</v>
      </c>
      <c r="CE32" s="2">
        <f>SUM(CD$26:CD32)-SUM(CB$26:CB32)</f>
        <v>0</v>
      </c>
      <c r="CF32" s="2">
        <f>IF(OR(NOT(inp_c8_active),7&lt;inp_c8_start_m),0,((inp_c8_salary/12)*(1+inp_c8_oncost)+inp_c8_benefits)*calc_scn_cost_mult)</f>
        <v>0</v>
      </c>
      <c r="CG32" s="2">
        <f>IF(OR(NOT(inp_c8_active),7&lt;inp_c8_start_m),0,inp_c8_bill_hours*inp_c8_rate*calc_scn_rev_mult*calc_scn_util_mult*(inp_c8_m1_prod+MAX(0,MIN(7-inp_c8_start_m,inp_c8_ramp_m-1))*(inp_c8_util-inp_c8_m1_prod)/MAX(inp_c8_ramp_m-1,1)))</f>
        <v>0</v>
      </c>
      <c r="CH32" s="2">
        <f>IF((7-(inp_c8_collect_lag+calc_scn_collect_add))&gt;=1,INDEX(CG:CG,25+7-(inp_c8_collect_lag+calc_scn_collect_add)),0)</f>
        <v>0</v>
      </c>
      <c r="CI32" s="2">
        <f>SUM(CH$26:CH32)-SUM(CF$26:CF32)</f>
        <v>0</v>
      </c>
      <c r="CJ32" s="2"/>
      <c r="CK32" s="2"/>
      <c r="CL32" s="2"/>
      <c r="CM32" s="2">
        <f>IF(AND(BG32&gt;=0,7&gt;=inp_c1_start_m),7,9999)</f>
        <v>7</v>
      </c>
      <c r="CN32" s="2">
        <f>IF(AND(BK32&gt;=0,7&gt;=inp_c2_start_m),7,9999)</f>
        <v>7</v>
      </c>
      <c r="CO32" s="2">
        <f>IF(AND(BO32&gt;=0,7&gt;=inp_c3_start_m),7,9999)</f>
        <v>7</v>
      </c>
      <c r="CP32" s="2">
        <f>IF(AND(BS32&gt;=0,7&gt;=inp_c4_start_m),7,9999)</f>
        <v>7</v>
      </c>
      <c r="CQ32" s="2">
        <f>IF(AND(BW32&gt;=0,7&gt;=inp_c5_start_m),7,9999)</f>
        <v>7</v>
      </c>
      <c r="CR32" s="2">
        <f>IF(AND(CA32&gt;=0,7&gt;=inp_c6_start_m),7,9999)</f>
        <v>7</v>
      </c>
      <c r="CS32" s="2">
        <f>IF(AND(CE32&gt;=0,7&gt;=inp_c7_start_m),7,9999)</f>
        <v>7</v>
      </c>
      <c r="CT32" s="2">
        <f>IF(AND(CI32&gt;=0,7&gt;=inp_c8_start_m),7,9999)</f>
        <v>7</v>
      </c>
      <c r="CU32" s="2"/>
      <c r="CV32" s="55">
        <f>inp_biz_cash_open+SUM(AC$26:AC32)+SUM(BF$26:BF32)-SUM(BD$26:BD32)</f>
        <v>0</v>
      </c>
      <c r="CW32" s="55">
        <f>inp_biz_cash_open+SUM(AC$26:AC32)+SUM(BJ$26:BJ32)-SUM(BH$26:BH32)</f>
        <v>0</v>
      </c>
      <c r="CX32" s="55">
        <f>inp_biz_cash_open+SUM(AC$26:AC32)+SUM(BN$26:BN32)-SUM(BL$26:BL32)</f>
        <v>0</v>
      </c>
      <c r="CY32" s="55">
        <f>inp_biz_cash_open+SUM(AC$26:AC32)+SUM(BR$26:BR32)-SUM(BP$26:BP32)</f>
        <v>0</v>
      </c>
      <c r="CZ32" s="55">
        <f>inp_biz_cash_open+SUM(AC$26:AC32)+SUM(BV$26:BV32)-SUM(BT$26:BT32)</f>
        <v>0</v>
      </c>
      <c r="DA32" s="55">
        <f>inp_biz_cash_open+SUM(AC$26:AC32)+SUM(BZ$26:BZ32)-SUM(BX$26:BX32)</f>
        <v>0</v>
      </c>
      <c r="DB32" s="55">
        <f>inp_biz_cash_open+SUM(AC$26:AC32)+SUM(CD$26:CD32)-SUM(CB$26:CB32)</f>
        <v>0</v>
      </c>
      <c r="DC32" s="55">
        <f>inp_biz_cash_open+SUM(AC$26:AC32)+SUM(CH$26:CH32)-SUM(CF$26:CF32)</f>
        <v>0</v>
      </c>
      <c r="DD32" s="2"/>
      <c r="DE32" s="2"/>
      <c r="DF32" s="2"/>
      <c r="DG32" s="2"/>
      <c r="DH32" s="2"/>
      <c r="DI32" s="2"/>
      <c r="DJ32" s="19"/>
      <c r="DK32" s="20"/>
      <c r="DL32" s="20"/>
      <c r="DM32" s="20"/>
      <c r="DO32" s="66"/>
    </row>
    <row r="33" spans="1:119" ht="6" customHeight="1" x14ac:dyDescent="0.2">
      <c r="A33" s="1"/>
      <c r="B33" s="1"/>
      <c r="C33" s="1"/>
      <c r="D33" s="1"/>
      <c r="E33" s="1"/>
      <c r="F33" s="1"/>
      <c r="G33" s="1"/>
      <c r="H33" s="1"/>
      <c r="I33" s="1"/>
      <c r="J33" s="1"/>
      <c r="K33" s="1"/>
      <c r="L33" s="2"/>
      <c r="M33" s="18">
        <v>8</v>
      </c>
      <c r="N33"/>
      <c r="O33"/>
      <c r="P33"/>
      <c r="Q33"/>
      <c r="R33"/>
      <c r="S33"/>
      <c r="T33"/>
      <c r="U33"/>
      <c r="V33"/>
      <c r="W33"/>
      <c r="X33"/>
      <c r="Y33"/>
      <c r="Z33" s="10">
        <f>inp_biz_revenue_m0*(1+inp_biz_rev_growth)^(8-1)*calc_scn_rev_mult</f>
        <v>0</v>
      </c>
      <c r="AA33" s="10">
        <f t="shared" si="3"/>
        <v>0</v>
      </c>
      <c r="AB33" s="10">
        <f t="shared" si="4"/>
        <v>0</v>
      </c>
      <c r="AC33" s="10">
        <f t="shared" si="5"/>
        <v>0</v>
      </c>
      <c r="AD33" s="10">
        <f>inp_biz_cash_open+SUM(AC$26:AC33)</f>
        <v>0</v>
      </c>
      <c r="AE33" s="10">
        <f t="shared" si="6"/>
        <v>0</v>
      </c>
      <c r="AF33" s="10">
        <f t="shared" si="7"/>
        <v>0</v>
      </c>
      <c r="AG33" s="10">
        <f t="shared" si="8"/>
        <v>0</v>
      </c>
      <c r="AH33" s="10">
        <f>inp_biz_cash_open+SUM(AG$26:AG33)</f>
        <v>0</v>
      </c>
      <c r="AI33" s="18">
        <f t="shared" si="9"/>
        <v>0</v>
      </c>
      <c r="AJ33"/>
      <c r="AK33"/>
      <c r="AL33"/>
      <c r="AM33" s="10">
        <f t="shared" si="10"/>
        <v>0</v>
      </c>
      <c r="AN33" s="10">
        <f t="shared" si="11"/>
        <v>0</v>
      </c>
      <c r="AO33" s="10">
        <f>0</f>
        <v>0</v>
      </c>
      <c r="AP33" s="2"/>
      <c r="AQ33" s="2"/>
      <c r="AR33" s="2"/>
      <c r="AS33"/>
      <c r="AT33"/>
      <c r="AU33"/>
      <c r="AV33" s="10">
        <f t="shared" si="12"/>
        <v>100</v>
      </c>
      <c r="AW33" s="10">
        <f t="shared" si="13"/>
        <v>0</v>
      </c>
      <c r="AX33" s="10">
        <f t="array" ref="AX33">IF((ROW()-25)-(sel_collect_lag+calc_scn_collect_add)&gt;=1,INDEX(AW$26:AW$49,(ROW()-25)-(sel_collect_lag+calc_scn_collect_add)),0)</f>
        <v>0</v>
      </c>
      <c r="AY33" s="10">
        <f>SUM(AV$26:AV33)</f>
        <v>800</v>
      </c>
      <c r="AZ33" s="10">
        <f>SUM(AX$26:AX33)</f>
        <v>0</v>
      </c>
      <c r="BA33" s="10">
        <f t="shared" si="14"/>
        <v>0</v>
      </c>
      <c r="BB33" s="2"/>
      <c r="BC33" s="19">
        <f t="shared" si="15"/>
        <v>8</v>
      </c>
      <c r="BD33" s="19">
        <f>IF(OR(NOT(inp_c1_active),8&lt;inp_c1_start_m),0,((inp_c1_salary/12)*(1+inp_c1_oncost)+inp_c1_benefits)*calc_scn_cost_mult)</f>
        <v>0</v>
      </c>
      <c r="BE33" s="19">
        <f>IF(OR(NOT(inp_c1_active),8&lt;inp_c1_start_m),0,inp_c1_bill_hours*inp_c1_rate*calc_scn_rev_mult*calc_scn_util_mult*(inp_c1_m1_prod+MAX(0,MIN(8-inp_c1_start_m,inp_c1_ramp_m-1))*(inp_c1_util-inp_c1_m1_prod)/MAX(inp_c1_ramp_m-1,1)))</f>
        <v>0</v>
      </c>
      <c r="BF33" s="2">
        <f>IF((8-(inp_c1_collect_lag+calc_scn_collect_add))&gt;=1,INDEX(BE:BE,25+8-(inp_c1_collect_lag+calc_scn_collect_add)),0)</f>
        <v>0</v>
      </c>
      <c r="BG33" s="2">
        <f>SUM(BF$26:BF33)-SUM(BD$26:BD33)</f>
        <v>0</v>
      </c>
      <c r="BH33" s="2">
        <f>IF(OR(NOT(inp_c2_active),8&lt;inp_c2_start_m),0,((inp_c2_salary/12)*(1+inp_c2_oncost)+inp_c2_benefits)*calc_scn_cost_mult)</f>
        <v>0</v>
      </c>
      <c r="BI33" s="2">
        <f>IF(OR(NOT(inp_c2_active),8&lt;inp_c2_start_m),0,inp_c2_bill_hours*inp_c2_rate*calc_scn_rev_mult*calc_scn_util_mult*(inp_c2_m1_prod+MAX(0,MIN(8-inp_c2_start_m,inp_c2_ramp_m-1))*(inp_c2_util-inp_c2_m1_prod)/MAX(inp_c2_ramp_m-1,1)))</f>
        <v>0</v>
      </c>
      <c r="BJ33" s="2">
        <f>IF((8-(inp_c2_collect_lag+calc_scn_collect_add))&gt;=1,INDEX(BI:BI,25+8-(inp_c2_collect_lag+calc_scn_collect_add)),0)</f>
        <v>0</v>
      </c>
      <c r="BK33" s="2">
        <f>SUM(BJ$26:BJ33)-SUM(BH$26:BH33)</f>
        <v>0</v>
      </c>
      <c r="BL33" s="2">
        <f>IF(OR(NOT(inp_c3_active),8&lt;inp_c3_start_m),0,((inp_c3_salary/12)*(1+inp_c3_oncost)+inp_c3_benefits)*calc_scn_cost_mult)</f>
        <v>0</v>
      </c>
      <c r="BM33" s="2">
        <f>IF(OR(NOT(inp_c3_active),8&lt;inp_c3_start_m),0,inp_c3_bill_hours*inp_c3_rate*calc_scn_rev_mult*calc_scn_util_mult*(inp_c3_m1_prod+MAX(0,MIN(8-inp_c3_start_m,inp_c3_ramp_m-1))*(inp_c3_util-inp_c3_m1_prod)/MAX(inp_c3_ramp_m-1,1)))</f>
        <v>0</v>
      </c>
      <c r="BN33" s="2">
        <f>IF((8-(inp_c3_collect_lag+calc_scn_collect_add))&gt;=1,INDEX(BM:BM,25+8-(inp_c3_collect_lag+calc_scn_collect_add)),0)</f>
        <v>0</v>
      </c>
      <c r="BO33" s="2">
        <f>SUM(BN$26:BN33)-SUM(BL$26:BL33)</f>
        <v>0</v>
      </c>
      <c r="BP33" s="2">
        <f>IF(OR(NOT(inp_c4_active),8&lt;inp_c4_start_m),0,((inp_c4_salary/12)*(1+inp_c4_oncost)+inp_c4_benefits)*calc_scn_cost_mult)</f>
        <v>0</v>
      </c>
      <c r="BQ33" s="2">
        <f>IF(OR(NOT(inp_c4_active),8&lt;inp_c4_start_m),0,inp_c4_bill_hours*inp_c4_rate*calc_scn_rev_mult*calc_scn_util_mult*(inp_c4_m1_prod+MAX(0,MIN(8-inp_c4_start_m,inp_c4_ramp_m-1))*(inp_c4_util-inp_c4_m1_prod)/MAX(inp_c4_ramp_m-1,1)))</f>
        <v>0</v>
      </c>
      <c r="BR33" s="2">
        <f>IF((8-(inp_c4_collect_lag+calc_scn_collect_add))&gt;=1,INDEX(BQ:BQ,25+8-(inp_c4_collect_lag+calc_scn_collect_add)),0)</f>
        <v>0</v>
      </c>
      <c r="BS33" s="2">
        <f>SUM(BR$26:BR33)-SUM(BP$26:BP33)</f>
        <v>0</v>
      </c>
      <c r="BT33" s="2">
        <f>IF(OR(NOT(inp_c5_active),8&lt;inp_c5_start_m),0,((inp_c5_salary/12)*(1+inp_c5_oncost)+inp_c5_benefits)*calc_scn_cost_mult)</f>
        <v>0</v>
      </c>
      <c r="BU33" s="2">
        <f>IF(OR(NOT(inp_c5_active),8&lt;inp_c5_start_m),0,inp_c5_bill_hours*inp_c5_rate*calc_scn_rev_mult*calc_scn_util_mult*(inp_c5_m1_prod+MAX(0,MIN(8-inp_c5_start_m,inp_c5_ramp_m-1))*(inp_c5_util-inp_c5_m1_prod)/MAX(inp_c5_ramp_m-1,1)))</f>
        <v>0</v>
      </c>
      <c r="BV33" s="2">
        <f>IF((8-(inp_c5_collect_lag+calc_scn_collect_add))&gt;=1,INDEX(BU:BU,25+8-(inp_c5_collect_lag+calc_scn_collect_add)),0)</f>
        <v>0</v>
      </c>
      <c r="BW33" s="2">
        <f>SUM(BV$26:BV33)-SUM(BT$26:BT33)</f>
        <v>0</v>
      </c>
      <c r="BX33" s="2">
        <f>IF(OR(NOT(inp_c6_active),8&lt;inp_c6_start_m),0,((inp_c6_salary/12)*(1+inp_c6_oncost)+inp_c6_benefits)*calc_scn_cost_mult)</f>
        <v>0</v>
      </c>
      <c r="BY33" s="2">
        <f>IF(OR(NOT(inp_c6_active),8&lt;inp_c6_start_m),0,inp_c6_bill_hours*inp_c6_rate*calc_scn_rev_mult*calc_scn_util_mult*(inp_c6_m1_prod+MAX(0,MIN(8-inp_c6_start_m,inp_c6_ramp_m-1))*(inp_c6_util-inp_c6_m1_prod)/MAX(inp_c6_ramp_m-1,1)))</f>
        <v>0</v>
      </c>
      <c r="BZ33" s="2">
        <f>IF((8-(inp_c6_collect_lag+calc_scn_collect_add))&gt;=1,INDEX(BY:BY,25+8-(inp_c6_collect_lag+calc_scn_collect_add)),0)</f>
        <v>0</v>
      </c>
      <c r="CA33" s="2">
        <f>SUM(BZ$26:BZ33)-SUM(BX$26:BX33)</f>
        <v>0</v>
      </c>
      <c r="CB33" s="2">
        <f>IF(OR(NOT(inp_c7_active),8&lt;inp_c7_start_m),0,((inp_c7_salary/12)*(1+inp_c7_oncost)+inp_c7_benefits)*calc_scn_cost_mult)</f>
        <v>0</v>
      </c>
      <c r="CC33" s="2">
        <f>IF(OR(NOT(inp_c7_active),8&lt;inp_c7_start_m),0,inp_c7_bill_hours*inp_c7_rate*calc_scn_rev_mult*calc_scn_util_mult*(inp_c7_m1_prod+MAX(0,MIN(8-inp_c7_start_m,inp_c7_ramp_m-1))*(inp_c7_util-inp_c7_m1_prod)/MAX(inp_c7_ramp_m-1,1)))</f>
        <v>0</v>
      </c>
      <c r="CD33" s="2">
        <f>IF((8-(inp_c7_collect_lag+calc_scn_collect_add))&gt;=1,INDEX(CC:CC,25+8-(inp_c7_collect_lag+calc_scn_collect_add)),0)</f>
        <v>0</v>
      </c>
      <c r="CE33" s="2">
        <f>SUM(CD$26:CD33)-SUM(CB$26:CB33)</f>
        <v>0</v>
      </c>
      <c r="CF33" s="2">
        <f>IF(OR(NOT(inp_c8_active),8&lt;inp_c8_start_m),0,((inp_c8_salary/12)*(1+inp_c8_oncost)+inp_c8_benefits)*calc_scn_cost_mult)</f>
        <v>0</v>
      </c>
      <c r="CG33" s="2">
        <f>IF(OR(NOT(inp_c8_active),8&lt;inp_c8_start_m),0,inp_c8_bill_hours*inp_c8_rate*calc_scn_rev_mult*calc_scn_util_mult*(inp_c8_m1_prod+MAX(0,MIN(8-inp_c8_start_m,inp_c8_ramp_m-1))*(inp_c8_util-inp_c8_m1_prod)/MAX(inp_c8_ramp_m-1,1)))</f>
        <v>0</v>
      </c>
      <c r="CH33" s="2">
        <f>IF((8-(inp_c8_collect_lag+calc_scn_collect_add))&gt;=1,INDEX(CG:CG,25+8-(inp_c8_collect_lag+calc_scn_collect_add)),0)</f>
        <v>0</v>
      </c>
      <c r="CI33" s="2">
        <f>SUM(CH$26:CH33)-SUM(CF$26:CF33)</f>
        <v>0</v>
      </c>
      <c r="CJ33" s="2"/>
      <c r="CK33" s="2"/>
      <c r="CL33" s="2"/>
      <c r="CM33" s="2">
        <f>IF(AND(BG33&gt;=0,8&gt;=inp_c1_start_m),8,9999)</f>
        <v>8</v>
      </c>
      <c r="CN33" s="2">
        <f>IF(AND(BK33&gt;=0,8&gt;=inp_c2_start_m),8,9999)</f>
        <v>8</v>
      </c>
      <c r="CO33" s="2">
        <f>IF(AND(BO33&gt;=0,8&gt;=inp_c3_start_m),8,9999)</f>
        <v>8</v>
      </c>
      <c r="CP33" s="2">
        <f>IF(AND(BS33&gt;=0,8&gt;=inp_c4_start_m),8,9999)</f>
        <v>8</v>
      </c>
      <c r="CQ33" s="2">
        <f>IF(AND(BW33&gt;=0,8&gt;=inp_c5_start_m),8,9999)</f>
        <v>8</v>
      </c>
      <c r="CR33" s="2">
        <f>IF(AND(CA33&gt;=0,8&gt;=inp_c6_start_m),8,9999)</f>
        <v>8</v>
      </c>
      <c r="CS33" s="2">
        <f>IF(AND(CE33&gt;=0,8&gt;=inp_c7_start_m),8,9999)</f>
        <v>8</v>
      </c>
      <c r="CT33" s="2">
        <f>IF(AND(CI33&gt;=0,8&gt;=inp_c8_start_m),8,9999)</f>
        <v>8</v>
      </c>
      <c r="CU33" s="2"/>
      <c r="CV33" s="55">
        <f>inp_biz_cash_open+SUM(AC$26:AC33)+SUM(BF$26:BF33)-SUM(BD$26:BD33)</f>
        <v>0</v>
      </c>
      <c r="CW33" s="55">
        <f>inp_biz_cash_open+SUM(AC$26:AC33)+SUM(BJ$26:BJ33)-SUM(BH$26:BH33)</f>
        <v>0</v>
      </c>
      <c r="CX33" s="55">
        <f>inp_biz_cash_open+SUM(AC$26:AC33)+SUM(BN$26:BN33)-SUM(BL$26:BL33)</f>
        <v>0</v>
      </c>
      <c r="CY33" s="55">
        <f>inp_biz_cash_open+SUM(AC$26:AC33)+SUM(BR$26:BR33)-SUM(BP$26:BP33)</f>
        <v>0</v>
      </c>
      <c r="CZ33" s="55">
        <f>inp_biz_cash_open+SUM(AC$26:AC33)+SUM(BV$26:BV33)-SUM(BT$26:BT33)</f>
        <v>0</v>
      </c>
      <c r="DA33" s="55">
        <f>inp_biz_cash_open+SUM(AC$26:AC33)+SUM(BZ$26:BZ33)-SUM(BX$26:BX33)</f>
        <v>0</v>
      </c>
      <c r="DB33" s="55">
        <f>inp_biz_cash_open+SUM(AC$26:AC33)+SUM(CD$26:CD33)-SUM(CB$26:CB33)</f>
        <v>0</v>
      </c>
      <c r="DC33" s="55">
        <f>inp_biz_cash_open+SUM(AC$26:AC33)+SUM(CH$26:CH33)-SUM(CF$26:CF33)</f>
        <v>0</v>
      </c>
      <c r="DD33" s="2"/>
      <c r="DE33" s="2"/>
      <c r="DF33" s="2"/>
      <c r="DG33" s="2"/>
      <c r="DH33" s="2"/>
      <c r="DI33" s="2"/>
      <c r="DJ33" s="19"/>
      <c r="DK33" s="20"/>
      <c r="DL33" s="20"/>
      <c r="DM33" s="20"/>
      <c r="DO33" s="66"/>
    </row>
    <row r="34" spans="1:119" x14ac:dyDescent="0.2">
      <c r="A34" s="1"/>
      <c r="B34" s="1"/>
      <c r="C34" s="1"/>
      <c r="D34" s="1"/>
      <c r="E34" s="1"/>
      <c r="F34" s="1"/>
      <c r="G34" s="24"/>
      <c r="H34" s="1"/>
      <c r="I34" s="1"/>
      <c r="J34" s="1"/>
      <c r="K34" s="1"/>
      <c r="L34" s="2"/>
      <c r="M34" s="18">
        <v>9</v>
      </c>
      <c r="N34"/>
      <c r="O34"/>
      <c r="P34"/>
      <c r="Q34"/>
      <c r="R34"/>
      <c r="S34"/>
      <c r="T34"/>
      <c r="U34"/>
      <c r="V34"/>
      <c r="W34"/>
      <c r="X34"/>
      <c r="Y34"/>
      <c r="Z34" s="10">
        <f>inp_biz_revenue_m0*(1+inp_biz_rev_growth)^(9-1)*calc_scn_rev_mult</f>
        <v>0</v>
      </c>
      <c r="AA34" s="10">
        <f t="shared" si="3"/>
        <v>0</v>
      </c>
      <c r="AB34" s="10">
        <f t="shared" si="4"/>
        <v>0</v>
      </c>
      <c r="AC34" s="10">
        <f t="shared" si="5"/>
        <v>0</v>
      </c>
      <c r="AD34" s="10">
        <f>inp_biz_cash_open+SUM(AC$26:AC34)</f>
        <v>0</v>
      </c>
      <c r="AE34" s="10">
        <f t="shared" si="6"/>
        <v>0</v>
      </c>
      <c r="AF34" s="10">
        <f t="shared" si="7"/>
        <v>0</v>
      </c>
      <c r="AG34" s="10">
        <f t="shared" si="8"/>
        <v>0</v>
      </c>
      <c r="AH34" s="10">
        <f>inp_biz_cash_open+SUM(AG$26:AG34)</f>
        <v>0</v>
      </c>
      <c r="AI34" s="18">
        <f t="shared" si="9"/>
        <v>0</v>
      </c>
      <c r="AJ34"/>
      <c r="AK34"/>
      <c r="AL34"/>
      <c r="AM34" s="10">
        <f t="shared" si="10"/>
        <v>0</v>
      </c>
      <c r="AN34" s="10">
        <f t="shared" si="11"/>
        <v>0</v>
      </c>
      <c r="AO34" s="10">
        <f>0</f>
        <v>0</v>
      </c>
      <c r="AP34" s="2"/>
      <c r="AQ34" s="2"/>
      <c r="AR34" s="2"/>
      <c r="AS34"/>
      <c r="AT34"/>
      <c r="AU34"/>
      <c r="AV34" s="10">
        <f t="shared" si="12"/>
        <v>100</v>
      </c>
      <c r="AW34" s="10">
        <f t="shared" si="13"/>
        <v>0</v>
      </c>
      <c r="AX34" s="10">
        <f t="array" ref="AX34">IF((ROW()-25)-(sel_collect_lag+calc_scn_collect_add)&gt;=1,INDEX(AW$26:AW$49,(ROW()-25)-(sel_collect_lag+calc_scn_collect_add)),0)</f>
        <v>0</v>
      </c>
      <c r="AY34" s="10">
        <f>SUM(AV$26:AV34)</f>
        <v>900</v>
      </c>
      <c r="AZ34" s="10">
        <f>SUM(AX$26:AX34)</f>
        <v>0</v>
      </c>
      <c r="BA34" s="10">
        <f t="shared" si="14"/>
        <v>0</v>
      </c>
      <c r="BB34" s="2"/>
      <c r="BC34" s="19">
        <f t="shared" si="15"/>
        <v>9</v>
      </c>
      <c r="BD34" s="19">
        <f>IF(OR(NOT(inp_c1_active),9&lt;inp_c1_start_m),0,((inp_c1_salary/12)*(1+inp_c1_oncost)+inp_c1_benefits)*calc_scn_cost_mult)</f>
        <v>0</v>
      </c>
      <c r="BE34" s="19">
        <f>IF(OR(NOT(inp_c1_active),9&lt;inp_c1_start_m),0,inp_c1_bill_hours*inp_c1_rate*calc_scn_rev_mult*calc_scn_util_mult*(inp_c1_m1_prod+MAX(0,MIN(9-inp_c1_start_m,inp_c1_ramp_m-1))*(inp_c1_util-inp_c1_m1_prod)/MAX(inp_c1_ramp_m-1,1)))</f>
        <v>0</v>
      </c>
      <c r="BF34" s="2">
        <f>IF((9-(inp_c1_collect_lag+calc_scn_collect_add))&gt;=1,INDEX(BE:BE,25+9-(inp_c1_collect_lag+calc_scn_collect_add)),0)</f>
        <v>0</v>
      </c>
      <c r="BG34" s="2">
        <f>SUM(BF$26:BF34)-SUM(BD$26:BD34)</f>
        <v>0</v>
      </c>
      <c r="BH34" s="2">
        <f>IF(OR(NOT(inp_c2_active),9&lt;inp_c2_start_m),0,((inp_c2_salary/12)*(1+inp_c2_oncost)+inp_c2_benefits)*calc_scn_cost_mult)</f>
        <v>0</v>
      </c>
      <c r="BI34" s="2">
        <f>IF(OR(NOT(inp_c2_active),9&lt;inp_c2_start_m),0,inp_c2_bill_hours*inp_c2_rate*calc_scn_rev_mult*calc_scn_util_mult*(inp_c2_m1_prod+MAX(0,MIN(9-inp_c2_start_m,inp_c2_ramp_m-1))*(inp_c2_util-inp_c2_m1_prod)/MAX(inp_c2_ramp_m-1,1)))</f>
        <v>0</v>
      </c>
      <c r="BJ34" s="2">
        <f>IF((9-(inp_c2_collect_lag+calc_scn_collect_add))&gt;=1,INDEX(BI:BI,25+9-(inp_c2_collect_lag+calc_scn_collect_add)),0)</f>
        <v>0</v>
      </c>
      <c r="BK34" s="2">
        <f>SUM(BJ$26:BJ34)-SUM(BH$26:BH34)</f>
        <v>0</v>
      </c>
      <c r="BL34" s="2">
        <f>IF(OR(NOT(inp_c3_active),9&lt;inp_c3_start_m),0,((inp_c3_salary/12)*(1+inp_c3_oncost)+inp_c3_benefits)*calc_scn_cost_mult)</f>
        <v>0</v>
      </c>
      <c r="BM34" s="2">
        <f>IF(OR(NOT(inp_c3_active),9&lt;inp_c3_start_m),0,inp_c3_bill_hours*inp_c3_rate*calc_scn_rev_mult*calc_scn_util_mult*(inp_c3_m1_prod+MAX(0,MIN(9-inp_c3_start_m,inp_c3_ramp_m-1))*(inp_c3_util-inp_c3_m1_prod)/MAX(inp_c3_ramp_m-1,1)))</f>
        <v>0</v>
      </c>
      <c r="BN34" s="2">
        <f>IF((9-(inp_c3_collect_lag+calc_scn_collect_add))&gt;=1,INDEX(BM:BM,25+9-(inp_c3_collect_lag+calc_scn_collect_add)),0)</f>
        <v>0</v>
      </c>
      <c r="BO34" s="2">
        <f>SUM(BN$26:BN34)-SUM(BL$26:BL34)</f>
        <v>0</v>
      </c>
      <c r="BP34" s="2">
        <f>IF(OR(NOT(inp_c4_active),9&lt;inp_c4_start_m),0,((inp_c4_salary/12)*(1+inp_c4_oncost)+inp_c4_benefits)*calc_scn_cost_mult)</f>
        <v>0</v>
      </c>
      <c r="BQ34" s="2">
        <f>IF(OR(NOT(inp_c4_active),9&lt;inp_c4_start_m),0,inp_c4_bill_hours*inp_c4_rate*calc_scn_rev_mult*calc_scn_util_mult*(inp_c4_m1_prod+MAX(0,MIN(9-inp_c4_start_m,inp_c4_ramp_m-1))*(inp_c4_util-inp_c4_m1_prod)/MAX(inp_c4_ramp_m-1,1)))</f>
        <v>0</v>
      </c>
      <c r="BR34" s="2">
        <f>IF((9-(inp_c4_collect_lag+calc_scn_collect_add))&gt;=1,INDEX(BQ:BQ,25+9-(inp_c4_collect_lag+calc_scn_collect_add)),0)</f>
        <v>0</v>
      </c>
      <c r="BS34" s="2">
        <f>SUM(BR$26:BR34)-SUM(BP$26:BP34)</f>
        <v>0</v>
      </c>
      <c r="BT34" s="2">
        <f>IF(OR(NOT(inp_c5_active),9&lt;inp_c5_start_m),0,((inp_c5_salary/12)*(1+inp_c5_oncost)+inp_c5_benefits)*calc_scn_cost_mult)</f>
        <v>0</v>
      </c>
      <c r="BU34" s="2">
        <f>IF(OR(NOT(inp_c5_active),9&lt;inp_c5_start_m),0,inp_c5_bill_hours*inp_c5_rate*calc_scn_rev_mult*calc_scn_util_mult*(inp_c5_m1_prod+MAX(0,MIN(9-inp_c5_start_m,inp_c5_ramp_m-1))*(inp_c5_util-inp_c5_m1_prod)/MAX(inp_c5_ramp_m-1,1)))</f>
        <v>0</v>
      </c>
      <c r="BV34" s="2">
        <f>IF((9-(inp_c5_collect_lag+calc_scn_collect_add))&gt;=1,INDEX(BU:BU,25+9-(inp_c5_collect_lag+calc_scn_collect_add)),0)</f>
        <v>0</v>
      </c>
      <c r="BW34" s="2">
        <f>SUM(BV$26:BV34)-SUM(BT$26:BT34)</f>
        <v>0</v>
      </c>
      <c r="BX34" s="2">
        <f>IF(OR(NOT(inp_c6_active),9&lt;inp_c6_start_m),0,((inp_c6_salary/12)*(1+inp_c6_oncost)+inp_c6_benefits)*calc_scn_cost_mult)</f>
        <v>0</v>
      </c>
      <c r="BY34" s="2">
        <f>IF(OR(NOT(inp_c6_active),9&lt;inp_c6_start_m),0,inp_c6_bill_hours*inp_c6_rate*calc_scn_rev_mult*calc_scn_util_mult*(inp_c6_m1_prod+MAX(0,MIN(9-inp_c6_start_m,inp_c6_ramp_m-1))*(inp_c6_util-inp_c6_m1_prod)/MAX(inp_c6_ramp_m-1,1)))</f>
        <v>0</v>
      </c>
      <c r="BZ34" s="2">
        <f>IF((9-(inp_c6_collect_lag+calc_scn_collect_add))&gt;=1,INDEX(BY:BY,25+9-(inp_c6_collect_lag+calc_scn_collect_add)),0)</f>
        <v>0</v>
      </c>
      <c r="CA34" s="2">
        <f>SUM(BZ$26:BZ34)-SUM(BX$26:BX34)</f>
        <v>0</v>
      </c>
      <c r="CB34" s="2">
        <f>IF(OR(NOT(inp_c7_active),9&lt;inp_c7_start_m),0,((inp_c7_salary/12)*(1+inp_c7_oncost)+inp_c7_benefits)*calc_scn_cost_mult)</f>
        <v>0</v>
      </c>
      <c r="CC34" s="2">
        <f>IF(OR(NOT(inp_c7_active),9&lt;inp_c7_start_m),0,inp_c7_bill_hours*inp_c7_rate*calc_scn_rev_mult*calc_scn_util_mult*(inp_c7_m1_prod+MAX(0,MIN(9-inp_c7_start_m,inp_c7_ramp_m-1))*(inp_c7_util-inp_c7_m1_prod)/MAX(inp_c7_ramp_m-1,1)))</f>
        <v>0</v>
      </c>
      <c r="CD34" s="2">
        <f>IF((9-(inp_c7_collect_lag+calc_scn_collect_add))&gt;=1,INDEX(CC:CC,25+9-(inp_c7_collect_lag+calc_scn_collect_add)),0)</f>
        <v>0</v>
      </c>
      <c r="CE34" s="2">
        <f>SUM(CD$26:CD34)-SUM(CB$26:CB34)</f>
        <v>0</v>
      </c>
      <c r="CF34" s="2">
        <f>IF(OR(NOT(inp_c8_active),9&lt;inp_c8_start_m),0,((inp_c8_salary/12)*(1+inp_c8_oncost)+inp_c8_benefits)*calc_scn_cost_mult)</f>
        <v>0</v>
      </c>
      <c r="CG34" s="2">
        <f>IF(OR(NOT(inp_c8_active),9&lt;inp_c8_start_m),0,inp_c8_bill_hours*inp_c8_rate*calc_scn_rev_mult*calc_scn_util_mult*(inp_c8_m1_prod+MAX(0,MIN(9-inp_c8_start_m,inp_c8_ramp_m-1))*(inp_c8_util-inp_c8_m1_prod)/MAX(inp_c8_ramp_m-1,1)))</f>
        <v>0</v>
      </c>
      <c r="CH34" s="2">
        <f>IF((9-(inp_c8_collect_lag+calc_scn_collect_add))&gt;=1,INDEX(CG:CG,25+9-(inp_c8_collect_lag+calc_scn_collect_add)),0)</f>
        <v>0</v>
      </c>
      <c r="CI34" s="2">
        <f>SUM(CH$26:CH34)-SUM(CF$26:CF34)</f>
        <v>0</v>
      </c>
      <c r="CJ34" s="2"/>
      <c r="CK34" s="2"/>
      <c r="CL34" s="2"/>
      <c r="CM34" s="2">
        <f>IF(AND(BG34&gt;=0,9&gt;=inp_c1_start_m),9,9999)</f>
        <v>9</v>
      </c>
      <c r="CN34" s="2">
        <f>IF(AND(BK34&gt;=0,9&gt;=inp_c2_start_m),9,9999)</f>
        <v>9</v>
      </c>
      <c r="CO34" s="2">
        <f>IF(AND(BO34&gt;=0,9&gt;=inp_c3_start_m),9,9999)</f>
        <v>9</v>
      </c>
      <c r="CP34" s="2">
        <f>IF(AND(BS34&gt;=0,9&gt;=inp_c4_start_m),9,9999)</f>
        <v>9</v>
      </c>
      <c r="CQ34" s="2">
        <f>IF(AND(BW34&gt;=0,9&gt;=inp_c5_start_m),9,9999)</f>
        <v>9</v>
      </c>
      <c r="CR34" s="2">
        <f>IF(AND(CA34&gt;=0,9&gt;=inp_c6_start_m),9,9999)</f>
        <v>9</v>
      </c>
      <c r="CS34" s="2">
        <f>IF(AND(CE34&gt;=0,9&gt;=inp_c7_start_m),9,9999)</f>
        <v>9</v>
      </c>
      <c r="CT34" s="2">
        <f>IF(AND(CI34&gt;=0,9&gt;=inp_c8_start_m),9,9999)</f>
        <v>9</v>
      </c>
      <c r="CU34" s="2"/>
      <c r="CV34" s="55">
        <f>inp_biz_cash_open+SUM(AC$26:AC34)+SUM(BF$26:BF34)-SUM(BD$26:BD34)</f>
        <v>0</v>
      </c>
      <c r="CW34" s="55">
        <f>inp_biz_cash_open+SUM(AC$26:AC34)+SUM(BJ$26:BJ34)-SUM(BH$26:BH34)</f>
        <v>0</v>
      </c>
      <c r="CX34" s="55">
        <f>inp_biz_cash_open+SUM(AC$26:AC34)+SUM(BN$26:BN34)-SUM(BL$26:BL34)</f>
        <v>0</v>
      </c>
      <c r="CY34" s="55">
        <f>inp_biz_cash_open+SUM(AC$26:AC34)+SUM(BR$26:BR34)-SUM(BP$26:BP34)</f>
        <v>0</v>
      </c>
      <c r="CZ34" s="55">
        <f>inp_biz_cash_open+SUM(AC$26:AC34)+SUM(BV$26:BV34)-SUM(BT$26:BT34)</f>
        <v>0</v>
      </c>
      <c r="DA34" s="55">
        <f>inp_biz_cash_open+SUM(AC$26:AC34)+SUM(BZ$26:BZ34)-SUM(BX$26:BX34)</f>
        <v>0</v>
      </c>
      <c r="DB34" s="55">
        <f>inp_biz_cash_open+SUM(AC$26:AC34)+SUM(CD$26:CD34)-SUM(CB$26:CB34)</f>
        <v>0</v>
      </c>
      <c r="DC34" s="55">
        <f>inp_biz_cash_open+SUM(AC$26:AC34)+SUM(CH$26:CH34)-SUM(CF$26:CF34)</f>
        <v>0</v>
      </c>
      <c r="DD34" s="2"/>
      <c r="DE34" s="2"/>
      <c r="DF34" s="2"/>
      <c r="DG34" s="2"/>
      <c r="DH34" s="2"/>
      <c r="DI34" s="2"/>
      <c r="DJ34" s="19"/>
      <c r="DK34" s="20"/>
      <c r="DL34" s="20"/>
      <c r="DM34" s="20"/>
      <c r="DO34" s="66"/>
    </row>
    <row r="35" spans="1:119" x14ac:dyDescent="0.2">
      <c r="A35" s="1"/>
      <c r="B35" s="1"/>
      <c r="C35" s="1"/>
      <c r="D35" s="1"/>
      <c r="E35" s="1"/>
      <c r="F35" s="1"/>
      <c r="G35" s="1"/>
      <c r="H35" s="1"/>
      <c r="I35" s="1"/>
      <c r="J35" s="1"/>
      <c r="K35" s="1"/>
      <c r="L35" s="2"/>
      <c r="M35" s="18">
        <v>10</v>
      </c>
      <c r="N35"/>
      <c r="O35"/>
      <c r="P35"/>
      <c r="Q35"/>
      <c r="R35"/>
      <c r="S35"/>
      <c r="T35"/>
      <c r="U35"/>
      <c r="V35"/>
      <c r="W35"/>
      <c r="X35"/>
      <c r="Y35"/>
      <c r="Z35" s="10">
        <f>inp_biz_revenue_m0*(1+inp_biz_rev_growth)^(10-1)*calc_scn_rev_mult</f>
        <v>0</v>
      </c>
      <c r="AA35" s="10">
        <f t="shared" si="3"/>
        <v>0</v>
      </c>
      <c r="AB35" s="10">
        <f t="shared" si="4"/>
        <v>0</v>
      </c>
      <c r="AC35" s="10">
        <f t="shared" si="5"/>
        <v>0</v>
      </c>
      <c r="AD35" s="10">
        <f>inp_biz_cash_open+SUM(AC$26:AC35)</f>
        <v>0</v>
      </c>
      <c r="AE35" s="10">
        <f t="shared" si="6"/>
        <v>0</v>
      </c>
      <c r="AF35" s="10">
        <f t="shared" si="7"/>
        <v>0</v>
      </c>
      <c r="AG35" s="10">
        <f t="shared" si="8"/>
        <v>0</v>
      </c>
      <c r="AH35" s="10">
        <f>inp_biz_cash_open+SUM(AG$26:AG35)</f>
        <v>0</v>
      </c>
      <c r="AI35" s="18">
        <f t="shared" si="9"/>
        <v>0</v>
      </c>
      <c r="AJ35"/>
      <c r="AK35"/>
      <c r="AL35"/>
      <c r="AM35" s="10">
        <f t="shared" si="10"/>
        <v>0</v>
      </c>
      <c r="AN35" s="10">
        <f t="shared" si="11"/>
        <v>0</v>
      </c>
      <c r="AO35" s="10">
        <f>0</f>
        <v>0</v>
      </c>
      <c r="AP35" s="2"/>
      <c r="AQ35" s="2"/>
      <c r="AR35" s="2"/>
      <c r="AS35"/>
      <c r="AT35"/>
      <c r="AU35"/>
      <c r="AV35" s="10">
        <f t="shared" si="12"/>
        <v>100</v>
      </c>
      <c r="AW35" s="10">
        <f t="shared" si="13"/>
        <v>0</v>
      </c>
      <c r="AX35" s="10">
        <f t="array" ref="AX35">IF((ROW()-25)-(sel_collect_lag+calc_scn_collect_add)&gt;=1,INDEX(AW$26:AW$49,(ROW()-25)-(sel_collect_lag+calc_scn_collect_add)),0)</f>
        <v>0</v>
      </c>
      <c r="AY35" s="10">
        <f>SUM(AV$26:AV35)</f>
        <v>1000</v>
      </c>
      <c r="AZ35" s="10">
        <f>SUM(AX$26:AX35)</f>
        <v>0</v>
      </c>
      <c r="BA35" s="10">
        <f t="shared" si="14"/>
        <v>0</v>
      </c>
      <c r="BB35" s="2"/>
      <c r="BC35" s="19">
        <f t="shared" si="15"/>
        <v>10</v>
      </c>
      <c r="BD35" s="19">
        <f>IF(OR(NOT(inp_c1_active),10&lt;inp_c1_start_m),0,((inp_c1_salary/12)*(1+inp_c1_oncost)+inp_c1_benefits)*calc_scn_cost_mult)</f>
        <v>0</v>
      </c>
      <c r="BE35" s="19">
        <f>IF(OR(NOT(inp_c1_active),10&lt;inp_c1_start_m),0,inp_c1_bill_hours*inp_c1_rate*calc_scn_rev_mult*calc_scn_util_mult*(inp_c1_m1_prod+MAX(0,MIN(10-inp_c1_start_m,inp_c1_ramp_m-1))*(inp_c1_util-inp_c1_m1_prod)/MAX(inp_c1_ramp_m-1,1)))</f>
        <v>0</v>
      </c>
      <c r="BF35" s="2">
        <f>IF((10-(inp_c1_collect_lag+calc_scn_collect_add))&gt;=1,INDEX(BE:BE,25+10-(inp_c1_collect_lag+calc_scn_collect_add)),0)</f>
        <v>0</v>
      </c>
      <c r="BG35" s="2">
        <f>SUM(BF$26:BF35)-SUM(BD$26:BD35)</f>
        <v>0</v>
      </c>
      <c r="BH35" s="2">
        <f>IF(OR(NOT(inp_c2_active),10&lt;inp_c2_start_m),0,((inp_c2_salary/12)*(1+inp_c2_oncost)+inp_c2_benefits)*calc_scn_cost_mult)</f>
        <v>0</v>
      </c>
      <c r="BI35" s="2">
        <f>IF(OR(NOT(inp_c2_active),10&lt;inp_c2_start_m),0,inp_c2_bill_hours*inp_c2_rate*calc_scn_rev_mult*calc_scn_util_mult*(inp_c2_m1_prod+MAX(0,MIN(10-inp_c2_start_m,inp_c2_ramp_m-1))*(inp_c2_util-inp_c2_m1_prod)/MAX(inp_c2_ramp_m-1,1)))</f>
        <v>0</v>
      </c>
      <c r="BJ35" s="2">
        <f>IF((10-(inp_c2_collect_lag+calc_scn_collect_add))&gt;=1,INDEX(BI:BI,25+10-(inp_c2_collect_lag+calc_scn_collect_add)),0)</f>
        <v>0</v>
      </c>
      <c r="BK35" s="2">
        <f>SUM(BJ$26:BJ35)-SUM(BH$26:BH35)</f>
        <v>0</v>
      </c>
      <c r="BL35" s="2">
        <f>IF(OR(NOT(inp_c3_active),10&lt;inp_c3_start_m),0,((inp_c3_salary/12)*(1+inp_c3_oncost)+inp_c3_benefits)*calc_scn_cost_mult)</f>
        <v>0</v>
      </c>
      <c r="BM35" s="2">
        <f>IF(OR(NOT(inp_c3_active),10&lt;inp_c3_start_m),0,inp_c3_bill_hours*inp_c3_rate*calc_scn_rev_mult*calc_scn_util_mult*(inp_c3_m1_prod+MAX(0,MIN(10-inp_c3_start_m,inp_c3_ramp_m-1))*(inp_c3_util-inp_c3_m1_prod)/MAX(inp_c3_ramp_m-1,1)))</f>
        <v>0</v>
      </c>
      <c r="BN35" s="2">
        <f>IF((10-(inp_c3_collect_lag+calc_scn_collect_add))&gt;=1,INDEX(BM:BM,25+10-(inp_c3_collect_lag+calc_scn_collect_add)),0)</f>
        <v>0</v>
      </c>
      <c r="BO35" s="2">
        <f>SUM(BN$26:BN35)-SUM(BL$26:BL35)</f>
        <v>0</v>
      </c>
      <c r="BP35" s="2">
        <f>IF(OR(NOT(inp_c4_active),10&lt;inp_c4_start_m),0,((inp_c4_salary/12)*(1+inp_c4_oncost)+inp_c4_benefits)*calc_scn_cost_mult)</f>
        <v>0</v>
      </c>
      <c r="BQ35" s="2">
        <f>IF(OR(NOT(inp_c4_active),10&lt;inp_c4_start_m),0,inp_c4_bill_hours*inp_c4_rate*calc_scn_rev_mult*calc_scn_util_mult*(inp_c4_m1_prod+MAX(0,MIN(10-inp_c4_start_m,inp_c4_ramp_m-1))*(inp_c4_util-inp_c4_m1_prod)/MAX(inp_c4_ramp_m-1,1)))</f>
        <v>0</v>
      </c>
      <c r="BR35" s="2">
        <f>IF((10-(inp_c4_collect_lag+calc_scn_collect_add))&gt;=1,INDEX(BQ:BQ,25+10-(inp_c4_collect_lag+calc_scn_collect_add)),0)</f>
        <v>0</v>
      </c>
      <c r="BS35" s="2">
        <f>SUM(BR$26:BR35)-SUM(BP$26:BP35)</f>
        <v>0</v>
      </c>
      <c r="BT35" s="2">
        <f>IF(OR(NOT(inp_c5_active),10&lt;inp_c5_start_m),0,((inp_c5_salary/12)*(1+inp_c5_oncost)+inp_c5_benefits)*calc_scn_cost_mult)</f>
        <v>0</v>
      </c>
      <c r="BU35" s="2">
        <f>IF(OR(NOT(inp_c5_active),10&lt;inp_c5_start_m),0,inp_c5_bill_hours*inp_c5_rate*calc_scn_rev_mult*calc_scn_util_mult*(inp_c5_m1_prod+MAX(0,MIN(10-inp_c5_start_m,inp_c5_ramp_m-1))*(inp_c5_util-inp_c5_m1_prod)/MAX(inp_c5_ramp_m-1,1)))</f>
        <v>0</v>
      </c>
      <c r="BV35" s="2">
        <f>IF((10-(inp_c5_collect_lag+calc_scn_collect_add))&gt;=1,INDEX(BU:BU,25+10-(inp_c5_collect_lag+calc_scn_collect_add)),0)</f>
        <v>0</v>
      </c>
      <c r="BW35" s="2">
        <f>SUM(BV$26:BV35)-SUM(BT$26:BT35)</f>
        <v>0</v>
      </c>
      <c r="BX35" s="2">
        <f>IF(OR(NOT(inp_c6_active),10&lt;inp_c6_start_m),0,((inp_c6_salary/12)*(1+inp_c6_oncost)+inp_c6_benefits)*calc_scn_cost_mult)</f>
        <v>0</v>
      </c>
      <c r="BY35" s="2">
        <f>IF(OR(NOT(inp_c6_active),10&lt;inp_c6_start_m),0,inp_c6_bill_hours*inp_c6_rate*calc_scn_rev_mult*calc_scn_util_mult*(inp_c6_m1_prod+MAX(0,MIN(10-inp_c6_start_m,inp_c6_ramp_m-1))*(inp_c6_util-inp_c6_m1_prod)/MAX(inp_c6_ramp_m-1,1)))</f>
        <v>0</v>
      </c>
      <c r="BZ35" s="2">
        <f>IF((10-(inp_c6_collect_lag+calc_scn_collect_add))&gt;=1,INDEX(BY:BY,25+10-(inp_c6_collect_lag+calc_scn_collect_add)),0)</f>
        <v>0</v>
      </c>
      <c r="CA35" s="2">
        <f>SUM(BZ$26:BZ35)-SUM(BX$26:BX35)</f>
        <v>0</v>
      </c>
      <c r="CB35" s="2">
        <f>IF(OR(NOT(inp_c7_active),10&lt;inp_c7_start_m),0,((inp_c7_salary/12)*(1+inp_c7_oncost)+inp_c7_benefits)*calc_scn_cost_mult)</f>
        <v>0</v>
      </c>
      <c r="CC35" s="2">
        <f>IF(OR(NOT(inp_c7_active),10&lt;inp_c7_start_m),0,inp_c7_bill_hours*inp_c7_rate*calc_scn_rev_mult*calc_scn_util_mult*(inp_c7_m1_prod+MAX(0,MIN(10-inp_c7_start_m,inp_c7_ramp_m-1))*(inp_c7_util-inp_c7_m1_prod)/MAX(inp_c7_ramp_m-1,1)))</f>
        <v>0</v>
      </c>
      <c r="CD35" s="2">
        <f>IF((10-(inp_c7_collect_lag+calc_scn_collect_add))&gt;=1,INDEX(CC:CC,25+10-(inp_c7_collect_lag+calc_scn_collect_add)),0)</f>
        <v>0</v>
      </c>
      <c r="CE35" s="2">
        <f>SUM(CD$26:CD35)-SUM(CB$26:CB35)</f>
        <v>0</v>
      </c>
      <c r="CF35" s="2">
        <f>IF(OR(NOT(inp_c8_active),10&lt;inp_c8_start_m),0,((inp_c8_salary/12)*(1+inp_c8_oncost)+inp_c8_benefits)*calc_scn_cost_mult)</f>
        <v>0</v>
      </c>
      <c r="CG35" s="2">
        <f>IF(OR(NOT(inp_c8_active),10&lt;inp_c8_start_m),0,inp_c8_bill_hours*inp_c8_rate*calc_scn_rev_mult*calc_scn_util_mult*(inp_c8_m1_prod+MAX(0,MIN(10-inp_c8_start_m,inp_c8_ramp_m-1))*(inp_c8_util-inp_c8_m1_prod)/MAX(inp_c8_ramp_m-1,1)))</f>
        <v>0</v>
      </c>
      <c r="CH35" s="2">
        <f>IF((10-(inp_c8_collect_lag+calc_scn_collect_add))&gt;=1,INDEX(CG:CG,25+10-(inp_c8_collect_lag+calc_scn_collect_add)),0)</f>
        <v>0</v>
      </c>
      <c r="CI35" s="2">
        <f>SUM(CH$26:CH35)-SUM(CF$26:CF35)</f>
        <v>0</v>
      </c>
      <c r="CJ35" s="2"/>
      <c r="CK35" s="2"/>
      <c r="CL35" s="2"/>
      <c r="CM35" s="2">
        <f>IF(AND(BG35&gt;=0,10&gt;=inp_c1_start_m),10,9999)</f>
        <v>10</v>
      </c>
      <c r="CN35" s="2">
        <f>IF(AND(BK35&gt;=0,10&gt;=inp_c2_start_m),10,9999)</f>
        <v>10</v>
      </c>
      <c r="CO35" s="2">
        <f>IF(AND(BO35&gt;=0,10&gt;=inp_c3_start_m),10,9999)</f>
        <v>10</v>
      </c>
      <c r="CP35" s="2">
        <f>IF(AND(BS35&gt;=0,10&gt;=inp_c4_start_m),10,9999)</f>
        <v>10</v>
      </c>
      <c r="CQ35" s="2">
        <f>IF(AND(BW35&gt;=0,10&gt;=inp_c5_start_m),10,9999)</f>
        <v>10</v>
      </c>
      <c r="CR35" s="2">
        <f>IF(AND(CA35&gt;=0,10&gt;=inp_c6_start_m),10,9999)</f>
        <v>10</v>
      </c>
      <c r="CS35" s="2">
        <f>IF(AND(CE35&gt;=0,10&gt;=inp_c7_start_m),10,9999)</f>
        <v>10</v>
      </c>
      <c r="CT35" s="2">
        <f>IF(AND(CI35&gt;=0,10&gt;=inp_c8_start_m),10,9999)</f>
        <v>10</v>
      </c>
      <c r="CU35" s="2"/>
      <c r="CV35" s="55">
        <f>inp_biz_cash_open+SUM(AC$26:AC35)+SUM(BF$26:BF35)-SUM(BD$26:BD35)</f>
        <v>0</v>
      </c>
      <c r="CW35" s="55">
        <f>inp_biz_cash_open+SUM(AC$26:AC35)+SUM(BJ$26:BJ35)-SUM(BH$26:BH35)</f>
        <v>0</v>
      </c>
      <c r="CX35" s="55">
        <f>inp_biz_cash_open+SUM(AC$26:AC35)+SUM(BN$26:BN35)-SUM(BL$26:BL35)</f>
        <v>0</v>
      </c>
      <c r="CY35" s="55">
        <f>inp_biz_cash_open+SUM(AC$26:AC35)+SUM(BR$26:BR35)-SUM(BP$26:BP35)</f>
        <v>0</v>
      </c>
      <c r="CZ35" s="55">
        <f>inp_biz_cash_open+SUM(AC$26:AC35)+SUM(BV$26:BV35)-SUM(BT$26:BT35)</f>
        <v>0</v>
      </c>
      <c r="DA35" s="55">
        <f>inp_biz_cash_open+SUM(AC$26:AC35)+SUM(BZ$26:BZ35)-SUM(BX$26:BX35)</f>
        <v>0</v>
      </c>
      <c r="DB35" s="55">
        <f>inp_biz_cash_open+SUM(AC$26:AC35)+SUM(CD$26:CD35)-SUM(CB$26:CB35)</f>
        <v>0</v>
      </c>
      <c r="DC35" s="55">
        <f>inp_biz_cash_open+SUM(AC$26:AC35)+SUM(CH$26:CH35)-SUM(CF$26:CF35)</f>
        <v>0</v>
      </c>
      <c r="DD35" s="2"/>
      <c r="DE35" s="2"/>
      <c r="DF35" s="2"/>
      <c r="DG35" s="2"/>
      <c r="DH35" s="2"/>
      <c r="DI35" s="2"/>
      <c r="DJ35" s="2"/>
      <c r="DK35" s="2"/>
      <c r="DL35" s="2"/>
      <c r="DM35" s="2"/>
    </row>
    <row r="36" spans="1:119" ht="22" customHeight="1" x14ac:dyDescent="0.2">
      <c r="A36" s="1"/>
      <c r="B36" s="5" t="s">
        <v>107</v>
      </c>
      <c r="C36" s="1"/>
      <c r="D36" s="1"/>
      <c r="E36" s="1"/>
      <c r="F36" s="1"/>
      <c r="G36" s="1"/>
      <c r="H36" s="1"/>
      <c r="I36" s="1"/>
      <c r="J36" s="1"/>
      <c r="K36" s="1"/>
      <c r="L36" s="2"/>
      <c r="M36" s="18">
        <v>11</v>
      </c>
      <c r="N36"/>
      <c r="O36"/>
      <c r="P36"/>
      <c r="Q36"/>
      <c r="R36"/>
      <c r="S36"/>
      <c r="T36"/>
      <c r="U36"/>
      <c r="V36"/>
      <c r="W36"/>
      <c r="X36"/>
      <c r="Y36"/>
      <c r="Z36" s="10">
        <f>inp_biz_revenue_m0*(1+inp_biz_rev_growth)^(11-1)*calc_scn_rev_mult</f>
        <v>0</v>
      </c>
      <c r="AA36" s="10">
        <f t="shared" si="3"/>
        <v>0</v>
      </c>
      <c r="AB36" s="10">
        <f t="shared" si="4"/>
        <v>0</v>
      </c>
      <c r="AC36" s="10">
        <f t="shared" si="5"/>
        <v>0</v>
      </c>
      <c r="AD36" s="10">
        <f>inp_biz_cash_open+SUM(AC$26:AC36)</f>
        <v>0</v>
      </c>
      <c r="AE36" s="10">
        <f t="shared" si="6"/>
        <v>0</v>
      </c>
      <c r="AF36" s="10">
        <f t="shared" si="7"/>
        <v>0</v>
      </c>
      <c r="AG36" s="10">
        <f t="shared" si="8"/>
        <v>0</v>
      </c>
      <c r="AH36" s="10">
        <f>inp_biz_cash_open+SUM(AG$26:AG36)</f>
        <v>0</v>
      </c>
      <c r="AI36" s="18">
        <f t="shared" si="9"/>
        <v>0</v>
      </c>
      <c r="AJ36"/>
      <c r="AK36"/>
      <c r="AL36"/>
      <c r="AM36" s="10">
        <f t="shared" si="10"/>
        <v>0</v>
      </c>
      <c r="AN36" s="10">
        <f t="shared" si="11"/>
        <v>0</v>
      </c>
      <c r="AO36" s="10">
        <f>0</f>
        <v>0</v>
      </c>
      <c r="AP36" s="2"/>
      <c r="AQ36" s="2"/>
      <c r="AR36" s="2"/>
      <c r="AS36"/>
      <c r="AT36"/>
      <c r="AU36"/>
      <c r="AV36" s="10">
        <f t="shared" si="12"/>
        <v>100</v>
      </c>
      <c r="AW36" s="10">
        <f t="shared" si="13"/>
        <v>0</v>
      </c>
      <c r="AX36" s="10">
        <f t="array" ref="AX36">IF((ROW()-25)-(sel_collect_lag+calc_scn_collect_add)&gt;=1,INDEX(AW$26:AW$49,(ROW()-25)-(sel_collect_lag+calc_scn_collect_add)),0)</f>
        <v>0</v>
      </c>
      <c r="AY36" s="10">
        <f>SUM(AV$26:AV36)</f>
        <v>1100</v>
      </c>
      <c r="AZ36" s="10">
        <f>SUM(AX$26:AX36)</f>
        <v>0</v>
      </c>
      <c r="BA36" s="10">
        <f t="shared" si="14"/>
        <v>0</v>
      </c>
      <c r="BB36" s="2"/>
      <c r="BC36" s="19">
        <f t="shared" si="15"/>
        <v>11</v>
      </c>
      <c r="BD36" s="19">
        <f>IF(OR(NOT(inp_c1_active),11&lt;inp_c1_start_m),0,((inp_c1_salary/12)*(1+inp_c1_oncost)+inp_c1_benefits)*calc_scn_cost_mult)</f>
        <v>0</v>
      </c>
      <c r="BE36" s="19">
        <f>IF(OR(NOT(inp_c1_active),11&lt;inp_c1_start_m),0,inp_c1_bill_hours*inp_c1_rate*calc_scn_rev_mult*calc_scn_util_mult*(inp_c1_m1_prod+MAX(0,MIN(11-inp_c1_start_m,inp_c1_ramp_m-1))*(inp_c1_util-inp_c1_m1_prod)/MAX(inp_c1_ramp_m-1,1)))</f>
        <v>0</v>
      </c>
      <c r="BF36" s="2">
        <f>IF((11-(inp_c1_collect_lag+calc_scn_collect_add))&gt;=1,INDEX(BE:BE,25+11-(inp_c1_collect_lag+calc_scn_collect_add)),0)</f>
        <v>0</v>
      </c>
      <c r="BG36" s="2">
        <f>SUM(BF$26:BF36)-SUM(BD$26:BD36)</f>
        <v>0</v>
      </c>
      <c r="BH36" s="2">
        <f>IF(OR(NOT(inp_c2_active),11&lt;inp_c2_start_m),0,((inp_c2_salary/12)*(1+inp_c2_oncost)+inp_c2_benefits)*calc_scn_cost_mult)</f>
        <v>0</v>
      </c>
      <c r="BI36" s="2">
        <f>IF(OR(NOT(inp_c2_active),11&lt;inp_c2_start_m),0,inp_c2_bill_hours*inp_c2_rate*calc_scn_rev_mult*calc_scn_util_mult*(inp_c2_m1_prod+MAX(0,MIN(11-inp_c2_start_m,inp_c2_ramp_m-1))*(inp_c2_util-inp_c2_m1_prod)/MAX(inp_c2_ramp_m-1,1)))</f>
        <v>0</v>
      </c>
      <c r="BJ36" s="2">
        <f>IF((11-(inp_c2_collect_lag+calc_scn_collect_add))&gt;=1,INDEX(BI:BI,25+11-(inp_c2_collect_lag+calc_scn_collect_add)),0)</f>
        <v>0</v>
      </c>
      <c r="BK36" s="2">
        <f>SUM(BJ$26:BJ36)-SUM(BH$26:BH36)</f>
        <v>0</v>
      </c>
      <c r="BL36" s="2">
        <f>IF(OR(NOT(inp_c3_active),11&lt;inp_c3_start_m),0,((inp_c3_salary/12)*(1+inp_c3_oncost)+inp_c3_benefits)*calc_scn_cost_mult)</f>
        <v>0</v>
      </c>
      <c r="BM36" s="2">
        <f>IF(OR(NOT(inp_c3_active),11&lt;inp_c3_start_m),0,inp_c3_bill_hours*inp_c3_rate*calc_scn_rev_mult*calc_scn_util_mult*(inp_c3_m1_prod+MAX(0,MIN(11-inp_c3_start_m,inp_c3_ramp_m-1))*(inp_c3_util-inp_c3_m1_prod)/MAX(inp_c3_ramp_m-1,1)))</f>
        <v>0</v>
      </c>
      <c r="BN36" s="2">
        <f>IF((11-(inp_c3_collect_lag+calc_scn_collect_add))&gt;=1,INDEX(BM:BM,25+11-(inp_c3_collect_lag+calc_scn_collect_add)),0)</f>
        <v>0</v>
      </c>
      <c r="BO36" s="2">
        <f>SUM(BN$26:BN36)-SUM(BL$26:BL36)</f>
        <v>0</v>
      </c>
      <c r="BP36" s="2">
        <f>IF(OR(NOT(inp_c4_active),11&lt;inp_c4_start_m),0,((inp_c4_salary/12)*(1+inp_c4_oncost)+inp_c4_benefits)*calc_scn_cost_mult)</f>
        <v>0</v>
      </c>
      <c r="BQ36" s="2">
        <f>IF(OR(NOT(inp_c4_active),11&lt;inp_c4_start_m),0,inp_c4_bill_hours*inp_c4_rate*calc_scn_rev_mult*calc_scn_util_mult*(inp_c4_m1_prod+MAX(0,MIN(11-inp_c4_start_m,inp_c4_ramp_m-1))*(inp_c4_util-inp_c4_m1_prod)/MAX(inp_c4_ramp_m-1,1)))</f>
        <v>0</v>
      </c>
      <c r="BR36" s="2">
        <f>IF((11-(inp_c4_collect_lag+calc_scn_collect_add))&gt;=1,INDEX(BQ:BQ,25+11-(inp_c4_collect_lag+calc_scn_collect_add)),0)</f>
        <v>0</v>
      </c>
      <c r="BS36" s="2">
        <f>SUM(BR$26:BR36)-SUM(BP$26:BP36)</f>
        <v>0</v>
      </c>
      <c r="BT36" s="2">
        <f>IF(OR(NOT(inp_c5_active),11&lt;inp_c5_start_m),0,((inp_c5_salary/12)*(1+inp_c5_oncost)+inp_c5_benefits)*calc_scn_cost_mult)</f>
        <v>0</v>
      </c>
      <c r="BU36" s="2">
        <f>IF(OR(NOT(inp_c5_active),11&lt;inp_c5_start_m),0,inp_c5_bill_hours*inp_c5_rate*calc_scn_rev_mult*calc_scn_util_mult*(inp_c5_m1_prod+MAX(0,MIN(11-inp_c5_start_m,inp_c5_ramp_m-1))*(inp_c5_util-inp_c5_m1_prod)/MAX(inp_c5_ramp_m-1,1)))</f>
        <v>0</v>
      </c>
      <c r="BV36" s="2">
        <f>IF((11-(inp_c5_collect_lag+calc_scn_collect_add))&gt;=1,INDEX(BU:BU,25+11-(inp_c5_collect_lag+calc_scn_collect_add)),0)</f>
        <v>0</v>
      </c>
      <c r="BW36" s="2">
        <f>SUM(BV$26:BV36)-SUM(BT$26:BT36)</f>
        <v>0</v>
      </c>
      <c r="BX36" s="2">
        <f>IF(OR(NOT(inp_c6_active),11&lt;inp_c6_start_m),0,((inp_c6_salary/12)*(1+inp_c6_oncost)+inp_c6_benefits)*calc_scn_cost_mult)</f>
        <v>0</v>
      </c>
      <c r="BY36" s="2">
        <f>IF(OR(NOT(inp_c6_active),11&lt;inp_c6_start_m),0,inp_c6_bill_hours*inp_c6_rate*calc_scn_rev_mult*calc_scn_util_mult*(inp_c6_m1_prod+MAX(0,MIN(11-inp_c6_start_m,inp_c6_ramp_m-1))*(inp_c6_util-inp_c6_m1_prod)/MAX(inp_c6_ramp_m-1,1)))</f>
        <v>0</v>
      </c>
      <c r="BZ36" s="2">
        <f>IF((11-(inp_c6_collect_lag+calc_scn_collect_add))&gt;=1,INDEX(BY:BY,25+11-(inp_c6_collect_lag+calc_scn_collect_add)),0)</f>
        <v>0</v>
      </c>
      <c r="CA36" s="2">
        <f>SUM(BZ$26:BZ36)-SUM(BX$26:BX36)</f>
        <v>0</v>
      </c>
      <c r="CB36" s="2">
        <f>IF(OR(NOT(inp_c7_active),11&lt;inp_c7_start_m),0,((inp_c7_salary/12)*(1+inp_c7_oncost)+inp_c7_benefits)*calc_scn_cost_mult)</f>
        <v>0</v>
      </c>
      <c r="CC36" s="2">
        <f>IF(OR(NOT(inp_c7_active),11&lt;inp_c7_start_m),0,inp_c7_bill_hours*inp_c7_rate*calc_scn_rev_mult*calc_scn_util_mult*(inp_c7_m1_prod+MAX(0,MIN(11-inp_c7_start_m,inp_c7_ramp_m-1))*(inp_c7_util-inp_c7_m1_prod)/MAX(inp_c7_ramp_m-1,1)))</f>
        <v>0</v>
      </c>
      <c r="CD36" s="2">
        <f>IF((11-(inp_c7_collect_lag+calc_scn_collect_add))&gt;=1,INDEX(CC:CC,25+11-(inp_c7_collect_lag+calc_scn_collect_add)),0)</f>
        <v>0</v>
      </c>
      <c r="CE36" s="2">
        <f>SUM(CD$26:CD36)-SUM(CB$26:CB36)</f>
        <v>0</v>
      </c>
      <c r="CF36" s="2">
        <f>IF(OR(NOT(inp_c8_active),11&lt;inp_c8_start_m),0,((inp_c8_salary/12)*(1+inp_c8_oncost)+inp_c8_benefits)*calc_scn_cost_mult)</f>
        <v>0</v>
      </c>
      <c r="CG36" s="2">
        <f>IF(OR(NOT(inp_c8_active),11&lt;inp_c8_start_m),0,inp_c8_bill_hours*inp_c8_rate*calc_scn_rev_mult*calc_scn_util_mult*(inp_c8_m1_prod+MAX(0,MIN(11-inp_c8_start_m,inp_c8_ramp_m-1))*(inp_c8_util-inp_c8_m1_prod)/MAX(inp_c8_ramp_m-1,1)))</f>
        <v>0</v>
      </c>
      <c r="CH36" s="2">
        <f>IF((11-(inp_c8_collect_lag+calc_scn_collect_add))&gt;=1,INDEX(CG:CG,25+11-(inp_c8_collect_lag+calc_scn_collect_add)),0)</f>
        <v>0</v>
      </c>
      <c r="CI36" s="2">
        <f>SUM(CH$26:CH36)-SUM(CF$26:CF36)</f>
        <v>0</v>
      </c>
      <c r="CJ36" s="2"/>
      <c r="CK36" s="2"/>
      <c r="CL36" s="2"/>
      <c r="CM36" s="2">
        <f>IF(AND(BG36&gt;=0,11&gt;=inp_c1_start_m),11,9999)</f>
        <v>11</v>
      </c>
      <c r="CN36" s="2">
        <f>IF(AND(BK36&gt;=0,11&gt;=inp_c2_start_m),11,9999)</f>
        <v>11</v>
      </c>
      <c r="CO36" s="2">
        <f>IF(AND(BO36&gt;=0,11&gt;=inp_c3_start_m),11,9999)</f>
        <v>11</v>
      </c>
      <c r="CP36" s="2">
        <f>IF(AND(BS36&gt;=0,11&gt;=inp_c4_start_m),11,9999)</f>
        <v>11</v>
      </c>
      <c r="CQ36" s="2">
        <f>IF(AND(BW36&gt;=0,11&gt;=inp_c5_start_m),11,9999)</f>
        <v>11</v>
      </c>
      <c r="CR36" s="2">
        <f>IF(AND(CA36&gt;=0,11&gt;=inp_c6_start_m),11,9999)</f>
        <v>11</v>
      </c>
      <c r="CS36" s="2">
        <f>IF(AND(CE36&gt;=0,11&gt;=inp_c7_start_m),11,9999)</f>
        <v>11</v>
      </c>
      <c r="CT36" s="2">
        <f>IF(AND(CI36&gt;=0,11&gt;=inp_c8_start_m),11,9999)</f>
        <v>11</v>
      </c>
      <c r="CU36" s="2"/>
      <c r="CV36" s="55">
        <f>inp_biz_cash_open+SUM(AC$26:AC36)+SUM(BF$26:BF36)-SUM(BD$26:BD36)</f>
        <v>0</v>
      </c>
      <c r="CW36" s="55">
        <f>inp_biz_cash_open+SUM(AC$26:AC36)+SUM(BJ$26:BJ36)-SUM(BH$26:BH36)</f>
        <v>0</v>
      </c>
      <c r="CX36" s="55">
        <f>inp_biz_cash_open+SUM(AC$26:AC36)+SUM(BN$26:BN36)-SUM(BL$26:BL36)</f>
        <v>0</v>
      </c>
      <c r="CY36" s="55">
        <f>inp_biz_cash_open+SUM(AC$26:AC36)+SUM(BR$26:BR36)-SUM(BP$26:BP36)</f>
        <v>0</v>
      </c>
      <c r="CZ36" s="55">
        <f>inp_biz_cash_open+SUM(AC$26:AC36)+SUM(BV$26:BV36)-SUM(BT$26:BT36)</f>
        <v>0</v>
      </c>
      <c r="DA36" s="55">
        <f>inp_biz_cash_open+SUM(AC$26:AC36)+SUM(BZ$26:BZ36)-SUM(BX$26:BX36)</f>
        <v>0</v>
      </c>
      <c r="DB36" s="55">
        <f>inp_biz_cash_open+SUM(AC$26:AC36)+SUM(CD$26:CD36)-SUM(CB$26:CB36)</f>
        <v>0</v>
      </c>
      <c r="DC36" s="55">
        <f>inp_biz_cash_open+SUM(AC$26:AC36)+SUM(CH$26:CH36)-SUM(CF$26:CF36)</f>
        <v>0</v>
      </c>
      <c r="DD36" s="2"/>
      <c r="DE36" s="2"/>
      <c r="DF36" s="2"/>
      <c r="DG36" s="2"/>
      <c r="DH36" s="2"/>
      <c r="DI36" s="2"/>
      <c r="DJ36" s="17"/>
      <c r="DK36" s="2"/>
      <c r="DL36" s="2"/>
      <c r="DM36" s="20"/>
    </row>
    <row r="37" spans="1:119" ht="20" customHeight="1" x14ac:dyDescent="0.2">
      <c r="A37" s="1"/>
      <c r="B37" s="6" t="s">
        <v>108</v>
      </c>
      <c r="C37" s="7" t="s">
        <v>109</v>
      </c>
      <c r="D37" s="7" t="s">
        <v>110</v>
      </c>
      <c r="E37" s="7" t="s">
        <v>111</v>
      </c>
      <c r="F37" s="7" t="s">
        <v>87</v>
      </c>
      <c r="G37" s="22"/>
      <c r="H37" s="22"/>
      <c r="I37" s="22"/>
      <c r="J37" s="22"/>
      <c r="K37" s="1"/>
      <c r="L37" s="2"/>
      <c r="M37" s="18">
        <v>12</v>
      </c>
      <c r="N37"/>
      <c r="O37"/>
      <c r="P37"/>
      <c r="Q37"/>
      <c r="R37"/>
      <c r="S37"/>
      <c r="T37"/>
      <c r="U37"/>
      <c r="V37"/>
      <c r="W37"/>
      <c r="X37"/>
      <c r="Y37"/>
      <c r="Z37" s="10">
        <f>inp_biz_revenue_m0*(1+inp_biz_rev_growth)^(12-1)*calc_scn_rev_mult</f>
        <v>0</v>
      </c>
      <c r="AA37" s="10">
        <f t="shared" si="3"/>
        <v>0</v>
      </c>
      <c r="AB37" s="10">
        <f t="shared" si="4"/>
        <v>0</v>
      </c>
      <c r="AC37" s="10">
        <f t="shared" si="5"/>
        <v>0</v>
      </c>
      <c r="AD37" s="10">
        <f>inp_biz_cash_open+SUM(AC$26:AC37)</f>
        <v>0</v>
      </c>
      <c r="AE37" s="10">
        <f t="shared" si="6"/>
        <v>0</v>
      </c>
      <c r="AF37" s="10">
        <f t="shared" si="7"/>
        <v>0</v>
      </c>
      <c r="AG37" s="10">
        <f t="shared" si="8"/>
        <v>0</v>
      </c>
      <c r="AH37" s="10">
        <f>inp_biz_cash_open+SUM(AG$26:AG37)</f>
        <v>0</v>
      </c>
      <c r="AI37" s="18">
        <f t="shared" si="9"/>
        <v>0</v>
      </c>
      <c r="AJ37"/>
      <c r="AK37"/>
      <c r="AL37"/>
      <c r="AM37" s="10">
        <f t="shared" si="10"/>
        <v>0</v>
      </c>
      <c r="AN37" s="10">
        <f t="shared" si="11"/>
        <v>0</v>
      </c>
      <c r="AO37" s="10">
        <f>0</f>
        <v>0</v>
      </c>
      <c r="AP37" s="2"/>
      <c r="AQ37" s="2"/>
      <c r="AR37" s="2"/>
      <c r="AS37"/>
      <c r="AT37"/>
      <c r="AU37"/>
      <c r="AV37" s="10">
        <f t="shared" si="12"/>
        <v>100</v>
      </c>
      <c r="AW37" s="10">
        <f t="shared" si="13"/>
        <v>0</v>
      </c>
      <c r="AX37" s="10">
        <f t="array" ref="AX37">IF((ROW()-25)-(sel_collect_lag+calc_scn_collect_add)&gt;=1,INDEX(AW$26:AW$49,(ROW()-25)-(sel_collect_lag+calc_scn_collect_add)),0)</f>
        <v>0</v>
      </c>
      <c r="AY37" s="10">
        <f>SUM(AV$26:AV37)</f>
        <v>1200</v>
      </c>
      <c r="AZ37" s="10">
        <f>SUM(AX$26:AX37)</f>
        <v>0</v>
      </c>
      <c r="BA37" s="10">
        <f t="shared" si="14"/>
        <v>0</v>
      </c>
      <c r="BB37" s="2"/>
      <c r="BC37" s="19">
        <f t="shared" si="15"/>
        <v>12</v>
      </c>
      <c r="BD37" s="19">
        <f>IF(OR(NOT(inp_c1_active),12&lt;inp_c1_start_m),0,((inp_c1_salary/12)*(1+inp_c1_oncost)+inp_c1_benefits)*calc_scn_cost_mult)</f>
        <v>0</v>
      </c>
      <c r="BE37" s="19">
        <f>IF(OR(NOT(inp_c1_active),12&lt;inp_c1_start_m),0,inp_c1_bill_hours*inp_c1_rate*calc_scn_rev_mult*calc_scn_util_mult*(inp_c1_m1_prod+MAX(0,MIN(12-inp_c1_start_m,inp_c1_ramp_m-1))*(inp_c1_util-inp_c1_m1_prod)/MAX(inp_c1_ramp_m-1,1)))</f>
        <v>0</v>
      </c>
      <c r="BF37" s="2">
        <f>IF((12-(inp_c1_collect_lag+calc_scn_collect_add))&gt;=1,INDEX(BE:BE,25+12-(inp_c1_collect_lag+calc_scn_collect_add)),0)</f>
        <v>0</v>
      </c>
      <c r="BG37" s="2">
        <f>SUM(BF$26:BF37)-SUM(BD$26:BD37)</f>
        <v>0</v>
      </c>
      <c r="BH37" s="2">
        <f>IF(OR(NOT(inp_c2_active),12&lt;inp_c2_start_m),0,((inp_c2_salary/12)*(1+inp_c2_oncost)+inp_c2_benefits)*calc_scn_cost_mult)</f>
        <v>0</v>
      </c>
      <c r="BI37" s="2">
        <f>IF(OR(NOT(inp_c2_active),12&lt;inp_c2_start_m),0,inp_c2_bill_hours*inp_c2_rate*calc_scn_rev_mult*calc_scn_util_mult*(inp_c2_m1_prod+MAX(0,MIN(12-inp_c2_start_m,inp_c2_ramp_m-1))*(inp_c2_util-inp_c2_m1_prod)/MAX(inp_c2_ramp_m-1,1)))</f>
        <v>0</v>
      </c>
      <c r="BJ37" s="2">
        <f>IF((12-(inp_c2_collect_lag+calc_scn_collect_add))&gt;=1,INDEX(BI:BI,25+12-(inp_c2_collect_lag+calc_scn_collect_add)),0)</f>
        <v>0</v>
      </c>
      <c r="BK37" s="2">
        <f>SUM(BJ$26:BJ37)-SUM(BH$26:BH37)</f>
        <v>0</v>
      </c>
      <c r="BL37" s="2">
        <f>IF(OR(NOT(inp_c3_active),12&lt;inp_c3_start_m),0,((inp_c3_salary/12)*(1+inp_c3_oncost)+inp_c3_benefits)*calc_scn_cost_mult)</f>
        <v>0</v>
      </c>
      <c r="BM37" s="2">
        <f>IF(OR(NOT(inp_c3_active),12&lt;inp_c3_start_m),0,inp_c3_bill_hours*inp_c3_rate*calc_scn_rev_mult*calc_scn_util_mult*(inp_c3_m1_prod+MAX(0,MIN(12-inp_c3_start_m,inp_c3_ramp_m-1))*(inp_c3_util-inp_c3_m1_prod)/MAX(inp_c3_ramp_m-1,1)))</f>
        <v>0</v>
      </c>
      <c r="BN37" s="2">
        <f>IF((12-(inp_c3_collect_lag+calc_scn_collect_add))&gt;=1,INDEX(BM:BM,25+12-(inp_c3_collect_lag+calc_scn_collect_add)),0)</f>
        <v>0</v>
      </c>
      <c r="BO37" s="2">
        <f>SUM(BN$26:BN37)-SUM(BL$26:BL37)</f>
        <v>0</v>
      </c>
      <c r="BP37" s="2">
        <f>IF(OR(NOT(inp_c4_active),12&lt;inp_c4_start_m),0,((inp_c4_salary/12)*(1+inp_c4_oncost)+inp_c4_benefits)*calc_scn_cost_mult)</f>
        <v>0</v>
      </c>
      <c r="BQ37" s="2">
        <f>IF(OR(NOT(inp_c4_active),12&lt;inp_c4_start_m),0,inp_c4_bill_hours*inp_c4_rate*calc_scn_rev_mult*calc_scn_util_mult*(inp_c4_m1_prod+MAX(0,MIN(12-inp_c4_start_m,inp_c4_ramp_m-1))*(inp_c4_util-inp_c4_m1_prod)/MAX(inp_c4_ramp_m-1,1)))</f>
        <v>0</v>
      </c>
      <c r="BR37" s="2">
        <f>IF((12-(inp_c4_collect_lag+calc_scn_collect_add))&gt;=1,INDEX(BQ:BQ,25+12-(inp_c4_collect_lag+calc_scn_collect_add)),0)</f>
        <v>0</v>
      </c>
      <c r="BS37" s="2">
        <f>SUM(BR$26:BR37)-SUM(BP$26:BP37)</f>
        <v>0</v>
      </c>
      <c r="BT37" s="2">
        <f>IF(OR(NOT(inp_c5_active),12&lt;inp_c5_start_m),0,((inp_c5_salary/12)*(1+inp_c5_oncost)+inp_c5_benefits)*calc_scn_cost_mult)</f>
        <v>0</v>
      </c>
      <c r="BU37" s="2">
        <f>IF(OR(NOT(inp_c5_active),12&lt;inp_c5_start_m),0,inp_c5_bill_hours*inp_c5_rate*calc_scn_rev_mult*calc_scn_util_mult*(inp_c5_m1_prod+MAX(0,MIN(12-inp_c5_start_m,inp_c5_ramp_m-1))*(inp_c5_util-inp_c5_m1_prod)/MAX(inp_c5_ramp_m-1,1)))</f>
        <v>0</v>
      </c>
      <c r="BV37" s="2">
        <f>IF((12-(inp_c5_collect_lag+calc_scn_collect_add))&gt;=1,INDEX(BU:BU,25+12-(inp_c5_collect_lag+calc_scn_collect_add)),0)</f>
        <v>0</v>
      </c>
      <c r="BW37" s="2">
        <f>SUM(BV$26:BV37)-SUM(BT$26:BT37)</f>
        <v>0</v>
      </c>
      <c r="BX37" s="2">
        <f>IF(OR(NOT(inp_c6_active),12&lt;inp_c6_start_m),0,((inp_c6_salary/12)*(1+inp_c6_oncost)+inp_c6_benefits)*calc_scn_cost_mult)</f>
        <v>0</v>
      </c>
      <c r="BY37" s="2">
        <f>IF(OR(NOT(inp_c6_active),12&lt;inp_c6_start_m),0,inp_c6_bill_hours*inp_c6_rate*calc_scn_rev_mult*calc_scn_util_mult*(inp_c6_m1_prod+MAX(0,MIN(12-inp_c6_start_m,inp_c6_ramp_m-1))*(inp_c6_util-inp_c6_m1_prod)/MAX(inp_c6_ramp_m-1,1)))</f>
        <v>0</v>
      </c>
      <c r="BZ37" s="2">
        <f>IF((12-(inp_c6_collect_lag+calc_scn_collect_add))&gt;=1,INDEX(BY:BY,25+12-(inp_c6_collect_lag+calc_scn_collect_add)),0)</f>
        <v>0</v>
      </c>
      <c r="CA37" s="2">
        <f>SUM(BZ$26:BZ37)-SUM(BX$26:BX37)</f>
        <v>0</v>
      </c>
      <c r="CB37" s="2">
        <f>IF(OR(NOT(inp_c7_active),12&lt;inp_c7_start_m),0,((inp_c7_salary/12)*(1+inp_c7_oncost)+inp_c7_benefits)*calc_scn_cost_mult)</f>
        <v>0</v>
      </c>
      <c r="CC37" s="2">
        <f>IF(OR(NOT(inp_c7_active),12&lt;inp_c7_start_m),0,inp_c7_bill_hours*inp_c7_rate*calc_scn_rev_mult*calc_scn_util_mult*(inp_c7_m1_prod+MAX(0,MIN(12-inp_c7_start_m,inp_c7_ramp_m-1))*(inp_c7_util-inp_c7_m1_prod)/MAX(inp_c7_ramp_m-1,1)))</f>
        <v>0</v>
      </c>
      <c r="CD37" s="2">
        <f>IF((12-(inp_c7_collect_lag+calc_scn_collect_add))&gt;=1,INDEX(CC:CC,25+12-(inp_c7_collect_lag+calc_scn_collect_add)),0)</f>
        <v>0</v>
      </c>
      <c r="CE37" s="2">
        <f>SUM(CD$26:CD37)-SUM(CB$26:CB37)</f>
        <v>0</v>
      </c>
      <c r="CF37" s="2">
        <f>IF(OR(NOT(inp_c8_active),12&lt;inp_c8_start_m),0,((inp_c8_salary/12)*(1+inp_c8_oncost)+inp_c8_benefits)*calc_scn_cost_mult)</f>
        <v>0</v>
      </c>
      <c r="CG37" s="2">
        <f>IF(OR(NOT(inp_c8_active),12&lt;inp_c8_start_m),0,inp_c8_bill_hours*inp_c8_rate*calc_scn_rev_mult*calc_scn_util_mult*(inp_c8_m1_prod+MAX(0,MIN(12-inp_c8_start_m,inp_c8_ramp_m-1))*(inp_c8_util-inp_c8_m1_prod)/MAX(inp_c8_ramp_m-1,1)))</f>
        <v>0</v>
      </c>
      <c r="CH37" s="2">
        <f>IF((12-(inp_c8_collect_lag+calc_scn_collect_add))&gt;=1,INDEX(CG:CG,25+12-(inp_c8_collect_lag+calc_scn_collect_add)),0)</f>
        <v>0</v>
      </c>
      <c r="CI37" s="2">
        <f>SUM(CH$26:CH37)-SUM(CF$26:CF37)</f>
        <v>0</v>
      </c>
      <c r="CJ37" s="2"/>
      <c r="CK37" s="2"/>
      <c r="CL37" s="2"/>
      <c r="CM37" s="2">
        <f>IF(AND(BG37&gt;=0,12&gt;=inp_c1_start_m),12,9999)</f>
        <v>12</v>
      </c>
      <c r="CN37" s="2">
        <f>IF(AND(BK37&gt;=0,12&gt;=inp_c2_start_m),12,9999)</f>
        <v>12</v>
      </c>
      <c r="CO37" s="2">
        <f>IF(AND(BO37&gt;=0,12&gt;=inp_c3_start_m),12,9999)</f>
        <v>12</v>
      </c>
      <c r="CP37" s="2">
        <f>IF(AND(BS37&gt;=0,12&gt;=inp_c4_start_m),12,9999)</f>
        <v>12</v>
      </c>
      <c r="CQ37" s="2">
        <f>IF(AND(BW37&gt;=0,12&gt;=inp_c5_start_m),12,9999)</f>
        <v>12</v>
      </c>
      <c r="CR37" s="2">
        <f>IF(AND(CA37&gt;=0,12&gt;=inp_c6_start_m),12,9999)</f>
        <v>12</v>
      </c>
      <c r="CS37" s="2">
        <f>IF(AND(CE37&gt;=0,12&gt;=inp_c7_start_m),12,9999)</f>
        <v>12</v>
      </c>
      <c r="CT37" s="2">
        <f>IF(AND(CI37&gt;=0,12&gt;=inp_c8_start_m),12,9999)</f>
        <v>12</v>
      </c>
      <c r="CU37" s="2"/>
      <c r="CV37" s="55">
        <f>inp_biz_cash_open+SUM(AC$26:AC37)+SUM(BF$26:BF37)-SUM(BD$26:BD37)</f>
        <v>0</v>
      </c>
      <c r="CW37" s="55">
        <f>inp_biz_cash_open+SUM(AC$26:AC37)+SUM(BJ$26:BJ37)-SUM(BH$26:BH37)</f>
        <v>0</v>
      </c>
      <c r="CX37" s="55">
        <f>inp_biz_cash_open+SUM(AC$26:AC37)+SUM(BN$26:BN37)-SUM(BL$26:BL37)</f>
        <v>0</v>
      </c>
      <c r="CY37" s="55">
        <f>inp_biz_cash_open+SUM(AC$26:AC37)+SUM(BR$26:BR37)-SUM(BP$26:BP37)</f>
        <v>0</v>
      </c>
      <c r="CZ37" s="55">
        <f>inp_biz_cash_open+SUM(AC$26:AC37)+SUM(BV$26:BV37)-SUM(BT$26:BT37)</f>
        <v>0</v>
      </c>
      <c r="DA37" s="55">
        <f>inp_biz_cash_open+SUM(AC$26:AC37)+SUM(BZ$26:BZ37)-SUM(BX$26:BX37)</f>
        <v>0</v>
      </c>
      <c r="DB37" s="55">
        <f>inp_biz_cash_open+SUM(AC$26:AC37)+SUM(CD$26:CD37)-SUM(CB$26:CB37)</f>
        <v>0</v>
      </c>
      <c r="DC37" s="55">
        <f>inp_biz_cash_open+SUM(AC$26:AC37)+SUM(CH$26:CH37)-SUM(CF$26:CF37)</f>
        <v>0</v>
      </c>
      <c r="DD37" s="2"/>
      <c r="DE37" s="2"/>
      <c r="DF37" s="2"/>
      <c r="DG37" s="2"/>
      <c r="DH37" s="2"/>
      <c r="DI37" s="2"/>
      <c r="DJ37" s="17"/>
      <c r="DK37" s="2"/>
      <c r="DL37" s="2"/>
      <c r="DM37" s="19"/>
    </row>
    <row r="38" spans="1:119" ht="24" customHeight="1" x14ac:dyDescent="0.2">
      <c r="A38" s="1"/>
      <c r="B38" s="8" t="str">
        <f>IF(NOT(inp_c1_active),"Candidate 1 (inactive)",IF(inp_c1_role="","Candidate 1",inp_c1_role))</f>
        <v>Candidate 1 (inactive)</v>
      </c>
      <c r="C38" s="57" t="str">
        <f>IF(NOT(inp_c1_active),"-",IF(N57&gt;=999,"Never",N57&amp;" mo"))</f>
        <v>-</v>
      </c>
      <c r="D38" s="10" t="str">
        <f>IF(NOT(inp_c1_active),"-",N65)</f>
        <v>-</v>
      </c>
      <c r="E38" s="10" t="str">
        <f>IF(NOT(inp_c1_active),"-",N56)</f>
        <v>-</v>
      </c>
      <c r="F38" s="27" t="str">
        <f>IF(NOT(inp_c1_active),"-",IF(N64&lt;0,"YES","NO"))</f>
        <v>-</v>
      </c>
      <c r="G38" s="2"/>
      <c r="H38" s="2"/>
      <c r="I38" s="2"/>
      <c r="J38" s="2"/>
      <c r="K38" s="1"/>
      <c r="L38" s="2"/>
      <c r="M38" s="18">
        <v>13</v>
      </c>
      <c r="N38"/>
      <c r="O38"/>
      <c r="P38"/>
      <c r="Q38"/>
      <c r="R38"/>
      <c r="S38"/>
      <c r="T38"/>
      <c r="U38"/>
      <c r="V38"/>
      <c r="W38"/>
      <c r="X38"/>
      <c r="Y38"/>
      <c r="Z38" s="10">
        <f>inp_biz_revenue_m0*(1+inp_biz_rev_growth)^(13-1)*calc_scn_rev_mult</f>
        <v>0</v>
      </c>
      <c r="AA38" s="10">
        <f t="shared" si="3"/>
        <v>0</v>
      </c>
      <c r="AB38" s="10">
        <f t="shared" si="4"/>
        <v>0</v>
      </c>
      <c r="AC38" s="10">
        <f t="shared" si="5"/>
        <v>0</v>
      </c>
      <c r="AD38" s="10">
        <f>inp_biz_cash_open+SUM(AC$26:AC38)</f>
        <v>0</v>
      </c>
      <c r="AE38" s="10">
        <f t="shared" si="6"/>
        <v>0</v>
      </c>
      <c r="AF38" s="10">
        <f t="shared" si="7"/>
        <v>0</v>
      </c>
      <c r="AG38" s="10">
        <f t="shared" si="8"/>
        <v>0</v>
      </c>
      <c r="AH38" s="10">
        <f>inp_biz_cash_open+SUM(AG$26:AG38)</f>
        <v>0</v>
      </c>
      <c r="AI38" s="18">
        <f t="shared" si="9"/>
        <v>0</v>
      </c>
      <c r="AJ38"/>
      <c r="AK38"/>
      <c r="AL38"/>
      <c r="AM38" s="10">
        <f t="shared" si="10"/>
        <v>0</v>
      </c>
      <c r="AN38" s="10">
        <f t="shared" si="11"/>
        <v>0</v>
      </c>
      <c r="AO38" s="10">
        <f>0</f>
        <v>0</v>
      </c>
      <c r="AP38" s="2"/>
      <c r="AQ38" s="2"/>
      <c r="AR38" s="2"/>
      <c r="AS38"/>
      <c r="AT38"/>
      <c r="AU38"/>
      <c r="AV38" s="10">
        <f t="shared" si="12"/>
        <v>100</v>
      </c>
      <c r="AW38" s="10">
        <f t="shared" si="13"/>
        <v>0</v>
      </c>
      <c r="AX38" s="10">
        <f t="array" ref="AX38">IF((ROW()-25)-(sel_collect_lag+calc_scn_collect_add)&gt;=1,INDEX(AW$26:AW$49,(ROW()-25)-(sel_collect_lag+calc_scn_collect_add)),0)</f>
        <v>0</v>
      </c>
      <c r="AY38" s="10">
        <f>SUM(AV$26:AV38)</f>
        <v>1300</v>
      </c>
      <c r="AZ38" s="10">
        <f>SUM(AX$26:AX38)</f>
        <v>0</v>
      </c>
      <c r="BA38" s="10">
        <f t="shared" si="14"/>
        <v>0</v>
      </c>
      <c r="BB38" s="2"/>
      <c r="BC38" s="19">
        <f t="shared" si="15"/>
        <v>13</v>
      </c>
      <c r="BD38" s="19">
        <f>IF(OR(NOT(inp_c1_active),13&lt;inp_c1_start_m),0,((inp_c1_salary/12)*(1+inp_c1_oncost)+inp_c1_benefits)*calc_scn_cost_mult)</f>
        <v>0</v>
      </c>
      <c r="BE38" s="19">
        <f>IF(OR(NOT(inp_c1_active),13&lt;inp_c1_start_m),0,inp_c1_bill_hours*inp_c1_rate*calc_scn_rev_mult*calc_scn_util_mult*(inp_c1_m1_prod+MAX(0,MIN(13-inp_c1_start_m,inp_c1_ramp_m-1))*(inp_c1_util-inp_c1_m1_prod)/MAX(inp_c1_ramp_m-1,1)))</f>
        <v>0</v>
      </c>
      <c r="BF38" s="2">
        <f>IF((13-(inp_c1_collect_lag+calc_scn_collect_add))&gt;=1,INDEX(BE:BE,25+13-(inp_c1_collect_lag+calc_scn_collect_add)),0)</f>
        <v>0</v>
      </c>
      <c r="BG38" s="2">
        <f>SUM(BF$26:BF38)-SUM(BD$26:BD38)</f>
        <v>0</v>
      </c>
      <c r="BH38" s="2">
        <f>IF(OR(NOT(inp_c2_active),13&lt;inp_c2_start_m),0,((inp_c2_salary/12)*(1+inp_c2_oncost)+inp_c2_benefits)*calc_scn_cost_mult)</f>
        <v>0</v>
      </c>
      <c r="BI38" s="2">
        <f>IF(OR(NOT(inp_c2_active),13&lt;inp_c2_start_m),0,inp_c2_bill_hours*inp_c2_rate*calc_scn_rev_mult*calc_scn_util_mult*(inp_c2_m1_prod+MAX(0,MIN(13-inp_c2_start_m,inp_c2_ramp_m-1))*(inp_c2_util-inp_c2_m1_prod)/MAX(inp_c2_ramp_m-1,1)))</f>
        <v>0</v>
      </c>
      <c r="BJ38" s="2">
        <f>IF((13-(inp_c2_collect_lag+calc_scn_collect_add))&gt;=1,INDEX(BI:BI,25+13-(inp_c2_collect_lag+calc_scn_collect_add)),0)</f>
        <v>0</v>
      </c>
      <c r="BK38" s="2">
        <f>SUM(BJ$26:BJ38)-SUM(BH$26:BH38)</f>
        <v>0</v>
      </c>
      <c r="BL38" s="2">
        <f>IF(OR(NOT(inp_c3_active),13&lt;inp_c3_start_m),0,((inp_c3_salary/12)*(1+inp_c3_oncost)+inp_c3_benefits)*calc_scn_cost_mult)</f>
        <v>0</v>
      </c>
      <c r="BM38" s="2">
        <f>IF(OR(NOT(inp_c3_active),13&lt;inp_c3_start_m),0,inp_c3_bill_hours*inp_c3_rate*calc_scn_rev_mult*calc_scn_util_mult*(inp_c3_m1_prod+MAX(0,MIN(13-inp_c3_start_m,inp_c3_ramp_m-1))*(inp_c3_util-inp_c3_m1_prod)/MAX(inp_c3_ramp_m-1,1)))</f>
        <v>0</v>
      </c>
      <c r="BN38" s="2">
        <f>IF((13-(inp_c3_collect_lag+calc_scn_collect_add))&gt;=1,INDEX(BM:BM,25+13-(inp_c3_collect_lag+calc_scn_collect_add)),0)</f>
        <v>0</v>
      </c>
      <c r="BO38" s="2">
        <f>SUM(BN$26:BN38)-SUM(BL$26:BL38)</f>
        <v>0</v>
      </c>
      <c r="BP38" s="2">
        <f>IF(OR(NOT(inp_c4_active),13&lt;inp_c4_start_m),0,((inp_c4_salary/12)*(1+inp_c4_oncost)+inp_c4_benefits)*calc_scn_cost_mult)</f>
        <v>0</v>
      </c>
      <c r="BQ38" s="2">
        <f>IF(OR(NOT(inp_c4_active),13&lt;inp_c4_start_m),0,inp_c4_bill_hours*inp_c4_rate*calc_scn_rev_mult*calc_scn_util_mult*(inp_c4_m1_prod+MAX(0,MIN(13-inp_c4_start_m,inp_c4_ramp_m-1))*(inp_c4_util-inp_c4_m1_prod)/MAX(inp_c4_ramp_m-1,1)))</f>
        <v>0</v>
      </c>
      <c r="BR38" s="2">
        <f>IF((13-(inp_c4_collect_lag+calc_scn_collect_add))&gt;=1,INDEX(BQ:BQ,25+13-(inp_c4_collect_lag+calc_scn_collect_add)),0)</f>
        <v>0</v>
      </c>
      <c r="BS38" s="2">
        <f>SUM(BR$26:BR38)-SUM(BP$26:BP38)</f>
        <v>0</v>
      </c>
      <c r="BT38" s="2">
        <f>IF(OR(NOT(inp_c5_active),13&lt;inp_c5_start_m),0,((inp_c5_salary/12)*(1+inp_c5_oncost)+inp_c5_benefits)*calc_scn_cost_mult)</f>
        <v>0</v>
      </c>
      <c r="BU38" s="2">
        <f>IF(OR(NOT(inp_c5_active),13&lt;inp_c5_start_m),0,inp_c5_bill_hours*inp_c5_rate*calc_scn_rev_mult*calc_scn_util_mult*(inp_c5_m1_prod+MAX(0,MIN(13-inp_c5_start_m,inp_c5_ramp_m-1))*(inp_c5_util-inp_c5_m1_prod)/MAX(inp_c5_ramp_m-1,1)))</f>
        <v>0</v>
      </c>
      <c r="BV38" s="2">
        <f>IF((13-(inp_c5_collect_lag+calc_scn_collect_add))&gt;=1,INDEX(BU:BU,25+13-(inp_c5_collect_lag+calc_scn_collect_add)),0)</f>
        <v>0</v>
      </c>
      <c r="BW38" s="2">
        <f>SUM(BV$26:BV38)-SUM(BT$26:BT38)</f>
        <v>0</v>
      </c>
      <c r="BX38" s="2">
        <f>IF(OR(NOT(inp_c6_active),13&lt;inp_c6_start_m),0,((inp_c6_salary/12)*(1+inp_c6_oncost)+inp_c6_benefits)*calc_scn_cost_mult)</f>
        <v>0</v>
      </c>
      <c r="BY38" s="2">
        <f>IF(OR(NOT(inp_c6_active),13&lt;inp_c6_start_m),0,inp_c6_bill_hours*inp_c6_rate*calc_scn_rev_mult*calc_scn_util_mult*(inp_c6_m1_prod+MAX(0,MIN(13-inp_c6_start_m,inp_c6_ramp_m-1))*(inp_c6_util-inp_c6_m1_prod)/MAX(inp_c6_ramp_m-1,1)))</f>
        <v>0</v>
      </c>
      <c r="BZ38" s="2">
        <f>IF((13-(inp_c6_collect_lag+calc_scn_collect_add))&gt;=1,INDEX(BY:BY,25+13-(inp_c6_collect_lag+calc_scn_collect_add)),0)</f>
        <v>0</v>
      </c>
      <c r="CA38" s="2">
        <f>SUM(BZ$26:BZ38)-SUM(BX$26:BX38)</f>
        <v>0</v>
      </c>
      <c r="CB38" s="2">
        <f>IF(OR(NOT(inp_c7_active),13&lt;inp_c7_start_m),0,((inp_c7_salary/12)*(1+inp_c7_oncost)+inp_c7_benefits)*calc_scn_cost_mult)</f>
        <v>0</v>
      </c>
      <c r="CC38" s="2">
        <f>IF(OR(NOT(inp_c7_active),13&lt;inp_c7_start_m),0,inp_c7_bill_hours*inp_c7_rate*calc_scn_rev_mult*calc_scn_util_mult*(inp_c7_m1_prod+MAX(0,MIN(13-inp_c7_start_m,inp_c7_ramp_m-1))*(inp_c7_util-inp_c7_m1_prod)/MAX(inp_c7_ramp_m-1,1)))</f>
        <v>0</v>
      </c>
      <c r="CD38" s="2">
        <f>IF((13-(inp_c7_collect_lag+calc_scn_collect_add))&gt;=1,INDEX(CC:CC,25+13-(inp_c7_collect_lag+calc_scn_collect_add)),0)</f>
        <v>0</v>
      </c>
      <c r="CE38" s="2">
        <f>SUM(CD$26:CD38)-SUM(CB$26:CB38)</f>
        <v>0</v>
      </c>
      <c r="CF38" s="2">
        <f>IF(OR(NOT(inp_c8_active),13&lt;inp_c8_start_m),0,((inp_c8_salary/12)*(1+inp_c8_oncost)+inp_c8_benefits)*calc_scn_cost_mult)</f>
        <v>0</v>
      </c>
      <c r="CG38" s="2">
        <f>IF(OR(NOT(inp_c8_active),13&lt;inp_c8_start_m),0,inp_c8_bill_hours*inp_c8_rate*calc_scn_rev_mult*calc_scn_util_mult*(inp_c8_m1_prod+MAX(0,MIN(13-inp_c8_start_m,inp_c8_ramp_m-1))*(inp_c8_util-inp_c8_m1_prod)/MAX(inp_c8_ramp_m-1,1)))</f>
        <v>0</v>
      </c>
      <c r="CH38" s="2">
        <f>IF((13-(inp_c8_collect_lag+calc_scn_collect_add))&gt;=1,INDEX(CG:CG,25+13-(inp_c8_collect_lag+calc_scn_collect_add)),0)</f>
        <v>0</v>
      </c>
      <c r="CI38" s="2">
        <f>SUM(CH$26:CH38)-SUM(CF$26:CF38)</f>
        <v>0</v>
      </c>
      <c r="CJ38" s="2"/>
      <c r="CK38" s="2"/>
      <c r="CL38" s="2"/>
      <c r="CM38" s="2">
        <f>IF(AND(BG38&gt;=0,13&gt;=inp_c1_start_m),13,9999)</f>
        <v>13</v>
      </c>
      <c r="CN38" s="2">
        <f>IF(AND(BK38&gt;=0,13&gt;=inp_c2_start_m),13,9999)</f>
        <v>13</v>
      </c>
      <c r="CO38" s="2">
        <f>IF(AND(BO38&gt;=0,13&gt;=inp_c3_start_m),13,9999)</f>
        <v>13</v>
      </c>
      <c r="CP38" s="2">
        <f>IF(AND(BS38&gt;=0,13&gt;=inp_c4_start_m),13,9999)</f>
        <v>13</v>
      </c>
      <c r="CQ38" s="2">
        <f>IF(AND(BW38&gt;=0,13&gt;=inp_c5_start_m),13,9999)</f>
        <v>13</v>
      </c>
      <c r="CR38" s="2">
        <f>IF(AND(CA38&gt;=0,13&gt;=inp_c6_start_m),13,9999)</f>
        <v>13</v>
      </c>
      <c r="CS38" s="2">
        <f>IF(AND(CE38&gt;=0,13&gt;=inp_c7_start_m),13,9999)</f>
        <v>13</v>
      </c>
      <c r="CT38" s="2">
        <f>IF(AND(CI38&gt;=0,13&gt;=inp_c8_start_m),13,9999)</f>
        <v>13</v>
      </c>
      <c r="CU38" s="2"/>
      <c r="CV38" s="55">
        <f>inp_biz_cash_open+SUM(AC$26:AC38)+SUM(BF$26:BF38)-SUM(BD$26:BD38)</f>
        <v>0</v>
      </c>
      <c r="CW38" s="55">
        <f>inp_biz_cash_open+SUM(AC$26:AC38)+SUM(BJ$26:BJ38)-SUM(BH$26:BH38)</f>
        <v>0</v>
      </c>
      <c r="CX38" s="55">
        <f>inp_biz_cash_open+SUM(AC$26:AC38)+SUM(BN$26:BN38)-SUM(BL$26:BL38)</f>
        <v>0</v>
      </c>
      <c r="CY38" s="55">
        <f>inp_biz_cash_open+SUM(AC$26:AC38)+SUM(BR$26:BR38)-SUM(BP$26:BP38)</f>
        <v>0</v>
      </c>
      <c r="CZ38" s="55">
        <f>inp_biz_cash_open+SUM(AC$26:AC38)+SUM(BV$26:BV38)-SUM(BT$26:BT38)</f>
        <v>0</v>
      </c>
      <c r="DA38" s="55">
        <f>inp_biz_cash_open+SUM(AC$26:AC38)+SUM(BZ$26:BZ38)-SUM(BX$26:BX38)</f>
        <v>0</v>
      </c>
      <c r="DB38" s="55">
        <f>inp_biz_cash_open+SUM(AC$26:AC38)+SUM(CD$26:CD38)-SUM(CB$26:CB38)</f>
        <v>0</v>
      </c>
      <c r="DC38" s="55">
        <f>inp_biz_cash_open+SUM(AC$26:AC38)+SUM(CH$26:CH38)-SUM(CF$26:CF38)</f>
        <v>0</v>
      </c>
      <c r="DD38" s="2"/>
      <c r="DE38" s="2"/>
      <c r="DF38" s="2"/>
      <c r="DG38" s="2"/>
      <c r="DH38" s="2"/>
      <c r="DI38" s="2"/>
      <c r="DJ38" s="2"/>
      <c r="DK38" s="2"/>
      <c r="DL38" s="2"/>
      <c r="DM38" s="2"/>
    </row>
    <row r="39" spans="1:119" ht="24" customHeight="1" x14ac:dyDescent="0.2">
      <c r="A39" s="1"/>
      <c r="B39" s="8" t="str">
        <f>IF(NOT(inp_c2_active),"Candidate 2 (inactive)",IF(inp_c2_role="","Candidate 2",inp_c2_role))</f>
        <v>Candidate 2 (inactive)</v>
      </c>
      <c r="C39" s="57" t="str">
        <f>IF(NOT(inp_c2_active),"-",IF(O57&gt;=999,"Never",O57&amp;" mo"))</f>
        <v>-</v>
      </c>
      <c r="D39" s="10" t="str">
        <f>IF(NOT(inp_c2_active),"-",O65)</f>
        <v>-</v>
      </c>
      <c r="E39" s="10" t="str">
        <f>IF(NOT(inp_c2_active),"-",O56)</f>
        <v>-</v>
      </c>
      <c r="F39" s="27" t="str">
        <f>IF(NOT(inp_c2_active),"-",IF(O64&lt;0,"YES","NO"))</f>
        <v>-</v>
      </c>
      <c r="G39" s="2"/>
      <c r="H39" s="2"/>
      <c r="I39" s="2"/>
      <c r="J39" s="2"/>
      <c r="K39" s="1"/>
      <c r="L39" s="2"/>
      <c r="M39" s="18">
        <v>14</v>
      </c>
      <c r="N39"/>
      <c r="O39"/>
      <c r="P39"/>
      <c r="Q39"/>
      <c r="R39"/>
      <c r="S39"/>
      <c r="T39"/>
      <c r="U39"/>
      <c r="V39"/>
      <c r="W39"/>
      <c r="X39"/>
      <c r="Y39"/>
      <c r="Z39" s="10">
        <f>inp_biz_revenue_m0*(1+inp_biz_rev_growth)^(14-1)*calc_scn_rev_mult</f>
        <v>0</v>
      </c>
      <c r="AA39" s="10">
        <f t="shared" si="3"/>
        <v>0</v>
      </c>
      <c r="AB39" s="10">
        <f t="shared" si="4"/>
        <v>0</v>
      </c>
      <c r="AC39" s="10">
        <f t="shared" si="5"/>
        <v>0</v>
      </c>
      <c r="AD39" s="10">
        <f>inp_biz_cash_open+SUM(AC$26:AC39)</f>
        <v>0</v>
      </c>
      <c r="AE39" s="10">
        <f t="shared" si="6"/>
        <v>0</v>
      </c>
      <c r="AF39" s="10">
        <f t="shared" si="7"/>
        <v>0</v>
      </c>
      <c r="AG39" s="10">
        <f t="shared" si="8"/>
        <v>0</v>
      </c>
      <c r="AH39" s="10">
        <f>inp_biz_cash_open+SUM(AG$26:AG39)</f>
        <v>0</v>
      </c>
      <c r="AI39" s="18">
        <f t="shared" si="9"/>
        <v>0</v>
      </c>
      <c r="AJ39"/>
      <c r="AK39"/>
      <c r="AL39"/>
      <c r="AM39" s="10">
        <f t="shared" si="10"/>
        <v>0</v>
      </c>
      <c r="AN39" s="10">
        <f t="shared" si="11"/>
        <v>0</v>
      </c>
      <c r="AO39" s="10">
        <f>0</f>
        <v>0</v>
      </c>
      <c r="AP39" s="2"/>
      <c r="AQ39" s="2"/>
      <c r="AR39" s="2"/>
      <c r="AS39"/>
      <c r="AT39"/>
      <c r="AU39"/>
      <c r="AV39" s="10">
        <f t="shared" si="12"/>
        <v>100</v>
      </c>
      <c r="AW39" s="10">
        <f t="shared" si="13"/>
        <v>0</v>
      </c>
      <c r="AX39" s="10">
        <f t="array" ref="AX39">IF((ROW()-25)-(sel_collect_lag+calc_scn_collect_add)&gt;=1,INDEX(AW$26:AW$49,(ROW()-25)-(sel_collect_lag+calc_scn_collect_add)),0)</f>
        <v>0</v>
      </c>
      <c r="AY39" s="10">
        <f>SUM(AV$26:AV39)</f>
        <v>1400</v>
      </c>
      <c r="AZ39" s="10">
        <f>SUM(AX$26:AX39)</f>
        <v>0</v>
      </c>
      <c r="BA39" s="10">
        <f t="shared" si="14"/>
        <v>0</v>
      </c>
      <c r="BB39" s="2"/>
      <c r="BC39" s="19">
        <f t="shared" si="15"/>
        <v>14</v>
      </c>
      <c r="BD39" s="19">
        <f>IF(OR(NOT(inp_c1_active),14&lt;inp_c1_start_m),0,((inp_c1_salary/12)*(1+inp_c1_oncost)+inp_c1_benefits)*calc_scn_cost_mult)</f>
        <v>0</v>
      </c>
      <c r="BE39" s="19">
        <f>IF(OR(NOT(inp_c1_active),14&lt;inp_c1_start_m),0,inp_c1_bill_hours*inp_c1_rate*calc_scn_rev_mult*calc_scn_util_mult*(inp_c1_m1_prod+MAX(0,MIN(14-inp_c1_start_m,inp_c1_ramp_m-1))*(inp_c1_util-inp_c1_m1_prod)/MAX(inp_c1_ramp_m-1,1)))</f>
        <v>0</v>
      </c>
      <c r="BF39" s="2">
        <f>IF((14-(inp_c1_collect_lag+calc_scn_collect_add))&gt;=1,INDEX(BE:BE,25+14-(inp_c1_collect_lag+calc_scn_collect_add)),0)</f>
        <v>0</v>
      </c>
      <c r="BG39" s="2">
        <f>SUM(BF$26:BF39)-SUM(BD$26:BD39)</f>
        <v>0</v>
      </c>
      <c r="BH39" s="2">
        <f>IF(OR(NOT(inp_c2_active),14&lt;inp_c2_start_m),0,((inp_c2_salary/12)*(1+inp_c2_oncost)+inp_c2_benefits)*calc_scn_cost_mult)</f>
        <v>0</v>
      </c>
      <c r="BI39" s="2">
        <f>IF(OR(NOT(inp_c2_active),14&lt;inp_c2_start_m),0,inp_c2_bill_hours*inp_c2_rate*calc_scn_rev_mult*calc_scn_util_mult*(inp_c2_m1_prod+MAX(0,MIN(14-inp_c2_start_m,inp_c2_ramp_m-1))*(inp_c2_util-inp_c2_m1_prod)/MAX(inp_c2_ramp_m-1,1)))</f>
        <v>0</v>
      </c>
      <c r="BJ39" s="2">
        <f>IF((14-(inp_c2_collect_lag+calc_scn_collect_add))&gt;=1,INDEX(BI:BI,25+14-(inp_c2_collect_lag+calc_scn_collect_add)),0)</f>
        <v>0</v>
      </c>
      <c r="BK39" s="2">
        <f>SUM(BJ$26:BJ39)-SUM(BH$26:BH39)</f>
        <v>0</v>
      </c>
      <c r="BL39" s="2">
        <f>IF(OR(NOT(inp_c3_active),14&lt;inp_c3_start_m),0,((inp_c3_salary/12)*(1+inp_c3_oncost)+inp_c3_benefits)*calc_scn_cost_mult)</f>
        <v>0</v>
      </c>
      <c r="BM39" s="2">
        <f>IF(OR(NOT(inp_c3_active),14&lt;inp_c3_start_m),0,inp_c3_bill_hours*inp_c3_rate*calc_scn_rev_mult*calc_scn_util_mult*(inp_c3_m1_prod+MAX(0,MIN(14-inp_c3_start_m,inp_c3_ramp_m-1))*(inp_c3_util-inp_c3_m1_prod)/MAX(inp_c3_ramp_m-1,1)))</f>
        <v>0</v>
      </c>
      <c r="BN39" s="2">
        <f>IF((14-(inp_c3_collect_lag+calc_scn_collect_add))&gt;=1,INDEX(BM:BM,25+14-(inp_c3_collect_lag+calc_scn_collect_add)),0)</f>
        <v>0</v>
      </c>
      <c r="BO39" s="2">
        <f>SUM(BN$26:BN39)-SUM(BL$26:BL39)</f>
        <v>0</v>
      </c>
      <c r="BP39" s="2">
        <f>IF(OR(NOT(inp_c4_active),14&lt;inp_c4_start_m),0,((inp_c4_salary/12)*(1+inp_c4_oncost)+inp_c4_benefits)*calc_scn_cost_mult)</f>
        <v>0</v>
      </c>
      <c r="BQ39" s="2">
        <f>IF(OR(NOT(inp_c4_active),14&lt;inp_c4_start_m),0,inp_c4_bill_hours*inp_c4_rate*calc_scn_rev_mult*calc_scn_util_mult*(inp_c4_m1_prod+MAX(0,MIN(14-inp_c4_start_m,inp_c4_ramp_m-1))*(inp_c4_util-inp_c4_m1_prod)/MAX(inp_c4_ramp_m-1,1)))</f>
        <v>0</v>
      </c>
      <c r="BR39" s="2">
        <f>IF((14-(inp_c4_collect_lag+calc_scn_collect_add))&gt;=1,INDEX(BQ:BQ,25+14-(inp_c4_collect_lag+calc_scn_collect_add)),0)</f>
        <v>0</v>
      </c>
      <c r="BS39" s="2">
        <f>SUM(BR$26:BR39)-SUM(BP$26:BP39)</f>
        <v>0</v>
      </c>
      <c r="BT39" s="2">
        <f>IF(OR(NOT(inp_c5_active),14&lt;inp_c5_start_m),0,((inp_c5_salary/12)*(1+inp_c5_oncost)+inp_c5_benefits)*calc_scn_cost_mult)</f>
        <v>0</v>
      </c>
      <c r="BU39" s="2">
        <f>IF(OR(NOT(inp_c5_active),14&lt;inp_c5_start_m),0,inp_c5_bill_hours*inp_c5_rate*calc_scn_rev_mult*calc_scn_util_mult*(inp_c5_m1_prod+MAX(0,MIN(14-inp_c5_start_m,inp_c5_ramp_m-1))*(inp_c5_util-inp_c5_m1_prod)/MAX(inp_c5_ramp_m-1,1)))</f>
        <v>0</v>
      </c>
      <c r="BV39" s="2">
        <f>IF((14-(inp_c5_collect_lag+calc_scn_collect_add))&gt;=1,INDEX(BU:BU,25+14-(inp_c5_collect_lag+calc_scn_collect_add)),0)</f>
        <v>0</v>
      </c>
      <c r="BW39" s="2">
        <f>SUM(BV$26:BV39)-SUM(BT$26:BT39)</f>
        <v>0</v>
      </c>
      <c r="BX39" s="2">
        <f>IF(OR(NOT(inp_c6_active),14&lt;inp_c6_start_m),0,((inp_c6_salary/12)*(1+inp_c6_oncost)+inp_c6_benefits)*calc_scn_cost_mult)</f>
        <v>0</v>
      </c>
      <c r="BY39" s="2">
        <f>IF(OR(NOT(inp_c6_active),14&lt;inp_c6_start_m),0,inp_c6_bill_hours*inp_c6_rate*calc_scn_rev_mult*calc_scn_util_mult*(inp_c6_m1_prod+MAX(0,MIN(14-inp_c6_start_m,inp_c6_ramp_m-1))*(inp_c6_util-inp_c6_m1_prod)/MAX(inp_c6_ramp_m-1,1)))</f>
        <v>0</v>
      </c>
      <c r="BZ39" s="2">
        <f>IF((14-(inp_c6_collect_lag+calc_scn_collect_add))&gt;=1,INDEX(BY:BY,25+14-(inp_c6_collect_lag+calc_scn_collect_add)),0)</f>
        <v>0</v>
      </c>
      <c r="CA39" s="2">
        <f>SUM(BZ$26:BZ39)-SUM(BX$26:BX39)</f>
        <v>0</v>
      </c>
      <c r="CB39" s="2">
        <f>IF(OR(NOT(inp_c7_active),14&lt;inp_c7_start_m),0,((inp_c7_salary/12)*(1+inp_c7_oncost)+inp_c7_benefits)*calc_scn_cost_mult)</f>
        <v>0</v>
      </c>
      <c r="CC39" s="2">
        <f>IF(OR(NOT(inp_c7_active),14&lt;inp_c7_start_m),0,inp_c7_bill_hours*inp_c7_rate*calc_scn_rev_mult*calc_scn_util_mult*(inp_c7_m1_prod+MAX(0,MIN(14-inp_c7_start_m,inp_c7_ramp_m-1))*(inp_c7_util-inp_c7_m1_prod)/MAX(inp_c7_ramp_m-1,1)))</f>
        <v>0</v>
      </c>
      <c r="CD39" s="2">
        <f>IF((14-(inp_c7_collect_lag+calc_scn_collect_add))&gt;=1,INDEX(CC:CC,25+14-(inp_c7_collect_lag+calc_scn_collect_add)),0)</f>
        <v>0</v>
      </c>
      <c r="CE39" s="2">
        <f>SUM(CD$26:CD39)-SUM(CB$26:CB39)</f>
        <v>0</v>
      </c>
      <c r="CF39" s="2">
        <f>IF(OR(NOT(inp_c8_active),14&lt;inp_c8_start_m),0,((inp_c8_salary/12)*(1+inp_c8_oncost)+inp_c8_benefits)*calc_scn_cost_mult)</f>
        <v>0</v>
      </c>
      <c r="CG39" s="2">
        <f>IF(OR(NOT(inp_c8_active),14&lt;inp_c8_start_m),0,inp_c8_bill_hours*inp_c8_rate*calc_scn_rev_mult*calc_scn_util_mult*(inp_c8_m1_prod+MAX(0,MIN(14-inp_c8_start_m,inp_c8_ramp_m-1))*(inp_c8_util-inp_c8_m1_prod)/MAX(inp_c8_ramp_m-1,1)))</f>
        <v>0</v>
      </c>
      <c r="CH39" s="2">
        <f>IF((14-(inp_c8_collect_lag+calc_scn_collect_add))&gt;=1,INDEX(CG:CG,25+14-(inp_c8_collect_lag+calc_scn_collect_add)),0)</f>
        <v>0</v>
      </c>
      <c r="CI39" s="2">
        <f>SUM(CH$26:CH39)-SUM(CF$26:CF39)</f>
        <v>0</v>
      </c>
      <c r="CJ39" s="2"/>
      <c r="CK39" s="2"/>
      <c r="CL39" s="2"/>
      <c r="CM39" s="2">
        <f>IF(AND(BG39&gt;=0,14&gt;=inp_c1_start_m),14,9999)</f>
        <v>14</v>
      </c>
      <c r="CN39" s="2">
        <f>IF(AND(BK39&gt;=0,14&gt;=inp_c2_start_m),14,9999)</f>
        <v>14</v>
      </c>
      <c r="CO39" s="2">
        <f>IF(AND(BO39&gt;=0,14&gt;=inp_c3_start_m),14,9999)</f>
        <v>14</v>
      </c>
      <c r="CP39" s="2">
        <f>IF(AND(BS39&gt;=0,14&gt;=inp_c4_start_m),14,9999)</f>
        <v>14</v>
      </c>
      <c r="CQ39" s="2">
        <f>IF(AND(BW39&gt;=0,14&gt;=inp_c5_start_m),14,9999)</f>
        <v>14</v>
      </c>
      <c r="CR39" s="2">
        <f>IF(AND(CA39&gt;=0,14&gt;=inp_c6_start_m),14,9999)</f>
        <v>14</v>
      </c>
      <c r="CS39" s="2">
        <f>IF(AND(CE39&gt;=0,14&gt;=inp_c7_start_m),14,9999)</f>
        <v>14</v>
      </c>
      <c r="CT39" s="2">
        <f>IF(AND(CI39&gt;=0,14&gt;=inp_c8_start_m),14,9999)</f>
        <v>14</v>
      </c>
      <c r="CU39" s="2"/>
      <c r="CV39" s="55">
        <f>inp_biz_cash_open+SUM(AC$26:AC39)+SUM(BF$26:BF39)-SUM(BD$26:BD39)</f>
        <v>0</v>
      </c>
      <c r="CW39" s="55">
        <f>inp_biz_cash_open+SUM(AC$26:AC39)+SUM(BJ$26:BJ39)-SUM(BH$26:BH39)</f>
        <v>0</v>
      </c>
      <c r="CX39" s="55">
        <f>inp_biz_cash_open+SUM(AC$26:AC39)+SUM(BN$26:BN39)-SUM(BL$26:BL39)</f>
        <v>0</v>
      </c>
      <c r="CY39" s="55">
        <f>inp_biz_cash_open+SUM(AC$26:AC39)+SUM(BR$26:BR39)-SUM(BP$26:BP39)</f>
        <v>0</v>
      </c>
      <c r="CZ39" s="55">
        <f>inp_biz_cash_open+SUM(AC$26:AC39)+SUM(BV$26:BV39)-SUM(BT$26:BT39)</f>
        <v>0</v>
      </c>
      <c r="DA39" s="55">
        <f>inp_biz_cash_open+SUM(AC$26:AC39)+SUM(BZ$26:BZ39)-SUM(BX$26:BX39)</f>
        <v>0</v>
      </c>
      <c r="DB39" s="55">
        <f>inp_biz_cash_open+SUM(AC$26:AC39)+SUM(CD$26:CD39)-SUM(CB$26:CB39)</f>
        <v>0</v>
      </c>
      <c r="DC39" s="55">
        <f>inp_biz_cash_open+SUM(AC$26:AC39)+SUM(CH$26:CH39)-SUM(CF$26:CF39)</f>
        <v>0</v>
      </c>
      <c r="DD39" s="2"/>
      <c r="DE39" s="2"/>
      <c r="DF39" s="2"/>
      <c r="DG39" s="2"/>
      <c r="DH39" s="2"/>
      <c r="DI39" s="2"/>
      <c r="DJ39" s="2"/>
      <c r="DK39" s="2"/>
      <c r="DL39" s="2"/>
      <c r="DM39" s="2"/>
    </row>
    <row r="40" spans="1:119" ht="24" customHeight="1" x14ac:dyDescent="0.2">
      <c r="A40" s="1"/>
      <c r="B40" s="8" t="str">
        <f>IF(NOT(inp_c3_active),"Candidate 3 (inactive)",IF(inp_c3_role="","Candidate 3",inp_c3_role))</f>
        <v>Candidate 3 (inactive)</v>
      </c>
      <c r="C40" s="57" t="str">
        <f>IF(NOT(inp_c3_active),"-",IF(P57&gt;=999,"Never",P57&amp;" mo"))</f>
        <v>-</v>
      </c>
      <c r="D40" s="10" t="str">
        <f>IF(NOT(inp_c3_active),"-",P65)</f>
        <v>-</v>
      </c>
      <c r="E40" s="10" t="str">
        <f>IF(NOT(inp_c3_active),"-",P56)</f>
        <v>-</v>
      </c>
      <c r="F40" s="27" t="str">
        <f>IF(NOT(inp_c3_active),"-",IF(P64&lt;0,"YES","NO"))</f>
        <v>-</v>
      </c>
      <c r="G40" s="2"/>
      <c r="H40" s="2"/>
      <c r="I40" s="2"/>
      <c r="J40" s="2"/>
      <c r="K40" s="1"/>
      <c r="L40" s="2"/>
      <c r="M40" s="18">
        <v>15</v>
      </c>
      <c r="N40"/>
      <c r="O40"/>
      <c r="P40"/>
      <c r="Q40"/>
      <c r="R40"/>
      <c r="S40"/>
      <c r="T40"/>
      <c r="U40"/>
      <c r="V40"/>
      <c r="W40"/>
      <c r="X40"/>
      <c r="Y40"/>
      <c r="Z40" s="10">
        <f>inp_biz_revenue_m0*(1+inp_biz_rev_growth)^(15-1)*calc_scn_rev_mult</f>
        <v>0</v>
      </c>
      <c r="AA40" s="10">
        <f t="shared" si="3"/>
        <v>0</v>
      </c>
      <c r="AB40" s="10">
        <f t="shared" si="4"/>
        <v>0</v>
      </c>
      <c r="AC40" s="10">
        <f t="shared" si="5"/>
        <v>0</v>
      </c>
      <c r="AD40" s="10">
        <f>inp_biz_cash_open+SUM(AC$26:AC40)</f>
        <v>0</v>
      </c>
      <c r="AE40" s="10">
        <f t="shared" si="6"/>
        <v>0</v>
      </c>
      <c r="AF40" s="10">
        <f t="shared" si="7"/>
        <v>0</v>
      </c>
      <c r="AG40" s="10">
        <f t="shared" si="8"/>
        <v>0</v>
      </c>
      <c r="AH40" s="10">
        <f>inp_biz_cash_open+SUM(AG$26:AG40)</f>
        <v>0</v>
      </c>
      <c r="AI40" s="18">
        <f t="shared" si="9"/>
        <v>0</v>
      </c>
      <c r="AJ40"/>
      <c r="AK40"/>
      <c r="AL40"/>
      <c r="AM40" s="10">
        <f t="shared" si="10"/>
        <v>0</v>
      </c>
      <c r="AN40" s="10">
        <f t="shared" si="11"/>
        <v>0</v>
      </c>
      <c r="AO40" s="10">
        <f>0</f>
        <v>0</v>
      </c>
      <c r="AP40" s="2"/>
      <c r="AQ40" s="2"/>
      <c r="AR40" s="2"/>
      <c r="AS40"/>
      <c r="AT40"/>
      <c r="AU40"/>
      <c r="AV40" s="10">
        <f t="shared" si="12"/>
        <v>100</v>
      </c>
      <c r="AW40" s="10">
        <f t="shared" si="13"/>
        <v>0</v>
      </c>
      <c r="AX40" s="10">
        <f t="array" ref="AX40">IF((ROW()-25)-(sel_collect_lag+calc_scn_collect_add)&gt;=1,INDEX(AW$26:AW$49,(ROW()-25)-(sel_collect_lag+calc_scn_collect_add)),0)</f>
        <v>0</v>
      </c>
      <c r="AY40" s="10">
        <f>SUM(AV$26:AV40)</f>
        <v>1500</v>
      </c>
      <c r="AZ40" s="10">
        <f>SUM(AX$26:AX40)</f>
        <v>0</v>
      </c>
      <c r="BA40" s="10">
        <f t="shared" si="14"/>
        <v>0</v>
      </c>
      <c r="BB40" s="2"/>
      <c r="BC40" s="19">
        <f t="shared" si="15"/>
        <v>15</v>
      </c>
      <c r="BD40" s="19">
        <f>IF(OR(NOT(inp_c1_active),15&lt;inp_c1_start_m),0,((inp_c1_salary/12)*(1+inp_c1_oncost)+inp_c1_benefits)*calc_scn_cost_mult)</f>
        <v>0</v>
      </c>
      <c r="BE40" s="19">
        <f>IF(OR(NOT(inp_c1_active),15&lt;inp_c1_start_m),0,inp_c1_bill_hours*inp_c1_rate*calc_scn_rev_mult*calc_scn_util_mult*(inp_c1_m1_prod+MAX(0,MIN(15-inp_c1_start_m,inp_c1_ramp_m-1))*(inp_c1_util-inp_c1_m1_prod)/MAX(inp_c1_ramp_m-1,1)))</f>
        <v>0</v>
      </c>
      <c r="BF40" s="2">
        <f>IF((15-(inp_c1_collect_lag+calc_scn_collect_add))&gt;=1,INDEX(BE:BE,25+15-(inp_c1_collect_lag+calc_scn_collect_add)),0)</f>
        <v>0</v>
      </c>
      <c r="BG40" s="2">
        <f>SUM(BF$26:BF40)-SUM(BD$26:BD40)</f>
        <v>0</v>
      </c>
      <c r="BH40" s="2">
        <f>IF(OR(NOT(inp_c2_active),15&lt;inp_c2_start_m),0,((inp_c2_salary/12)*(1+inp_c2_oncost)+inp_c2_benefits)*calc_scn_cost_mult)</f>
        <v>0</v>
      </c>
      <c r="BI40" s="2">
        <f>IF(OR(NOT(inp_c2_active),15&lt;inp_c2_start_m),0,inp_c2_bill_hours*inp_c2_rate*calc_scn_rev_mult*calc_scn_util_mult*(inp_c2_m1_prod+MAX(0,MIN(15-inp_c2_start_m,inp_c2_ramp_m-1))*(inp_c2_util-inp_c2_m1_prod)/MAX(inp_c2_ramp_m-1,1)))</f>
        <v>0</v>
      </c>
      <c r="BJ40" s="2">
        <f>IF((15-(inp_c2_collect_lag+calc_scn_collect_add))&gt;=1,INDEX(BI:BI,25+15-(inp_c2_collect_lag+calc_scn_collect_add)),0)</f>
        <v>0</v>
      </c>
      <c r="BK40" s="2">
        <f>SUM(BJ$26:BJ40)-SUM(BH$26:BH40)</f>
        <v>0</v>
      </c>
      <c r="BL40" s="2">
        <f>IF(OR(NOT(inp_c3_active),15&lt;inp_c3_start_m),0,((inp_c3_salary/12)*(1+inp_c3_oncost)+inp_c3_benefits)*calc_scn_cost_mult)</f>
        <v>0</v>
      </c>
      <c r="BM40" s="2">
        <f>IF(OR(NOT(inp_c3_active),15&lt;inp_c3_start_m),0,inp_c3_bill_hours*inp_c3_rate*calc_scn_rev_mult*calc_scn_util_mult*(inp_c3_m1_prod+MAX(0,MIN(15-inp_c3_start_m,inp_c3_ramp_m-1))*(inp_c3_util-inp_c3_m1_prod)/MAX(inp_c3_ramp_m-1,1)))</f>
        <v>0</v>
      </c>
      <c r="BN40" s="2">
        <f>IF((15-(inp_c3_collect_lag+calc_scn_collect_add))&gt;=1,INDEX(BM:BM,25+15-(inp_c3_collect_lag+calc_scn_collect_add)),0)</f>
        <v>0</v>
      </c>
      <c r="BO40" s="2">
        <f>SUM(BN$26:BN40)-SUM(BL$26:BL40)</f>
        <v>0</v>
      </c>
      <c r="BP40" s="2">
        <f>IF(OR(NOT(inp_c4_active),15&lt;inp_c4_start_m),0,((inp_c4_salary/12)*(1+inp_c4_oncost)+inp_c4_benefits)*calc_scn_cost_mult)</f>
        <v>0</v>
      </c>
      <c r="BQ40" s="2">
        <f>IF(OR(NOT(inp_c4_active),15&lt;inp_c4_start_m),0,inp_c4_bill_hours*inp_c4_rate*calc_scn_rev_mult*calc_scn_util_mult*(inp_c4_m1_prod+MAX(0,MIN(15-inp_c4_start_m,inp_c4_ramp_m-1))*(inp_c4_util-inp_c4_m1_prod)/MAX(inp_c4_ramp_m-1,1)))</f>
        <v>0</v>
      </c>
      <c r="BR40" s="2">
        <f>IF((15-(inp_c4_collect_lag+calc_scn_collect_add))&gt;=1,INDEX(BQ:BQ,25+15-(inp_c4_collect_lag+calc_scn_collect_add)),0)</f>
        <v>0</v>
      </c>
      <c r="BS40" s="2">
        <f>SUM(BR$26:BR40)-SUM(BP$26:BP40)</f>
        <v>0</v>
      </c>
      <c r="BT40" s="2">
        <f>IF(OR(NOT(inp_c5_active),15&lt;inp_c5_start_m),0,((inp_c5_salary/12)*(1+inp_c5_oncost)+inp_c5_benefits)*calc_scn_cost_mult)</f>
        <v>0</v>
      </c>
      <c r="BU40" s="2">
        <f>IF(OR(NOT(inp_c5_active),15&lt;inp_c5_start_m),0,inp_c5_bill_hours*inp_c5_rate*calc_scn_rev_mult*calc_scn_util_mult*(inp_c5_m1_prod+MAX(0,MIN(15-inp_c5_start_m,inp_c5_ramp_m-1))*(inp_c5_util-inp_c5_m1_prod)/MAX(inp_c5_ramp_m-1,1)))</f>
        <v>0</v>
      </c>
      <c r="BV40" s="2">
        <f>IF((15-(inp_c5_collect_lag+calc_scn_collect_add))&gt;=1,INDEX(BU:BU,25+15-(inp_c5_collect_lag+calc_scn_collect_add)),0)</f>
        <v>0</v>
      </c>
      <c r="BW40" s="2">
        <f>SUM(BV$26:BV40)-SUM(BT$26:BT40)</f>
        <v>0</v>
      </c>
      <c r="BX40" s="2">
        <f>IF(OR(NOT(inp_c6_active),15&lt;inp_c6_start_m),0,((inp_c6_salary/12)*(1+inp_c6_oncost)+inp_c6_benefits)*calc_scn_cost_mult)</f>
        <v>0</v>
      </c>
      <c r="BY40" s="2">
        <f>IF(OR(NOT(inp_c6_active),15&lt;inp_c6_start_m),0,inp_c6_bill_hours*inp_c6_rate*calc_scn_rev_mult*calc_scn_util_mult*(inp_c6_m1_prod+MAX(0,MIN(15-inp_c6_start_m,inp_c6_ramp_m-1))*(inp_c6_util-inp_c6_m1_prod)/MAX(inp_c6_ramp_m-1,1)))</f>
        <v>0</v>
      </c>
      <c r="BZ40" s="2">
        <f>IF((15-(inp_c6_collect_lag+calc_scn_collect_add))&gt;=1,INDEX(BY:BY,25+15-(inp_c6_collect_lag+calc_scn_collect_add)),0)</f>
        <v>0</v>
      </c>
      <c r="CA40" s="2">
        <f>SUM(BZ$26:BZ40)-SUM(BX$26:BX40)</f>
        <v>0</v>
      </c>
      <c r="CB40" s="2">
        <f>IF(OR(NOT(inp_c7_active),15&lt;inp_c7_start_m),0,((inp_c7_salary/12)*(1+inp_c7_oncost)+inp_c7_benefits)*calc_scn_cost_mult)</f>
        <v>0</v>
      </c>
      <c r="CC40" s="2">
        <f>IF(OR(NOT(inp_c7_active),15&lt;inp_c7_start_m),0,inp_c7_bill_hours*inp_c7_rate*calc_scn_rev_mult*calc_scn_util_mult*(inp_c7_m1_prod+MAX(0,MIN(15-inp_c7_start_m,inp_c7_ramp_m-1))*(inp_c7_util-inp_c7_m1_prod)/MAX(inp_c7_ramp_m-1,1)))</f>
        <v>0</v>
      </c>
      <c r="CD40" s="2">
        <f>IF((15-(inp_c7_collect_lag+calc_scn_collect_add))&gt;=1,INDEX(CC:CC,25+15-(inp_c7_collect_lag+calc_scn_collect_add)),0)</f>
        <v>0</v>
      </c>
      <c r="CE40" s="2">
        <f>SUM(CD$26:CD40)-SUM(CB$26:CB40)</f>
        <v>0</v>
      </c>
      <c r="CF40" s="2">
        <f>IF(OR(NOT(inp_c8_active),15&lt;inp_c8_start_m),0,((inp_c8_salary/12)*(1+inp_c8_oncost)+inp_c8_benefits)*calc_scn_cost_mult)</f>
        <v>0</v>
      </c>
      <c r="CG40" s="2">
        <f>IF(OR(NOT(inp_c8_active),15&lt;inp_c8_start_m),0,inp_c8_bill_hours*inp_c8_rate*calc_scn_rev_mult*calc_scn_util_mult*(inp_c8_m1_prod+MAX(0,MIN(15-inp_c8_start_m,inp_c8_ramp_m-1))*(inp_c8_util-inp_c8_m1_prod)/MAX(inp_c8_ramp_m-1,1)))</f>
        <v>0</v>
      </c>
      <c r="CH40" s="2">
        <f>IF((15-(inp_c8_collect_lag+calc_scn_collect_add))&gt;=1,INDEX(CG:CG,25+15-(inp_c8_collect_lag+calc_scn_collect_add)),0)</f>
        <v>0</v>
      </c>
      <c r="CI40" s="2">
        <f>SUM(CH$26:CH40)-SUM(CF$26:CF40)</f>
        <v>0</v>
      </c>
      <c r="CJ40" s="2"/>
      <c r="CK40" s="2"/>
      <c r="CL40" s="2"/>
      <c r="CM40" s="2">
        <f>IF(AND(BG40&gt;=0,15&gt;=inp_c1_start_m),15,9999)</f>
        <v>15</v>
      </c>
      <c r="CN40" s="2">
        <f>IF(AND(BK40&gt;=0,15&gt;=inp_c2_start_m),15,9999)</f>
        <v>15</v>
      </c>
      <c r="CO40" s="2">
        <f>IF(AND(BO40&gt;=0,15&gt;=inp_c3_start_m),15,9999)</f>
        <v>15</v>
      </c>
      <c r="CP40" s="2">
        <f>IF(AND(BS40&gt;=0,15&gt;=inp_c4_start_m),15,9999)</f>
        <v>15</v>
      </c>
      <c r="CQ40" s="2">
        <f>IF(AND(BW40&gt;=0,15&gt;=inp_c5_start_m),15,9999)</f>
        <v>15</v>
      </c>
      <c r="CR40" s="2">
        <f>IF(AND(CA40&gt;=0,15&gt;=inp_c6_start_m),15,9999)</f>
        <v>15</v>
      </c>
      <c r="CS40" s="2">
        <f>IF(AND(CE40&gt;=0,15&gt;=inp_c7_start_m),15,9999)</f>
        <v>15</v>
      </c>
      <c r="CT40" s="2">
        <f>IF(AND(CI40&gt;=0,15&gt;=inp_c8_start_m),15,9999)</f>
        <v>15</v>
      </c>
      <c r="CU40" s="2"/>
      <c r="CV40" s="55">
        <f>inp_biz_cash_open+SUM(AC$26:AC40)+SUM(BF$26:BF40)-SUM(BD$26:BD40)</f>
        <v>0</v>
      </c>
      <c r="CW40" s="55">
        <f>inp_biz_cash_open+SUM(AC$26:AC40)+SUM(BJ$26:BJ40)-SUM(BH$26:BH40)</f>
        <v>0</v>
      </c>
      <c r="CX40" s="55">
        <f>inp_biz_cash_open+SUM(AC$26:AC40)+SUM(BN$26:BN40)-SUM(BL$26:BL40)</f>
        <v>0</v>
      </c>
      <c r="CY40" s="55">
        <f>inp_biz_cash_open+SUM(AC$26:AC40)+SUM(BR$26:BR40)-SUM(BP$26:BP40)</f>
        <v>0</v>
      </c>
      <c r="CZ40" s="55">
        <f>inp_biz_cash_open+SUM(AC$26:AC40)+SUM(BV$26:BV40)-SUM(BT$26:BT40)</f>
        <v>0</v>
      </c>
      <c r="DA40" s="55">
        <f>inp_biz_cash_open+SUM(AC$26:AC40)+SUM(BZ$26:BZ40)-SUM(BX$26:BX40)</f>
        <v>0</v>
      </c>
      <c r="DB40" s="55">
        <f>inp_biz_cash_open+SUM(AC$26:AC40)+SUM(CD$26:CD40)-SUM(CB$26:CB40)</f>
        <v>0</v>
      </c>
      <c r="DC40" s="55">
        <f>inp_biz_cash_open+SUM(AC$26:AC40)+SUM(CH$26:CH40)-SUM(CF$26:CF40)</f>
        <v>0</v>
      </c>
      <c r="DD40" s="2"/>
      <c r="DE40" s="2"/>
      <c r="DF40" s="2"/>
      <c r="DG40" s="2"/>
      <c r="DH40" s="2"/>
      <c r="DI40" s="2"/>
      <c r="DJ40" s="2"/>
      <c r="DK40" s="2"/>
      <c r="DL40" s="2"/>
      <c r="DM40" s="2"/>
    </row>
    <row r="41" spans="1:119" ht="16" x14ac:dyDescent="0.2">
      <c r="A41" s="1"/>
      <c r="B41" s="54" t="str">
        <f>IF(NOT(inp_c4_active),"Candidate 4 (inactive)",IF(inp_c4_role="","Candidate 4",inp_c4_role))</f>
        <v>Candidate 4 (inactive)</v>
      </c>
      <c r="C41" s="58" t="str">
        <f>IF(NOT(inp_c4_active),"-",IF(Q57&gt;=999,"Never",Q57&amp;" mo"))</f>
        <v>-</v>
      </c>
      <c r="D41" s="56" t="str">
        <f>IF(NOT(inp_c4_active),"-",Q65)</f>
        <v>-</v>
      </c>
      <c r="E41" s="56" t="str">
        <f>IF(NOT(inp_c4_active),"-",Q56)</f>
        <v>-</v>
      </c>
      <c r="F41" s="59" t="str">
        <f>IF(NOT(inp_c4_active),"-",IF(Q64&lt;0,"YES","NO"))</f>
        <v>-</v>
      </c>
      <c r="G41" s="2"/>
      <c r="H41" s="2"/>
      <c r="I41" s="2"/>
      <c r="J41" s="2"/>
      <c r="K41" s="1"/>
      <c r="L41" s="2"/>
      <c r="M41" s="18">
        <v>16</v>
      </c>
      <c r="N41"/>
      <c r="O41"/>
      <c r="P41"/>
      <c r="Q41"/>
      <c r="R41"/>
      <c r="S41"/>
      <c r="T41"/>
      <c r="U41"/>
      <c r="V41"/>
      <c r="W41"/>
      <c r="X41"/>
      <c r="Y41"/>
      <c r="Z41" s="10">
        <f>inp_biz_revenue_m0*(1+inp_biz_rev_growth)^(16-1)*calc_scn_rev_mult</f>
        <v>0</v>
      </c>
      <c r="AA41" s="10">
        <f t="shared" si="3"/>
        <v>0</v>
      </c>
      <c r="AB41" s="10">
        <f t="shared" si="4"/>
        <v>0</v>
      </c>
      <c r="AC41" s="10">
        <f t="shared" si="5"/>
        <v>0</v>
      </c>
      <c r="AD41" s="10">
        <f>inp_biz_cash_open+SUM(AC$26:AC41)</f>
        <v>0</v>
      </c>
      <c r="AE41" s="10">
        <f t="shared" si="6"/>
        <v>0</v>
      </c>
      <c r="AF41" s="10">
        <f t="shared" si="7"/>
        <v>0</v>
      </c>
      <c r="AG41" s="10">
        <f t="shared" si="8"/>
        <v>0</v>
      </c>
      <c r="AH41" s="10">
        <f>inp_biz_cash_open+SUM(AG$26:AG41)</f>
        <v>0</v>
      </c>
      <c r="AI41" s="18">
        <f t="shared" si="9"/>
        <v>0</v>
      </c>
      <c r="AJ41"/>
      <c r="AK41"/>
      <c r="AL41"/>
      <c r="AM41" s="10">
        <f t="shared" si="10"/>
        <v>0</v>
      </c>
      <c r="AN41" s="10">
        <f t="shared" si="11"/>
        <v>0</v>
      </c>
      <c r="AO41" s="10">
        <f>0</f>
        <v>0</v>
      </c>
      <c r="AP41" s="2"/>
      <c r="AQ41" s="2"/>
      <c r="AR41" s="2"/>
      <c r="AS41"/>
      <c r="AT41"/>
      <c r="AU41"/>
      <c r="AV41" s="10">
        <f t="shared" si="12"/>
        <v>100</v>
      </c>
      <c r="AW41" s="10">
        <f t="shared" si="13"/>
        <v>0</v>
      </c>
      <c r="AX41" s="10">
        <f t="array" ref="AX41">IF((ROW()-25)-(sel_collect_lag+calc_scn_collect_add)&gt;=1,INDEX(AW$26:AW$49,(ROW()-25)-(sel_collect_lag+calc_scn_collect_add)),0)</f>
        <v>0</v>
      </c>
      <c r="AY41" s="10">
        <f>SUM(AV$26:AV41)</f>
        <v>1600</v>
      </c>
      <c r="AZ41" s="10">
        <f>SUM(AX$26:AX41)</f>
        <v>0</v>
      </c>
      <c r="BA41" s="10">
        <f t="shared" si="14"/>
        <v>0</v>
      </c>
      <c r="BB41" s="2"/>
      <c r="BC41" s="19">
        <f t="shared" si="15"/>
        <v>16</v>
      </c>
      <c r="BD41" s="19">
        <f>IF(OR(NOT(inp_c1_active),16&lt;inp_c1_start_m),0,((inp_c1_salary/12)*(1+inp_c1_oncost)+inp_c1_benefits)*calc_scn_cost_mult)</f>
        <v>0</v>
      </c>
      <c r="BE41" s="19">
        <f>IF(OR(NOT(inp_c1_active),16&lt;inp_c1_start_m),0,inp_c1_bill_hours*inp_c1_rate*calc_scn_rev_mult*calc_scn_util_mult*(inp_c1_m1_prod+MAX(0,MIN(16-inp_c1_start_m,inp_c1_ramp_m-1))*(inp_c1_util-inp_c1_m1_prod)/MAX(inp_c1_ramp_m-1,1)))</f>
        <v>0</v>
      </c>
      <c r="BF41" s="2">
        <f>IF((16-(inp_c1_collect_lag+calc_scn_collect_add))&gt;=1,INDEX(BE:BE,25+16-(inp_c1_collect_lag+calc_scn_collect_add)),0)</f>
        <v>0</v>
      </c>
      <c r="BG41" s="2">
        <f>SUM(BF$26:BF41)-SUM(BD$26:BD41)</f>
        <v>0</v>
      </c>
      <c r="BH41" s="2">
        <f>IF(OR(NOT(inp_c2_active),16&lt;inp_c2_start_m),0,((inp_c2_salary/12)*(1+inp_c2_oncost)+inp_c2_benefits)*calc_scn_cost_mult)</f>
        <v>0</v>
      </c>
      <c r="BI41" s="2">
        <f>IF(OR(NOT(inp_c2_active),16&lt;inp_c2_start_m),0,inp_c2_bill_hours*inp_c2_rate*calc_scn_rev_mult*calc_scn_util_mult*(inp_c2_m1_prod+MAX(0,MIN(16-inp_c2_start_m,inp_c2_ramp_m-1))*(inp_c2_util-inp_c2_m1_prod)/MAX(inp_c2_ramp_m-1,1)))</f>
        <v>0</v>
      </c>
      <c r="BJ41" s="2">
        <f>IF((16-(inp_c2_collect_lag+calc_scn_collect_add))&gt;=1,INDEX(BI:BI,25+16-(inp_c2_collect_lag+calc_scn_collect_add)),0)</f>
        <v>0</v>
      </c>
      <c r="BK41" s="2">
        <f>SUM(BJ$26:BJ41)-SUM(BH$26:BH41)</f>
        <v>0</v>
      </c>
      <c r="BL41" s="2">
        <f>IF(OR(NOT(inp_c3_active),16&lt;inp_c3_start_m),0,((inp_c3_salary/12)*(1+inp_c3_oncost)+inp_c3_benefits)*calc_scn_cost_mult)</f>
        <v>0</v>
      </c>
      <c r="BM41" s="2">
        <f>IF(OR(NOT(inp_c3_active),16&lt;inp_c3_start_m),0,inp_c3_bill_hours*inp_c3_rate*calc_scn_rev_mult*calc_scn_util_mult*(inp_c3_m1_prod+MAX(0,MIN(16-inp_c3_start_m,inp_c3_ramp_m-1))*(inp_c3_util-inp_c3_m1_prod)/MAX(inp_c3_ramp_m-1,1)))</f>
        <v>0</v>
      </c>
      <c r="BN41" s="2">
        <f>IF((16-(inp_c3_collect_lag+calc_scn_collect_add))&gt;=1,INDEX(BM:BM,25+16-(inp_c3_collect_lag+calc_scn_collect_add)),0)</f>
        <v>0</v>
      </c>
      <c r="BO41" s="2">
        <f>SUM(BN$26:BN41)-SUM(BL$26:BL41)</f>
        <v>0</v>
      </c>
      <c r="BP41" s="2">
        <f>IF(OR(NOT(inp_c4_active),16&lt;inp_c4_start_m),0,((inp_c4_salary/12)*(1+inp_c4_oncost)+inp_c4_benefits)*calc_scn_cost_mult)</f>
        <v>0</v>
      </c>
      <c r="BQ41" s="2">
        <f>IF(OR(NOT(inp_c4_active),16&lt;inp_c4_start_m),0,inp_c4_bill_hours*inp_c4_rate*calc_scn_rev_mult*calc_scn_util_mult*(inp_c4_m1_prod+MAX(0,MIN(16-inp_c4_start_m,inp_c4_ramp_m-1))*(inp_c4_util-inp_c4_m1_prod)/MAX(inp_c4_ramp_m-1,1)))</f>
        <v>0</v>
      </c>
      <c r="BR41" s="2">
        <f>IF((16-(inp_c4_collect_lag+calc_scn_collect_add))&gt;=1,INDEX(BQ:BQ,25+16-(inp_c4_collect_lag+calc_scn_collect_add)),0)</f>
        <v>0</v>
      </c>
      <c r="BS41" s="2">
        <f>SUM(BR$26:BR41)-SUM(BP$26:BP41)</f>
        <v>0</v>
      </c>
      <c r="BT41" s="2">
        <f>IF(OR(NOT(inp_c5_active),16&lt;inp_c5_start_m),0,((inp_c5_salary/12)*(1+inp_c5_oncost)+inp_c5_benefits)*calc_scn_cost_mult)</f>
        <v>0</v>
      </c>
      <c r="BU41" s="2">
        <f>IF(OR(NOT(inp_c5_active),16&lt;inp_c5_start_m),0,inp_c5_bill_hours*inp_c5_rate*calc_scn_rev_mult*calc_scn_util_mult*(inp_c5_m1_prod+MAX(0,MIN(16-inp_c5_start_m,inp_c5_ramp_m-1))*(inp_c5_util-inp_c5_m1_prod)/MAX(inp_c5_ramp_m-1,1)))</f>
        <v>0</v>
      </c>
      <c r="BV41" s="2">
        <f>IF((16-(inp_c5_collect_lag+calc_scn_collect_add))&gt;=1,INDEX(BU:BU,25+16-(inp_c5_collect_lag+calc_scn_collect_add)),0)</f>
        <v>0</v>
      </c>
      <c r="BW41" s="2">
        <f>SUM(BV$26:BV41)-SUM(BT$26:BT41)</f>
        <v>0</v>
      </c>
      <c r="BX41" s="2">
        <f>IF(OR(NOT(inp_c6_active),16&lt;inp_c6_start_m),0,((inp_c6_salary/12)*(1+inp_c6_oncost)+inp_c6_benefits)*calc_scn_cost_mult)</f>
        <v>0</v>
      </c>
      <c r="BY41" s="2">
        <f>IF(OR(NOT(inp_c6_active),16&lt;inp_c6_start_m),0,inp_c6_bill_hours*inp_c6_rate*calc_scn_rev_mult*calc_scn_util_mult*(inp_c6_m1_prod+MAX(0,MIN(16-inp_c6_start_m,inp_c6_ramp_m-1))*(inp_c6_util-inp_c6_m1_prod)/MAX(inp_c6_ramp_m-1,1)))</f>
        <v>0</v>
      </c>
      <c r="BZ41" s="2">
        <f>IF((16-(inp_c6_collect_lag+calc_scn_collect_add))&gt;=1,INDEX(BY:BY,25+16-(inp_c6_collect_lag+calc_scn_collect_add)),0)</f>
        <v>0</v>
      </c>
      <c r="CA41" s="2">
        <f>SUM(BZ$26:BZ41)-SUM(BX$26:BX41)</f>
        <v>0</v>
      </c>
      <c r="CB41" s="2">
        <f>IF(OR(NOT(inp_c7_active),16&lt;inp_c7_start_m),0,((inp_c7_salary/12)*(1+inp_c7_oncost)+inp_c7_benefits)*calc_scn_cost_mult)</f>
        <v>0</v>
      </c>
      <c r="CC41" s="2">
        <f>IF(OR(NOT(inp_c7_active),16&lt;inp_c7_start_m),0,inp_c7_bill_hours*inp_c7_rate*calc_scn_rev_mult*calc_scn_util_mult*(inp_c7_m1_prod+MAX(0,MIN(16-inp_c7_start_m,inp_c7_ramp_m-1))*(inp_c7_util-inp_c7_m1_prod)/MAX(inp_c7_ramp_m-1,1)))</f>
        <v>0</v>
      </c>
      <c r="CD41" s="2">
        <f>IF((16-(inp_c7_collect_lag+calc_scn_collect_add))&gt;=1,INDEX(CC:CC,25+16-(inp_c7_collect_lag+calc_scn_collect_add)),0)</f>
        <v>0</v>
      </c>
      <c r="CE41" s="2">
        <f>SUM(CD$26:CD41)-SUM(CB$26:CB41)</f>
        <v>0</v>
      </c>
      <c r="CF41" s="2">
        <f>IF(OR(NOT(inp_c8_active),16&lt;inp_c8_start_m),0,((inp_c8_salary/12)*(1+inp_c8_oncost)+inp_c8_benefits)*calc_scn_cost_mult)</f>
        <v>0</v>
      </c>
      <c r="CG41" s="2">
        <f>IF(OR(NOT(inp_c8_active),16&lt;inp_c8_start_m),0,inp_c8_bill_hours*inp_c8_rate*calc_scn_rev_mult*calc_scn_util_mult*(inp_c8_m1_prod+MAX(0,MIN(16-inp_c8_start_m,inp_c8_ramp_m-1))*(inp_c8_util-inp_c8_m1_prod)/MAX(inp_c8_ramp_m-1,1)))</f>
        <v>0</v>
      </c>
      <c r="CH41" s="2">
        <f>IF((16-(inp_c8_collect_lag+calc_scn_collect_add))&gt;=1,INDEX(CG:CG,25+16-(inp_c8_collect_lag+calc_scn_collect_add)),0)</f>
        <v>0</v>
      </c>
      <c r="CI41" s="2">
        <f>SUM(CH$26:CH41)-SUM(CF$26:CF41)</f>
        <v>0</v>
      </c>
      <c r="CJ41" s="2"/>
      <c r="CK41" s="2"/>
      <c r="CL41" s="2"/>
      <c r="CM41" s="2">
        <f>IF(AND(BG41&gt;=0,16&gt;=inp_c1_start_m),16,9999)</f>
        <v>16</v>
      </c>
      <c r="CN41" s="2">
        <f>IF(AND(BK41&gt;=0,16&gt;=inp_c2_start_m),16,9999)</f>
        <v>16</v>
      </c>
      <c r="CO41" s="2">
        <f>IF(AND(BO41&gt;=0,16&gt;=inp_c3_start_m),16,9999)</f>
        <v>16</v>
      </c>
      <c r="CP41" s="2">
        <f>IF(AND(BS41&gt;=0,16&gt;=inp_c4_start_m),16,9999)</f>
        <v>16</v>
      </c>
      <c r="CQ41" s="2">
        <f>IF(AND(BW41&gt;=0,16&gt;=inp_c5_start_m),16,9999)</f>
        <v>16</v>
      </c>
      <c r="CR41" s="2">
        <f>IF(AND(CA41&gt;=0,16&gt;=inp_c6_start_m),16,9999)</f>
        <v>16</v>
      </c>
      <c r="CS41" s="2">
        <f>IF(AND(CE41&gt;=0,16&gt;=inp_c7_start_m),16,9999)</f>
        <v>16</v>
      </c>
      <c r="CT41" s="2">
        <f>IF(AND(CI41&gt;=0,16&gt;=inp_c8_start_m),16,9999)</f>
        <v>16</v>
      </c>
      <c r="CU41" s="2"/>
      <c r="CV41" s="55">
        <f>inp_biz_cash_open+SUM(AC$26:AC41)+SUM(BF$26:BF41)-SUM(BD$26:BD41)</f>
        <v>0</v>
      </c>
      <c r="CW41" s="55">
        <f>inp_biz_cash_open+SUM(AC$26:AC41)+SUM(BJ$26:BJ41)-SUM(BH$26:BH41)</f>
        <v>0</v>
      </c>
      <c r="CX41" s="55">
        <f>inp_biz_cash_open+SUM(AC$26:AC41)+SUM(BN$26:BN41)-SUM(BL$26:BL41)</f>
        <v>0</v>
      </c>
      <c r="CY41" s="55">
        <f>inp_biz_cash_open+SUM(AC$26:AC41)+SUM(BR$26:BR41)-SUM(BP$26:BP41)</f>
        <v>0</v>
      </c>
      <c r="CZ41" s="55">
        <f>inp_biz_cash_open+SUM(AC$26:AC41)+SUM(BV$26:BV41)-SUM(BT$26:BT41)</f>
        <v>0</v>
      </c>
      <c r="DA41" s="55">
        <f>inp_biz_cash_open+SUM(AC$26:AC41)+SUM(BZ$26:BZ41)-SUM(BX$26:BX41)</f>
        <v>0</v>
      </c>
      <c r="DB41" s="55">
        <f>inp_biz_cash_open+SUM(AC$26:AC41)+SUM(CD$26:CD41)-SUM(CB$26:CB41)</f>
        <v>0</v>
      </c>
      <c r="DC41" s="55">
        <f>inp_biz_cash_open+SUM(AC$26:AC41)+SUM(CH$26:CH41)-SUM(CF$26:CF41)</f>
        <v>0</v>
      </c>
      <c r="DD41" s="2"/>
      <c r="DE41" s="2"/>
      <c r="DF41" s="2"/>
      <c r="DG41" s="2"/>
      <c r="DH41" s="2"/>
      <c r="DI41" s="2"/>
      <c r="DJ41" s="2"/>
      <c r="DK41" s="2"/>
      <c r="DL41" s="2"/>
      <c r="DM41" s="2"/>
    </row>
    <row r="42" spans="1:119" ht="22" customHeight="1" x14ac:dyDescent="0.2">
      <c r="A42" s="1"/>
      <c r="B42" s="54" t="str">
        <f>IF(NOT(inp_c5_active),"Candidate 5 (inactive)",IF(inp_c5_role="","Candidate 5",inp_c5_role))</f>
        <v>Candidate 5 (inactive)</v>
      </c>
      <c r="C42" s="58" t="str">
        <f>IF(NOT(inp_c5_active),"-",IF(R57&gt;=999,"Never",R57&amp;" mo"))</f>
        <v>-</v>
      </c>
      <c r="D42" s="56" t="str">
        <f>IF(NOT(inp_c5_active),"-",R65)</f>
        <v>-</v>
      </c>
      <c r="E42" s="56" t="str">
        <f>IF(NOT(inp_c5_active),"-",R56)</f>
        <v>-</v>
      </c>
      <c r="F42" s="59" t="str">
        <f>IF(NOT(inp_c5_active),"-",IF(R64&lt;0,"YES","NO"))</f>
        <v>-</v>
      </c>
      <c r="G42" s="2"/>
      <c r="H42" s="2"/>
      <c r="I42" s="2"/>
      <c r="J42" s="2"/>
      <c r="K42" s="1"/>
      <c r="L42" s="2"/>
      <c r="M42" s="18">
        <v>17</v>
      </c>
      <c r="N42"/>
      <c r="O42"/>
      <c r="P42"/>
      <c r="Q42"/>
      <c r="R42"/>
      <c r="S42"/>
      <c r="T42"/>
      <c r="U42"/>
      <c r="V42"/>
      <c r="W42"/>
      <c r="X42"/>
      <c r="Y42"/>
      <c r="Z42" s="10">
        <f>inp_biz_revenue_m0*(1+inp_biz_rev_growth)^(17-1)*calc_scn_rev_mult</f>
        <v>0</v>
      </c>
      <c r="AA42" s="10">
        <f t="shared" si="3"/>
        <v>0</v>
      </c>
      <c r="AB42" s="10">
        <f t="shared" si="4"/>
        <v>0</v>
      </c>
      <c r="AC42" s="10">
        <f t="shared" si="5"/>
        <v>0</v>
      </c>
      <c r="AD42" s="10">
        <f>inp_biz_cash_open+SUM(AC$26:AC42)</f>
        <v>0</v>
      </c>
      <c r="AE42" s="10">
        <f t="shared" si="6"/>
        <v>0</v>
      </c>
      <c r="AF42" s="10">
        <f t="shared" si="7"/>
        <v>0</v>
      </c>
      <c r="AG42" s="10">
        <f t="shared" si="8"/>
        <v>0</v>
      </c>
      <c r="AH42" s="10">
        <f>inp_biz_cash_open+SUM(AG$26:AG42)</f>
        <v>0</v>
      </c>
      <c r="AI42" s="18">
        <f t="shared" si="9"/>
        <v>0</v>
      </c>
      <c r="AJ42"/>
      <c r="AK42"/>
      <c r="AL42"/>
      <c r="AM42" s="10">
        <f t="shared" si="10"/>
        <v>0</v>
      </c>
      <c r="AN42" s="10">
        <f t="shared" si="11"/>
        <v>0</v>
      </c>
      <c r="AO42" s="10">
        <f>0</f>
        <v>0</v>
      </c>
      <c r="AP42" s="2"/>
      <c r="AQ42" s="2"/>
      <c r="AR42" s="2"/>
      <c r="AS42"/>
      <c r="AT42"/>
      <c r="AU42"/>
      <c r="AV42" s="10">
        <f t="shared" si="12"/>
        <v>100</v>
      </c>
      <c r="AW42" s="10">
        <f t="shared" si="13"/>
        <v>0</v>
      </c>
      <c r="AX42" s="10">
        <f t="array" ref="AX42">IF((ROW()-25)-(sel_collect_lag+calc_scn_collect_add)&gt;=1,INDEX(AW$26:AW$49,(ROW()-25)-(sel_collect_lag+calc_scn_collect_add)),0)</f>
        <v>0</v>
      </c>
      <c r="AY42" s="10">
        <f>SUM(AV$26:AV42)</f>
        <v>1700</v>
      </c>
      <c r="AZ42" s="10">
        <f>SUM(AX$26:AX42)</f>
        <v>0</v>
      </c>
      <c r="BA42" s="10">
        <f t="shared" si="14"/>
        <v>0</v>
      </c>
      <c r="BB42" s="2"/>
      <c r="BC42" s="19">
        <f t="shared" si="15"/>
        <v>17</v>
      </c>
      <c r="BD42" s="19">
        <f>IF(OR(NOT(inp_c1_active),17&lt;inp_c1_start_m),0,((inp_c1_salary/12)*(1+inp_c1_oncost)+inp_c1_benefits)*calc_scn_cost_mult)</f>
        <v>0</v>
      </c>
      <c r="BE42" s="19">
        <f>IF(OR(NOT(inp_c1_active),17&lt;inp_c1_start_m),0,inp_c1_bill_hours*inp_c1_rate*calc_scn_rev_mult*calc_scn_util_mult*(inp_c1_m1_prod+MAX(0,MIN(17-inp_c1_start_m,inp_c1_ramp_m-1))*(inp_c1_util-inp_c1_m1_prod)/MAX(inp_c1_ramp_m-1,1)))</f>
        <v>0</v>
      </c>
      <c r="BF42" s="2">
        <f>IF((17-(inp_c1_collect_lag+calc_scn_collect_add))&gt;=1,INDEX(BE:BE,25+17-(inp_c1_collect_lag+calc_scn_collect_add)),0)</f>
        <v>0</v>
      </c>
      <c r="BG42" s="2">
        <f>SUM(BF$26:BF42)-SUM(BD$26:BD42)</f>
        <v>0</v>
      </c>
      <c r="BH42" s="2">
        <f>IF(OR(NOT(inp_c2_active),17&lt;inp_c2_start_m),0,((inp_c2_salary/12)*(1+inp_c2_oncost)+inp_c2_benefits)*calc_scn_cost_mult)</f>
        <v>0</v>
      </c>
      <c r="BI42" s="2">
        <f>IF(OR(NOT(inp_c2_active),17&lt;inp_c2_start_m),0,inp_c2_bill_hours*inp_c2_rate*calc_scn_rev_mult*calc_scn_util_mult*(inp_c2_m1_prod+MAX(0,MIN(17-inp_c2_start_m,inp_c2_ramp_m-1))*(inp_c2_util-inp_c2_m1_prod)/MAX(inp_c2_ramp_m-1,1)))</f>
        <v>0</v>
      </c>
      <c r="BJ42" s="2">
        <f>IF((17-(inp_c2_collect_lag+calc_scn_collect_add))&gt;=1,INDEX(BI:BI,25+17-(inp_c2_collect_lag+calc_scn_collect_add)),0)</f>
        <v>0</v>
      </c>
      <c r="BK42" s="2">
        <f>SUM(BJ$26:BJ42)-SUM(BH$26:BH42)</f>
        <v>0</v>
      </c>
      <c r="BL42" s="2">
        <f>IF(OR(NOT(inp_c3_active),17&lt;inp_c3_start_m),0,((inp_c3_salary/12)*(1+inp_c3_oncost)+inp_c3_benefits)*calc_scn_cost_mult)</f>
        <v>0</v>
      </c>
      <c r="BM42" s="2">
        <f>IF(OR(NOT(inp_c3_active),17&lt;inp_c3_start_m),0,inp_c3_bill_hours*inp_c3_rate*calc_scn_rev_mult*calc_scn_util_mult*(inp_c3_m1_prod+MAX(0,MIN(17-inp_c3_start_m,inp_c3_ramp_m-1))*(inp_c3_util-inp_c3_m1_prod)/MAX(inp_c3_ramp_m-1,1)))</f>
        <v>0</v>
      </c>
      <c r="BN42" s="2">
        <f>IF((17-(inp_c3_collect_lag+calc_scn_collect_add))&gt;=1,INDEX(BM:BM,25+17-(inp_c3_collect_lag+calc_scn_collect_add)),0)</f>
        <v>0</v>
      </c>
      <c r="BO42" s="2">
        <f>SUM(BN$26:BN42)-SUM(BL$26:BL42)</f>
        <v>0</v>
      </c>
      <c r="BP42" s="2">
        <f>IF(OR(NOT(inp_c4_active),17&lt;inp_c4_start_m),0,((inp_c4_salary/12)*(1+inp_c4_oncost)+inp_c4_benefits)*calc_scn_cost_mult)</f>
        <v>0</v>
      </c>
      <c r="BQ42" s="2">
        <f>IF(OR(NOT(inp_c4_active),17&lt;inp_c4_start_m),0,inp_c4_bill_hours*inp_c4_rate*calc_scn_rev_mult*calc_scn_util_mult*(inp_c4_m1_prod+MAX(0,MIN(17-inp_c4_start_m,inp_c4_ramp_m-1))*(inp_c4_util-inp_c4_m1_prod)/MAX(inp_c4_ramp_m-1,1)))</f>
        <v>0</v>
      </c>
      <c r="BR42" s="2">
        <f>IF((17-(inp_c4_collect_lag+calc_scn_collect_add))&gt;=1,INDEX(BQ:BQ,25+17-(inp_c4_collect_lag+calc_scn_collect_add)),0)</f>
        <v>0</v>
      </c>
      <c r="BS42" s="2">
        <f>SUM(BR$26:BR42)-SUM(BP$26:BP42)</f>
        <v>0</v>
      </c>
      <c r="BT42" s="2">
        <f>IF(OR(NOT(inp_c5_active),17&lt;inp_c5_start_m),0,((inp_c5_salary/12)*(1+inp_c5_oncost)+inp_c5_benefits)*calc_scn_cost_mult)</f>
        <v>0</v>
      </c>
      <c r="BU42" s="2">
        <f>IF(OR(NOT(inp_c5_active),17&lt;inp_c5_start_m),0,inp_c5_bill_hours*inp_c5_rate*calc_scn_rev_mult*calc_scn_util_mult*(inp_c5_m1_prod+MAX(0,MIN(17-inp_c5_start_m,inp_c5_ramp_m-1))*(inp_c5_util-inp_c5_m1_prod)/MAX(inp_c5_ramp_m-1,1)))</f>
        <v>0</v>
      </c>
      <c r="BV42" s="2">
        <f>IF((17-(inp_c5_collect_lag+calc_scn_collect_add))&gt;=1,INDEX(BU:BU,25+17-(inp_c5_collect_lag+calc_scn_collect_add)),0)</f>
        <v>0</v>
      </c>
      <c r="BW42" s="2">
        <f>SUM(BV$26:BV42)-SUM(BT$26:BT42)</f>
        <v>0</v>
      </c>
      <c r="BX42" s="2">
        <f>IF(OR(NOT(inp_c6_active),17&lt;inp_c6_start_m),0,((inp_c6_salary/12)*(1+inp_c6_oncost)+inp_c6_benefits)*calc_scn_cost_mult)</f>
        <v>0</v>
      </c>
      <c r="BY42" s="2">
        <f>IF(OR(NOT(inp_c6_active),17&lt;inp_c6_start_m),0,inp_c6_bill_hours*inp_c6_rate*calc_scn_rev_mult*calc_scn_util_mult*(inp_c6_m1_prod+MAX(0,MIN(17-inp_c6_start_m,inp_c6_ramp_m-1))*(inp_c6_util-inp_c6_m1_prod)/MAX(inp_c6_ramp_m-1,1)))</f>
        <v>0</v>
      </c>
      <c r="BZ42" s="2">
        <f>IF((17-(inp_c6_collect_lag+calc_scn_collect_add))&gt;=1,INDEX(BY:BY,25+17-(inp_c6_collect_lag+calc_scn_collect_add)),0)</f>
        <v>0</v>
      </c>
      <c r="CA42" s="2">
        <f>SUM(BZ$26:BZ42)-SUM(BX$26:BX42)</f>
        <v>0</v>
      </c>
      <c r="CB42" s="2">
        <f>IF(OR(NOT(inp_c7_active),17&lt;inp_c7_start_m),0,((inp_c7_salary/12)*(1+inp_c7_oncost)+inp_c7_benefits)*calc_scn_cost_mult)</f>
        <v>0</v>
      </c>
      <c r="CC42" s="2">
        <f>IF(OR(NOT(inp_c7_active),17&lt;inp_c7_start_m),0,inp_c7_bill_hours*inp_c7_rate*calc_scn_rev_mult*calc_scn_util_mult*(inp_c7_m1_prod+MAX(0,MIN(17-inp_c7_start_m,inp_c7_ramp_m-1))*(inp_c7_util-inp_c7_m1_prod)/MAX(inp_c7_ramp_m-1,1)))</f>
        <v>0</v>
      </c>
      <c r="CD42" s="2">
        <f>IF((17-(inp_c7_collect_lag+calc_scn_collect_add))&gt;=1,INDEX(CC:CC,25+17-(inp_c7_collect_lag+calc_scn_collect_add)),0)</f>
        <v>0</v>
      </c>
      <c r="CE42" s="2">
        <f>SUM(CD$26:CD42)-SUM(CB$26:CB42)</f>
        <v>0</v>
      </c>
      <c r="CF42" s="2">
        <f>IF(OR(NOT(inp_c8_active),17&lt;inp_c8_start_m),0,((inp_c8_salary/12)*(1+inp_c8_oncost)+inp_c8_benefits)*calc_scn_cost_mult)</f>
        <v>0</v>
      </c>
      <c r="CG42" s="2">
        <f>IF(OR(NOT(inp_c8_active),17&lt;inp_c8_start_m),0,inp_c8_bill_hours*inp_c8_rate*calc_scn_rev_mult*calc_scn_util_mult*(inp_c8_m1_prod+MAX(0,MIN(17-inp_c8_start_m,inp_c8_ramp_m-1))*(inp_c8_util-inp_c8_m1_prod)/MAX(inp_c8_ramp_m-1,1)))</f>
        <v>0</v>
      </c>
      <c r="CH42" s="2">
        <f>IF((17-(inp_c8_collect_lag+calc_scn_collect_add))&gt;=1,INDEX(CG:CG,25+17-(inp_c8_collect_lag+calc_scn_collect_add)),0)</f>
        <v>0</v>
      </c>
      <c r="CI42" s="2">
        <f>SUM(CH$26:CH42)-SUM(CF$26:CF42)</f>
        <v>0</v>
      </c>
      <c r="CJ42" s="2"/>
      <c r="CK42" s="2"/>
      <c r="CL42" s="2"/>
      <c r="CM42" s="2">
        <f>IF(AND(BG42&gt;=0,17&gt;=inp_c1_start_m),17,9999)</f>
        <v>17</v>
      </c>
      <c r="CN42" s="2">
        <f>IF(AND(BK42&gt;=0,17&gt;=inp_c2_start_m),17,9999)</f>
        <v>17</v>
      </c>
      <c r="CO42" s="2">
        <f>IF(AND(BO42&gt;=0,17&gt;=inp_c3_start_m),17,9999)</f>
        <v>17</v>
      </c>
      <c r="CP42" s="2">
        <f>IF(AND(BS42&gt;=0,17&gt;=inp_c4_start_m),17,9999)</f>
        <v>17</v>
      </c>
      <c r="CQ42" s="2">
        <f>IF(AND(BW42&gt;=0,17&gt;=inp_c5_start_m),17,9999)</f>
        <v>17</v>
      </c>
      <c r="CR42" s="2">
        <f>IF(AND(CA42&gt;=0,17&gt;=inp_c6_start_m),17,9999)</f>
        <v>17</v>
      </c>
      <c r="CS42" s="2">
        <f>IF(AND(CE42&gt;=0,17&gt;=inp_c7_start_m),17,9999)</f>
        <v>17</v>
      </c>
      <c r="CT42" s="2">
        <f>IF(AND(CI42&gt;=0,17&gt;=inp_c8_start_m),17,9999)</f>
        <v>17</v>
      </c>
      <c r="CU42" s="2"/>
      <c r="CV42" s="55">
        <f>inp_biz_cash_open+SUM(AC$26:AC42)+SUM(BF$26:BF42)-SUM(BD$26:BD42)</f>
        <v>0</v>
      </c>
      <c r="CW42" s="55">
        <f>inp_biz_cash_open+SUM(AC$26:AC42)+SUM(BJ$26:BJ42)-SUM(BH$26:BH42)</f>
        <v>0</v>
      </c>
      <c r="CX42" s="55">
        <f>inp_biz_cash_open+SUM(AC$26:AC42)+SUM(BN$26:BN42)-SUM(BL$26:BL42)</f>
        <v>0</v>
      </c>
      <c r="CY42" s="55">
        <f>inp_biz_cash_open+SUM(AC$26:AC42)+SUM(BR$26:BR42)-SUM(BP$26:BP42)</f>
        <v>0</v>
      </c>
      <c r="CZ42" s="55">
        <f>inp_biz_cash_open+SUM(AC$26:AC42)+SUM(BV$26:BV42)-SUM(BT$26:BT42)</f>
        <v>0</v>
      </c>
      <c r="DA42" s="55">
        <f>inp_biz_cash_open+SUM(AC$26:AC42)+SUM(BZ$26:BZ42)-SUM(BX$26:BX42)</f>
        <v>0</v>
      </c>
      <c r="DB42" s="55">
        <f>inp_biz_cash_open+SUM(AC$26:AC42)+SUM(CD$26:CD42)-SUM(CB$26:CB42)</f>
        <v>0</v>
      </c>
      <c r="DC42" s="55">
        <f>inp_biz_cash_open+SUM(AC$26:AC42)+SUM(CH$26:CH42)-SUM(CF$26:CF42)</f>
        <v>0</v>
      </c>
      <c r="DD42" s="2"/>
      <c r="DE42" s="2"/>
      <c r="DF42" s="2"/>
      <c r="DG42" s="2"/>
      <c r="DH42" s="2"/>
      <c r="DI42" s="2"/>
      <c r="DJ42" s="2"/>
      <c r="DK42" s="2"/>
      <c r="DL42" s="2"/>
      <c r="DM42" s="2"/>
    </row>
    <row r="43" spans="1:119" ht="16" x14ac:dyDescent="0.2">
      <c r="A43" s="1"/>
      <c r="B43" s="54" t="str">
        <f>IF(NOT(inp_c6_active),"Candidate 6 (inactive)",IF(inp_c6_role="","Candidate 6",inp_c6_role))</f>
        <v>Candidate 6 (inactive)</v>
      </c>
      <c r="C43" s="58" t="str">
        <f>IF(NOT(inp_c6_active),"-",IF(S57&gt;=999,"Never",S57&amp;" mo"))</f>
        <v>-</v>
      </c>
      <c r="D43" s="56" t="str">
        <f>IF(NOT(inp_c6_active),"-",S65)</f>
        <v>-</v>
      </c>
      <c r="E43" s="56" t="str">
        <f>IF(NOT(inp_c6_active),"-",S56)</f>
        <v>-</v>
      </c>
      <c r="F43" s="59" t="str">
        <f>IF(NOT(inp_c6_active),"-",IF(S64&lt;0,"YES","NO"))</f>
        <v>-</v>
      </c>
      <c r="G43" s="2"/>
      <c r="H43" s="2"/>
      <c r="I43" s="2"/>
      <c r="J43" s="2"/>
      <c r="K43" s="1"/>
      <c r="L43" s="2"/>
      <c r="M43" s="18">
        <v>18</v>
      </c>
      <c r="N43"/>
      <c r="O43"/>
      <c r="P43"/>
      <c r="Q43"/>
      <c r="R43"/>
      <c r="S43"/>
      <c r="T43"/>
      <c r="U43"/>
      <c r="V43"/>
      <c r="W43"/>
      <c r="X43"/>
      <c r="Y43"/>
      <c r="Z43" s="10">
        <f>inp_biz_revenue_m0*(1+inp_biz_rev_growth)^(18-1)*calc_scn_rev_mult</f>
        <v>0</v>
      </c>
      <c r="AA43" s="10">
        <f t="shared" si="3"/>
        <v>0</v>
      </c>
      <c r="AB43" s="10">
        <f t="shared" si="4"/>
        <v>0</v>
      </c>
      <c r="AC43" s="10">
        <f t="shared" si="5"/>
        <v>0</v>
      </c>
      <c r="AD43" s="10">
        <f>inp_biz_cash_open+SUM(AC$26:AC43)</f>
        <v>0</v>
      </c>
      <c r="AE43" s="10">
        <f t="shared" si="6"/>
        <v>0</v>
      </c>
      <c r="AF43" s="10">
        <f t="shared" si="7"/>
        <v>0</v>
      </c>
      <c r="AG43" s="10">
        <f t="shared" si="8"/>
        <v>0</v>
      </c>
      <c r="AH43" s="10">
        <f>inp_biz_cash_open+SUM(AG$26:AG43)</f>
        <v>0</v>
      </c>
      <c r="AI43" s="18">
        <f t="shared" si="9"/>
        <v>0</v>
      </c>
      <c r="AJ43"/>
      <c r="AK43"/>
      <c r="AL43"/>
      <c r="AM43" s="10">
        <f t="shared" si="10"/>
        <v>0</v>
      </c>
      <c r="AN43" s="10">
        <f t="shared" si="11"/>
        <v>0</v>
      </c>
      <c r="AO43" s="10">
        <f>0</f>
        <v>0</v>
      </c>
      <c r="AP43" s="2"/>
      <c r="AQ43" s="2"/>
      <c r="AR43" s="2"/>
      <c r="AS43"/>
      <c r="AT43"/>
      <c r="AU43"/>
      <c r="AV43" s="10">
        <f t="shared" si="12"/>
        <v>100</v>
      </c>
      <c r="AW43" s="10">
        <f t="shared" si="13"/>
        <v>0</v>
      </c>
      <c r="AX43" s="10">
        <f t="array" ref="AX43">IF((ROW()-25)-(sel_collect_lag+calc_scn_collect_add)&gt;=1,INDEX(AW$26:AW$49,(ROW()-25)-(sel_collect_lag+calc_scn_collect_add)),0)</f>
        <v>0</v>
      </c>
      <c r="AY43" s="10">
        <f>SUM(AV$26:AV43)</f>
        <v>1800</v>
      </c>
      <c r="AZ43" s="10">
        <f>SUM(AX$26:AX43)</f>
        <v>0</v>
      </c>
      <c r="BA43" s="10">
        <f t="shared" si="14"/>
        <v>0</v>
      </c>
      <c r="BB43" s="2"/>
      <c r="BC43" s="19">
        <f t="shared" si="15"/>
        <v>18</v>
      </c>
      <c r="BD43" s="19">
        <f>IF(OR(NOT(inp_c1_active),18&lt;inp_c1_start_m),0,((inp_c1_salary/12)*(1+inp_c1_oncost)+inp_c1_benefits)*calc_scn_cost_mult)</f>
        <v>0</v>
      </c>
      <c r="BE43" s="19">
        <f>IF(OR(NOT(inp_c1_active),18&lt;inp_c1_start_m),0,inp_c1_bill_hours*inp_c1_rate*calc_scn_rev_mult*calc_scn_util_mult*(inp_c1_m1_prod+MAX(0,MIN(18-inp_c1_start_m,inp_c1_ramp_m-1))*(inp_c1_util-inp_c1_m1_prod)/MAX(inp_c1_ramp_m-1,1)))</f>
        <v>0</v>
      </c>
      <c r="BF43" s="2">
        <f>IF((18-(inp_c1_collect_lag+calc_scn_collect_add))&gt;=1,INDEX(BE:BE,25+18-(inp_c1_collect_lag+calc_scn_collect_add)),0)</f>
        <v>0</v>
      </c>
      <c r="BG43" s="2">
        <f>SUM(BF$26:BF43)-SUM(BD$26:BD43)</f>
        <v>0</v>
      </c>
      <c r="BH43" s="2">
        <f>IF(OR(NOT(inp_c2_active),18&lt;inp_c2_start_m),0,((inp_c2_salary/12)*(1+inp_c2_oncost)+inp_c2_benefits)*calc_scn_cost_mult)</f>
        <v>0</v>
      </c>
      <c r="BI43" s="2">
        <f>IF(OR(NOT(inp_c2_active),18&lt;inp_c2_start_m),0,inp_c2_bill_hours*inp_c2_rate*calc_scn_rev_mult*calc_scn_util_mult*(inp_c2_m1_prod+MAX(0,MIN(18-inp_c2_start_m,inp_c2_ramp_m-1))*(inp_c2_util-inp_c2_m1_prod)/MAX(inp_c2_ramp_m-1,1)))</f>
        <v>0</v>
      </c>
      <c r="BJ43" s="2">
        <f>IF((18-(inp_c2_collect_lag+calc_scn_collect_add))&gt;=1,INDEX(BI:BI,25+18-(inp_c2_collect_lag+calc_scn_collect_add)),0)</f>
        <v>0</v>
      </c>
      <c r="BK43" s="2">
        <f>SUM(BJ$26:BJ43)-SUM(BH$26:BH43)</f>
        <v>0</v>
      </c>
      <c r="BL43" s="2">
        <f>IF(OR(NOT(inp_c3_active),18&lt;inp_c3_start_m),0,((inp_c3_salary/12)*(1+inp_c3_oncost)+inp_c3_benefits)*calc_scn_cost_mult)</f>
        <v>0</v>
      </c>
      <c r="BM43" s="2">
        <f>IF(OR(NOT(inp_c3_active),18&lt;inp_c3_start_m),0,inp_c3_bill_hours*inp_c3_rate*calc_scn_rev_mult*calc_scn_util_mult*(inp_c3_m1_prod+MAX(0,MIN(18-inp_c3_start_m,inp_c3_ramp_m-1))*(inp_c3_util-inp_c3_m1_prod)/MAX(inp_c3_ramp_m-1,1)))</f>
        <v>0</v>
      </c>
      <c r="BN43" s="2">
        <f>IF((18-(inp_c3_collect_lag+calc_scn_collect_add))&gt;=1,INDEX(BM:BM,25+18-(inp_c3_collect_lag+calc_scn_collect_add)),0)</f>
        <v>0</v>
      </c>
      <c r="BO43" s="2">
        <f>SUM(BN$26:BN43)-SUM(BL$26:BL43)</f>
        <v>0</v>
      </c>
      <c r="BP43" s="2">
        <f>IF(OR(NOT(inp_c4_active),18&lt;inp_c4_start_m),0,((inp_c4_salary/12)*(1+inp_c4_oncost)+inp_c4_benefits)*calc_scn_cost_mult)</f>
        <v>0</v>
      </c>
      <c r="BQ43" s="2">
        <f>IF(OR(NOT(inp_c4_active),18&lt;inp_c4_start_m),0,inp_c4_bill_hours*inp_c4_rate*calc_scn_rev_mult*calc_scn_util_mult*(inp_c4_m1_prod+MAX(0,MIN(18-inp_c4_start_m,inp_c4_ramp_m-1))*(inp_c4_util-inp_c4_m1_prod)/MAX(inp_c4_ramp_m-1,1)))</f>
        <v>0</v>
      </c>
      <c r="BR43" s="2">
        <f>IF((18-(inp_c4_collect_lag+calc_scn_collect_add))&gt;=1,INDEX(BQ:BQ,25+18-(inp_c4_collect_lag+calc_scn_collect_add)),0)</f>
        <v>0</v>
      </c>
      <c r="BS43" s="2">
        <f>SUM(BR$26:BR43)-SUM(BP$26:BP43)</f>
        <v>0</v>
      </c>
      <c r="BT43" s="2">
        <f>IF(OR(NOT(inp_c5_active),18&lt;inp_c5_start_m),0,((inp_c5_salary/12)*(1+inp_c5_oncost)+inp_c5_benefits)*calc_scn_cost_mult)</f>
        <v>0</v>
      </c>
      <c r="BU43" s="2">
        <f>IF(OR(NOT(inp_c5_active),18&lt;inp_c5_start_m),0,inp_c5_bill_hours*inp_c5_rate*calc_scn_rev_mult*calc_scn_util_mult*(inp_c5_m1_prod+MAX(0,MIN(18-inp_c5_start_m,inp_c5_ramp_m-1))*(inp_c5_util-inp_c5_m1_prod)/MAX(inp_c5_ramp_m-1,1)))</f>
        <v>0</v>
      </c>
      <c r="BV43" s="2">
        <f>IF((18-(inp_c5_collect_lag+calc_scn_collect_add))&gt;=1,INDEX(BU:BU,25+18-(inp_c5_collect_lag+calc_scn_collect_add)),0)</f>
        <v>0</v>
      </c>
      <c r="BW43" s="2">
        <f>SUM(BV$26:BV43)-SUM(BT$26:BT43)</f>
        <v>0</v>
      </c>
      <c r="BX43" s="2">
        <f>IF(OR(NOT(inp_c6_active),18&lt;inp_c6_start_m),0,((inp_c6_salary/12)*(1+inp_c6_oncost)+inp_c6_benefits)*calc_scn_cost_mult)</f>
        <v>0</v>
      </c>
      <c r="BY43" s="2">
        <f>IF(OR(NOT(inp_c6_active),18&lt;inp_c6_start_m),0,inp_c6_bill_hours*inp_c6_rate*calc_scn_rev_mult*calc_scn_util_mult*(inp_c6_m1_prod+MAX(0,MIN(18-inp_c6_start_m,inp_c6_ramp_m-1))*(inp_c6_util-inp_c6_m1_prod)/MAX(inp_c6_ramp_m-1,1)))</f>
        <v>0</v>
      </c>
      <c r="BZ43" s="2">
        <f>IF((18-(inp_c6_collect_lag+calc_scn_collect_add))&gt;=1,INDEX(BY:BY,25+18-(inp_c6_collect_lag+calc_scn_collect_add)),0)</f>
        <v>0</v>
      </c>
      <c r="CA43" s="2">
        <f>SUM(BZ$26:BZ43)-SUM(BX$26:BX43)</f>
        <v>0</v>
      </c>
      <c r="CB43" s="2">
        <f>IF(OR(NOT(inp_c7_active),18&lt;inp_c7_start_m),0,((inp_c7_salary/12)*(1+inp_c7_oncost)+inp_c7_benefits)*calc_scn_cost_mult)</f>
        <v>0</v>
      </c>
      <c r="CC43" s="2">
        <f>IF(OR(NOT(inp_c7_active),18&lt;inp_c7_start_m),0,inp_c7_bill_hours*inp_c7_rate*calc_scn_rev_mult*calc_scn_util_mult*(inp_c7_m1_prod+MAX(0,MIN(18-inp_c7_start_m,inp_c7_ramp_m-1))*(inp_c7_util-inp_c7_m1_prod)/MAX(inp_c7_ramp_m-1,1)))</f>
        <v>0</v>
      </c>
      <c r="CD43" s="2">
        <f>IF((18-(inp_c7_collect_lag+calc_scn_collect_add))&gt;=1,INDEX(CC:CC,25+18-(inp_c7_collect_lag+calc_scn_collect_add)),0)</f>
        <v>0</v>
      </c>
      <c r="CE43" s="2">
        <f>SUM(CD$26:CD43)-SUM(CB$26:CB43)</f>
        <v>0</v>
      </c>
      <c r="CF43" s="2">
        <f>IF(OR(NOT(inp_c8_active),18&lt;inp_c8_start_m),0,((inp_c8_salary/12)*(1+inp_c8_oncost)+inp_c8_benefits)*calc_scn_cost_mult)</f>
        <v>0</v>
      </c>
      <c r="CG43" s="2">
        <f>IF(OR(NOT(inp_c8_active),18&lt;inp_c8_start_m),0,inp_c8_bill_hours*inp_c8_rate*calc_scn_rev_mult*calc_scn_util_mult*(inp_c8_m1_prod+MAX(0,MIN(18-inp_c8_start_m,inp_c8_ramp_m-1))*(inp_c8_util-inp_c8_m1_prod)/MAX(inp_c8_ramp_m-1,1)))</f>
        <v>0</v>
      </c>
      <c r="CH43" s="2">
        <f>IF((18-(inp_c8_collect_lag+calc_scn_collect_add))&gt;=1,INDEX(CG:CG,25+18-(inp_c8_collect_lag+calc_scn_collect_add)),0)</f>
        <v>0</v>
      </c>
      <c r="CI43" s="2">
        <f>SUM(CH$26:CH43)-SUM(CF$26:CF43)</f>
        <v>0</v>
      </c>
      <c r="CJ43" s="2"/>
      <c r="CK43" s="2"/>
      <c r="CL43" s="2"/>
      <c r="CM43" s="2">
        <f>IF(AND(BG43&gt;=0,18&gt;=inp_c1_start_m),18,9999)</f>
        <v>18</v>
      </c>
      <c r="CN43" s="2">
        <f>IF(AND(BK43&gt;=0,18&gt;=inp_c2_start_m),18,9999)</f>
        <v>18</v>
      </c>
      <c r="CO43" s="2">
        <f>IF(AND(BO43&gt;=0,18&gt;=inp_c3_start_m),18,9999)</f>
        <v>18</v>
      </c>
      <c r="CP43" s="2">
        <f>IF(AND(BS43&gt;=0,18&gt;=inp_c4_start_m),18,9999)</f>
        <v>18</v>
      </c>
      <c r="CQ43" s="2">
        <f>IF(AND(BW43&gt;=0,18&gt;=inp_c5_start_m),18,9999)</f>
        <v>18</v>
      </c>
      <c r="CR43" s="2">
        <f>IF(AND(CA43&gt;=0,18&gt;=inp_c6_start_m),18,9999)</f>
        <v>18</v>
      </c>
      <c r="CS43" s="2">
        <f>IF(AND(CE43&gt;=0,18&gt;=inp_c7_start_m),18,9999)</f>
        <v>18</v>
      </c>
      <c r="CT43" s="2">
        <f>IF(AND(CI43&gt;=0,18&gt;=inp_c8_start_m),18,9999)</f>
        <v>18</v>
      </c>
      <c r="CU43" s="2"/>
      <c r="CV43" s="55">
        <f>inp_biz_cash_open+SUM(AC$26:AC43)+SUM(BF$26:BF43)-SUM(BD$26:BD43)</f>
        <v>0</v>
      </c>
      <c r="CW43" s="55">
        <f>inp_biz_cash_open+SUM(AC$26:AC43)+SUM(BJ$26:BJ43)-SUM(BH$26:BH43)</f>
        <v>0</v>
      </c>
      <c r="CX43" s="55">
        <f>inp_biz_cash_open+SUM(AC$26:AC43)+SUM(BN$26:BN43)-SUM(BL$26:BL43)</f>
        <v>0</v>
      </c>
      <c r="CY43" s="55">
        <f>inp_biz_cash_open+SUM(AC$26:AC43)+SUM(BR$26:BR43)-SUM(BP$26:BP43)</f>
        <v>0</v>
      </c>
      <c r="CZ43" s="55">
        <f>inp_biz_cash_open+SUM(AC$26:AC43)+SUM(BV$26:BV43)-SUM(BT$26:BT43)</f>
        <v>0</v>
      </c>
      <c r="DA43" s="55">
        <f>inp_biz_cash_open+SUM(AC$26:AC43)+SUM(BZ$26:BZ43)-SUM(BX$26:BX43)</f>
        <v>0</v>
      </c>
      <c r="DB43" s="55">
        <f>inp_biz_cash_open+SUM(AC$26:AC43)+SUM(CD$26:CD43)-SUM(CB$26:CB43)</f>
        <v>0</v>
      </c>
      <c r="DC43" s="55">
        <f>inp_biz_cash_open+SUM(AC$26:AC43)+SUM(CH$26:CH43)-SUM(CF$26:CF43)</f>
        <v>0</v>
      </c>
      <c r="DD43" s="2"/>
      <c r="DE43" s="2"/>
      <c r="DF43" s="2"/>
      <c r="DG43" s="2"/>
      <c r="DH43" s="2"/>
      <c r="DI43" s="2"/>
      <c r="DJ43" s="2"/>
      <c r="DK43" s="2"/>
      <c r="DL43" s="2"/>
      <c r="DM43" s="2"/>
    </row>
    <row r="44" spans="1:119" ht="16" x14ac:dyDescent="0.2">
      <c r="A44" s="1"/>
      <c r="B44" s="54" t="str">
        <f>IF(NOT(inp_c7_active),"Candidate 7 (inactive)",IF(inp_c7_role="","Candidate 7",inp_c7_role))</f>
        <v>Candidate 7 (inactive)</v>
      </c>
      <c r="C44" s="58" t="str">
        <f>IF(NOT(inp_c7_active),"-",IF(T57&gt;=999,"Never",T57&amp;" mo"))</f>
        <v>-</v>
      </c>
      <c r="D44" s="56" t="str">
        <f>IF(NOT(inp_c7_active),"-",T65)</f>
        <v>-</v>
      </c>
      <c r="E44" s="56" t="str">
        <f>IF(NOT(inp_c7_active),"-",T56)</f>
        <v>-</v>
      </c>
      <c r="F44" s="59" t="str">
        <f>IF(NOT(inp_c7_active),"-",IF(T64&lt;0,"YES","NO"))</f>
        <v>-</v>
      </c>
      <c r="G44" s="2"/>
      <c r="H44" s="2"/>
      <c r="I44" s="2"/>
      <c r="J44" s="2"/>
      <c r="K44" s="1"/>
      <c r="L44" s="2"/>
      <c r="M44" s="18">
        <v>19</v>
      </c>
      <c r="N44"/>
      <c r="O44"/>
      <c r="P44"/>
      <c r="Q44"/>
      <c r="R44"/>
      <c r="S44"/>
      <c r="T44"/>
      <c r="U44"/>
      <c r="V44"/>
      <c r="W44"/>
      <c r="X44"/>
      <c r="Y44"/>
      <c r="Z44" s="10">
        <f>inp_biz_revenue_m0*(1+inp_biz_rev_growth)^(19-1)*calc_scn_rev_mult</f>
        <v>0</v>
      </c>
      <c r="AA44" s="10">
        <f t="shared" si="3"/>
        <v>0</v>
      </c>
      <c r="AB44" s="10">
        <f t="shared" si="4"/>
        <v>0</v>
      </c>
      <c r="AC44" s="10">
        <f t="shared" si="5"/>
        <v>0</v>
      </c>
      <c r="AD44" s="10">
        <f>inp_biz_cash_open+SUM(AC$26:AC44)</f>
        <v>0</v>
      </c>
      <c r="AE44" s="10">
        <f t="shared" si="6"/>
        <v>0</v>
      </c>
      <c r="AF44" s="10">
        <f t="shared" si="7"/>
        <v>0</v>
      </c>
      <c r="AG44" s="10">
        <f t="shared" si="8"/>
        <v>0</v>
      </c>
      <c r="AH44" s="10">
        <f>inp_biz_cash_open+SUM(AG$26:AG44)</f>
        <v>0</v>
      </c>
      <c r="AI44" s="18">
        <f t="shared" si="9"/>
        <v>0</v>
      </c>
      <c r="AJ44"/>
      <c r="AK44"/>
      <c r="AL44"/>
      <c r="AM44" s="10">
        <f t="shared" si="10"/>
        <v>0</v>
      </c>
      <c r="AN44" s="10">
        <f t="shared" si="11"/>
        <v>0</v>
      </c>
      <c r="AO44" s="10">
        <f>0</f>
        <v>0</v>
      </c>
      <c r="AP44" s="2"/>
      <c r="AQ44" s="2"/>
      <c r="AR44" s="2"/>
      <c r="AS44"/>
      <c r="AT44"/>
      <c r="AU44"/>
      <c r="AV44" s="10">
        <f t="shared" si="12"/>
        <v>100</v>
      </c>
      <c r="AW44" s="10">
        <f t="shared" si="13"/>
        <v>0</v>
      </c>
      <c r="AX44" s="10">
        <f t="array" ref="AX44">IF((ROW()-25)-(sel_collect_lag+calc_scn_collect_add)&gt;=1,INDEX(AW$26:AW$49,(ROW()-25)-(sel_collect_lag+calc_scn_collect_add)),0)</f>
        <v>0</v>
      </c>
      <c r="AY44" s="10">
        <f>SUM(AV$26:AV44)</f>
        <v>1900</v>
      </c>
      <c r="AZ44" s="10">
        <f>SUM(AX$26:AX44)</f>
        <v>0</v>
      </c>
      <c r="BA44" s="10">
        <f t="shared" si="14"/>
        <v>0</v>
      </c>
      <c r="BB44" s="2"/>
      <c r="BC44" s="19">
        <f t="shared" si="15"/>
        <v>19</v>
      </c>
      <c r="BD44" s="19">
        <f>IF(OR(NOT(inp_c1_active),19&lt;inp_c1_start_m),0,((inp_c1_salary/12)*(1+inp_c1_oncost)+inp_c1_benefits)*calc_scn_cost_mult)</f>
        <v>0</v>
      </c>
      <c r="BE44" s="19">
        <f>IF(OR(NOT(inp_c1_active),19&lt;inp_c1_start_m),0,inp_c1_bill_hours*inp_c1_rate*calc_scn_rev_mult*calc_scn_util_mult*(inp_c1_m1_prod+MAX(0,MIN(19-inp_c1_start_m,inp_c1_ramp_m-1))*(inp_c1_util-inp_c1_m1_prod)/MAX(inp_c1_ramp_m-1,1)))</f>
        <v>0</v>
      </c>
      <c r="BF44" s="2">
        <f>IF((19-(inp_c1_collect_lag+calc_scn_collect_add))&gt;=1,INDEX(BE:BE,25+19-(inp_c1_collect_lag+calc_scn_collect_add)),0)</f>
        <v>0</v>
      </c>
      <c r="BG44" s="2">
        <f>SUM(BF$26:BF44)-SUM(BD$26:BD44)</f>
        <v>0</v>
      </c>
      <c r="BH44" s="2">
        <f>IF(OR(NOT(inp_c2_active),19&lt;inp_c2_start_m),0,((inp_c2_salary/12)*(1+inp_c2_oncost)+inp_c2_benefits)*calc_scn_cost_mult)</f>
        <v>0</v>
      </c>
      <c r="BI44" s="2">
        <f>IF(OR(NOT(inp_c2_active),19&lt;inp_c2_start_m),0,inp_c2_bill_hours*inp_c2_rate*calc_scn_rev_mult*calc_scn_util_mult*(inp_c2_m1_prod+MAX(0,MIN(19-inp_c2_start_m,inp_c2_ramp_m-1))*(inp_c2_util-inp_c2_m1_prod)/MAX(inp_c2_ramp_m-1,1)))</f>
        <v>0</v>
      </c>
      <c r="BJ44" s="2">
        <f>IF((19-(inp_c2_collect_lag+calc_scn_collect_add))&gt;=1,INDEX(BI:BI,25+19-(inp_c2_collect_lag+calc_scn_collect_add)),0)</f>
        <v>0</v>
      </c>
      <c r="BK44" s="2">
        <f>SUM(BJ$26:BJ44)-SUM(BH$26:BH44)</f>
        <v>0</v>
      </c>
      <c r="BL44" s="2">
        <f>IF(OR(NOT(inp_c3_active),19&lt;inp_c3_start_m),0,((inp_c3_salary/12)*(1+inp_c3_oncost)+inp_c3_benefits)*calc_scn_cost_mult)</f>
        <v>0</v>
      </c>
      <c r="BM44" s="2">
        <f>IF(OR(NOT(inp_c3_active),19&lt;inp_c3_start_m),0,inp_c3_bill_hours*inp_c3_rate*calc_scn_rev_mult*calc_scn_util_mult*(inp_c3_m1_prod+MAX(0,MIN(19-inp_c3_start_m,inp_c3_ramp_m-1))*(inp_c3_util-inp_c3_m1_prod)/MAX(inp_c3_ramp_m-1,1)))</f>
        <v>0</v>
      </c>
      <c r="BN44" s="2">
        <f>IF((19-(inp_c3_collect_lag+calc_scn_collect_add))&gt;=1,INDEX(BM:BM,25+19-(inp_c3_collect_lag+calc_scn_collect_add)),0)</f>
        <v>0</v>
      </c>
      <c r="BO44" s="2">
        <f>SUM(BN$26:BN44)-SUM(BL$26:BL44)</f>
        <v>0</v>
      </c>
      <c r="BP44" s="2">
        <f>IF(OR(NOT(inp_c4_active),19&lt;inp_c4_start_m),0,((inp_c4_salary/12)*(1+inp_c4_oncost)+inp_c4_benefits)*calc_scn_cost_mult)</f>
        <v>0</v>
      </c>
      <c r="BQ44" s="2">
        <f>IF(OR(NOT(inp_c4_active),19&lt;inp_c4_start_m),0,inp_c4_bill_hours*inp_c4_rate*calc_scn_rev_mult*calc_scn_util_mult*(inp_c4_m1_prod+MAX(0,MIN(19-inp_c4_start_m,inp_c4_ramp_m-1))*(inp_c4_util-inp_c4_m1_prod)/MAX(inp_c4_ramp_m-1,1)))</f>
        <v>0</v>
      </c>
      <c r="BR44" s="2">
        <f>IF((19-(inp_c4_collect_lag+calc_scn_collect_add))&gt;=1,INDEX(BQ:BQ,25+19-(inp_c4_collect_lag+calc_scn_collect_add)),0)</f>
        <v>0</v>
      </c>
      <c r="BS44" s="2">
        <f>SUM(BR$26:BR44)-SUM(BP$26:BP44)</f>
        <v>0</v>
      </c>
      <c r="BT44" s="2">
        <f>IF(OR(NOT(inp_c5_active),19&lt;inp_c5_start_m),0,((inp_c5_salary/12)*(1+inp_c5_oncost)+inp_c5_benefits)*calc_scn_cost_mult)</f>
        <v>0</v>
      </c>
      <c r="BU44" s="2">
        <f>IF(OR(NOT(inp_c5_active),19&lt;inp_c5_start_m),0,inp_c5_bill_hours*inp_c5_rate*calc_scn_rev_mult*calc_scn_util_mult*(inp_c5_m1_prod+MAX(0,MIN(19-inp_c5_start_m,inp_c5_ramp_m-1))*(inp_c5_util-inp_c5_m1_prod)/MAX(inp_c5_ramp_m-1,1)))</f>
        <v>0</v>
      </c>
      <c r="BV44" s="2">
        <f>IF((19-(inp_c5_collect_lag+calc_scn_collect_add))&gt;=1,INDEX(BU:BU,25+19-(inp_c5_collect_lag+calc_scn_collect_add)),0)</f>
        <v>0</v>
      </c>
      <c r="BW44" s="2">
        <f>SUM(BV$26:BV44)-SUM(BT$26:BT44)</f>
        <v>0</v>
      </c>
      <c r="BX44" s="2">
        <f>IF(OR(NOT(inp_c6_active),19&lt;inp_c6_start_m),0,((inp_c6_salary/12)*(1+inp_c6_oncost)+inp_c6_benefits)*calc_scn_cost_mult)</f>
        <v>0</v>
      </c>
      <c r="BY44" s="2">
        <f>IF(OR(NOT(inp_c6_active),19&lt;inp_c6_start_m),0,inp_c6_bill_hours*inp_c6_rate*calc_scn_rev_mult*calc_scn_util_mult*(inp_c6_m1_prod+MAX(0,MIN(19-inp_c6_start_m,inp_c6_ramp_m-1))*(inp_c6_util-inp_c6_m1_prod)/MAX(inp_c6_ramp_m-1,1)))</f>
        <v>0</v>
      </c>
      <c r="BZ44" s="2">
        <f>IF((19-(inp_c6_collect_lag+calc_scn_collect_add))&gt;=1,INDEX(BY:BY,25+19-(inp_c6_collect_lag+calc_scn_collect_add)),0)</f>
        <v>0</v>
      </c>
      <c r="CA44" s="2">
        <f>SUM(BZ$26:BZ44)-SUM(BX$26:BX44)</f>
        <v>0</v>
      </c>
      <c r="CB44" s="2">
        <f>IF(OR(NOT(inp_c7_active),19&lt;inp_c7_start_m),0,((inp_c7_salary/12)*(1+inp_c7_oncost)+inp_c7_benefits)*calc_scn_cost_mult)</f>
        <v>0</v>
      </c>
      <c r="CC44" s="2">
        <f>IF(OR(NOT(inp_c7_active),19&lt;inp_c7_start_m),0,inp_c7_bill_hours*inp_c7_rate*calc_scn_rev_mult*calc_scn_util_mult*(inp_c7_m1_prod+MAX(0,MIN(19-inp_c7_start_m,inp_c7_ramp_m-1))*(inp_c7_util-inp_c7_m1_prod)/MAX(inp_c7_ramp_m-1,1)))</f>
        <v>0</v>
      </c>
      <c r="CD44" s="2">
        <f>IF((19-(inp_c7_collect_lag+calc_scn_collect_add))&gt;=1,INDEX(CC:CC,25+19-(inp_c7_collect_lag+calc_scn_collect_add)),0)</f>
        <v>0</v>
      </c>
      <c r="CE44" s="2">
        <f>SUM(CD$26:CD44)-SUM(CB$26:CB44)</f>
        <v>0</v>
      </c>
      <c r="CF44" s="2">
        <f>IF(OR(NOT(inp_c8_active),19&lt;inp_c8_start_m),0,((inp_c8_salary/12)*(1+inp_c8_oncost)+inp_c8_benefits)*calc_scn_cost_mult)</f>
        <v>0</v>
      </c>
      <c r="CG44" s="2">
        <f>IF(OR(NOT(inp_c8_active),19&lt;inp_c8_start_m),0,inp_c8_bill_hours*inp_c8_rate*calc_scn_rev_mult*calc_scn_util_mult*(inp_c8_m1_prod+MAX(0,MIN(19-inp_c8_start_m,inp_c8_ramp_m-1))*(inp_c8_util-inp_c8_m1_prod)/MAX(inp_c8_ramp_m-1,1)))</f>
        <v>0</v>
      </c>
      <c r="CH44" s="2">
        <f>IF((19-(inp_c8_collect_lag+calc_scn_collect_add))&gt;=1,INDEX(CG:CG,25+19-(inp_c8_collect_lag+calc_scn_collect_add)),0)</f>
        <v>0</v>
      </c>
      <c r="CI44" s="2">
        <f>SUM(CH$26:CH44)-SUM(CF$26:CF44)</f>
        <v>0</v>
      </c>
      <c r="CJ44" s="2"/>
      <c r="CK44" s="2"/>
      <c r="CL44" s="2"/>
      <c r="CM44" s="2">
        <f>IF(AND(BG44&gt;=0,19&gt;=inp_c1_start_m),19,9999)</f>
        <v>19</v>
      </c>
      <c r="CN44" s="2">
        <f>IF(AND(BK44&gt;=0,19&gt;=inp_c2_start_m),19,9999)</f>
        <v>19</v>
      </c>
      <c r="CO44" s="2">
        <f>IF(AND(BO44&gt;=0,19&gt;=inp_c3_start_m),19,9999)</f>
        <v>19</v>
      </c>
      <c r="CP44" s="2">
        <f>IF(AND(BS44&gt;=0,19&gt;=inp_c4_start_m),19,9999)</f>
        <v>19</v>
      </c>
      <c r="CQ44" s="2">
        <f>IF(AND(BW44&gt;=0,19&gt;=inp_c5_start_m),19,9999)</f>
        <v>19</v>
      </c>
      <c r="CR44" s="2">
        <f>IF(AND(CA44&gt;=0,19&gt;=inp_c6_start_m),19,9999)</f>
        <v>19</v>
      </c>
      <c r="CS44" s="2">
        <f>IF(AND(CE44&gt;=0,19&gt;=inp_c7_start_m),19,9999)</f>
        <v>19</v>
      </c>
      <c r="CT44" s="2">
        <f>IF(AND(CI44&gt;=0,19&gt;=inp_c8_start_m),19,9999)</f>
        <v>19</v>
      </c>
      <c r="CU44" s="2"/>
      <c r="CV44" s="55">
        <f>inp_biz_cash_open+SUM(AC$26:AC44)+SUM(BF$26:BF44)-SUM(BD$26:BD44)</f>
        <v>0</v>
      </c>
      <c r="CW44" s="55">
        <f>inp_biz_cash_open+SUM(AC$26:AC44)+SUM(BJ$26:BJ44)-SUM(BH$26:BH44)</f>
        <v>0</v>
      </c>
      <c r="CX44" s="55">
        <f>inp_biz_cash_open+SUM(AC$26:AC44)+SUM(BN$26:BN44)-SUM(BL$26:BL44)</f>
        <v>0</v>
      </c>
      <c r="CY44" s="55">
        <f>inp_biz_cash_open+SUM(AC$26:AC44)+SUM(BR$26:BR44)-SUM(BP$26:BP44)</f>
        <v>0</v>
      </c>
      <c r="CZ44" s="55">
        <f>inp_biz_cash_open+SUM(AC$26:AC44)+SUM(BV$26:BV44)-SUM(BT$26:BT44)</f>
        <v>0</v>
      </c>
      <c r="DA44" s="55">
        <f>inp_biz_cash_open+SUM(AC$26:AC44)+SUM(BZ$26:BZ44)-SUM(BX$26:BX44)</f>
        <v>0</v>
      </c>
      <c r="DB44" s="55">
        <f>inp_biz_cash_open+SUM(AC$26:AC44)+SUM(CD$26:CD44)-SUM(CB$26:CB44)</f>
        <v>0</v>
      </c>
      <c r="DC44" s="55">
        <f>inp_biz_cash_open+SUM(AC$26:AC44)+SUM(CH$26:CH44)-SUM(CF$26:CF44)</f>
        <v>0</v>
      </c>
      <c r="DD44" s="2"/>
      <c r="DE44" s="2"/>
      <c r="DF44" s="2"/>
      <c r="DG44" s="2"/>
      <c r="DH44" s="2"/>
      <c r="DI44" s="2"/>
      <c r="DJ44" s="2"/>
      <c r="DK44" s="2"/>
      <c r="DL44" s="2"/>
      <c r="DM44" s="2"/>
    </row>
    <row r="45" spans="1:119" ht="16" x14ac:dyDescent="0.2">
      <c r="A45" s="1"/>
      <c r="B45" s="54" t="str">
        <f>IF(NOT(inp_c8_active),"Candidate 8 (inactive)",IF(inp_c8_role="","Candidate 8",inp_c8_role))</f>
        <v>Candidate 8 (inactive)</v>
      </c>
      <c r="C45" s="58" t="str">
        <f>IF(NOT(inp_c8_active),"-",IF(U57&gt;=999,"Never",U57&amp;" mo"))</f>
        <v>-</v>
      </c>
      <c r="D45" s="56" t="str">
        <f>IF(NOT(inp_c8_active),"-",U65)</f>
        <v>-</v>
      </c>
      <c r="E45" s="56" t="str">
        <f>IF(NOT(inp_c8_active),"-",U56)</f>
        <v>-</v>
      </c>
      <c r="F45" s="59" t="str">
        <f>IF(NOT(inp_c8_active),"-",IF(U64&lt;0,"YES","NO"))</f>
        <v>-</v>
      </c>
      <c r="G45" s="2"/>
      <c r="H45" s="2"/>
      <c r="I45" s="2"/>
      <c r="J45" s="2"/>
      <c r="K45" s="1"/>
      <c r="L45" s="2"/>
      <c r="M45" s="18">
        <v>20</v>
      </c>
      <c r="N45"/>
      <c r="O45"/>
      <c r="P45"/>
      <c r="Q45"/>
      <c r="R45"/>
      <c r="S45"/>
      <c r="T45"/>
      <c r="U45"/>
      <c r="V45"/>
      <c r="W45"/>
      <c r="X45"/>
      <c r="Y45"/>
      <c r="Z45" s="10">
        <f>inp_biz_revenue_m0*(1+inp_biz_rev_growth)^(20-1)*calc_scn_rev_mult</f>
        <v>0</v>
      </c>
      <c r="AA45" s="10">
        <f t="shared" si="3"/>
        <v>0</v>
      </c>
      <c r="AB45" s="10">
        <f t="shared" si="4"/>
        <v>0</v>
      </c>
      <c r="AC45" s="10">
        <f t="shared" si="5"/>
        <v>0</v>
      </c>
      <c r="AD45" s="10">
        <f>inp_biz_cash_open+SUM(AC$26:AC45)</f>
        <v>0</v>
      </c>
      <c r="AE45" s="10">
        <f t="shared" si="6"/>
        <v>0</v>
      </c>
      <c r="AF45" s="10">
        <f t="shared" si="7"/>
        <v>0</v>
      </c>
      <c r="AG45" s="10">
        <f t="shared" si="8"/>
        <v>0</v>
      </c>
      <c r="AH45" s="10">
        <f>inp_biz_cash_open+SUM(AG$26:AG45)</f>
        <v>0</v>
      </c>
      <c r="AI45" s="18">
        <f t="shared" si="9"/>
        <v>0</v>
      </c>
      <c r="AJ45"/>
      <c r="AK45"/>
      <c r="AL45"/>
      <c r="AM45" s="10">
        <f t="shared" si="10"/>
        <v>0</v>
      </c>
      <c r="AN45" s="10">
        <f t="shared" si="11"/>
        <v>0</v>
      </c>
      <c r="AO45" s="10">
        <f>0</f>
        <v>0</v>
      </c>
      <c r="AP45" s="2"/>
      <c r="AQ45" s="2"/>
      <c r="AR45" s="2"/>
      <c r="AS45"/>
      <c r="AT45"/>
      <c r="AU45"/>
      <c r="AV45" s="10">
        <f t="shared" si="12"/>
        <v>100</v>
      </c>
      <c r="AW45" s="10">
        <f t="shared" si="13"/>
        <v>0</v>
      </c>
      <c r="AX45" s="10">
        <f t="array" ref="AX45">IF((ROW()-25)-(sel_collect_lag+calc_scn_collect_add)&gt;=1,INDEX(AW$26:AW$49,(ROW()-25)-(sel_collect_lag+calc_scn_collect_add)),0)</f>
        <v>0</v>
      </c>
      <c r="AY45" s="10">
        <f>SUM(AV$26:AV45)</f>
        <v>2000</v>
      </c>
      <c r="AZ45" s="10">
        <f>SUM(AX$26:AX45)</f>
        <v>0</v>
      </c>
      <c r="BA45" s="10">
        <f t="shared" si="14"/>
        <v>0</v>
      </c>
      <c r="BB45" s="2"/>
      <c r="BC45" s="19">
        <f t="shared" si="15"/>
        <v>20</v>
      </c>
      <c r="BD45" s="19">
        <f>IF(OR(NOT(inp_c1_active),20&lt;inp_c1_start_m),0,((inp_c1_salary/12)*(1+inp_c1_oncost)+inp_c1_benefits)*calc_scn_cost_mult)</f>
        <v>0</v>
      </c>
      <c r="BE45" s="19">
        <f>IF(OR(NOT(inp_c1_active),20&lt;inp_c1_start_m),0,inp_c1_bill_hours*inp_c1_rate*calc_scn_rev_mult*calc_scn_util_mult*(inp_c1_m1_prod+MAX(0,MIN(20-inp_c1_start_m,inp_c1_ramp_m-1))*(inp_c1_util-inp_c1_m1_prod)/MAX(inp_c1_ramp_m-1,1)))</f>
        <v>0</v>
      </c>
      <c r="BF45" s="2">
        <f>IF((20-(inp_c1_collect_lag+calc_scn_collect_add))&gt;=1,INDEX(BE:BE,25+20-(inp_c1_collect_lag+calc_scn_collect_add)),0)</f>
        <v>0</v>
      </c>
      <c r="BG45" s="2">
        <f>SUM(BF$26:BF45)-SUM(BD$26:BD45)</f>
        <v>0</v>
      </c>
      <c r="BH45" s="2">
        <f>IF(OR(NOT(inp_c2_active),20&lt;inp_c2_start_m),0,((inp_c2_salary/12)*(1+inp_c2_oncost)+inp_c2_benefits)*calc_scn_cost_mult)</f>
        <v>0</v>
      </c>
      <c r="BI45" s="2">
        <f>IF(OR(NOT(inp_c2_active),20&lt;inp_c2_start_m),0,inp_c2_bill_hours*inp_c2_rate*calc_scn_rev_mult*calc_scn_util_mult*(inp_c2_m1_prod+MAX(0,MIN(20-inp_c2_start_m,inp_c2_ramp_m-1))*(inp_c2_util-inp_c2_m1_prod)/MAX(inp_c2_ramp_m-1,1)))</f>
        <v>0</v>
      </c>
      <c r="BJ45" s="2">
        <f>IF((20-(inp_c2_collect_lag+calc_scn_collect_add))&gt;=1,INDEX(BI:BI,25+20-(inp_c2_collect_lag+calc_scn_collect_add)),0)</f>
        <v>0</v>
      </c>
      <c r="BK45" s="2">
        <f>SUM(BJ$26:BJ45)-SUM(BH$26:BH45)</f>
        <v>0</v>
      </c>
      <c r="BL45" s="2">
        <f>IF(OR(NOT(inp_c3_active),20&lt;inp_c3_start_m),0,((inp_c3_salary/12)*(1+inp_c3_oncost)+inp_c3_benefits)*calc_scn_cost_mult)</f>
        <v>0</v>
      </c>
      <c r="BM45" s="2">
        <f>IF(OR(NOT(inp_c3_active),20&lt;inp_c3_start_m),0,inp_c3_bill_hours*inp_c3_rate*calc_scn_rev_mult*calc_scn_util_mult*(inp_c3_m1_prod+MAX(0,MIN(20-inp_c3_start_m,inp_c3_ramp_m-1))*(inp_c3_util-inp_c3_m1_prod)/MAX(inp_c3_ramp_m-1,1)))</f>
        <v>0</v>
      </c>
      <c r="BN45" s="2">
        <f>IF((20-(inp_c3_collect_lag+calc_scn_collect_add))&gt;=1,INDEX(BM:BM,25+20-(inp_c3_collect_lag+calc_scn_collect_add)),0)</f>
        <v>0</v>
      </c>
      <c r="BO45" s="2">
        <f>SUM(BN$26:BN45)-SUM(BL$26:BL45)</f>
        <v>0</v>
      </c>
      <c r="BP45" s="2">
        <f>IF(OR(NOT(inp_c4_active),20&lt;inp_c4_start_m),0,((inp_c4_salary/12)*(1+inp_c4_oncost)+inp_c4_benefits)*calc_scn_cost_mult)</f>
        <v>0</v>
      </c>
      <c r="BQ45" s="2">
        <f>IF(OR(NOT(inp_c4_active),20&lt;inp_c4_start_m),0,inp_c4_bill_hours*inp_c4_rate*calc_scn_rev_mult*calc_scn_util_mult*(inp_c4_m1_prod+MAX(0,MIN(20-inp_c4_start_m,inp_c4_ramp_m-1))*(inp_c4_util-inp_c4_m1_prod)/MAX(inp_c4_ramp_m-1,1)))</f>
        <v>0</v>
      </c>
      <c r="BR45" s="2">
        <f>IF((20-(inp_c4_collect_lag+calc_scn_collect_add))&gt;=1,INDEX(BQ:BQ,25+20-(inp_c4_collect_lag+calc_scn_collect_add)),0)</f>
        <v>0</v>
      </c>
      <c r="BS45" s="2">
        <f>SUM(BR$26:BR45)-SUM(BP$26:BP45)</f>
        <v>0</v>
      </c>
      <c r="BT45" s="2">
        <f>IF(OR(NOT(inp_c5_active),20&lt;inp_c5_start_m),0,((inp_c5_salary/12)*(1+inp_c5_oncost)+inp_c5_benefits)*calc_scn_cost_mult)</f>
        <v>0</v>
      </c>
      <c r="BU45" s="2">
        <f>IF(OR(NOT(inp_c5_active),20&lt;inp_c5_start_m),0,inp_c5_bill_hours*inp_c5_rate*calc_scn_rev_mult*calc_scn_util_mult*(inp_c5_m1_prod+MAX(0,MIN(20-inp_c5_start_m,inp_c5_ramp_m-1))*(inp_c5_util-inp_c5_m1_prod)/MAX(inp_c5_ramp_m-1,1)))</f>
        <v>0</v>
      </c>
      <c r="BV45" s="2">
        <f>IF((20-(inp_c5_collect_lag+calc_scn_collect_add))&gt;=1,INDEX(BU:BU,25+20-(inp_c5_collect_lag+calc_scn_collect_add)),0)</f>
        <v>0</v>
      </c>
      <c r="BW45" s="2">
        <f>SUM(BV$26:BV45)-SUM(BT$26:BT45)</f>
        <v>0</v>
      </c>
      <c r="BX45" s="2">
        <f>IF(OR(NOT(inp_c6_active),20&lt;inp_c6_start_m),0,((inp_c6_salary/12)*(1+inp_c6_oncost)+inp_c6_benefits)*calc_scn_cost_mult)</f>
        <v>0</v>
      </c>
      <c r="BY45" s="2">
        <f>IF(OR(NOT(inp_c6_active),20&lt;inp_c6_start_m),0,inp_c6_bill_hours*inp_c6_rate*calc_scn_rev_mult*calc_scn_util_mult*(inp_c6_m1_prod+MAX(0,MIN(20-inp_c6_start_m,inp_c6_ramp_m-1))*(inp_c6_util-inp_c6_m1_prod)/MAX(inp_c6_ramp_m-1,1)))</f>
        <v>0</v>
      </c>
      <c r="BZ45" s="2">
        <f>IF((20-(inp_c6_collect_lag+calc_scn_collect_add))&gt;=1,INDEX(BY:BY,25+20-(inp_c6_collect_lag+calc_scn_collect_add)),0)</f>
        <v>0</v>
      </c>
      <c r="CA45" s="2">
        <f>SUM(BZ$26:BZ45)-SUM(BX$26:BX45)</f>
        <v>0</v>
      </c>
      <c r="CB45" s="2">
        <f>IF(OR(NOT(inp_c7_active),20&lt;inp_c7_start_m),0,((inp_c7_salary/12)*(1+inp_c7_oncost)+inp_c7_benefits)*calc_scn_cost_mult)</f>
        <v>0</v>
      </c>
      <c r="CC45" s="2">
        <f>IF(OR(NOT(inp_c7_active),20&lt;inp_c7_start_m),0,inp_c7_bill_hours*inp_c7_rate*calc_scn_rev_mult*calc_scn_util_mult*(inp_c7_m1_prod+MAX(0,MIN(20-inp_c7_start_m,inp_c7_ramp_m-1))*(inp_c7_util-inp_c7_m1_prod)/MAX(inp_c7_ramp_m-1,1)))</f>
        <v>0</v>
      </c>
      <c r="CD45" s="2">
        <f>IF((20-(inp_c7_collect_lag+calc_scn_collect_add))&gt;=1,INDEX(CC:CC,25+20-(inp_c7_collect_lag+calc_scn_collect_add)),0)</f>
        <v>0</v>
      </c>
      <c r="CE45" s="2">
        <f>SUM(CD$26:CD45)-SUM(CB$26:CB45)</f>
        <v>0</v>
      </c>
      <c r="CF45" s="2">
        <f>IF(OR(NOT(inp_c8_active),20&lt;inp_c8_start_m),0,((inp_c8_salary/12)*(1+inp_c8_oncost)+inp_c8_benefits)*calc_scn_cost_mult)</f>
        <v>0</v>
      </c>
      <c r="CG45" s="2">
        <f>IF(OR(NOT(inp_c8_active),20&lt;inp_c8_start_m),0,inp_c8_bill_hours*inp_c8_rate*calc_scn_rev_mult*calc_scn_util_mult*(inp_c8_m1_prod+MAX(0,MIN(20-inp_c8_start_m,inp_c8_ramp_m-1))*(inp_c8_util-inp_c8_m1_prod)/MAX(inp_c8_ramp_m-1,1)))</f>
        <v>0</v>
      </c>
      <c r="CH45" s="2">
        <f>IF((20-(inp_c8_collect_lag+calc_scn_collect_add))&gt;=1,INDEX(CG:CG,25+20-(inp_c8_collect_lag+calc_scn_collect_add)),0)</f>
        <v>0</v>
      </c>
      <c r="CI45" s="2">
        <f>SUM(CH$26:CH45)-SUM(CF$26:CF45)</f>
        <v>0</v>
      </c>
      <c r="CJ45" s="2"/>
      <c r="CK45" s="2"/>
      <c r="CL45" s="2"/>
      <c r="CM45" s="2">
        <f>IF(AND(BG45&gt;=0,20&gt;=inp_c1_start_m),20,9999)</f>
        <v>20</v>
      </c>
      <c r="CN45" s="2">
        <f>IF(AND(BK45&gt;=0,20&gt;=inp_c2_start_m),20,9999)</f>
        <v>20</v>
      </c>
      <c r="CO45" s="2">
        <f>IF(AND(BO45&gt;=0,20&gt;=inp_c3_start_m),20,9999)</f>
        <v>20</v>
      </c>
      <c r="CP45" s="2">
        <f>IF(AND(BS45&gt;=0,20&gt;=inp_c4_start_m),20,9999)</f>
        <v>20</v>
      </c>
      <c r="CQ45" s="2">
        <f>IF(AND(BW45&gt;=0,20&gt;=inp_c5_start_m),20,9999)</f>
        <v>20</v>
      </c>
      <c r="CR45" s="2">
        <f>IF(AND(CA45&gt;=0,20&gt;=inp_c6_start_m),20,9999)</f>
        <v>20</v>
      </c>
      <c r="CS45" s="2">
        <f>IF(AND(CE45&gt;=0,20&gt;=inp_c7_start_m),20,9999)</f>
        <v>20</v>
      </c>
      <c r="CT45" s="2">
        <f>IF(AND(CI45&gt;=0,20&gt;=inp_c8_start_m),20,9999)</f>
        <v>20</v>
      </c>
      <c r="CU45" s="2"/>
      <c r="CV45" s="55">
        <f>inp_biz_cash_open+SUM(AC$26:AC45)+SUM(BF$26:BF45)-SUM(BD$26:BD45)</f>
        <v>0</v>
      </c>
      <c r="CW45" s="55">
        <f>inp_biz_cash_open+SUM(AC$26:AC45)+SUM(BJ$26:BJ45)-SUM(BH$26:BH45)</f>
        <v>0</v>
      </c>
      <c r="CX45" s="55">
        <f>inp_biz_cash_open+SUM(AC$26:AC45)+SUM(BN$26:BN45)-SUM(BL$26:BL45)</f>
        <v>0</v>
      </c>
      <c r="CY45" s="55">
        <f>inp_biz_cash_open+SUM(AC$26:AC45)+SUM(BR$26:BR45)-SUM(BP$26:BP45)</f>
        <v>0</v>
      </c>
      <c r="CZ45" s="55">
        <f>inp_biz_cash_open+SUM(AC$26:AC45)+SUM(BV$26:BV45)-SUM(BT$26:BT45)</f>
        <v>0</v>
      </c>
      <c r="DA45" s="55">
        <f>inp_biz_cash_open+SUM(AC$26:AC45)+SUM(BZ$26:BZ45)-SUM(BX$26:BX45)</f>
        <v>0</v>
      </c>
      <c r="DB45" s="55">
        <f>inp_biz_cash_open+SUM(AC$26:AC45)+SUM(CD$26:CD45)-SUM(CB$26:CB45)</f>
        <v>0</v>
      </c>
      <c r="DC45" s="55">
        <f>inp_biz_cash_open+SUM(AC$26:AC45)+SUM(CH$26:CH45)-SUM(CF$26:CF45)</f>
        <v>0</v>
      </c>
      <c r="DD45" s="2"/>
      <c r="DE45" s="2"/>
      <c r="DF45" s="2"/>
      <c r="DG45" s="2"/>
      <c r="DH45" s="2"/>
      <c r="DI45" s="2"/>
      <c r="DJ45" s="2"/>
      <c r="DK45" s="2"/>
      <c r="DL45" s="2"/>
      <c r="DM45" s="2"/>
    </row>
    <row r="46" spans="1:119" x14ac:dyDescent="0.2">
      <c r="A46" s="1"/>
      <c r="B46" s="65"/>
      <c r="C46" s="65"/>
      <c r="D46" s="1"/>
      <c r="E46" s="1"/>
      <c r="F46" s="1"/>
      <c r="G46" s="1"/>
      <c r="H46" s="1"/>
      <c r="I46" s="1"/>
      <c r="J46" s="1"/>
      <c r="K46" s="1"/>
      <c r="L46" s="2"/>
      <c r="M46" s="18">
        <v>21</v>
      </c>
      <c r="N46"/>
      <c r="O46"/>
      <c r="P46"/>
      <c r="Q46"/>
      <c r="R46"/>
      <c r="S46"/>
      <c r="T46"/>
      <c r="U46"/>
      <c r="V46"/>
      <c r="W46"/>
      <c r="X46"/>
      <c r="Y46"/>
      <c r="Z46" s="10">
        <f>inp_biz_revenue_m0*(1+inp_biz_rev_growth)^(21-1)*calc_scn_rev_mult</f>
        <v>0</v>
      </c>
      <c r="AA46" s="10">
        <f t="shared" si="3"/>
        <v>0</v>
      </c>
      <c r="AB46" s="10">
        <f t="shared" si="4"/>
        <v>0</v>
      </c>
      <c r="AC46" s="10">
        <f t="shared" si="5"/>
        <v>0</v>
      </c>
      <c r="AD46" s="10">
        <f>inp_biz_cash_open+SUM(AC$26:AC46)</f>
        <v>0</v>
      </c>
      <c r="AE46" s="10">
        <f t="shared" si="6"/>
        <v>0</v>
      </c>
      <c r="AF46" s="10">
        <f t="shared" si="7"/>
        <v>0</v>
      </c>
      <c r="AG46" s="10">
        <f t="shared" si="8"/>
        <v>0</v>
      </c>
      <c r="AH46" s="10">
        <f>inp_biz_cash_open+SUM(AG$26:AG46)</f>
        <v>0</v>
      </c>
      <c r="AI46" s="18">
        <f t="shared" si="9"/>
        <v>0</v>
      </c>
      <c r="AJ46"/>
      <c r="AK46"/>
      <c r="AL46"/>
      <c r="AM46" s="10">
        <f t="shared" si="10"/>
        <v>0</v>
      </c>
      <c r="AN46" s="10">
        <f t="shared" si="11"/>
        <v>0</v>
      </c>
      <c r="AO46" s="10">
        <f>0</f>
        <v>0</v>
      </c>
      <c r="AP46" s="2"/>
      <c r="AQ46" s="2"/>
      <c r="AR46" s="2"/>
      <c r="AS46"/>
      <c r="AT46"/>
      <c r="AU46"/>
      <c r="AV46" s="10">
        <f t="shared" si="12"/>
        <v>100</v>
      </c>
      <c r="AW46" s="10">
        <f t="shared" si="13"/>
        <v>0</v>
      </c>
      <c r="AX46" s="10">
        <f t="array" ref="AX46">IF((ROW()-25)-(sel_collect_lag+calc_scn_collect_add)&gt;=1,INDEX(AW$26:AW$49,(ROW()-25)-(sel_collect_lag+calc_scn_collect_add)),0)</f>
        <v>0</v>
      </c>
      <c r="AY46" s="10">
        <f>SUM(AV$26:AV46)</f>
        <v>2100</v>
      </c>
      <c r="AZ46" s="10">
        <f>SUM(AX$26:AX46)</f>
        <v>0</v>
      </c>
      <c r="BA46" s="10">
        <f t="shared" si="14"/>
        <v>0</v>
      </c>
      <c r="BB46" s="2"/>
      <c r="BC46" s="19">
        <f t="shared" si="15"/>
        <v>21</v>
      </c>
      <c r="BD46" s="19">
        <f>IF(OR(NOT(inp_c1_active),21&lt;inp_c1_start_m),0,((inp_c1_salary/12)*(1+inp_c1_oncost)+inp_c1_benefits)*calc_scn_cost_mult)</f>
        <v>0</v>
      </c>
      <c r="BE46" s="19">
        <f>IF(OR(NOT(inp_c1_active),21&lt;inp_c1_start_m),0,inp_c1_bill_hours*inp_c1_rate*calc_scn_rev_mult*calc_scn_util_mult*(inp_c1_m1_prod+MAX(0,MIN(21-inp_c1_start_m,inp_c1_ramp_m-1))*(inp_c1_util-inp_c1_m1_prod)/MAX(inp_c1_ramp_m-1,1)))</f>
        <v>0</v>
      </c>
      <c r="BF46" s="2">
        <f>IF((21-(inp_c1_collect_lag+calc_scn_collect_add))&gt;=1,INDEX(BE:BE,25+21-(inp_c1_collect_lag+calc_scn_collect_add)),0)</f>
        <v>0</v>
      </c>
      <c r="BG46" s="2">
        <f>SUM(BF$26:BF46)-SUM(BD$26:BD46)</f>
        <v>0</v>
      </c>
      <c r="BH46" s="2">
        <f>IF(OR(NOT(inp_c2_active),21&lt;inp_c2_start_m),0,((inp_c2_salary/12)*(1+inp_c2_oncost)+inp_c2_benefits)*calc_scn_cost_mult)</f>
        <v>0</v>
      </c>
      <c r="BI46" s="2">
        <f>IF(OR(NOT(inp_c2_active),21&lt;inp_c2_start_m),0,inp_c2_bill_hours*inp_c2_rate*calc_scn_rev_mult*calc_scn_util_mult*(inp_c2_m1_prod+MAX(0,MIN(21-inp_c2_start_m,inp_c2_ramp_m-1))*(inp_c2_util-inp_c2_m1_prod)/MAX(inp_c2_ramp_m-1,1)))</f>
        <v>0</v>
      </c>
      <c r="BJ46" s="2">
        <f>IF((21-(inp_c2_collect_lag+calc_scn_collect_add))&gt;=1,INDEX(BI:BI,25+21-(inp_c2_collect_lag+calc_scn_collect_add)),0)</f>
        <v>0</v>
      </c>
      <c r="BK46" s="2">
        <f>SUM(BJ$26:BJ46)-SUM(BH$26:BH46)</f>
        <v>0</v>
      </c>
      <c r="BL46" s="2">
        <f>IF(OR(NOT(inp_c3_active),21&lt;inp_c3_start_m),0,((inp_c3_salary/12)*(1+inp_c3_oncost)+inp_c3_benefits)*calc_scn_cost_mult)</f>
        <v>0</v>
      </c>
      <c r="BM46" s="2">
        <f>IF(OR(NOT(inp_c3_active),21&lt;inp_c3_start_m),0,inp_c3_bill_hours*inp_c3_rate*calc_scn_rev_mult*calc_scn_util_mult*(inp_c3_m1_prod+MAX(0,MIN(21-inp_c3_start_m,inp_c3_ramp_m-1))*(inp_c3_util-inp_c3_m1_prod)/MAX(inp_c3_ramp_m-1,1)))</f>
        <v>0</v>
      </c>
      <c r="BN46" s="2">
        <f>IF((21-(inp_c3_collect_lag+calc_scn_collect_add))&gt;=1,INDEX(BM:BM,25+21-(inp_c3_collect_lag+calc_scn_collect_add)),0)</f>
        <v>0</v>
      </c>
      <c r="BO46" s="2">
        <f>SUM(BN$26:BN46)-SUM(BL$26:BL46)</f>
        <v>0</v>
      </c>
      <c r="BP46" s="2">
        <f>IF(OR(NOT(inp_c4_active),21&lt;inp_c4_start_m),0,((inp_c4_salary/12)*(1+inp_c4_oncost)+inp_c4_benefits)*calc_scn_cost_mult)</f>
        <v>0</v>
      </c>
      <c r="BQ46" s="2">
        <f>IF(OR(NOT(inp_c4_active),21&lt;inp_c4_start_m),0,inp_c4_bill_hours*inp_c4_rate*calc_scn_rev_mult*calc_scn_util_mult*(inp_c4_m1_prod+MAX(0,MIN(21-inp_c4_start_m,inp_c4_ramp_m-1))*(inp_c4_util-inp_c4_m1_prod)/MAX(inp_c4_ramp_m-1,1)))</f>
        <v>0</v>
      </c>
      <c r="BR46" s="2">
        <f>IF((21-(inp_c4_collect_lag+calc_scn_collect_add))&gt;=1,INDEX(BQ:BQ,25+21-(inp_c4_collect_lag+calc_scn_collect_add)),0)</f>
        <v>0</v>
      </c>
      <c r="BS46" s="2">
        <f>SUM(BR$26:BR46)-SUM(BP$26:BP46)</f>
        <v>0</v>
      </c>
      <c r="BT46" s="2">
        <f>IF(OR(NOT(inp_c5_active),21&lt;inp_c5_start_m),0,((inp_c5_salary/12)*(1+inp_c5_oncost)+inp_c5_benefits)*calc_scn_cost_mult)</f>
        <v>0</v>
      </c>
      <c r="BU46" s="2">
        <f>IF(OR(NOT(inp_c5_active),21&lt;inp_c5_start_m),0,inp_c5_bill_hours*inp_c5_rate*calc_scn_rev_mult*calc_scn_util_mult*(inp_c5_m1_prod+MAX(0,MIN(21-inp_c5_start_m,inp_c5_ramp_m-1))*(inp_c5_util-inp_c5_m1_prod)/MAX(inp_c5_ramp_m-1,1)))</f>
        <v>0</v>
      </c>
      <c r="BV46" s="2">
        <f>IF((21-(inp_c5_collect_lag+calc_scn_collect_add))&gt;=1,INDEX(BU:BU,25+21-(inp_c5_collect_lag+calc_scn_collect_add)),0)</f>
        <v>0</v>
      </c>
      <c r="BW46" s="2">
        <f>SUM(BV$26:BV46)-SUM(BT$26:BT46)</f>
        <v>0</v>
      </c>
      <c r="BX46" s="2">
        <f>IF(OR(NOT(inp_c6_active),21&lt;inp_c6_start_m),0,((inp_c6_salary/12)*(1+inp_c6_oncost)+inp_c6_benefits)*calc_scn_cost_mult)</f>
        <v>0</v>
      </c>
      <c r="BY46" s="2">
        <f>IF(OR(NOT(inp_c6_active),21&lt;inp_c6_start_m),0,inp_c6_bill_hours*inp_c6_rate*calc_scn_rev_mult*calc_scn_util_mult*(inp_c6_m1_prod+MAX(0,MIN(21-inp_c6_start_m,inp_c6_ramp_m-1))*(inp_c6_util-inp_c6_m1_prod)/MAX(inp_c6_ramp_m-1,1)))</f>
        <v>0</v>
      </c>
      <c r="BZ46" s="2">
        <f>IF((21-(inp_c6_collect_lag+calc_scn_collect_add))&gt;=1,INDEX(BY:BY,25+21-(inp_c6_collect_lag+calc_scn_collect_add)),0)</f>
        <v>0</v>
      </c>
      <c r="CA46" s="2">
        <f>SUM(BZ$26:BZ46)-SUM(BX$26:BX46)</f>
        <v>0</v>
      </c>
      <c r="CB46" s="2">
        <f>IF(OR(NOT(inp_c7_active),21&lt;inp_c7_start_m),0,((inp_c7_salary/12)*(1+inp_c7_oncost)+inp_c7_benefits)*calc_scn_cost_mult)</f>
        <v>0</v>
      </c>
      <c r="CC46" s="2">
        <f>IF(OR(NOT(inp_c7_active),21&lt;inp_c7_start_m),0,inp_c7_bill_hours*inp_c7_rate*calc_scn_rev_mult*calc_scn_util_mult*(inp_c7_m1_prod+MAX(0,MIN(21-inp_c7_start_m,inp_c7_ramp_m-1))*(inp_c7_util-inp_c7_m1_prod)/MAX(inp_c7_ramp_m-1,1)))</f>
        <v>0</v>
      </c>
      <c r="CD46" s="2">
        <f>IF((21-(inp_c7_collect_lag+calc_scn_collect_add))&gt;=1,INDEX(CC:CC,25+21-(inp_c7_collect_lag+calc_scn_collect_add)),0)</f>
        <v>0</v>
      </c>
      <c r="CE46" s="2">
        <f>SUM(CD$26:CD46)-SUM(CB$26:CB46)</f>
        <v>0</v>
      </c>
      <c r="CF46" s="2">
        <f>IF(OR(NOT(inp_c8_active),21&lt;inp_c8_start_m),0,((inp_c8_salary/12)*(1+inp_c8_oncost)+inp_c8_benefits)*calc_scn_cost_mult)</f>
        <v>0</v>
      </c>
      <c r="CG46" s="2">
        <f>IF(OR(NOT(inp_c8_active),21&lt;inp_c8_start_m),0,inp_c8_bill_hours*inp_c8_rate*calc_scn_rev_mult*calc_scn_util_mult*(inp_c8_m1_prod+MAX(0,MIN(21-inp_c8_start_m,inp_c8_ramp_m-1))*(inp_c8_util-inp_c8_m1_prod)/MAX(inp_c8_ramp_m-1,1)))</f>
        <v>0</v>
      </c>
      <c r="CH46" s="2">
        <f>IF((21-(inp_c8_collect_lag+calc_scn_collect_add))&gt;=1,INDEX(CG:CG,25+21-(inp_c8_collect_lag+calc_scn_collect_add)),0)</f>
        <v>0</v>
      </c>
      <c r="CI46" s="2">
        <f>SUM(CH$26:CH46)-SUM(CF$26:CF46)</f>
        <v>0</v>
      </c>
      <c r="CJ46" s="2"/>
      <c r="CK46" s="2"/>
      <c r="CL46" s="2"/>
      <c r="CM46" s="2">
        <f>IF(AND(BG46&gt;=0,21&gt;=inp_c1_start_m),21,9999)</f>
        <v>21</v>
      </c>
      <c r="CN46" s="2">
        <f>IF(AND(BK46&gt;=0,21&gt;=inp_c2_start_m),21,9999)</f>
        <v>21</v>
      </c>
      <c r="CO46" s="2">
        <f>IF(AND(BO46&gt;=0,21&gt;=inp_c3_start_m),21,9999)</f>
        <v>21</v>
      </c>
      <c r="CP46" s="2">
        <f>IF(AND(BS46&gt;=0,21&gt;=inp_c4_start_m),21,9999)</f>
        <v>21</v>
      </c>
      <c r="CQ46" s="2">
        <f>IF(AND(BW46&gt;=0,21&gt;=inp_c5_start_m),21,9999)</f>
        <v>21</v>
      </c>
      <c r="CR46" s="2">
        <f>IF(AND(CA46&gt;=0,21&gt;=inp_c6_start_m),21,9999)</f>
        <v>21</v>
      </c>
      <c r="CS46" s="2">
        <f>IF(AND(CE46&gt;=0,21&gt;=inp_c7_start_m),21,9999)</f>
        <v>21</v>
      </c>
      <c r="CT46" s="2">
        <f>IF(AND(CI46&gt;=0,21&gt;=inp_c8_start_m),21,9999)</f>
        <v>21</v>
      </c>
      <c r="CU46" s="2"/>
      <c r="CV46" s="55">
        <f>inp_biz_cash_open+SUM(AC$26:AC46)+SUM(BF$26:BF46)-SUM(BD$26:BD46)</f>
        <v>0</v>
      </c>
      <c r="CW46" s="55">
        <f>inp_biz_cash_open+SUM(AC$26:AC46)+SUM(BJ$26:BJ46)-SUM(BH$26:BH46)</f>
        <v>0</v>
      </c>
      <c r="CX46" s="55">
        <f>inp_biz_cash_open+SUM(AC$26:AC46)+SUM(BN$26:BN46)-SUM(BL$26:BL46)</f>
        <v>0</v>
      </c>
      <c r="CY46" s="55">
        <f>inp_biz_cash_open+SUM(AC$26:AC46)+SUM(BR$26:BR46)-SUM(BP$26:BP46)</f>
        <v>0</v>
      </c>
      <c r="CZ46" s="55">
        <f>inp_biz_cash_open+SUM(AC$26:AC46)+SUM(BV$26:BV46)-SUM(BT$26:BT46)</f>
        <v>0</v>
      </c>
      <c r="DA46" s="55">
        <f>inp_biz_cash_open+SUM(AC$26:AC46)+SUM(BZ$26:BZ46)-SUM(BX$26:BX46)</f>
        <v>0</v>
      </c>
      <c r="DB46" s="55">
        <f>inp_biz_cash_open+SUM(AC$26:AC46)+SUM(CD$26:CD46)-SUM(CB$26:CB46)</f>
        <v>0</v>
      </c>
      <c r="DC46" s="55">
        <f>inp_biz_cash_open+SUM(AC$26:AC46)+SUM(CH$26:CH46)-SUM(CF$26:CF46)</f>
        <v>0</v>
      </c>
      <c r="DD46" s="2"/>
      <c r="DE46" s="2"/>
      <c r="DF46" s="2"/>
      <c r="DG46" s="2"/>
      <c r="DH46" s="2"/>
      <c r="DI46" s="2"/>
      <c r="DJ46" s="2"/>
      <c r="DK46" s="19"/>
      <c r="DL46" s="2"/>
      <c r="DM46" s="2"/>
    </row>
    <row r="47" spans="1:119" x14ac:dyDescent="0.2">
      <c r="A47" s="1"/>
      <c r="B47" s="5" t="s">
        <v>112</v>
      </c>
      <c r="C47" s="65"/>
      <c r="D47" s="1"/>
      <c r="E47" s="1"/>
      <c r="F47" s="1"/>
      <c r="G47" s="1"/>
      <c r="H47" s="1"/>
      <c r="I47" s="3" t="s">
        <v>113</v>
      </c>
      <c r="J47" s="25" t="str">
        <f>TEXT(inp_biz_floor,"$#,##0")</f>
        <v>$0</v>
      </c>
      <c r="K47" s="1"/>
      <c r="L47" s="2"/>
      <c r="M47" s="18">
        <v>22</v>
      </c>
      <c r="N47"/>
      <c r="O47"/>
      <c r="P47"/>
      <c r="Q47"/>
      <c r="R47"/>
      <c r="S47"/>
      <c r="T47"/>
      <c r="U47"/>
      <c r="V47"/>
      <c r="W47"/>
      <c r="X47"/>
      <c r="Y47"/>
      <c r="Z47" s="10">
        <f>inp_biz_revenue_m0*(1+inp_biz_rev_growth)^(22-1)*calc_scn_rev_mult</f>
        <v>0</v>
      </c>
      <c r="AA47" s="10">
        <f t="shared" si="3"/>
        <v>0</v>
      </c>
      <c r="AB47" s="10">
        <f t="shared" si="4"/>
        <v>0</v>
      </c>
      <c r="AC47" s="10">
        <f t="shared" si="5"/>
        <v>0</v>
      </c>
      <c r="AD47" s="10">
        <f>inp_biz_cash_open+SUM(AC$26:AC47)</f>
        <v>0</v>
      </c>
      <c r="AE47" s="10">
        <f t="shared" si="6"/>
        <v>0</v>
      </c>
      <c r="AF47" s="10">
        <f t="shared" si="7"/>
        <v>0</v>
      </c>
      <c r="AG47" s="10">
        <f t="shared" si="8"/>
        <v>0</v>
      </c>
      <c r="AH47" s="10">
        <f>inp_biz_cash_open+SUM(AG$26:AG47)</f>
        <v>0</v>
      </c>
      <c r="AI47" s="18">
        <f t="shared" si="9"/>
        <v>0</v>
      </c>
      <c r="AJ47"/>
      <c r="AK47"/>
      <c r="AL47"/>
      <c r="AM47" s="10">
        <f t="shared" si="10"/>
        <v>0</v>
      </c>
      <c r="AN47" s="10">
        <f t="shared" si="11"/>
        <v>0</v>
      </c>
      <c r="AO47" s="10">
        <f>0</f>
        <v>0</v>
      </c>
      <c r="AP47" s="2"/>
      <c r="AQ47" s="2"/>
      <c r="AR47" s="2"/>
      <c r="AS47"/>
      <c r="AT47"/>
      <c r="AU47"/>
      <c r="AV47" s="10">
        <f t="shared" si="12"/>
        <v>100</v>
      </c>
      <c r="AW47" s="10">
        <f t="shared" si="13"/>
        <v>0</v>
      </c>
      <c r="AX47" s="10">
        <f t="array" ref="AX47">IF((ROW()-25)-(sel_collect_lag+calc_scn_collect_add)&gt;=1,INDEX(AW$26:AW$49,(ROW()-25)-(sel_collect_lag+calc_scn_collect_add)),0)</f>
        <v>0</v>
      </c>
      <c r="AY47" s="10">
        <f>SUM(AV$26:AV47)</f>
        <v>2200</v>
      </c>
      <c r="AZ47" s="10">
        <f>SUM(AX$26:AX47)</f>
        <v>0</v>
      </c>
      <c r="BA47" s="10">
        <f t="shared" si="14"/>
        <v>0</v>
      </c>
      <c r="BB47" s="2"/>
      <c r="BC47" s="19">
        <f t="shared" si="15"/>
        <v>22</v>
      </c>
      <c r="BD47" s="19">
        <f>IF(OR(NOT(inp_c1_active),22&lt;inp_c1_start_m),0,((inp_c1_salary/12)*(1+inp_c1_oncost)+inp_c1_benefits)*calc_scn_cost_mult)</f>
        <v>0</v>
      </c>
      <c r="BE47" s="19">
        <f>IF(OR(NOT(inp_c1_active),22&lt;inp_c1_start_m),0,inp_c1_bill_hours*inp_c1_rate*calc_scn_rev_mult*calc_scn_util_mult*(inp_c1_m1_prod+MAX(0,MIN(22-inp_c1_start_m,inp_c1_ramp_m-1))*(inp_c1_util-inp_c1_m1_prod)/MAX(inp_c1_ramp_m-1,1)))</f>
        <v>0</v>
      </c>
      <c r="BF47" s="2">
        <f>IF((22-(inp_c1_collect_lag+calc_scn_collect_add))&gt;=1,INDEX(BE:BE,25+22-(inp_c1_collect_lag+calc_scn_collect_add)),0)</f>
        <v>0</v>
      </c>
      <c r="BG47" s="2">
        <f>SUM(BF$26:BF47)-SUM(BD$26:BD47)</f>
        <v>0</v>
      </c>
      <c r="BH47" s="2">
        <f>IF(OR(NOT(inp_c2_active),22&lt;inp_c2_start_m),0,((inp_c2_salary/12)*(1+inp_c2_oncost)+inp_c2_benefits)*calc_scn_cost_mult)</f>
        <v>0</v>
      </c>
      <c r="BI47" s="2">
        <f>IF(OR(NOT(inp_c2_active),22&lt;inp_c2_start_m),0,inp_c2_bill_hours*inp_c2_rate*calc_scn_rev_mult*calc_scn_util_mult*(inp_c2_m1_prod+MAX(0,MIN(22-inp_c2_start_m,inp_c2_ramp_m-1))*(inp_c2_util-inp_c2_m1_prod)/MAX(inp_c2_ramp_m-1,1)))</f>
        <v>0</v>
      </c>
      <c r="BJ47" s="2">
        <f>IF((22-(inp_c2_collect_lag+calc_scn_collect_add))&gt;=1,INDEX(BI:BI,25+22-(inp_c2_collect_lag+calc_scn_collect_add)),0)</f>
        <v>0</v>
      </c>
      <c r="BK47" s="2">
        <f>SUM(BJ$26:BJ47)-SUM(BH$26:BH47)</f>
        <v>0</v>
      </c>
      <c r="BL47" s="2">
        <f>IF(OR(NOT(inp_c3_active),22&lt;inp_c3_start_m),0,((inp_c3_salary/12)*(1+inp_c3_oncost)+inp_c3_benefits)*calc_scn_cost_mult)</f>
        <v>0</v>
      </c>
      <c r="BM47" s="2">
        <f>IF(OR(NOT(inp_c3_active),22&lt;inp_c3_start_m),0,inp_c3_bill_hours*inp_c3_rate*calc_scn_rev_mult*calc_scn_util_mult*(inp_c3_m1_prod+MAX(0,MIN(22-inp_c3_start_m,inp_c3_ramp_m-1))*(inp_c3_util-inp_c3_m1_prod)/MAX(inp_c3_ramp_m-1,1)))</f>
        <v>0</v>
      </c>
      <c r="BN47" s="2">
        <f>IF((22-(inp_c3_collect_lag+calc_scn_collect_add))&gt;=1,INDEX(BM:BM,25+22-(inp_c3_collect_lag+calc_scn_collect_add)),0)</f>
        <v>0</v>
      </c>
      <c r="BO47" s="2">
        <f>SUM(BN$26:BN47)-SUM(BL$26:BL47)</f>
        <v>0</v>
      </c>
      <c r="BP47" s="2">
        <f>IF(OR(NOT(inp_c4_active),22&lt;inp_c4_start_m),0,((inp_c4_salary/12)*(1+inp_c4_oncost)+inp_c4_benefits)*calc_scn_cost_mult)</f>
        <v>0</v>
      </c>
      <c r="BQ47" s="2">
        <f>IF(OR(NOT(inp_c4_active),22&lt;inp_c4_start_m),0,inp_c4_bill_hours*inp_c4_rate*calc_scn_rev_mult*calc_scn_util_mult*(inp_c4_m1_prod+MAX(0,MIN(22-inp_c4_start_m,inp_c4_ramp_m-1))*(inp_c4_util-inp_c4_m1_prod)/MAX(inp_c4_ramp_m-1,1)))</f>
        <v>0</v>
      </c>
      <c r="BR47" s="2">
        <f>IF((22-(inp_c4_collect_lag+calc_scn_collect_add))&gt;=1,INDEX(BQ:BQ,25+22-(inp_c4_collect_lag+calc_scn_collect_add)),0)</f>
        <v>0</v>
      </c>
      <c r="BS47" s="2">
        <f>SUM(BR$26:BR47)-SUM(BP$26:BP47)</f>
        <v>0</v>
      </c>
      <c r="BT47" s="2">
        <f>IF(OR(NOT(inp_c5_active),22&lt;inp_c5_start_m),0,((inp_c5_salary/12)*(1+inp_c5_oncost)+inp_c5_benefits)*calc_scn_cost_mult)</f>
        <v>0</v>
      </c>
      <c r="BU47" s="2">
        <f>IF(OR(NOT(inp_c5_active),22&lt;inp_c5_start_m),0,inp_c5_bill_hours*inp_c5_rate*calc_scn_rev_mult*calc_scn_util_mult*(inp_c5_m1_prod+MAX(0,MIN(22-inp_c5_start_m,inp_c5_ramp_m-1))*(inp_c5_util-inp_c5_m1_prod)/MAX(inp_c5_ramp_m-1,1)))</f>
        <v>0</v>
      </c>
      <c r="BV47" s="2">
        <f>IF((22-(inp_c5_collect_lag+calc_scn_collect_add))&gt;=1,INDEX(BU:BU,25+22-(inp_c5_collect_lag+calc_scn_collect_add)),0)</f>
        <v>0</v>
      </c>
      <c r="BW47" s="2">
        <f>SUM(BV$26:BV47)-SUM(BT$26:BT47)</f>
        <v>0</v>
      </c>
      <c r="BX47" s="2">
        <f>IF(OR(NOT(inp_c6_active),22&lt;inp_c6_start_m),0,((inp_c6_salary/12)*(1+inp_c6_oncost)+inp_c6_benefits)*calc_scn_cost_mult)</f>
        <v>0</v>
      </c>
      <c r="BY47" s="2">
        <f>IF(OR(NOT(inp_c6_active),22&lt;inp_c6_start_m),0,inp_c6_bill_hours*inp_c6_rate*calc_scn_rev_mult*calc_scn_util_mult*(inp_c6_m1_prod+MAX(0,MIN(22-inp_c6_start_m,inp_c6_ramp_m-1))*(inp_c6_util-inp_c6_m1_prod)/MAX(inp_c6_ramp_m-1,1)))</f>
        <v>0</v>
      </c>
      <c r="BZ47" s="2">
        <f>IF((22-(inp_c6_collect_lag+calc_scn_collect_add))&gt;=1,INDEX(BY:BY,25+22-(inp_c6_collect_lag+calc_scn_collect_add)),0)</f>
        <v>0</v>
      </c>
      <c r="CA47" s="2">
        <f>SUM(BZ$26:BZ47)-SUM(BX$26:BX47)</f>
        <v>0</v>
      </c>
      <c r="CB47" s="2">
        <f>IF(OR(NOT(inp_c7_active),22&lt;inp_c7_start_m),0,((inp_c7_salary/12)*(1+inp_c7_oncost)+inp_c7_benefits)*calc_scn_cost_mult)</f>
        <v>0</v>
      </c>
      <c r="CC47" s="2">
        <f>IF(OR(NOT(inp_c7_active),22&lt;inp_c7_start_m),0,inp_c7_bill_hours*inp_c7_rate*calc_scn_rev_mult*calc_scn_util_mult*(inp_c7_m1_prod+MAX(0,MIN(22-inp_c7_start_m,inp_c7_ramp_m-1))*(inp_c7_util-inp_c7_m1_prod)/MAX(inp_c7_ramp_m-1,1)))</f>
        <v>0</v>
      </c>
      <c r="CD47" s="2">
        <f>IF((22-(inp_c7_collect_lag+calc_scn_collect_add))&gt;=1,INDEX(CC:CC,25+22-(inp_c7_collect_lag+calc_scn_collect_add)),0)</f>
        <v>0</v>
      </c>
      <c r="CE47" s="2">
        <f>SUM(CD$26:CD47)-SUM(CB$26:CB47)</f>
        <v>0</v>
      </c>
      <c r="CF47" s="2">
        <f>IF(OR(NOT(inp_c8_active),22&lt;inp_c8_start_m),0,((inp_c8_salary/12)*(1+inp_c8_oncost)+inp_c8_benefits)*calc_scn_cost_mult)</f>
        <v>0</v>
      </c>
      <c r="CG47" s="2">
        <f>IF(OR(NOT(inp_c8_active),22&lt;inp_c8_start_m),0,inp_c8_bill_hours*inp_c8_rate*calc_scn_rev_mult*calc_scn_util_mult*(inp_c8_m1_prod+MAX(0,MIN(22-inp_c8_start_m,inp_c8_ramp_m-1))*(inp_c8_util-inp_c8_m1_prod)/MAX(inp_c8_ramp_m-1,1)))</f>
        <v>0</v>
      </c>
      <c r="CH47" s="2">
        <f>IF((22-(inp_c8_collect_lag+calc_scn_collect_add))&gt;=1,INDEX(CG:CG,25+22-(inp_c8_collect_lag+calc_scn_collect_add)),0)</f>
        <v>0</v>
      </c>
      <c r="CI47" s="2">
        <f>SUM(CH$26:CH47)-SUM(CF$26:CF47)</f>
        <v>0</v>
      </c>
      <c r="CJ47" s="2"/>
      <c r="CK47" s="2"/>
      <c r="CL47" s="2"/>
      <c r="CM47" s="2">
        <f>IF(AND(BG47&gt;=0,22&gt;=inp_c1_start_m),22,9999)</f>
        <v>22</v>
      </c>
      <c r="CN47" s="2">
        <f>IF(AND(BK47&gt;=0,22&gt;=inp_c2_start_m),22,9999)</f>
        <v>22</v>
      </c>
      <c r="CO47" s="2">
        <f>IF(AND(BO47&gt;=0,22&gt;=inp_c3_start_m),22,9999)</f>
        <v>22</v>
      </c>
      <c r="CP47" s="2">
        <f>IF(AND(BS47&gt;=0,22&gt;=inp_c4_start_m),22,9999)</f>
        <v>22</v>
      </c>
      <c r="CQ47" s="2">
        <f>IF(AND(BW47&gt;=0,22&gt;=inp_c5_start_m),22,9999)</f>
        <v>22</v>
      </c>
      <c r="CR47" s="2">
        <f>IF(AND(CA47&gt;=0,22&gt;=inp_c6_start_m),22,9999)</f>
        <v>22</v>
      </c>
      <c r="CS47" s="2">
        <f>IF(AND(CE47&gt;=0,22&gt;=inp_c7_start_m),22,9999)</f>
        <v>22</v>
      </c>
      <c r="CT47" s="2">
        <f>IF(AND(CI47&gt;=0,22&gt;=inp_c8_start_m),22,9999)</f>
        <v>22</v>
      </c>
      <c r="CU47" s="2"/>
      <c r="CV47" s="55">
        <f>inp_biz_cash_open+SUM(AC$26:AC47)+SUM(BF$26:BF47)-SUM(BD$26:BD47)</f>
        <v>0</v>
      </c>
      <c r="CW47" s="55">
        <f>inp_biz_cash_open+SUM(AC$26:AC47)+SUM(BJ$26:BJ47)-SUM(BH$26:BH47)</f>
        <v>0</v>
      </c>
      <c r="CX47" s="55">
        <f>inp_biz_cash_open+SUM(AC$26:AC47)+SUM(BN$26:BN47)-SUM(BL$26:BL47)</f>
        <v>0</v>
      </c>
      <c r="CY47" s="55">
        <f>inp_biz_cash_open+SUM(AC$26:AC47)+SUM(BR$26:BR47)-SUM(BP$26:BP47)</f>
        <v>0</v>
      </c>
      <c r="CZ47" s="55">
        <f>inp_biz_cash_open+SUM(AC$26:AC47)+SUM(BV$26:BV47)-SUM(BT$26:BT47)</f>
        <v>0</v>
      </c>
      <c r="DA47" s="55">
        <f>inp_biz_cash_open+SUM(AC$26:AC47)+SUM(BZ$26:BZ47)-SUM(BX$26:BX47)</f>
        <v>0</v>
      </c>
      <c r="DB47" s="55">
        <f>inp_biz_cash_open+SUM(AC$26:AC47)+SUM(CD$26:CD47)-SUM(CB$26:CB47)</f>
        <v>0</v>
      </c>
      <c r="DC47" s="55">
        <f>inp_biz_cash_open+SUM(AC$26:AC47)+SUM(CH$26:CH47)-SUM(CF$26:CF47)</f>
        <v>0</v>
      </c>
      <c r="DD47" s="2"/>
      <c r="DE47" s="2"/>
      <c r="DF47" s="2"/>
      <c r="DG47" s="2"/>
      <c r="DH47" s="2"/>
      <c r="DI47" s="2"/>
      <c r="DJ47" s="2"/>
      <c r="DK47" s="2"/>
      <c r="DL47" s="2"/>
      <c r="DM47" s="2"/>
    </row>
    <row r="48" spans="1:119" x14ac:dyDescent="0.2">
      <c r="A48" s="1"/>
      <c r="B48" s="65"/>
      <c r="C48" s="65"/>
      <c r="D48" s="1"/>
      <c r="E48" s="1"/>
      <c r="F48" s="1"/>
      <c r="G48" s="1"/>
      <c r="H48" s="1"/>
      <c r="I48" s="1"/>
      <c r="J48" s="1"/>
      <c r="K48" s="1"/>
      <c r="L48" s="2"/>
      <c r="M48" s="18">
        <v>23</v>
      </c>
      <c r="N48"/>
      <c r="O48"/>
      <c r="P48"/>
      <c r="Q48"/>
      <c r="R48"/>
      <c r="S48"/>
      <c r="T48"/>
      <c r="U48"/>
      <c r="V48"/>
      <c r="W48"/>
      <c r="X48"/>
      <c r="Y48"/>
      <c r="Z48" s="10">
        <f>inp_biz_revenue_m0*(1+inp_biz_rev_growth)^(23-1)*calc_scn_rev_mult</f>
        <v>0</v>
      </c>
      <c r="AA48" s="10">
        <f t="shared" si="3"/>
        <v>0</v>
      </c>
      <c r="AB48" s="10">
        <f t="shared" si="4"/>
        <v>0</v>
      </c>
      <c r="AC48" s="10">
        <f t="shared" si="5"/>
        <v>0</v>
      </c>
      <c r="AD48" s="10">
        <f>inp_biz_cash_open+SUM(AC$26:AC48)</f>
        <v>0</v>
      </c>
      <c r="AE48" s="10">
        <f t="shared" si="6"/>
        <v>0</v>
      </c>
      <c r="AF48" s="10">
        <f t="shared" si="7"/>
        <v>0</v>
      </c>
      <c r="AG48" s="10">
        <f t="shared" si="8"/>
        <v>0</v>
      </c>
      <c r="AH48" s="10">
        <f>inp_biz_cash_open+SUM(AG$26:AG48)</f>
        <v>0</v>
      </c>
      <c r="AI48" s="18">
        <f t="shared" si="9"/>
        <v>0</v>
      </c>
      <c r="AJ48"/>
      <c r="AK48"/>
      <c r="AL48"/>
      <c r="AM48" s="10">
        <f t="shared" si="10"/>
        <v>0</v>
      </c>
      <c r="AN48" s="10">
        <f t="shared" si="11"/>
        <v>0</v>
      </c>
      <c r="AO48" s="10">
        <f>0</f>
        <v>0</v>
      </c>
      <c r="AP48" s="2"/>
      <c r="AQ48" s="2"/>
      <c r="AR48" s="2"/>
      <c r="AS48"/>
      <c r="AT48"/>
      <c r="AU48"/>
      <c r="AV48" s="10">
        <f t="shared" si="12"/>
        <v>100</v>
      </c>
      <c r="AW48" s="10">
        <f t="shared" si="13"/>
        <v>0</v>
      </c>
      <c r="AX48" s="10">
        <f t="array" ref="AX48">IF((ROW()-25)-(sel_collect_lag+calc_scn_collect_add)&gt;=1,INDEX(AW$26:AW$49,(ROW()-25)-(sel_collect_lag+calc_scn_collect_add)),0)</f>
        <v>0</v>
      </c>
      <c r="AY48" s="10">
        <f>SUM(AV$26:AV48)</f>
        <v>2300</v>
      </c>
      <c r="AZ48" s="10">
        <f>SUM(AX$26:AX48)</f>
        <v>0</v>
      </c>
      <c r="BA48" s="10">
        <f t="shared" si="14"/>
        <v>0</v>
      </c>
      <c r="BB48" s="2"/>
      <c r="BC48" s="19">
        <f t="shared" si="15"/>
        <v>23</v>
      </c>
      <c r="BD48" s="19">
        <f>IF(OR(NOT(inp_c1_active),23&lt;inp_c1_start_m),0,((inp_c1_salary/12)*(1+inp_c1_oncost)+inp_c1_benefits)*calc_scn_cost_mult)</f>
        <v>0</v>
      </c>
      <c r="BE48" s="19">
        <f>IF(OR(NOT(inp_c1_active),23&lt;inp_c1_start_m),0,inp_c1_bill_hours*inp_c1_rate*calc_scn_rev_mult*calc_scn_util_mult*(inp_c1_m1_prod+MAX(0,MIN(23-inp_c1_start_m,inp_c1_ramp_m-1))*(inp_c1_util-inp_c1_m1_prod)/MAX(inp_c1_ramp_m-1,1)))</f>
        <v>0</v>
      </c>
      <c r="BF48" s="2">
        <f>IF((23-(inp_c1_collect_lag+calc_scn_collect_add))&gt;=1,INDEX(BE:BE,25+23-(inp_c1_collect_lag+calc_scn_collect_add)),0)</f>
        <v>0</v>
      </c>
      <c r="BG48" s="2">
        <f>SUM(BF$26:BF48)-SUM(BD$26:BD48)</f>
        <v>0</v>
      </c>
      <c r="BH48" s="2">
        <f>IF(OR(NOT(inp_c2_active),23&lt;inp_c2_start_m),0,((inp_c2_salary/12)*(1+inp_c2_oncost)+inp_c2_benefits)*calc_scn_cost_mult)</f>
        <v>0</v>
      </c>
      <c r="BI48" s="2">
        <f>IF(OR(NOT(inp_c2_active),23&lt;inp_c2_start_m),0,inp_c2_bill_hours*inp_c2_rate*calc_scn_rev_mult*calc_scn_util_mult*(inp_c2_m1_prod+MAX(0,MIN(23-inp_c2_start_m,inp_c2_ramp_m-1))*(inp_c2_util-inp_c2_m1_prod)/MAX(inp_c2_ramp_m-1,1)))</f>
        <v>0</v>
      </c>
      <c r="BJ48" s="2">
        <f>IF((23-(inp_c2_collect_lag+calc_scn_collect_add))&gt;=1,INDEX(BI:BI,25+23-(inp_c2_collect_lag+calc_scn_collect_add)),0)</f>
        <v>0</v>
      </c>
      <c r="BK48" s="2">
        <f>SUM(BJ$26:BJ48)-SUM(BH$26:BH48)</f>
        <v>0</v>
      </c>
      <c r="BL48" s="2">
        <f>IF(OR(NOT(inp_c3_active),23&lt;inp_c3_start_m),0,((inp_c3_salary/12)*(1+inp_c3_oncost)+inp_c3_benefits)*calc_scn_cost_mult)</f>
        <v>0</v>
      </c>
      <c r="BM48" s="2">
        <f>IF(OR(NOT(inp_c3_active),23&lt;inp_c3_start_m),0,inp_c3_bill_hours*inp_c3_rate*calc_scn_rev_mult*calc_scn_util_mult*(inp_c3_m1_prod+MAX(0,MIN(23-inp_c3_start_m,inp_c3_ramp_m-1))*(inp_c3_util-inp_c3_m1_prod)/MAX(inp_c3_ramp_m-1,1)))</f>
        <v>0</v>
      </c>
      <c r="BN48" s="2">
        <f>IF((23-(inp_c3_collect_lag+calc_scn_collect_add))&gt;=1,INDEX(BM:BM,25+23-(inp_c3_collect_lag+calc_scn_collect_add)),0)</f>
        <v>0</v>
      </c>
      <c r="BO48" s="2">
        <f>SUM(BN$26:BN48)-SUM(BL$26:BL48)</f>
        <v>0</v>
      </c>
      <c r="BP48" s="2">
        <f>IF(OR(NOT(inp_c4_active),23&lt;inp_c4_start_m),0,((inp_c4_salary/12)*(1+inp_c4_oncost)+inp_c4_benefits)*calc_scn_cost_mult)</f>
        <v>0</v>
      </c>
      <c r="BQ48" s="2">
        <f>IF(OR(NOT(inp_c4_active),23&lt;inp_c4_start_m),0,inp_c4_bill_hours*inp_c4_rate*calc_scn_rev_mult*calc_scn_util_mult*(inp_c4_m1_prod+MAX(0,MIN(23-inp_c4_start_m,inp_c4_ramp_m-1))*(inp_c4_util-inp_c4_m1_prod)/MAX(inp_c4_ramp_m-1,1)))</f>
        <v>0</v>
      </c>
      <c r="BR48" s="2">
        <f>IF((23-(inp_c4_collect_lag+calc_scn_collect_add))&gt;=1,INDEX(BQ:BQ,25+23-(inp_c4_collect_lag+calc_scn_collect_add)),0)</f>
        <v>0</v>
      </c>
      <c r="BS48" s="2">
        <f>SUM(BR$26:BR48)-SUM(BP$26:BP48)</f>
        <v>0</v>
      </c>
      <c r="BT48" s="2">
        <f>IF(OR(NOT(inp_c5_active),23&lt;inp_c5_start_m),0,((inp_c5_salary/12)*(1+inp_c5_oncost)+inp_c5_benefits)*calc_scn_cost_mult)</f>
        <v>0</v>
      </c>
      <c r="BU48" s="2">
        <f>IF(OR(NOT(inp_c5_active),23&lt;inp_c5_start_m),0,inp_c5_bill_hours*inp_c5_rate*calc_scn_rev_mult*calc_scn_util_mult*(inp_c5_m1_prod+MAX(0,MIN(23-inp_c5_start_m,inp_c5_ramp_m-1))*(inp_c5_util-inp_c5_m1_prod)/MAX(inp_c5_ramp_m-1,1)))</f>
        <v>0</v>
      </c>
      <c r="BV48" s="2">
        <f>IF((23-(inp_c5_collect_lag+calc_scn_collect_add))&gt;=1,INDEX(BU:BU,25+23-(inp_c5_collect_lag+calc_scn_collect_add)),0)</f>
        <v>0</v>
      </c>
      <c r="BW48" s="2">
        <f>SUM(BV$26:BV48)-SUM(BT$26:BT48)</f>
        <v>0</v>
      </c>
      <c r="BX48" s="2">
        <f>IF(OR(NOT(inp_c6_active),23&lt;inp_c6_start_m),0,((inp_c6_salary/12)*(1+inp_c6_oncost)+inp_c6_benefits)*calc_scn_cost_mult)</f>
        <v>0</v>
      </c>
      <c r="BY48" s="2">
        <f>IF(OR(NOT(inp_c6_active),23&lt;inp_c6_start_m),0,inp_c6_bill_hours*inp_c6_rate*calc_scn_rev_mult*calc_scn_util_mult*(inp_c6_m1_prod+MAX(0,MIN(23-inp_c6_start_m,inp_c6_ramp_m-1))*(inp_c6_util-inp_c6_m1_prod)/MAX(inp_c6_ramp_m-1,1)))</f>
        <v>0</v>
      </c>
      <c r="BZ48" s="2">
        <f>IF((23-(inp_c6_collect_lag+calc_scn_collect_add))&gt;=1,INDEX(BY:BY,25+23-(inp_c6_collect_lag+calc_scn_collect_add)),0)</f>
        <v>0</v>
      </c>
      <c r="CA48" s="2">
        <f>SUM(BZ$26:BZ48)-SUM(BX$26:BX48)</f>
        <v>0</v>
      </c>
      <c r="CB48" s="2">
        <f>IF(OR(NOT(inp_c7_active),23&lt;inp_c7_start_m),0,((inp_c7_salary/12)*(1+inp_c7_oncost)+inp_c7_benefits)*calc_scn_cost_mult)</f>
        <v>0</v>
      </c>
      <c r="CC48" s="2">
        <f>IF(OR(NOT(inp_c7_active),23&lt;inp_c7_start_m),0,inp_c7_bill_hours*inp_c7_rate*calc_scn_rev_mult*calc_scn_util_mult*(inp_c7_m1_prod+MAX(0,MIN(23-inp_c7_start_m,inp_c7_ramp_m-1))*(inp_c7_util-inp_c7_m1_prod)/MAX(inp_c7_ramp_m-1,1)))</f>
        <v>0</v>
      </c>
      <c r="CD48" s="2">
        <f>IF((23-(inp_c7_collect_lag+calc_scn_collect_add))&gt;=1,INDEX(CC:CC,25+23-(inp_c7_collect_lag+calc_scn_collect_add)),0)</f>
        <v>0</v>
      </c>
      <c r="CE48" s="2">
        <f>SUM(CD$26:CD48)-SUM(CB$26:CB48)</f>
        <v>0</v>
      </c>
      <c r="CF48" s="2">
        <f>IF(OR(NOT(inp_c8_active),23&lt;inp_c8_start_m),0,((inp_c8_salary/12)*(1+inp_c8_oncost)+inp_c8_benefits)*calc_scn_cost_mult)</f>
        <v>0</v>
      </c>
      <c r="CG48" s="2">
        <f>IF(OR(NOT(inp_c8_active),23&lt;inp_c8_start_m),0,inp_c8_bill_hours*inp_c8_rate*calc_scn_rev_mult*calc_scn_util_mult*(inp_c8_m1_prod+MAX(0,MIN(23-inp_c8_start_m,inp_c8_ramp_m-1))*(inp_c8_util-inp_c8_m1_prod)/MAX(inp_c8_ramp_m-1,1)))</f>
        <v>0</v>
      </c>
      <c r="CH48" s="2">
        <f>IF((23-(inp_c8_collect_lag+calc_scn_collect_add))&gt;=1,INDEX(CG:CG,25+23-(inp_c8_collect_lag+calc_scn_collect_add)),0)</f>
        <v>0</v>
      </c>
      <c r="CI48" s="2">
        <f>SUM(CH$26:CH48)-SUM(CF$26:CF48)</f>
        <v>0</v>
      </c>
      <c r="CJ48" s="2"/>
      <c r="CK48" s="2"/>
      <c r="CL48" s="2"/>
      <c r="CM48" s="2">
        <f>IF(AND(BG48&gt;=0,23&gt;=inp_c1_start_m),23,9999)</f>
        <v>23</v>
      </c>
      <c r="CN48" s="2">
        <f>IF(AND(BK48&gt;=0,23&gt;=inp_c2_start_m),23,9999)</f>
        <v>23</v>
      </c>
      <c r="CO48" s="2">
        <f>IF(AND(BO48&gt;=0,23&gt;=inp_c3_start_m),23,9999)</f>
        <v>23</v>
      </c>
      <c r="CP48" s="2">
        <f>IF(AND(BS48&gt;=0,23&gt;=inp_c4_start_m),23,9999)</f>
        <v>23</v>
      </c>
      <c r="CQ48" s="2">
        <f>IF(AND(BW48&gt;=0,23&gt;=inp_c5_start_m),23,9999)</f>
        <v>23</v>
      </c>
      <c r="CR48" s="2">
        <f>IF(AND(CA48&gt;=0,23&gt;=inp_c6_start_m),23,9999)</f>
        <v>23</v>
      </c>
      <c r="CS48" s="2">
        <f>IF(AND(CE48&gt;=0,23&gt;=inp_c7_start_m),23,9999)</f>
        <v>23</v>
      </c>
      <c r="CT48" s="2">
        <f>IF(AND(CI48&gt;=0,23&gt;=inp_c8_start_m),23,9999)</f>
        <v>23</v>
      </c>
      <c r="CU48" s="2"/>
      <c r="CV48" s="55">
        <f>inp_biz_cash_open+SUM(AC$26:AC48)+SUM(BF$26:BF48)-SUM(BD$26:BD48)</f>
        <v>0</v>
      </c>
      <c r="CW48" s="55">
        <f>inp_biz_cash_open+SUM(AC$26:AC48)+SUM(BJ$26:BJ48)-SUM(BH$26:BH48)</f>
        <v>0</v>
      </c>
      <c r="CX48" s="55">
        <f>inp_biz_cash_open+SUM(AC$26:AC48)+SUM(BN$26:BN48)-SUM(BL$26:BL48)</f>
        <v>0</v>
      </c>
      <c r="CY48" s="55">
        <f>inp_biz_cash_open+SUM(AC$26:AC48)+SUM(BR$26:BR48)-SUM(BP$26:BP48)</f>
        <v>0</v>
      </c>
      <c r="CZ48" s="55">
        <f>inp_biz_cash_open+SUM(AC$26:AC48)+SUM(BV$26:BV48)-SUM(BT$26:BT48)</f>
        <v>0</v>
      </c>
      <c r="DA48" s="55">
        <f>inp_biz_cash_open+SUM(AC$26:AC48)+SUM(BZ$26:BZ48)-SUM(BX$26:BX48)</f>
        <v>0</v>
      </c>
      <c r="DB48" s="55">
        <f>inp_biz_cash_open+SUM(AC$26:AC48)+SUM(CD$26:CD48)-SUM(CB$26:CB48)</f>
        <v>0</v>
      </c>
      <c r="DC48" s="55">
        <f>inp_biz_cash_open+SUM(AC$26:AC48)+SUM(CH$26:CH48)-SUM(CF$26:CF48)</f>
        <v>0</v>
      </c>
      <c r="DD48" s="2"/>
      <c r="DE48" s="2"/>
      <c r="DF48" s="2"/>
      <c r="DG48" s="2"/>
      <c r="DH48" s="2"/>
      <c r="DI48" s="2"/>
      <c r="DJ48" s="2"/>
      <c r="DK48" s="2"/>
      <c r="DL48" s="2"/>
      <c r="DM48" s="2"/>
    </row>
    <row r="49" spans="1:117" x14ac:dyDescent="0.2">
      <c r="A49" s="1"/>
      <c r="B49" s="65"/>
      <c r="C49" s="65"/>
      <c r="D49" s="1"/>
      <c r="E49" s="1"/>
      <c r="F49" s="1"/>
      <c r="G49" s="1"/>
      <c r="H49" s="1"/>
      <c r="I49" s="1"/>
      <c r="J49" s="1"/>
      <c r="K49" s="1"/>
      <c r="L49" s="2"/>
      <c r="M49" s="18">
        <v>24</v>
      </c>
      <c r="N49"/>
      <c r="O49"/>
      <c r="P49"/>
      <c r="Q49"/>
      <c r="R49"/>
      <c r="S49"/>
      <c r="T49"/>
      <c r="U49"/>
      <c r="V49"/>
      <c r="W49"/>
      <c r="X49"/>
      <c r="Y49"/>
      <c r="Z49" s="10">
        <f>inp_biz_revenue_m0*(1+inp_biz_rev_growth)^(24-1)*calc_scn_rev_mult</f>
        <v>0</v>
      </c>
      <c r="AA49" s="10">
        <f t="shared" si="3"/>
        <v>0</v>
      </c>
      <c r="AB49" s="10">
        <f t="shared" si="4"/>
        <v>0</v>
      </c>
      <c r="AC49" s="10">
        <f t="shared" si="5"/>
        <v>0</v>
      </c>
      <c r="AD49" s="10">
        <f>inp_biz_cash_open+SUM(AC$26:AC49)</f>
        <v>0</v>
      </c>
      <c r="AE49" s="10">
        <f t="shared" si="6"/>
        <v>0</v>
      </c>
      <c r="AF49" s="10">
        <f t="shared" si="7"/>
        <v>0</v>
      </c>
      <c r="AG49" s="10">
        <f t="shared" si="8"/>
        <v>0</v>
      </c>
      <c r="AH49" s="10">
        <f>inp_biz_cash_open+SUM(AG$26:AG49)</f>
        <v>0</v>
      </c>
      <c r="AI49" s="18">
        <f t="shared" si="9"/>
        <v>0</v>
      </c>
      <c r="AJ49"/>
      <c r="AK49"/>
      <c r="AL49"/>
      <c r="AM49" s="10">
        <f t="shared" si="10"/>
        <v>0</v>
      </c>
      <c r="AN49" s="10">
        <f t="shared" si="11"/>
        <v>0</v>
      </c>
      <c r="AO49" s="10">
        <f>0</f>
        <v>0</v>
      </c>
      <c r="AP49" s="2"/>
      <c r="AQ49" s="2"/>
      <c r="AR49" s="2"/>
      <c r="AS49"/>
      <c r="AT49"/>
      <c r="AU49"/>
      <c r="AV49" s="10">
        <f t="shared" si="12"/>
        <v>100</v>
      </c>
      <c r="AW49" s="10">
        <f t="shared" si="13"/>
        <v>0</v>
      </c>
      <c r="AX49" s="10">
        <f t="array" ref="AX49">IF((ROW()-25)-(sel_collect_lag+calc_scn_collect_add)&gt;=1,INDEX(AW$26:AW$49,(ROW()-25)-(sel_collect_lag+calc_scn_collect_add)),0)</f>
        <v>0</v>
      </c>
      <c r="AY49" s="10">
        <f>SUM(AV$26:AV49)</f>
        <v>2400</v>
      </c>
      <c r="AZ49" s="10">
        <f>SUM(AX$26:AX49)</f>
        <v>0</v>
      </c>
      <c r="BA49" s="10">
        <f t="shared" si="14"/>
        <v>0</v>
      </c>
      <c r="BB49" s="2"/>
      <c r="BC49" s="19">
        <f t="shared" si="15"/>
        <v>24</v>
      </c>
      <c r="BD49" s="19">
        <f>IF(OR(NOT(inp_c1_active),24&lt;inp_c1_start_m),0,((inp_c1_salary/12)*(1+inp_c1_oncost)+inp_c1_benefits)*calc_scn_cost_mult)</f>
        <v>0</v>
      </c>
      <c r="BE49" s="19">
        <f>IF(OR(NOT(inp_c1_active),24&lt;inp_c1_start_m),0,inp_c1_bill_hours*inp_c1_rate*calc_scn_rev_mult*calc_scn_util_mult*(inp_c1_m1_prod+MAX(0,MIN(24-inp_c1_start_m,inp_c1_ramp_m-1))*(inp_c1_util-inp_c1_m1_prod)/MAX(inp_c1_ramp_m-1,1)))</f>
        <v>0</v>
      </c>
      <c r="BF49" s="2">
        <f>IF((24-(inp_c1_collect_lag+calc_scn_collect_add))&gt;=1,INDEX(BE:BE,25+24-(inp_c1_collect_lag+calc_scn_collect_add)),0)</f>
        <v>0</v>
      </c>
      <c r="BG49" s="2">
        <f>SUM(BF$26:BF49)-SUM(BD$26:BD49)</f>
        <v>0</v>
      </c>
      <c r="BH49" s="2">
        <f>IF(OR(NOT(inp_c2_active),24&lt;inp_c2_start_m),0,((inp_c2_salary/12)*(1+inp_c2_oncost)+inp_c2_benefits)*calc_scn_cost_mult)</f>
        <v>0</v>
      </c>
      <c r="BI49" s="2">
        <f>IF(OR(NOT(inp_c2_active),24&lt;inp_c2_start_m),0,inp_c2_bill_hours*inp_c2_rate*calc_scn_rev_mult*calc_scn_util_mult*(inp_c2_m1_prod+MAX(0,MIN(24-inp_c2_start_m,inp_c2_ramp_m-1))*(inp_c2_util-inp_c2_m1_prod)/MAX(inp_c2_ramp_m-1,1)))</f>
        <v>0</v>
      </c>
      <c r="BJ49" s="2">
        <f>IF((24-(inp_c2_collect_lag+calc_scn_collect_add))&gt;=1,INDEX(BI:BI,25+24-(inp_c2_collect_lag+calc_scn_collect_add)),0)</f>
        <v>0</v>
      </c>
      <c r="BK49" s="2">
        <f>SUM(BJ$26:BJ49)-SUM(BH$26:BH49)</f>
        <v>0</v>
      </c>
      <c r="BL49" s="2">
        <f>IF(OR(NOT(inp_c3_active),24&lt;inp_c3_start_m),0,((inp_c3_salary/12)*(1+inp_c3_oncost)+inp_c3_benefits)*calc_scn_cost_mult)</f>
        <v>0</v>
      </c>
      <c r="BM49" s="2">
        <f>IF(OR(NOT(inp_c3_active),24&lt;inp_c3_start_m),0,inp_c3_bill_hours*inp_c3_rate*calc_scn_rev_mult*calc_scn_util_mult*(inp_c3_m1_prod+MAX(0,MIN(24-inp_c3_start_m,inp_c3_ramp_m-1))*(inp_c3_util-inp_c3_m1_prod)/MAX(inp_c3_ramp_m-1,1)))</f>
        <v>0</v>
      </c>
      <c r="BN49" s="2">
        <f>IF((24-(inp_c3_collect_lag+calc_scn_collect_add))&gt;=1,INDEX(BM:BM,25+24-(inp_c3_collect_lag+calc_scn_collect_add)),0)</f>
        <v>0</v>
      </c>
      <c r="BO49" s="2">
        <f>SUM(BN$26:BN49)-SUM(BL$26:BL49)</f>
        <v>0</v>
      </c>
      <c r="BP49" s="2">
        <f>IF(OR(NOT(inp_c4_active),24&lt;inp_c4_start_m),0,((inp_c4_salary/12)*(1+inp_c4_oncost)+inp_c4_benefits)*calc_scn_cost_mult)</f>
        <v>0</v>
      </c>
      <c r="BQ49" s="2">
        <f>IF(OR(NOT(inp_c4_active),24&lt;inp_c4_start_m),0,inp_c4_bill_hours*inp_c4_rate*calc_scn_rev_mult*calc_scn_util_mult*(inp_c4_m1_prod+MAX(0,MIN(24-inp_c4_start_m,inp_c4_ramp_m-1))*(inp_c4_util-inp_c4_m1_prod)/MAX(inp_c4_ramp_m-1,1)))</f>
        <v>0</v>
      </c>
      <c r="BR49" s="2">
        <f>IF((24-(inp_c4_collect_lag+calc_scn_collect_add))&gt;=1,INDEX(BQ:BQ,25+24-(inp_c4_collect_lag+calc_scn_collect_add)),0)</f>
        <v>0</v>
      </c>
      <c r="BS49" s="2">
        <f>SUM(BR$26:BR49)-SUM(BP$26:BP49)</f>
        <v>0</v>
      </c>
      <c r="BT49" s="2">
        <f>IF(OR(NOT(inp_c5_active),24&lt;inp_c5_start_m),0,((inp_c5_salary/12)*(1+inp_c5_oncost)+inp_c5_benefits)*calc_scn_cost_mult)</f>
        <v>0</v>
      </c>
      <c r="BU49" s="2">
        <f>IF(OR(NOT(inp_c5_active),24&lt;inp_c5_start_m),0,inp_c5_bill_hours*inp_c5_rate*calc_scn_rev_mult*calc_scn_util_mult*(inp_c5_m1_prod+MAX(0,MIN(24-inp_c5_start_m,inp_c5_ramp_m-1))*(inp_c5_util-inp_c5_m1_prod)/MAX(inp_c5_ramp_m-1,1)))</f>
        <v>0</v>
      </c>
      <c r="BV49" s="2">
        <f>IF((24-(inp_c5_collect_lag+calc_scn_collect_add))&gt;=1,INDEX(BU:BU,25+24-(inp_c5_collect_lag+calc_scn_collect_add)),0)</f>
        <v>0</v>
      </c>
      <c r="BW49" s="2">
        <f>SUM(BV$26:BV49)-SUM(BT$26:BT49)</f>
        <v>0</v>
      </c>
      <c r="BX49" s="2">
        <f>IF(OR(NOT(inp_c6_active),24&lt;inp_c6_start_m),0,((inp_c6_salary/12)*(1+inp_c6_oncost)+inp_c6_benefits)*calc_scn_cost_mult)</f>
        <v>0</v>
      </c>
      <c r="BY49" s="2">
        <f>IF(OR(NOT(inp_c6_active),24&lt;inp_c6_start_m),0,inp_c6_bill_hours*inp_c6_rate*calc_scn_rev_mult*calc_scn_util_mult*(inp_c6_m1_prod+MAX(0,MIN(24-inp_c6_start_m,inp_c6_ramp_m-1))*(inp_c6_util-inp_c6_m1_prod)/MAX(inp_c6_ramp_m-1,1)))</f>
        <v>0</v>
      </c>
      <c r="BZ49" s="2">
        <f>IF((24-(inp_c6_collect_lag+calc_scn_collect_add))&gt;=1,INDEX(BY:BY,25+24-(inp_c6_collect_lag+calc_scn_collect_add)),0)</f>
        <v>0</v>
      </c>
      <c r="CA49" s="2">
        <f>SUM(BZ$26:BZ49)-SUM(BX$26:BX49)</f>
        <v>0</v>
      </c>
      <c r="CB49" s="2">
        <f>IF(OR(NOT(inp_c7_active),24&lt;inp_c7_start_m),0,((inp_c7_salary/12)*(1+inp_c7_oncost)+inp_c7_benefits)*calc_scn_cost_mult)</f>
        <v>0</v>
      </c>
      <c r="CC49" s="2">
        <f>IF(OR(NOT(inp_c7_active),24&lt;inp_c7_start_m),0,inp_c7_bill_hours*inp_c7_rate*calc_scn_rev_mult*calc_scn_util_mult*(inp_c7_m1_prod+MAX(0,MIN(24-inp_c7_start_m,inp_c7_ramp_m-1))*(inp_c7_util-inp_c7_m1_prod)/MAX(inp_c7_ramp_m-1,1)))</f>
        <v>0</v>
      </c>
      <c r="CD49" s="2">
        <f>IF((24-(inp_c7_collect_lag+calc_scn_collect_add))&gt;=1,INDEX(CC:CC,25+24-(inp_c7_collect_lag+calc_scn_collect_add)),0)</f>
        <v>0</v>
      </c>
      <c r="CE49" s="2">
        <f>SUM(CD$26:CD49)-SUM(CB$26:CB49)</f>
        <v>0</v>
      </c>
      <c r="CF49" s="2">
        <f>IF(OR(NOT(inp_c8_active),24&lt;inp_c8_start_m),0,((inp_c8_salary/12)*(1+inp_c8_oncost)+inp_c8_benefits)*calc_scn_cost_mult)</f>
        <v>0</v>
      </c>
      <c r="CG49" s="2">
        <f>IF(OR(NOT(inp_c8_active),24&lt;inp_c8_start_m),0,inp_c8_bill_hours*inp_c8_rate*calc_scn_rev_mult*calc_scn_util_mult*(inp_c8_m1_prod+MAX(0,MIN(24-inp_c8_start_m,inp_c8_ramp_m-1))*(inp_c8_util-inp_c8_m1_prod)/MAX(inp_c8_ramp_m-1,1)))</f>
        <v>0</v>
      </c>
      <c r="CH49" s="2">
        <f>IF((24-(inp_c8_collect_lag+calc_scn_collect_add))&gt;=1,INDEX(CG:CG,25+24-(inp_c8_collect_lag+calc_scn_collect_add)),0)</f>
        <v>0</v>
      </c>
      <c r="CI49" s="2">
        <f>SUM(CH$26:CH49)-SUM(CF$26:CF49)</f>
        <v>0</v>
      </c>
      <c r="CJ49" s="2"/>
      <c r="CK49" s="2"/>
      <c r="CL49" s="2"/>
      <c r="CM49" s="2">
        <f>IF(AND(BG49&gt;=0,24&gt;=inp_c1_start_m),24,9999)</f>
        <v>24</v>
      </c>
      <c r="CN49" s="2">
        <f>IF(AND(BK49&gt;=0,24&gt;=inp_c2_start_m),24,9999)</f>
        <v>24</v>
      </c>
      <c r="CO49" s="2">
        <f>IF(AND(BO49&gt;=0,24&gt;=inp_c3_start_m),24,9999)</f>
        <v>24</v>
      </c>
      <c r="CP49" s="2">
        <f>IF(AND(BS49&gt;=0,24&gt;=inp_c4_start_m),24,9999)</f>
        <v>24</v>
      </c>
      <c r="CQ49" s="2">
        <f>IF(AND(BW49&gt;=0,24&gt;=inp_c5_start_m),24,9999)</f>
        <v>24</v>
      </c>
      <c r="CR49" s="2">
        <f>IF(AND(CA49&gt;=0,24&gt;=inp_c6_start_m),24,9999)</f>
        <v>24</v>
      </c>
      <c r="CS49" s="2">
        <f>IF(AND(CE49&gt;=0,24&gt;=inp_c7_start_m),24,9999)</f>
        <v>24</v>
      </c>
      <c r="CT49" s="2">
        <f>IF(AND(CI49&gt;=0,24&gt;=inp_c8_start_m),24,9999)</f>
        <v>24</v>
      </c>
      <c r="CU49" s="2"/>
      <c r="CV49" s="55">
        <f>inp_biz_cash_open+SUM(AC$26:AC49)+SUM(BF$26:BF49)-SUM(BD$26:BD49)</f>
        <v>0</v>
      </c>
      <c r="CW49" s="55">
        <f>inp_biz_cash_open+SUM(AC$26:AC49)+SUM(BJ$26:BJ49)-SUM(BH$26:BH49)</f>
        <v>0</v>
      </c>
      <c r="CX49" s="55">
        <f>inp_biz_cash_open+SUM(AC$26:AC49)+SUM(BN$26:BN49)-SUM(BL$26:BL49)</f>
        <v>0</v>
      </c>
      <c r="CY49" s="55">
        <f>inp_biz_cash_open+SUM(AC$26:AC49)+SUM(BR$26:BR49)-SUM(BP$26:BP49)</f>
        <v>0</v>
      </c>
      <c r="CZ49" s="55">
        <f>inp_biz_cash_open+SUM(AC$26:AC49)+SUM(BV$26:BV49)-SUM(BT$26:BT49)</f>
        <v>0</v>
      </c>
      <c r="DA49" s="55">
        <f>inp_biz_cash_open+SUM(AC$26:AC49)+SUM(BZ$26:BZ49)-SUM(BX$26:BX49)</f>
        <v>0</v>
      </c>
      <c r="DB49" s="55">
        <f>inp_biz_cash_open+SUM(AC$26:AC49)+SUM(CD$26:CD49)-SUM(CB$26:CB49)</f>
        <v>0</v>
      </c>
      <c r="DC49" s="55">
        <f>inp_biz_cash_open+SUM(AC$26:AC49)+SUM(CH$26:CH49)-SUM(CF$26:CF49)</f>
        <v>0</v>
      </c>
      <c r="DD49" s="2"/>
      <c r="DE49" s="2"/>
      <c r="DF49" s="2"/>
      <c r="DG49" s="2"/>
      <c r="DH49" s="2"/>
      <c r="DI49" s="2"/>
      <c r="DJ49" s="2"/>
      <c r="DK49" s="2"/>
      <c r="DL49" s="2"/>
      <c r="DM49" s="2"/>
    </row>
    <row r="50" spans="1:117" x14ac:dyDescent="0.2">
      <c r="A50" s="1"/>
      <c r="B50" s="65"/>
      <c r="C50" s="65"/>
      <c r="D50" s="1"/>
      <c r="E50" s="1"/>
      <c r="F50" s="1"/>
      <c r="G50" s="1"/>
      <c r="H50" s="1"/>
      <c r="I50" s="1"/>
      <c r="J50" s="1"/>
      <c r="K50" s="1"/>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row>
    <row r="51" spans="1:117" x14ac:dyDescent="0.2">
      <c r="A51" s="1"/>
      <c r="B51" s="1"/>
      <c r="C51" s="1"/>
      <c r="D51" s="1"/>
      <c r="E51" s="1"/>
      <c r="F51" s="1"/>
      <c r="G51" s="1"/>
      <c r="H51" s="1"/>
      <c r="I51" s="1"/>
      <c r="J51" s="1"/>
      <c r="K51" s="1"/>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row>
    <row r="52" spans="1:117" x14ac:dyDescent="0.2">
      <c r="A52" s="1"/>
      <c r="B52" s="1"/>
      <c r="C52" s="1"/>
      <c r="D52" s="1"/>
      <c r="E52" s="1"/>
      <c r="F52" s="1"/>
      <c r="G52" s="1"/>
      <c r="H52" s="1"/>
      <c r="I52" s="1"/>
      <c r="J52" s="1"/>
      <c r="K52" s="1"/>
      <c r="L52" s="2"/>
      <c r="M52" s="5" t="s">
        <v>114</v>
      </c>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row>
    <row r="53" spans="1:117" x14ac:dyDescent="0.2">
      <c r="A53" s="1"/>
      <c r="B53" s="1"/>
      <c r="C53" s="1"/>
      <c r="D53" s="1"/>
      <c r="E53" s="1"/>
      <c r="F53" s="1"/>
      <c r="G53" s="1"/>
      <c r="H53" s="1"/>
      <c r="I53" s="1"/>
      <c r="J53" s="1"/>
      <c r="K53" s="1"/>
      <c r="L53" s="2"/>
      <c r="M53" s="6" t="s">
        <v>115</v>
      </c>
      <c r="N53" s="7" t="s">
        <v>55</v>
      </c>
      <c r="O53" s="7" t="s">
        <v>56</v>
      </c>
      <c r="P53" s="7" t="s">
        <v>57</v>
      </c>
      <c r="Q53" s="7" t="s">
        <v>198</v>
      </c>
      <c r="R53" s="7" t="s">
        <v>199</v>
      </c>
      <c r="S53" s="7" t="s">
        <v>200</v>
      </c>
      <c r="T53" s="7" t="s">
        <v>201</v>
      </c>
      <c r="U53" s="7" t="s">
        <v>202</v>
      </c>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row>
    <row r="54" spans="1:117" x14ac:dyDescent="0.2">
      <c r="A54" s="1"/>
      <c r="B54" s="1"/>
      <c r="C54" s="1"/>
      <c r="D54" s="1"/>
      <c r="E54" s="1"/>
      <c r="F54" s="1"/>
      <c r="G54" s="1"/>
      <c r="H54" s="1"/>
      <c r="I54" s="1"/>
      <c r="J54" s="1"/>
      <c r="K54" s="1"/>
      <c r="L54" s="2"/>
      <c r="M54" s="8" t="s">
        <v>116</v>
      </c>
      <c r="N54" s="10">
        <f>IF(inp_c1_active,SUM(BD26:BD49),0)</f>
        <v>0</v>
      </c>
      <c r="O54" s="10">
        <f>IF(inp_c2_active,SUM(BH26:BH49),0)</f>
        <v>0</v>
      </c>
      <c r="P54" s="10">
        <f>IF(inp_c3_active,SUM(BL26:BL49),0)</f>
        <v>0</v>
      </c>
      <c r="Q54" s="10">
        <f>IF(inp_c4_active,SUM(BP26:BP49),0)</f>
        <v>0</v>
      </c>
      <c r="R54" s="10">
        <f>IF(inp_c5_active,SUM(BT26:BT49),0)</f>
        <v>0</v>
      </c>
      <c r="S54" s="10">
        <f>IF(inp_c6_active,SUM(BX26:BX49),0)</f>
        <v>0</v>
      </c>
      <c r="T54" s="10">
        <f>IF(inp_c7_active,SUM(CB26:CB49),0)</f>
        <v>0</v>
      </c>
      <c r="U54" s="10">
        <f>IF(inp_c8_active,SUM(CF26:CF49),0)</f>
        <v>0</v>
      </c>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row>
    <row r="55" spans="1:117" x14ac:dyDescent="0.2">
      <c r="A55" s="1"/>
      <c r="B55" s="1"/>
      <c r="C55" s="1"/>
      <c r="D55" s="1"/>
      <c r="E55" s="1"/>
      <c r="F55" s="1"/>
      <c r="G55" s="1"/>
      <c r="H55" s="1"/>
      <c r="I55" s="1"/>
      <c r="J55" s="1"/>
      <c r="K55" s="1"/>
      <c r="L55" s="2"/>
      <c r="M55" s="8" t="s">
        <v>117</v>
      </c>
      <c r="N55" s="10">
        <f>IF(inp_c1_active,SUM(BF26:BF49),0)</f>
        <v>0</v>
      </c>
      <c r="O55" s="10">
        <f>IF(inp_c2_active,SUM(BJ26:BJ49),0)</f>
        <v>0</v>
      </c>
      <c r="P55" s="10">
        <f>IF(inp_c3_active,SUM(BN26:BN49),0)</f>
        <v>0</v>
      </c>
      <c r="Q55" s="10">
        <f>IF(inp_c4_active,SUM(BR26:BR49),0)</f>
        <v>0</v>
      </c>
      <c r="R55" s="10">
        <f>IF(inp_c5_active,SUM(BV26:BV49),0)</f>
        <v>0</v>
      </c>
      <c r="S55" s="10">
        <f>IF(inp_c6_active,SUM(BZ26:BZ49),0)</f>
        <v>0</v>
      </c>
      <c r="T55" s="10">
        <f>IF(inp_c7_active,SUM(CD26:CD49),0)</f>
        <v>0</v>
      </c>
      <c r="U55" s="10">
        <f>IF(inp_c8_active,SUM(CH26:CH49),0)</f>
        <v>0</v>
      </c>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row>
    <row r="56" spans="1:117" x14ac:dyDescent="0.2">
      <c r="A56" s="1"/>
      <c r="B56" s="1"/>
      <c r="C56" s="1"/>
      <c r="D56" s="1"/>
      <c r="E56" s="1"/>
      <c r="F56" s="1"/>
      <c r="G56" s="1"/>
      <c r="H56" s="1"/>
      <c r="I56" s="1"/>
      <c r="J56" s="1"/>
      <c r="K56" s="1"/>
      <c r="L56" s="2"/>
      <c r="M56" s="8" t="s">
        <v>118</v>
      </c>
      <c r="N56" s="10">
        <f t="shared" ref="N56:U56" si="16">N55-N54</f>
        <v>0</v>
      </c>
      <c r="O56" s="10">
        <f t="shared" si="16"/>
        <v>0</v>
      </c>
      <c r="P56" s="10">
        <f t="shared" si="16"/>
        <v>0</v>
      </c>
      <c r="Q56" s="10">
        <f t="shared" si="16"/>
        <v>0</v>
      </c>
      <c r="R56" s="10">
        <f t="shared" si="16"/>
        <v>0</v>
      </c>
      <c r="S56" s="10">
        <f t="shared" si="16"/>
        <v>0</v>
      </c>
      <c r="T56" s="10">
        <f t="shared" si="16"/>
        <v>0</v>
      </c>
      <c r="U56" s="10">
        <f t="shared" si="16"/>
        <v>0</v>
      </c>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row>
    <row r="57" spans="1:117" ht="22" customHeight="1" x14ac:dyDescent="0.2">
      <c r="A57" s="1"/>
      <c r="B57" s="1"/>
      <c r="C57" s="1"/>
      <c r="D57" s="1"/>
      <c r="E57" s="1"/>
      <c r="F57" s="1"/>
      <c r="G57" s="1"/>
      <c r="H57" s="1"/>
      <c r="I57" s="1"/>
      <c r="J57" s="1"/>
      <c r="K57" s="1"/>
      <c r="L57" s="2"/>
      <c r="M57" s="8" t="s">
        <v>120</v>
      </c>
      <c r="N57" s="18">
        <f>IF(inp_c1_active,IF(MIN(CM26:CM49)&gt;=9999,999,MIN(CM26:CM49)),999)</f>
        <v>999</v>
      </c>
      <c r="O57" s="18">
        <f>IF(inp_c2_active,IF(MIN(CN26:CN49)&gt;=9999,999,MIN(CN26:CN49)),999)</f>
        <v>999</v>
      </c>
      <c r="P57" s="18">
        <f>IF(inp_c3_active,IF(MIN(CO26:CO49)&gt;=9999,999,MIN(CO26:CO49)),999)</f>
        <v>999</v>
      </c>
      <c r="Q57" s="18">
        <f>IF(inp_c4_active,IF(MIN(CP26:CP49)&gt;=9999,999,MIN(CP26:CP49)),999)</f>
        <v>999</v>
      </c>
      <c r="R57" s="18">
        <f>IF(inp_c5_active,IF(MIN(CQ26:CQ49)&gt;=9999,999,MIN(CQ26:CQ49)),999)</f>
        <v>999</v>
      </c>
      <c r="S57" s="18">
        <f>IF(inp_c6_active,IF(MIN(CR26:CR49)&gt;=9999,999,MIN(CR26:CR49)),999)</f>
        <v>999</v>
      </c>
      <c r="T57" s="18">
        <f>IF(inp_c7_active,IF(MIN(CS26:CS49)&gt;=9999,999,MIN(CS26:CS49)),999)</f>
        <v>999</v>
      </c>
      <c r="U57" s="18">
        <f>IF(inp_c8_active,IF(MIN(CT26:CT49)&gt;=9999,999,MIN(CT26:CT49)),999)</f>
        <v>999</v>
      </c>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row>
    <row r="58" spans="1:117" ht="22" customHeight="1" x14ac:dyDescent="0.2">
      <c r="A58" s="1"/>
      <c r="B58" s="1"/>
      <c r="C58" s="1"/>
      <c r="D58" s="1"/>
      <c r="E58" s="1"/>
      <c r="F58" s="1"/>
      <c r="G58" s="1"/>
      <c r="H58" s="1"/>
      <c r="I58" s="1"/>
      <c r="J58" s="1"/>
      <c r="K58" s="1"/>
      <c r="L58" s="2"/>
      <c r="M58" s="8" t="s">
        <v>121</v>
      </c>
      <c r="N58" s="10">
        <f>MIN(AH26:AH49)</f>
        <v>0</v>
      </c>
      <c r="O58" s="10">
        <f>MIN(AH26:AH49)</f>
        <v>0</v>
      </c>
      <c r="P58" s="10">
        <f>MIN(AH26:AH49)</f>
        <v>0</v>
      </c>
      <c r="Q58" s="10">
        <f>MIN(AH26:AH49)</f>
        <v>0</v>
      </c>
      <c r="R58" s="10">
        <f>MIN(AH26:AH49)</f>
        <v>0</v>
      </c>
      <c r="S58" s="10">
        <f>MIN(AH26:AH49)</f>
        <v>0</v>
      </c>
      <c r="T58" s="10">
        <f>MIN(AH26:AH49)</f>
        <v>0</v>
      </c>
      <c r="U58" s="10">
        <f>MIN(AH26:AH49)</f>
        <v>0</v>
      </c>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row>
    <row r="59" spans="1:117" ht="22" customHeight="1" x14ac:dyDescent="0.2">
      <c r="A59" s="1"/>
      <c r="B59" s="1"/>
      <c r="C59" s="1"/>
      <c r="D59" s="1"/>
      <c r="E59" s="1"/>
      <c r="F59" s="1"/>
      <c r="G59" s="1"/>
      <c r="H59" s="1"/>
      <c r="I59" s="1"/>
      <c r="J59" s="1"/>
      <c r="K59" s="1"/>
      <c r="L59" s="2"/>
      <c r="M59" s="8" t="s">
        <v>123</v>
      </c>
      <c r="N59" s="18">
        <f>MATCH(MIN(AH26:AH49),AH26:AH49,0)</f>
        <v>1</v>
      </c>
      <c r="O59" s="18">
        <f>MATCH(MIN(AH26:AH49),AH26:AH49,0)</f>
        <v>1</v>
      </c>
      <c r="P59" s="18">
        <f>MATCH(MIN(AH26:AH49),AH26:AH49,0)</f>
        <v>1</v>
      </c>
      <c r="Q59" s="18">
        <f>MATCH(MIN(AH26:AH49),AH26:AH49,0)</f>
        <v>1</v>
      </c>
      <c r="R59" s="18">
        <f>MATCH(MIN(AH26:AH49),AH26:AH49,0)</f>
        <v>1</v>
      </c>
      <c r="S59" s="18">
        <f>MATCH(MIN(AH26:AH49),AH26:AH49,0)</f>
        <v>1</v>
      </c>
      <c r="T59" s="18">
        <f>MATCH(MIN(AH26:AH49),AH26:AH49,0)</f>
        <v>1</v>
      </c>
      <c r="U59" s="18">
        <f>MATCH(MIN(AH26:AH49),AH26:AH49,0)</f>
        <v>1</v>
      </c>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row>
    <row r="60" spans="1:117" ht="22" customHeight="1" x14ac:dyDescent="0.2">
      <c r="A60" s="1"/>
      <c r="B60" s="1"/>
      <c r="C60" s="1"/>
      <c r="D60" s="1"/>
      <c r="E60" s="1"/>
      <c r="F60" s="1"/>
      <c r="G60" s="1"/>
      <c r="H60" s="1"/>
      <c r="I60" s="1"/>
      <c r="J60" s="1"/>
      <c r="K60" s="1"/>
      <c r="L60" s="2"/>
      <c r="M60" s="8" t="s">
        <v>125</v>
      </c>
      <c r="N60" s="10">
        <f t="shared" ref="N60:U60" si="17">N58-inp_biz_floor</f>
        <v>0</v>
      </c>
      <c r="O60" s="10">
        <f t="shared" si="17"/>
        <v>0</v>
      </c>
      <c r="P60" s="10">
        <f t="shared" si="17"/>
        <v>0</v>
      </c>
      <c r="Q60" s="10">
        <f t="shared" si="17"/>
        <v>0</v>
      </c>
      <c r="R60" s="10">
        <f t="shared" si="17"/>
        <v>0</v>
      </c>
      <c r="S60" s="10">
        <f t="shared" si="17"/>
        <v>0</v>
      </c>
      <c r="T60" s="10">
        <f t="shared" si="17"/>
        <v>0</v>
      </c>
      <c r="U60" s="10">
        <f t="shared" si="17"/>
        <v>0</v>
      </c>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row>
    <row r="61" spans="1:117" ht="22" customHeight="1" x14ac:dyDescent="0.2">
      <c r="A61" s="1"/>
      <c r="B61" s="1"/>
      <c r="C61" s="1"/>
      <c r="D61" s="1"/>
      <c r="E61" s="1"/>
      <c r="F61" s="1"/>
      <c r="G61" s="1"/>
      <c r="H61" s="1"/>
      <c r="I61" s="1"/>
      <c r="J61" s="1"/>
      <c r="K61" s="1"/>
      <c r="L61" s="2"/>
      <c r="M61" s="8" t="s">
        <v>127</v>
      </c>
      <c r="N61" s="27" t="str">
        <f>IF(NOT(inp_c1_active),"INACTIVE",IF(OR(N64&lt;-0.1*inp_biz_floor,N57&gt;=999),"FAIL",IF(OR(N57&gt;18,N64&lt;0),"CAUTION",IF(N57&lt;=12,"PASS-fast","PASS-buffer"))))</f>
        <v>INACTIVE</v>
      </c>
      <c r="O61" s="27" t="str">
        <f>IF(NOT(inp_c2_active),"INACTIVE",IF(OR(O64&lt;-0.1*inp_biz_floor,O57&gt;=999),"FAIL",IF(OR(O57&gt;18,O64&lt;0),"CAUTION",IF(O57&lt;=12,"PASS-fast","PASS-buffer"))))</f>
        <v>INACTIVE</v>
      </c>
      <c r="P61" s="27" t="str">
        <f>IF(NOT(inp_c3_active),"INACTIVE",IF(OR(P64&lt;-0.1*inp_biz_floor,P57&gt;=999),"FAIL",IF(OR(P57&gt;18,P64&lt;0),"CAUTION",IF(P57&lt;=12,"PASS-fast","PASS-buffer"))))</f>
        <v>INACTIVE</v>
      </c>
      <c r="Q61" s="27" t="str">
        <f>IF(NOT(inp_c4_active),"INACTIVE",IF(OR(Q64&lt;-0.1*inp_biz_floor,Q57&gt;=999),"FAIL",IF(OR(Q57&gt;18,Q64&lt;0),"CAUTION",IF(Q57&lt;=12,"PASS-fast","PASS-buffer"))))</f>
        <v>INACTIVE</v>
      </c>
      <c r="R61" s="27" t="str">
        <f>IF(NOT(inp_c5_active),"INACTIVE",IF(OR(R64&lt;-0.1*inp_biz_floor,R57&gt;=999),"FAIL",IF(OR(R57&gt;18,R64&lt;0),"CAUTION",IF(R57&lt;=12,"PASS-fast","PASS-buffer"))))</f>
        <v>INACTIVE</v>
      </c>
      <c r="S61" s="27" t="str">
        <f>IF(NOT(inp_c6_active),"INACTIVE",IF(OR(S64&lt;-0.1*inp_biz_floor,S57&gt;=999),"FAIL",IF(OR(S57&gt;18,S64&lt;0),"CAUTION",IF(S57&lt;=12,"PASS-fast","PASS-buffer"))))</f>
        <v>INACTIVE</v>
      </c>
      <c r="T61" s="27" t="str">
        <f>IF(NOT(inp_c7_active),"INACTIVE",IF(OR(T64&lt;-0.1*inp_biz_floor,T57&gt;=999),"FAIL",IF(OR(T57&gt;18,T64&lt;0),"CAUTION",IF(T57&lt;=12,"PASS-fast","PASS-buffer"))))</f>
        <v>INACTIVE</v>
      </c>
      <c r="U61" s="27" t="str">
        <f>IF(NOT(inp_c8_active),"INACTIVE",IF(OR(U64&lt;-0.1*inp_biz_floor,U57&gt;=999),"FAIL",IF(OR(U57&gt;18,U64&lt;0),"CAUTION",IF(U57&lt;=12,"PASS-fast","PASS-buffer"))))</f>
        <v>INACTIVE</v>
      </c>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row>
    <row r="62" spans="1:117" ht="22" customHeight="1" x14ac:dyDescent="0.2">
      <c r="A62" s="1"/>
      <c r="B62" s="5" t="s">
        <v>119</v>
      </c>
      <c r="C62" s="1"/>
      <c r="D62" s="1"/>
      <c r="E62" s="1"/>
      <c r="F62" s="1"/>
      <c r="G62" s="1"/>
      <c r="H62" s="1"/>
      <c r="I62" s="1"/>
      <c r="J62" s="1"/>
      <c r="K62" s="1"/>
      <c r="L62" s="2"/>
      <c r="M62" s="8" t="s">
        <v>128</v>
      </c>
      <c r="N62" s="10">
        <f>IF(inp_c1_active,MIN(CV26:CV49),0)</f>
        <v>0</v>
      </c>
      <c r="O62" s="10">
        <f>IF(inp_c2_active,MIN(CW26:CW49),0)</f>
        <v>0</v>
      </c>
      <c r="P62" s="10">
        <f>IF(inp_c3_active,MIN(CX26:CX49),0)</f>
        <v>0</v>
      </c>
      <c r="Q62" s="10">
        <f>IF(inp_c4_active,MIN(CY26:CY49),0)</f>
        <v>0</v>
      </c>
      <c r="R62" s="10">
        <f>IF(inp_c5_active,MIN(CZ26:CZ49),0)</f>
        <v>0</v>
      </c>
      <c r="S62" s="10">
        <f>IF(inp_c6_active,MIN(DA26:DA49),0)</f>
        <v>0</v>
      </c>
      <c r="T62" s="10">
        <f>IF(inp_c7_active,MIN(DB26:DB49),0)</f>
        <v>0</v>
      </c>
      <c r="U62" s="10">
        <f>IF(inp_c8_active,MIN(DC26:DC49),0)</f>
        <v>0</v>
      </c>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row>
    <row r="63" spans="1:117" ht="22" customHeight="1" x14ac:dyDescent="0.2">
      <c r="A63" s="1"/>
      <c r="B63" s="6" t="s">
        <v>115</v>
      </c>
      <c r="C63" s="26" t="str">
        <f>IF(inp_c1_role="","Candidate 1",inp_c1_role)</f>
        <v>Candidate 1</v>
      </c>
      <c r="D63" s="26" t="str">
        <f>IF(inp_c2_role="","Candidate 2",inp_c2_role)</f>
        <v>Candidate 2</v>
      </c>
      <c r="E63" s="26" t="str">
        <f>IF(inp_c3_role="","Candidate 3",inp_c3_role)</f>
        <v>Candidate 3</v>
      </c>
      <c r="F63" s="26" t="str">
        <f>IF(inp_c4_role="","Candidate 4",inp_c4_role)</f>
        <v>Candidate 4</v>
      </c>
      <c r="G63" s="26" t="str">
        <f>IF(inp_c5_role="","Candidate 5",inp_c5_role)</f>
        <v>Candidate 5</v>
      </c>
      <c r="H63" s="26" t="str">
        <f>IF(inp_c6_role="","Candidate 6",inp_c6_role)</f>
        <v>Candidate 6</v>
      </c>
      <c r="I63" s="26" t="str">
        <f>IF(inp_c7_role="","Candidate 7",inp_c7_role)</f>
        <v>Candidate 7</v>
      </c>
      <c r="J63" s="26" t="str">
        <f>IF(inp_c8_role="","Candidate 8",inp_c8_role)</f>
        <v>Candidate 8</v>
      </c>
      <c r="K63" s="1"/>
      <c r="L63" s="2"/>
      <c r="M63" s="8" t="s">
        <v>130</v>
      </c>
      <c r="N63" s="18">
        <f>IF(inp_c1_active,MATCH(MIN(CV26:CV49),CV26:CV49,0),0)</f>
        <v>0</v>
      </c>
      <c r="O63" s="18">
        <f>IF(inp_c2_active,MATCH(MIN(CW26:CW49),CW26:CW49,0),0)</f>
        <v>0</v>
      </c>
      <c r="P63" s="18">
        <f>IF(inp_c3_active,MATCH(MIN(CX26:CX49),CX26:CX49,0),0)</f>
        <v>0</v>
      </c>
      <c r="Q63" s="18">
        <f>IF(inp_c4_active,MATCH(MIN(CY26:CY49),CY26:CY49,0),0)</f>
        <v>0</v>
      </c>
      <c r="R63" s="18">
        <f>IF(inp_c5_active,MATCH(MIN(CZ26:CZ49),CZ26:CZ49,0),0)</f>
        <v>0</v>
      </c>
      <c r="S63" s="18">
        <f>IF(inp_c6_active,MATCH(MIN(DA26:DA49),DA26:DA49,0),0)</f>
        <v>0</v>
      </c>
      <c r="T63" s="18">
        <f>IF(inp_c7_active,MATCH(MIN(DB26:DB49),DB26:DB49,0),0)</f>
        <v>0</v>
      </c>
      <c r="U63" s="18">
        <f>IF(inp_c8_active,MATCH(MIN(DC26:DC49),DC26:DC49,0),0)</f>
        <v>0</v>
      </c>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row>
    <row r="64" spans="1:117" ht="22" customHeight="1" x14ac:dyDescent="0.2">
      <c r="A64" s="1"/>
      <c r="B64" s="8" t="s">
        <v>122</v>
      </c>
      <c r="C64" s="10">
        <f t="shared" ref="C64:E67" si="18">N54</f>
        <v>0</v>
      </c>
      <c r="D64" s="10">
        <f t="shared" si="18"/>
        <v>0</v>
      </c>
      <c r="E64" s="10">
        <f t="shared" si="18"/>
        <v>0</v>
      </c>
      <c r="F64" s="10">
        <f t="shared" ref="F64:J67" si="19">Q54</f>
        <v>0</v>
      </c>
      <c r="G64" s="10">
        <f t="shared" si="19"/>
        <v>0</v>
      </c>
      <c r="H64" s="10">
        <f t="shared" si="19"/>
        <v>0</v>
      </c>
      <c r="I64" s="10">
        <f t="shared" si="19"/>
        <v>0</v>
      </c>
      <c r="J64" s="10">
        <f t="shared" si="19"/>
        <v>0</v>
      </c>
      <c r="K64" s="1"/>
      <c r="L64" s="2"/>
      <c r="M64" s="8" t="s">
        <v>132</v>
      </c>
      <c r="N64" s="10">
        <f>IF(inp_c1_active,N62-inp_biz_floor,0)</f>
        <v>0</v>
      </c>
      <c r="O64" s="10">
        <f>IF(inp_c2_active,O62-inp_biz_floor,0)</f>
        <v>0</v>
      </c>
      <c r="P64" s="10">
        <f>IF(inp_c3_active,P62-inp_biz_floor,0)</f>
        <v>0</v>
      </c>
      <c r="Q64" s="2">
        <f>IF(inp_c4_active,Q62-inp_biz_floor,0)</f>
        <v>0</v>
      </c>
      <c r="R64" s="2">
        <f>IF(inp_c5_active,R62-inp_biz_floor,0)</f>
        <v>0</v>
      </c>
      <c r="S64" s="2">
        <f>IF(inp_c6_active,S62-inp_biz_floor,0)</f>
        <v>0</v>
      </c>
      <c r="T64" s="2">
        <f>IF(inp_c7_active,T62-inp_biz_floor,0)</f>
        <v>0</v>
      </c>
      <c r="U64" s="2">
        <f>IF(inp_c8_active,U62-inp_biz_floor,0)</f>
        <v>0</v>
      </c>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row>
    <row r="65" spans="1:117" ht="22" customHeight="1" x14ac:dyDescent="0.2">
      <c r="A65" s="1"/>
      <c r="B65" s="8" t="s">
        <v>124</v>
      </c>
      <c r="C65" s="10">
        <f t="shared" si="18"/>
        <v>0</v>
      </c>
      <c r="D65" s="10">
        <f t="shared" si="18"/>
        <v>0</v>
      </c>
      <c r="E65" s="10">
        <f t="shared" si="18"/>
        <v>0</v>
      </c>
      <c r="F65" s="10">
        <f t="shared" si="19"/>
        <v>0</v>
      </c>
      <c r="G65" s="10">
        <f t="shared" si="19"/>
        <v>0</v>
      </c>
      <c r="H65" s="10">
        <f t="shared" si="19"/>
        <v>0</v>
      </c>
      <c r="I65" s="10">
        <f t="shared" si="19"/>
        <v>0</v>
      </c>
      <c r="J65" s="10">
        <f t="shared" si="19"/>
        <v>0</v>
      </c>
      <c r="K65" s="1"/>
      <c r="L65" s="2"/>
      <c r="M65" s="8" t="s">
        <v>134</v>
      </c>
      <c r="N65" s="10" cm="1">
        <f t="array" ref="N65">IF(inp_c1_active,MAX(0,MAX(BD26:BD49-BF26:BF49)),0)</f>
        <v>0</v>
      </c>
      <c r="O65" s="10" cm="1">
        <f t="array" ref="O65">IF(inp_c2_active,MAX(0,MAX(BH26:BH49-BJ26:BJ49)),0)</f>
        <v>0</v>
      </c>
      <c r="P65" s="10" cm="1">
        <f t="array" ref="P65">IF(inp_c3_active,MAX(0,MAX(BL26:BL49-BN26:BN49)),0)</f>
        <v>0</v>
      </c>
      <c r="Q65" s="2" cm="1">
        <f t="array" ref="Q65">IF(inp_c4_active,MAX(0,MAX(BP26:BP49-BR26:BR49)),0)</f>
        <v>0</v>
      </c>
      <c r="R65" s="2" cm="1">
        <f t="array" ref="R65">IF(inp_c5_active,MAX(0,MAX(BT26:BT49-BV26:BV49)),0)</f>
        <v>0</v>
      </c>
      <c r="S65" s="2" cm="1">
        <f t="array" ref="S65">IF(inp_c6_active,MAX(0,MAX(BX26:BX49-BZ26:BZ49)),0)</f>
        <v>0</v>
      </c>
      <c r="T65" s="2" cm="1">
        <f t="array" ref="T65">IF(inp_c7_active,MAX(0,MAX(CB26:CB49-CD26:CD49)),0)</f>
        <v>0</v>
      </c>
      <c r="U65" s="2" cm="1">
        <f t="array" ref="U65">IF(inp_c8_active,MAX(0,MAX(CF26:CF49-CH26:CH49)),0)</f>
        <v>0</v>
      </c>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row>
    <row r="66" spans="1:117" ht="22" customHeight="1" x14ac:dyDescent="0.2">
      <c r="A66" s="1"/>
      <c r="B66" s="8" t="s">
        <v>126</v>
      </c>
      <c r="C66" s="10">
        <f t="shared" si="18"/>
        <v>0</v>
      </c>
      <c r="D66" s="10">
        <f t="shared" si="18"/>
        <v>0</v>
      </c>
      <c r="E66" s="10">
        <f t="shared" si="18"/>
        <v>0</v>
      </c>
      <c r="F66" s="10">
        <f t="shared" si="19"/>
        <v>0</v>
      </c>
      <c r="G66" s="10">
        <f t="shared" si="19"/>
        <v>0</v>
      </c>
      <c r="H66" s="10">
        <f t="shared" si="19"/>
        <v>0</v>
      </c>
      <c r="I66" s="10">
        <f t="shared" si="19"/>
        <v>0</v>
      </c>
      <c r="J66" s="10">
        <f t="shared" si="19"/>
        <v>0</v>
      </c>
      <c r="K66" s="1"/>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row>
    <row r="67" spans="1:117" x14ac:dyDescent="0.2">
      <c r="A67" s="1"/>
      <c r="B67" s="8" t="s">
        <v>120</v>
      </c>
      <c r="C67" s="28">
        <f t="shared" si="18"/>
        <v>999</v>
      </c>
      <c r="D67" s="28">
        <f t="shared" si="18"/>
        <v>999</v>
      </c>
      <c r="E67" s="28">
        <f t="shared" si="18"/>
        <v>999</v>
      </c>
      <c r="F67" s="28">
        <f t="shared" si="19"/>
        <v>999</v>
      </c>
      <c r="G67" s="28">
        <f t="shared" si="19"/>
        <v>999</v>
      </c>
      <c r="H67" s="28">
        <f t="shared" si="19"/>
        <v>999</v>
      </c>
      <c r="I67" s="28">
        <f t="shared" si="19"/>
        <v>999</v>
      </c>
      <c r="J67" s="28">
        <f t="shared" si="19"/>
        <v>999</v>
      </c>
      <c r="K67" s="1"/>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row>
    <row r="68" spans="1:117" ht="22" customHeight="1" x14ac:dyDescent="0.2">
      <c r="A68" s="1"/>
      <c r="B68" s="8" t="s">
        <v>129</v>
      </c>
      <c r="C68" s="10">
        <f t="shared" ref="C68:E70" si="20">N62</f>
        <v>0</v>
      </c>
      <c r="D68" s="10">
        <f t="shared" si="20"/>
        <v>0</v>
      </c>
      <c r="E68" s="10">
        <f t="shared" si="20"/>
        <v>0</v>
      </c>
      <c r="F68" s="10">
        <f t="shared" ref="F68:J70" si="21">Q62</f>
        <v>0</v>
      </c>
      <c r="G68" s="10">
        <f t="shared" si="21"/>
        <v>0</v>
      </c>
      <c r="H68" s="10">
        <f t="shared" si="21"/>
        <v>0</v>
      </c>
      <c r="I68" s="10">
        <f t="shared" si="21"/>
        <v>0</v>
      </c>
      <c r="J68" s="10">
        <f t="shared" si="21"/>
        <v>0</v>
      </c>
      <c r="K68" s="1"/>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row>
    <row r="69" spans="1:117" x14ac:dyDescent="0.2">
      <c r="A69" s="1"/>
      <c r="B69" s="8" t="s">
        <v>131</v>
      </c>
      <c r="C69" s="28">
        <f t="shared" si="20"/>
        <v>0</v>
      </c>
      <c r="D69" s="28">
        <f t="shared" si="20"/>
        <v>0</v>
      </c>
      <c r="E69" s="28">
        <f t="shared" si="20"/>
        <v>0</v>
      </c>
      <c r="F69" s="28">
        <f t="shared" si="21"/>
        <v>0</v>
      </c>
      <c r="G69" s="28">
        <f t="shared" si="21"/>
        <v>0</v>
      </c>
      <c r="H69" s="28">
        <f t="shared" si="21"/>
        <v>0</v>
      </c>
      <c r="I69" s="28">
        <f t="shared" si="21"/>
        <v>0</v>
      </c>
      <c r="J69" s="28">
        <f t="shared" si="21"/>
        <v>0</v>
      </c>
      <c r="K69" s="1"/>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row>
    <row r="70" spans="1:117" x14ac:dyDescent="0.2">
      <c r="A70" s="1"/>
      <c r="B70" s="8" t="s">
        <v>133</v>
      </c>
      <c r="C70" s="10">
        <f t="shared" si="20"/>
        <v>0</v>
      </c>
      <c r="D70" s="10">
        <f t="shared" si="20"/>
        <v>0</v>
      </c>
      <c r="E70" s="10">
        <f t="shared" si="20"/>
        <v>0</v>
      </c>
      <c r="F70" s="10">
        <f t="shared" si="21"/>
        <v>0</v>
      </c>
      <c r="G70" s="10">
        <f t="shared" si="21"/>
        <v>0</v>
      </c>
      <c r="H70" s="10">
        <f t="shared" si="21"/>
        <v>0</v>
      </c>
      <c r="I70" s="10">
        <f t="shared" si="21"/>
        <v>0</v>
      </c>
      <c r="J70" s="10">
        <f t="shared" si="21"/>
        <v>0</v>
      </c>
      <c r="K70" s="1"/>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5" t="s">
        <v>136</v>
      </c>
      <c r="AO70" s="2"/>
      <c r="AP70" s="2"/>
      <c r="AQ70" s="2"/>
      <c r="AR70" s="2"/>
      <c r="AS70" s="2"/>
      <c r="AT70" s="19">
        <f>MATCH(J85,C20:J20,0)</f>
        <v>1</v>
      </c>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row>
    <row r="71" spans="1:117" x14ac:dyDescent="0.2">
      <c r="A71" s="1"/>
      <c r="B71" s="8" t="s">
        <v>127</v>
      </c>
      <c r="C71" s="62" t="str">
        <f t="shared" ref="C71:J71" si="22">N61</f>
        <v>INACTIVE</v>
      </c>
      <c r="D71" s="62" t="str">
        <f t="shared" si="22"/>
        <v>INACTIVE</v>
      </c>
      <c r="E71" s="62" t="str">
        <f t="shared" si="22"/>
        <v>INACTIVE</v>
      </c>
      <c r="F71" s="62" t="str">
        <f t="shared" si="22"/>
        <v>INACTIVE</v>
      </c>
      <c r="G71" s="62" t="str">
        <f t="shared" si="22"/>
        <v>INACTIVE</v>
      </c>
      <c r="H71" s="62" t="str">
        <f t="shared" si="22"/>
        <v>INACTIVE</v>
      </c>
      <c r="I71" s="62" t="str">
        <f t="shared" si="22"/>
        <v>INACTIVE</v>
      </c>
      <c r="J71" s="62" t="str">
        <f t="shared" si="22"/>
        <v>INACTIVE</v>
      </c>
      <c r="K71" s="1"/>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6" t="s">
        <v>137</v>
      </c>
      <c r="AO71" s="7" t="s">
        <v>138</v>
      </c>
      <c r="AP71" s="7" t="s">
        <v>139</v>
      </c>
      <c r="AQ71" s="7" t="s">
        <v>140</v>
      </c>
      <c r="AR71" s="7" t="s">
        <v>141</v>
      </c>
      <c r="AS71" s="2"/>
      <c r="AT71" s="19">
        <f>CHOOSE($AT$70,inp_c1_salary,inp_c2_salary,inp_c3_salary,inp_c4_salary,inp_c5_salary,inp_c6_salary,inp_c7_salary,inp_c8_salary)</f>
        <v>0</v>
      </c>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row>
    <row r="72" spans="1:117" ht="6" customHeight="1" x14ac:dyDescent="0.2">
      <c r="A72" s="1"/>
      <c r="B72" s="1"/>
      <c r="C72" s="63"/>
      <c r="D72" s="63"/>
      <c r="E72" s="63"/>
      <c r="F72" s="63"/>
      <c r="G72" s="63"/>
      <c r="H72" s="63"/>
      <c r="I72" s="63"/>
      <c r="J72" s="63"/>
      <c r="K72" s="1"/>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9">
        <v>0.5</v>
      </c>
      <c r="AO72" s="10">
        <v>150</v>
      </c>
      <c r="AP72" s="18">
        <f t="shared" ref="AP72:AP106" si="23">IF(MIN(CB72:CY72)&gt;=9999,999,MIN(CB72:CY72))</f>
        <v>999</v>
      </c>
      <c r="AQ72" s="10" t="str">
        <f t="shared" ref="AQ72:AQ106" si="24">IFERROR(AZ$49*(AN72/sel_util)*(AO72/sel_rate)-AY$49,"-")</f>
        <v>-</v>
      </c>
      <c r="AR72" s="10" t="str">
        <f t="shared" ref="AR72:AR106" si="25">AQ72</f>
        <v>-</v>
      </c>
      <c r="AS72" s="2"/>
      <c r="AT72" s="19">
        <f>CHOOSE($AT$70,inp_c1_oncost,inp_c2_oncost,inp_c3_oncost,inp_c4_oncost,inp_c5_oncost,inp_c6_oncost,inp_c7_oncost,inp_c8_oncost)</f>
        <v>0.185</v>
      </c>
      <c r="AU72" s="2"/>
      <c r="AV72" s="2"/>
      <c r="AW72" s="2"/>
      <c r="AX72" s="2"/>
      <c r="AY72" s="2"/>
      <c r="AZ72" s="2"/>
      <c r="BA72" s="2"/>
      <c r="BB72" s="10">
        <f>AD26+(IFERROR((AN72/inp_c1_util)*(AO72/inp_c1_rate),0))*AZ26-AY26</f>
        <v>-100</v>
      </c>
      <c r="BC72" s="10">
        <f>AD27+(IFERROR((AN72/inp_c1_util)*(AO72/inp_c1_rate),0))*AZ27-AY27</f>
        <v>-200</v>
      </c>
      <c r="BD72" s="10">
        <f>AD28+(IFERROR((AN72/inp_c1_util)*(AO72/inp_c1_rate),0))*AZ28-AY28</f>
        <v>-300</v>
      </c>
      <c r="BE72" s="10">
        <f>AD29+(IFERROR((AN72/inp_c1_util)*(AO72/inp_c1_rate),0))*AZ29-AY29</f>
        <v>-400</v>
      </c>
      <c r="BF72" s="10">
        <f>AD30+(IFERROR((AN72/inp_c1_util)*(AO72/inp_c1_rate),0))*AZ30-AY30</f>
        <v>-500</v>
      </c>
      <c r="BG72" s="10">
        <f>AD31+(IFERROR((AN72/inp_c1_util)*(AO72/inp_c1_rate),0))*AZ31-AY31</f>
        <v>-600</v>
      </c>
      <c r="BH72" s="10">
        <f>AD32+(IFERROR((AN72/inp_c1_util)*(AO72/inp_c1_rate),0))*AZ32-AY32</f>
        <v>-700</v>
      </c>
      <c r="BI72" s="10">
        <f>AD33+(IFERROR((AN72/inp_c1_util)*(AO72/inp_c1_rate),0))*AZ33-AY33</f>
        <v>-800</v>
      </c>
      <c r="BJ72" s="10">
        <f>AD34+(IFERROR((AN72/inp_c1_util)*(AO72/inp_c1_rate),0))*AZ34-AY34</f>
        <v>-900</v>
      </c>
      <c r="BK72" s="10">
        <f>AD35+(IFERROR((AN72/inp_c1_util)*(AO72/inp_c1_rate),0))*AZ35-AY35</f>
        <v>-1000</v>
      </c>
      <c r="BL72" s="10">
        <f>AD36+(IFERROR((AN72/inp_c1_util)*(AO72/inp_c1_rate),0))*AZ36-AY36</f>
        <v>-1100</v>
      </c>
      <c r="BM72" s="10">
        <f>AD37+(IFERROR((AN72/inp_c1_util)*(AO72/inp_c1_rate),0))*AZ37-AY37</f>
        <v>-1200</v>
      </c>
      <c r="BN72" s="10">
        <f>AD38+(IFERROR((AN72/inp_c1_util)*(AO72/inp_c1_rate),0))*AZ38-AY38</f>
        <v>-1300</v>
      </c>
      <c r="BO72" s="10">
        <f>AD39+(IFERROR((AN72/inp_c1_util)*(AO72/inp_c1_rate),0))*AZ39-AY39</f>
        <v>-1400</v>
      </c>
      <c r="BP72" s="10">
        <f>AD40+(IFERROR((AN72/inp_c1_util)*(AO72/inp_c1_rate),0))*AZ40-AY40</f>
        <v>-1500</v>
      </c>
      <c r="BQ72" s="10">
        <f>AD41+(IFERROR((AN72/inp_c1_util)*(AO72/inp_c1_rate),0))*AZ41-AY41</f>
        <v>-1600</v>
      </c>
      <c r="BR72" s="10">
        <f>AD42+(IFERROR((AN72/inp_c1_util)*(AO72/inp_c1_rate),0))*AZ42-AY42</f>
        <v>-1700</v>
      </c>
      <c r="BS72" s="10">
        <f>AD43+(IFERROR((AN72/inp_c1_util)*(AO72/inp_c1_rate),0))*AZ43-AY43</f>
        <v>-1800</v>
      </c>
      <c r="BT72" s="10">
        <f>AD44+(IFERROR((AN72/inp_c1_util)*(AO72/inp_c1_rate),0))*AZ44-AY44</f>
        <v>-1900</v>
      </c>
      <c r="BU72" s="10">
        <f>AD45+(IFERROR((AN72/inp_c1_util)*(AO72/inp_c1_rate),0))*AZ45-AY45</f>
        <v>-2000</v>
      </c>
      <c r="BV72" s="10">
        <f>AD46+(IFERROR((AN72/inp_c1_util)*(AO72/inp_c1_rate),0))*AZ46-AY46</f>
        <v>-2100</v>
      </c>
      <c r="BW72" s="10">
        <f>AD47+(IFERROR((AN72/inp_c1_util)*(AO72/inp_c1_rate),0))*AZ47-AY47</f>
        <v>-2200</v>
      </c>
      <c r="BX72" s="10">
        <f>AD48+(IFERROR((AN72/inp_c1_util)*(AO72/inp_c1_rate),0))*AZ48-AY48</f>
        <v>-2300</v>
      </c>
      <c r="BY72" s="10">
        <f>AD49+(IFERROR((AN72/inp_c1_util)*(AO72/inp_c1_rate),0))*AZ49-AY49</f>
        <v>-2400</v>
      </c>
      <c r="BZ72" s="2"/>
      <c r="CA72" s="2"/>
      <c r="CB72" s="18">
        <f>IF(AND((IFERROR((AN72/sel_util)*(AO72/sel_rate),0))*AZ26-AY26&gt;=0,1&gt;=sel_start_m),1,9999)</f>
        <v>9999</v>
      </c>
      <c r="CC72" s="18">
        <f>IF(AND((IFERROR((AN72/sel_util)*(AO72/sel_rate),0))*AZ27-AY27&gt;=0,2&gt;=sel_start_m),2,9999)</f>
        <v>9999</v>
      </c>
      <c r="CD72" s="18">
        <f>IF(AND((IFERROR((AN72/sel_util)*(AO72/sel_rate),0))*AZ28-AY28&gt;=0,3&gt;=sel_start_m),3,9999)</f>
        <v>9999</v>
      </c>
      <c r="CE72" s="18">
        <f>IF(AND((IFERROR((AN72/sel_util)*(AO72/sel_rate),0))*AZ29-AY29&gt;=0,4&gt;=sel_start_m),4,9999)</f>
        <v>9999</v>
      </c>
      <c r="CF72" s="18">
        <f>IF(AND((IFERROR((AN72/sel_util)*(AO72/sel_rate),0))*AZ30-AY30&gt;=0,5&gt;=sel_start_m),5,9999)</f>
        <v>9999</v>
      </c>
      <c r="CG72" s="18">
        <f>IF(AND((IFERROR((AN72/sel_util)*(AO72/sel_rate),0))*AZ31-AY31&gt;=0,6&gt;=sel_start_m),6,9999)</f>
        <v>9999</v>
      </c>
      <c r="CH72" s="18">
        <f>IF(AND((IFERROR((AN72/sel_util)*(AO72/sel_rate),0))*AZ32-AY32&gt;=0,7&gt;=sel_start_m),7,9999)</f>
        <v>9999</v>
      </c>
      <c r="CI72" s="18">
        <f>IF(AND((IFERROR((AN72/sel_util)*(AO72/sel_rate),0))*AZ33-AY33&gt;=0,8&gt;=sel_start_m),8,9999)</f>
        <v>9999</v>
      </c>
      <c r="CJ72" s="18">
        <f>IF(AND((IFERROR((AN72/sel_util)*(AO72/sel_rate),0))*AZ34-AY34&gt;=0,9&gt;=sel_start_m),9,9999)</f>
        <v>9999</v>
      </c>
      <c r="CK72" s="18">
        <f>IF(AND((IFERROR((AN72/sel_util)*(AO72/sel_rate),0))*AZ35-AY35&gt;=0,10&gt;=sel_start_m),10,9999)</f>
        <v>9999</v>
      </c>
      <c r="CL72" s="18">
        <f>IF(AND((IFERROR((AN72/sel_util)*(AO72/sel_rate),0))*AZ36-AY36&gt;=0,11&gt;=sel_start_m),11,9999)</f>
        <v>9999</v>
      </c>
      <c r="CM72" s="18">
        <f>IF(AND((IFERROR((AN72/sel_util)*(AO72/sel_rate),0))*AZ37-AY37&gt;=0,12&gt;=sel_start_m),12,9999)</f>
        <v>9999</v>
      </c>
      <c r="CN72" s="18">
        <f>IF(AND((IFERROR((AN72/sel_util)*(AO72/sel_rate),0))*AZ38-AY38&gt;=0,13&gt;=sel_start_m),13,9999)</f>
        <v>9999</v>
      </c>
      <c r="CO72" s="18">
        <f>IF(AND((IFERROR((AN72/sel_util)*(AO72/sel_rate),0))*AZ39-AY39&gt;=0,14&gt;=sel_start_m),14,9999)</f>
        <v>9999</v>
      </c>
      <c r="CP72" s="18">
        <f>IF(AND((IFERROR((AN72/sel_util)*(AO72/sel_rate),0))*AZ40-AY40&gt;=0,15&gt;=sel_start_m),15,9999)</f>
        <v>9999</v>
      </c>
      <c r="CQ72" s="18">
        <f>IF(AND((IFERROR((AN72/sel_util)*(AO72/sel_rate),0))*AZ41-AY41&gt;=0,16&gt;=sel_start_m),16,9999)</f>
        <v>9999</v>
      </c>
      <c r="CR72" s="18">
        <f>IF(AND((IFERROR((AN72/sel_util)*(AO72/sel_rate),0))*AZ42-AY42&gt;=0,17&gt;=sel_start_m),17,9999)</f>
        <v>9999</v>
      </c>
      <c r="CS72" s="18">
        <f>IF(AND((IFERROR((AN72/sel_util)*(AO72/sel_rate),0))*AZ43-AY43&gt;=0,18&gt;=sel_start_m),18,9999)</f>
        <v>9999</v>
      </c>
      <c r="CT72" s="18">
        <f>IF(AND((IFERROR((AN72/sel_util)*(AO72/sel_rate),0))*AZ44-AY44&gt;=0,19&gt;=sel_start_m),19,9999)</f>
        <v>9999</v>
      </c>
      <c r="CU72" s="18">
        <f>IF(AND((IFERROR((AN72/sel_util)*(AO72/sel_rate),0))*AZ45-AY45&gt;=0,20&gt;=sel_start_m),20,9999)</f>
        <v>9999</v>
      </c>
      <c r="CV72" s="18">
        <f>IF(AND((IFERROR((AN72/sel_util)*(AO72/sel_rate),0))*AZ46-AY46&gt;=0,21&gt;=sel_start_m),21,9999)</f>
        <v>9999</v>
      </c>
      <c r="CW72" s="18">
        <f>IF(AND((IFERROR((AN72/sel_util)*(AO72/sel_rate),0))*AZ47-AY47&gt;=0,22&gt;=sel_start_m),22,9999)</f>
        <v>9999</v>
      </c>
      <c r="CX72" s="18">
        <f>IF(AND((IFERROR((AN72/sel_util)*(AO72/sel_rate),0))*AZ48-AY48&gt;=0,23&gt;=sel_start_m),23,9999)</f>
        <v>9999</v>
      </c>
      <c r="CY72" s="18">
        <f>IF(AND((IFERROR((AN72/sel_util)*(AO72/sel_rate),0))*AZ49-AY49&gt;=0,24&gt;=sel_start_m),24,9999)</f>
        <v>9999</v>
      </c>
      <c r="CZ72" s="2"/>
      <c r="DA72" s="2"/>
      <c r="DB72" s="2"/>
      <c r="DC72" s="2"/>
      <c r="DD72" s="2"/>
      <c r="DE72" s="2"/>
      <c r="DF72" s="2"/>
      <c r="DG72" s="2"/>
      <c r="DH72" s="2"/>
      <c r="DI72" s="2"/>
      <c r="DJ72" s="2"/>
      <c r="DK72" s="2"/>
      <c r="DL72" s="2"/>
      <c r="DM72" s="2"/>
    </row>
    <row r="73" spans="1:117" x14ac:dyDescent="0.2">
      <c r="A73" s="1"/>
      <c r="B73" s="5" t="s">
        <v>135</v>
      </c>
      <c r="C73" s="1"/>
      <c r="D73" s="1"/>
      <c r="E73" s="1"/>
      <c r="F73" s="1"/>
      <c r="G73" s="1"/>
      <c r="H73" s="1"/>
      <c r="I73" s="1"/>
      <c r="J73" s="1"/>
      <c r="K73" s="1"/>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9">
        <v>0.5</v>
      </c>
      <c r="AO73" s="10">
        <v>175</v>
      </c>
      <c r="AP73" s="18">
        <f t="shared" si="23"/>
        <v>999</v>
      </c>
      <c r="AQ73" s="10" t="str">
        <f t="shared" si="24"/>
        <v>-</v>
      </c>
      <c r="AR73" s="10" t="str">
        <f t="shared" si="25"/>
        <v>-</v>
      </c>
      <c r="AS73" s="2"/>
      <c r="AT73" s="19">
        <f>CHOOSE($AT$70,inp_c1_benefits,inp_c2_benefits,inp_c3_benefits,inp_c4_benefits,inp_c5_benefits,inp_c6_benefits,inp_c7_benefits,inp_c8_benefits)</f>
        <v>100</v>
      </c>
      <c r="AU73" s="2"/>
      <c r="AV73" s="2"/>
      <c r="AW73" s="2"/>
      <c r="AX73" s="2"/>
      <c r="AY73" s="2"/>
      <c r="AZ73" s="2"/>
      <c r="BA73" s="2"/>
      <c r="BB73" s="10">
        <f>AD26+(IFERROR((AN73/inp_c1_util)*(AO73/inp_c1_rate),0))*AZ26-AY26</f>
        <v>-100</v>
      </c>
      <c r="BC73" s="10">
        <f>AD27+(IFERROR((AN73/inp_c1_util)*(AO73/inp_c1_rate),0))*AZ27-AY27</f>
        <v>-200</v>
      </c>
      <c r="BD73" s="10">
        <f>AD28+(IFERROR((AN73/inp_c1_util)*(AO73/inp_c1_rate),0))*AZ28-AY28</f>
        <v>-300</v>
      </c>
      <c r="BE73" s="10">
        <f>AD29+(IFERROR((AN73/inp_c1_util)*(AO73/inp_c1_rate),0))*AZ29-AY29</f>
        <v>-400</v>
      </c>
      <c r="BF73" s="10">
        <f>AD30+(IFERROR((AN73/inp_c1_util)*(AO73/inp_c1_rate),0))*AZ30-AY30</f>
        <v>-500</v>
      </c>
      <c r="BG73" s="10">
        <f>AD31+(IFERROR((AN73/inp_c1_util)*(AO73/inp_c1_rate),0))*AZ31-AY31</f>
        <v>-600</v>
      </c>
      <c r="BH73" s="10">
        <f>AD32+(IFERROR((AN73/inp_c1_util)*(AO73/inp_c1_rate),0))*AZ32-AY32</f>
        <v>-700</v>
      </c>
      <c r="BI73" s="10">
        <f>AD33+(IFERROR((AN73/inp_c1_util)*(AO73/inp_c1_rate),0))*AZ33-AY33</f>
        <v>-800</v>
      </c>
      <c r="BJ73" s="10">
        <f>AD34+(IFERROR((AN73/inp_c1_util)*(AO73/inp_c1_rate),0))*AZ34-AY34</f>
        <v>-900</v>
      </c>
      <c r="BK73" s="10">
        <f>AD35+(IFERROR((AN73/inp_c1_util)*(AO73/inp_c1_rate),0))*AZ35-AY35</f>
        <v>-1000</v>
      </c>
      <c r="BL73" s="10">
        <f>AD36+(IFERROR((AN73/inp_c1_util)*(AO73/inp_c1_rate),0))*AZ36-AY36</f>
        <v>-1100</v>
      </c>
      <c r="BM73" s="10">
        <f>AD37+(IFERROR((AN73/inp_c1_util)*(AO73/inp_c1_rate),0))*AZ37-AY37</f>
        <v>-1200</v>
      </c>
      <c r="BN73" s="10">
        <f>AD38+(IFERROR((AN73/inp_c1_util)*(AO73/inp_c1_rate),0))*AZ38-AY38</f>
        <v>-1300</v>
      </c>
      <c r="BO73" s="10">
        <f>AD39+(IFERROR((AN73/inp_c1_util)*(AO73/inp_c1_rate),0))*AZ39-AY39</f>
        <v>-1400</v>
      </c>
      <c r="BP73" s="10">
        <f>AD40+(IFERROR((AN73/inp_c1_util)*(AO73/inp_c1_rate),0))*AZ40-AY40</f>
        <v>-1500</v>
      </c>
      <c r="BQ73" s="10">
        <f>AD41+(IFERROR((AN73/inp_c1_util)*(AO73/inp_c1_rate),0))*AZ41-AY41</f>
        <v>-1600</v>
      </c>
      <c r="BR73" s="10">
        <f>AD42+(IFERROR((AN73/inp_c1_util)*(AO73/inp_c1_rate),0))*AZ42-AY42</f>
        <v>-1700</v>
      </c>
      <c r="BS73" s="10">
        <f>AD43+(IFERROR((AN73/inp_c1_util)*(AO73/inp_c1_rate),0))*AZ43-AY43</f>
        <v>-1800</v>
      </c>
      <c r="BT73" s="10">
        <f>AD44+(IFERROR((AN73/inp_c1_util)*(AO73/inp_c1_rate),0))*AZ44-AY44</f>
        <v>-1900</v>
      </c>
      <c r="BU73" s="10">
        <f>AD45+(IFERROR((AN73/inp_c1_util)*(AO73/inp_c1_rate),0))*AZ45-AY45</f>
        <v>-2000</v>
      </c>
      <c r="BV73" s="10">
        <f>AD46+(IFERROR((AN73/inp_c1_util)*(AO73/inp_c1_rate),0))*AZ46-AY46</f>
        <v>-2100</v>
      </c>
      <c r="BW73" s="10">
        <f>AD47+(IFERROR((AN73/inp_c1_util)*(AO73/inp_c1_rate),0))*AZ47-AY47</f>
        <v>-2200</v>
      </c>
      <c r="BX73" s="10">
        <f>AD48+(IFERROR((AN73/inp_c1_util)*(AO73/inp_c1_rate),0))*AZ48-AY48</f>
        <v>-2300</v>
      </c>
      <c r="BY73" s="10">
        <f>AD49+(IFERROR((AN73/inp_c1_util)*(AO73/inp_c1_rate),0))*AZ49-AY49</f>
        <v>-2400</v>
      </c>
      <c r="BZ73" s="2"/>
      <c r="CA73" s="2"/>
      <c r="CB73" s="18">
        <f>IF(AND((IFERROR((AN73/sel_util)*(AO73/sel_rate),0))*AZ26-AY26&gt;=0,1&gt;=sel_start_m),1,9999)</f>
        <v>9999</v>
      </c>
      <c r="CC73" s="18">
        <f>IF(AND((IFERROR((AN73/sel_util)*(AO73/sel_rate),0))*AZ27-AY27&gt;=0,2&gt;=sel_start_m),2,9999)</f>
        <v>9999</v>
      </c>
      <c r="CD73" s="18">
        <f>IF(AND((IFERROR((AN73/sel_util)*(AO73/sel_rate),0))*AZ28-AY28&gt;=0,3&gt;=sel_start_m),3,9999)</f>
        <v>9999</v>
      </c>
      <c r="CE73" s="18">
        <f>IF(AND((IFERROR((AN73/sel_util)*(AO73/sel_rate),0))*AZ29-AY29&gt;=0,4&gt;=sel_start_m),4,9999)</f>
        <v>9999</v>
      </c>
      <c r="CF73" s="18">
        <f>IF(AND((IFERROR((AN73/sel_util)*(AO73/sel_rate),0))*AZ30-AY30&gt;=0,5&gt;=sel_start_m),5,9999)</f>
        <v>9999</v>
      </c>
      <c r="CG73" s="18">
        <f>IF(AND((IFERROR((AN73/sel_util)*(AO73/sel_rate),0))*AZ31-AY31&gt;=0,6&gt;=sel_start_m),6,9999)</f>
        <v>9999</v>
      </c>
      <c r="CH73" s="18">
        <f>IF(AND((IFERROR((AN73/sel_util)*(AO73/sel_rate),0))*AZ32-AY32&gt;=0,7&gt;=sel_start_m),7,9999)</f>
        <v>9999</v>
      </c>
      <c r="CI73" s="18">
        <f>IF(AND((IFERROR((AN73/sel_util)*(AO73/sel_rate),0))*AZ33-AY33&gt;=0,8&gt;=sel_start_m),8,9999)</f>
        <v>9999</v>
      </c>
      <c r="CJ73" s="18">
        <f>IF(AND((IFERROR((AN73/sel_util)*(AO73/sel_rate),0))*AZ34-AY34&gt;=0,9&gt;=sel_start_m),9,9999)</f>
        <v>9999</v>
      </c>
      <c r="CK73" s="18">
        <f>IF(AND((IFERROR((AN73/sel_util)*(AO73/sel_rate),0))*AZ35-AY35&gt;=0,10&gt;=sel_start_m),10,9999)</f>
        <v>9999</v>
      </c>
      <c r="CL73" s="18">
        <f>IF(AND((IFERROR((AN73/sel_util)*(AO73/sel_rate),0))*AZ36-AY36&gt;=0,11&gt;=sel_start_m),11,9999)</f>
        <v>9999</v>
      </c>
      <c r="CM73" s="18">
        <f>IF(AND((IFERROR((AN73/sel_util)*(AO73/sel_rate),0))*AZ37-AY37&gt;=0,12&gt;=sel_start_m),12,9999)</f>
        <v>9999</v>
      </c>
      <c r="CN73" s="18">
        <f>IF(AND((IFERROR((AN73/sel_util)*(AO73/sel_rate),0))*AZ38-AY38&gt;=0,13&gt;=sel_start_m),13,9999)</f>
        <v>9999</v>
      </c>
      <c r="CO73" s="18">
        <f>IF(AND((IFERROR((AN73/sel_util)*(AO73/sel_rate),0))*AZ39-AY39&gt;=0,14&gt;=sel_start_m),14,9999)</f>
        <v>9999</v>
      </c>
      <c r="CP73" s="18">
        <f>IF(AND((IFERROR((AN73/sel_util)*(AO73/sel_rate),0))*AZ40-AY40&gt;=0,15&gt;=sel_start_m),15,9999)</f>
        <v>9999</v>
      </c>
      <c r="CQ73" s="18">
        <f>IF(AND((IFERROR((AN73/sel_util)*(AO73/sel_rate),0))*AZ41-AY41&gt;=0,16&gt;=sel_start_m),16,9999)</f>
        <v>9999</v>
      </c>
      <c r="CR73" s="18">
        <f>IF(AND((IFERROR((AN73/sel_util)*(AO73/sel_rate),0))*AZ42-AY42&gt;=0,17&gt;=sel_start_m),17,9999)</f>
        <v>9999</v>
      </c>
      <c r="CS73" s="18">
        <f>IF(AND((IFERROR((AN73/sel_util)*(AO73/sel_rate),0))*AZ43-AY43&gt;=0,18&gt;=sel_start_m),18,9999)</f>
        <v>9999</v>
      </c>
      <c r="CT73" s="18">
        <f>IF(AND((IFERROR((AN73/sel_util)*(AO73/sel_rate),0))*AZ44-AY44&gt;=0,19&gt;=sel_start_m),19,9999)</f>
        <v>9999</v>
      </c>
      <c r="CU73" s="18">
        <f>IF(AND((IFERROR((AN73/sel_util)*(AO73/sel_rate),0))*AZ45-AY45&gt;=0,20&gt;=sel_start_m),20,9999)</f>
        <v>9999</v>
      </c>
      <c r="CV73" s="18">
        <f>IF(AND((IFERROR((AN73/sel_util)*(AO73/sel_rate),0))*AZ46-AY46&gt;=0,21&gt;=sel_start_m),21,9999)</f>
        <v>9999</v>
      </c>
      <c r="CW73" s="18">
        <f>IF(AND((IFERROR((AN73/sel_util)*(AO73/sel_rate),0))*AZ47-AY47&gt;=0,22&gt;=sel_start_m),22,9999)</f>
        <v>9999</v>
      </c>
      <c r="CX73" s="18">
        <f>IF(AND((IFERROR((AN73/sel_util)*(AO73/sel_rate),0))*AZ48-AY48&gt;=0,23&gt;=sel_start_m),23,9999)</f>
        <v>9999</v>
      </c>
      <c r="CY73" s="18">
        <f>IF(AND((IFERROR((AN73/sel_util)*(AO73/sel_rate),0))*AZ49-AY49&gt;=0,24&gt;=sel_start_m),24,9999)</f>
        <v>9999</v>
      </c>
      <c r="CZ73" s="2"/>
      <c r="DA73" s="2"/>
      <c r="DB73" s="2"/>
      <c r="DC73" s="2"/>
      <c r="DD73" s="2"/>
      <c r="DE73" s="2"/>
      <c r="DF73" s="2"/>
      <c r="DG73" s="2"/>
      <c r="DH73" s="2"/>
      <c r="DI73" s="2"/>
      <c r="DJ73" s="2"/>
      <c r="DK73" s="2"/>
      <c r="DL73" s="2"/>
      <c r="DM73" s="2"/>
    </row>
    <row r="74" spans="1:117" ht="32" customHeight="1" x14ac:dyDescent="0.2">
      <c r="A74" s="1"/>
      <c r="B74" s="84" t="str">
        <f>"Candidate 1 · "&amp;IF(inp_c1_role="","unnamed",inp_c1_role)&amp;" — "&amp;IF(NOT(inp_c1_active),"inactive. Toggle on in the roster to evaluate.",IF(N57&gt;=999,"does not pay back inside 24 months at current assumptions. ","pays back at month "&amp;N57&amp;". ")&amp;IF(N64&lt;0,"Cash trough breaches your floor by "&amp;TEXT(ABS(N64),"$#,##0")&amp;" in month "&amp;N63&amp;". ","Cash trough sits "&amp;TEXT(N64,"$#,##0")&amp;" above your floor at month "&amp;N63&amp;". ")&amp;"Flag: "&amp;N61&amp;".")</f>
        <v>Candidate 1 · unnamed — inactive. Toggle on in the roster to evaluate.</v>
      </c>
      <c r="C74" s="84"/>
      <c r="D74" s="84"/>
      <c r="E74" s="84"/>
      <c r="F74" s="84"/>
      <c r="G74" s="84"/>
      <c r="H74" s="84"/>
      <c r="I74" s="84"/>
      <c r="J74" s="84"/>
      <c r="K74" s="1"/>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9">
        <v>0.5</v>
      </c>
      <c r="AO74" s="10">
        <v>200</v>
      </c>
      <c r="AP74" s="18">
        <f t="shared" si="23"/>
        <v>999</v>
      </c>
      <c r="AQ74" s="10" t="str">
        <f t="shared" si="24"/>
        <v>-</v>
      </c>
      <c r="AR74" s="10" t="str">
        <f t="shared" si="25"/>
        <v>-</v>
      </c>
      <c r="AS74" s="2"/>
      <c r="AT74" s="19">
        <f>CHOOSE($AT$70,inp_c1_bill_hours,inp_c2_bill_hours,inp_c3_bill_hours,inp_c4_bill_hours,inp_c5_bill_hours,inp_c6_bill_hours,inp_c7_bill_hours,inp_c8_bill_hours)</f>
        <v>0</v>
      </c>
      <c r="AU74" s="2"/>
      <c r="AV74" s="2"/>
      <c r="AW74" s="2"/>
      <c r="AX74" s="2"/>
      <c r="AY74" s="2"/>
      <c r="AZ74" s="2"/>
      <c r="BA74" s="2"/>
      <c r="BB74" s="10">
        <f>AD26+(IFERROR((AN74/inp_c1_util)*(AO74/inp_c1_rate),0))*AZ26-AY26</f>
        <v>-100</v>
      </c>
      <c r="BC74" s="10">
        <f>AD27+(IFERROR((AN74/inp_c1_util)*(AO74/inp_c1_rate),0))*AZ27-AY27</f>
        <v>-200</v>
      </c>
      <c r="BD74" s="10">
        <f>AD28+(IFERROR((AN74/inp_c1_util)*(AO74/inp_c1_rate),0))*AZ28-AY28</f>
        <v>-300</v>
      </c>
      <c r="BE74" s="10">
        <f>AD29+(IFERROR((AN74/inp_c1_util)*(AO74/inp_c1_rate),0))*AZ29-AY29</f>
        <v>-400</v>
      </c>
      <c r="BF74" s="10">
        <f>AD30+(IFERROR((AN74/inp_c1_util)*(AO74/inp_c1_rate),0))*AZ30-AY30</f>
        <v>-500</v>
      </c>
      <c r="BG74" s="10">
        <f>AD31+(IFERROR((AN74/inp_c1_util)*(AO74/inp_c1_rate),0))*AZ31-AY31</f>
        <v>-600</v>
      </c>
      <c r="BH74" s="10">
        <f>AD32+(IFERROR((AN74/inp_c1_util)*(AO74/inp_c1_rate),0))*AZ32-AY32</f>
        <v>-700</v>
      </c>
      <c r="BI74" s="10">
        <f>AD33+(IFERROR((AN74/inp_c1_util)*(AO74/inp_c1_rate),0))*AZ33-AY33</f>
        <v>-800</v>
      </c>
      <c r="BJ74" s="10">
        <f>AD34+(IFERROR((AN74/inp_c1_util)*(AO74/inp_c1_rate),0))*AZ34-AY34</f>
        <v>-900</v>
      </c>
      <c r="BK74" s="10">
        <f>AD35+(IFERROR((AN74/inp_c1_util)*(AO74/inp_c1_rate),0))*AZ35-AY35</f>
        <v>-1000</v>
      </c>
      <c r="BL74" s="10">
        <f>AD36+(IFERROR((AN74/inp_c1_util)*(AO74/inp_c1_rate),0))*AZ36-AY36</f>
        <v>-1100</v>
      </c>
      <c r="BM74" s="10">
        <f>AD37+(IFERROR((AN74/inp_c1_util)*(AO74/inp_c1_rate),0))*AZ37-AY37</f>
        <v>-1200</v>
      </c>
      <c r="BN74" s="10">
        <f>AD38+(IFERROR((AN74/inp_c1_util)*(AO74/inp_c1_rate),0))*AZ38-AY38</f>
        <v>-1300</v>
      </c>
      <c r="BO74" s="10">
        <f>AD39+(IFERROR((AN74/inp_c1_util)*(AO74/inp_c1_rate),0))*AZ39-AY39</f>
        <v>-1400</v>
      </c>
      <c r="BP74" s="10">
        <f>AD40+(IFERROR((AN74/inp_c1_util)*(AO74/inp_c1_rate),0))*AZ40-AY40</f>
        <v>-1500</v>
      </c>
      <c r="BQ74" s="10">
        <f>AD41+(IFERROR((AN74/inp_c1_util)*(AO74/inp_c1_rate),0))*AZ41-AY41</f>
        <v>-1600</v>
      </c>
      <c r="BR74" s="10">
        <f>AD42+(IFERROR((AN74/inp_c1_util)*(AO74/inp_c1_rate),0))*AZ42-AY42</f>
        <v>-1700</v>
      </c>
      <c r="BS74" s="10">
        <f>AD43+(IFERROR((AN74/inp_c1_util)*(AO74/inp_c1_rate),0))*AZ43-AY43</f>
        <v>-1800</v>
      </c>
      <c r="BT74" s="10">
        <f>AD44+(IFERROR((AN74/inp_c1_util)*(AO74/inp_c1_rate),0))*AZ44-AY44</f>
        <v>-1900</v>
      </c>
      <c r="BU74" s="10">
        <f>AD45+(IFERROR((AN74/inp_c1_util)*(AO74/inp_c1_rate),0))*AZ45-AY45</f>
        <v>-2000</v>
      </c>
      <c r="BV74" s="10">
        <f>AD46+(IFERROR((AN74/inp_c1_util)*(AO74/inp_c1_rate),0))*AZ46-AY46</f>
        <v>-2100</v>
      </c>
      <c r="BW74" s="10">
        <f>AD47+(IFERROR((AN74/inp_c1_util)*(AO74/inp_c1_rate),0))*AZ47-AY47</f>
        <v>-2200</v>
      </c>
      <c r="BX74" s="10">
        <f>AD48+(IFERROR((AN74/inp_c1_util)*(AO74/inp_c1_rate),0))*AZ48-AY48</f>
        <v>-2300</v>
      </c>
      <c r="BY74" s="10">
        <f>AD49+(IFERROR((AN74/inp_c1_util)*(AO74/inp_c1_rate),0))*AZ49-AY49</f>
        <v>-2400</v>
      </c>
      <c r="BZ74" s="2"/>
      <c r="CA74" s="2"/>
      <c r="CB74" s="18">
        <f>IF(AND((IFERROR((AN74/sel_util)*(AO74/sel_rate),0))*AZ26-AY26&gt;=0,1&gt;=sel_start_m),1,9999)</f>
        <v>9999</v>
      </c>
      <c r="CC74" s="18">
        <f>IF(AND((IFERROR((AN74/sel_util)*(AO74/sel_rate),0))*AZ27-AY27&gt;=0,2&gt;=sel_start_m),2,9999)</f>
        <v>9999</v>
      </c>
      <c r="CD74" s="18">
        <f>IF(AND((IFERROR((AN74/sel_util)*(AO74/sel_rate),0))*AZ28-AY28&gt;=0,3&gt;=sel_start_m),3,9999)</f>
        <v>9999</v>
      </c>
      <c r="CE74" s="18">
        <f>IF(AND((IFERROR((AN74/sel_util)*(AO74/sel_rate),0))*AZ29-AY29&gt;=0,4&gt;=sel_start_m),4,9999)</f>
        <v>9999</v>
      </c>
      <c r="CF74" s="18">
        <f>IF(AND((IFERROR((AN74/sel_util)*(AO74/sel_rate),0))*AZ30-AY30&gt;=0,5&gt;=sel_start_m),5,9999)</f>
        <v>9999</v>
      </c>
      <c r="CG74" s="18">
        <f>IF(AND((IFERROR((AN74/sel_util)*(AO74/sel_rate),0))*AZ31-AY31&gt;=0,6&gt;=sel_start_m),6,9999)</f>
        <v>9999</v>
      </c>
      <c r="CH74" s="18">
        <f>IF(AND((IFERROR((AN74/sel_util)*(AO74/sel_rate),0))*AZ32-AY32&gt;=0,7&gt;=sel_start_m),7,9999)</f>
        <v>9999</v>
      </c>
      <c r="CI74" s="18">
        <f>IF(AND((IFERROR((AN74/sel_util)*(AO74/sel_rate),0))*AZ33-AY33&gt;=0,8&gt;=sel_start_m),8,9999)</f>
        <v>9999</v>
      </c>
      <c r="CJ74" s="18">
        <f>IF(AND((IFERROR((AN74/sel_util)*(AO74/sel_rate),0))*AZ34-AY34&gt;=0,9&gt;=sel_start_m),9,9999)</f>
        <v>9999</v>
      </c>
      <c r="CK74" s="18">
        <f>IF(AND((IFERROR((AN74/sel_util)*(AO74/sel_rate),0))*AZ35-AY35&gt;=0,10&gt;=sel_start_m),10,9999)</f>
        <v>9999</v>
      </c>
      <c r="CL74" s="18">
        <f>IF(AND((IFERROR((AN74/sel_util)*(AO74/sel_rate),0))*AZ36-AY36&gt;=0,11&gt;=sel_start_m),11,9999)</f>
        <v>9999</v>
      </c>
      <c r="CM74" s="18">
        <f>IF(AND((IFERROR((AN74/sel_util)*(AO74/sel_rate),0))*AZ37-AY37&gt;=0,12&gt;=sel_start_m),12,9999)</f>
        <v>9999</v>
      </c>
      <c r="CN74" s="18">
        <f>IF(AND((IFERROR((AN74/sel_util)*(AO74/sel_rate),0))*AZ38-AY38&gt;=0,13&gt;=sel_start_m),13,9999)</f>
        <v>9999</v>
      </c>
      <c r="CO74" s="18">
        <f>IF(AND((IFERROR((AN74/sel_util)*(AO74/sel_rate),0))*AZ39-AY39&gt;=0,14&gt;=sel_start_m),14,9999)</f>
        <v>9999</v>
      </c>
      <c r="CP74" s="18">
        <f>IF(AND((IFERROR((AN74/sel_util)*(AO74/sel_rate),0))*AZ40-AY40&gt;=0,15&gt;=sel_start_m),15,9999)</f>
        <v>9999</v>
      </c>
      <c r="CQ74" s="18">
        <f>IF(AND((IFERROR((AN74/sel_util)*(AO74/sel_rate),0))*AZ41-AY41&gt;=0,16&gt;=sel_start_m),16,9999)</f>
        <v>9999</v>
      </c>
      <c r="CR74" s="18">
        <f>IF(AND((IFERROR((AN74/sel_util)*(AO74/sel_rate),0))*AZ42-AY42&gt;=0,17&gt;=sel_start_m),17,9999)</f>
        <v>9999</v>
      </c>
      <c r="CS74" s="18">
        <f>IF(AND((IFERROR((AN74/sel_util)*(AO74/sel_rate),0))*AZ43-AY43&gt;=0,18&gt;=sel_start_m),18,9999)</f>
        <v>9999</v>
      </c>
      <c r="CT74" s="18">
        <f>IF(AND((IFERROR((AN74/sel_util)*(AO74/sel_rate),0))*AZ44-AY44&gt;=0,19&gt;=sel_start_m),19,9999)</f>
        <v>9999</v>
      </c>
      <c r="CU74" s="18">
        <f>IF(AND((IFERROR((AN74/sel_util)*(AO74/sel_rate),0))*AZ45-AY45&gt;=0,20&gt;=sel_start_m),20,9999)</f>
        <v>9999</v>
      </c>
      <c r="CV74" s="18">
        <f>IF(AND((IFERROR((AN74/sel_util)*(AO74/sel_rate),0))*AZ46-AY46&gt;=0,21&gt;=sel_start_m),21,9999)</f>
        <v>9999</v>
      </c>
      <c r="CW74" s="18">
        <f>IF(AND((IFERROR((AN74/sel_util)*(AO74/sel_rate),0))*AZ47-AY47&gt;=0,22&gt;=sel_start_m),22,9999)</f>
        <v>9999</v>
      </c>
      <c r="CX74" s="18">
        <f>IF(AND((IFERROR((AN74/sel_util)*(AO74/sel_rate),0))*AZ48-AY48&gt;=0,23&gt;=sel_start_m),23,9999)</f>
        <v>9999</v>
      </c>
      <c r="CY74" s="18">
        <f>IF(AND((IFERROR((AN74/sel_util)*(AO74/sel_rate),0))*AZ49-AY49&gt;=0,24&gt;=sel_start_m),24,9999)</f>
        <v>9999</v>
      </c>
      <c r="CZ74" s="2"/>
      <c r="DA74" s="2"/>
      <c r="DB74" s="2"/>
      <c r="DC74" s="2"/>
      <c r="DD74" s="2"/>
      <c r="DE74" s="2"/>
      <c r="DF74" s="2"/>
      <c r="DG74" s="2"/>
      <c r="DH74" s="2"/>
      <c r="DI74" s="2"/>
      <c r="DJ74" s="2"/>
      <c r="DK74" s="2"/>
      <c r="DL74" s="2"/>
      <c r="DM74" s="2"/>
    </row>
    <row r="75" spans="1:117" ht="32" customHeight="1" x14ac:dyDescent="0.2">
      <c r="A75" s="1"/>
      <c r="B75" s="84" t="str">
        <f>"Candidate 2 · "&amp;IF(inp_c2_role="","unnamed",inp_c2_role)&amp;" — "&amp;IF(NOT(inp_c2_active),"inactive. Toggle on in the roster to evaluate.",IF(O57&gt;=999,"does not pay back inside 24 months at current assumptions. ","pays back at month "&amp;O57&amp;". ")&amp;IF(O64&lt;0,"Cash trough breaches your floor by "&amp;TEXT(ABS(O64),"$#,##0")&amp;" in month "&amp;O63&amp;". ","Cash trough sits "&amp;TEXT(O64,"$#,##0")&amp;" above your floor at month "&amp;O63&amp;". ")&amp;"Flag: "&amp;O61&amp;".")</f>
        <v>Candidate 2 · unnamed — inactive. Toggle on in the roster to evaluate.</v>
      </c>
      <c r="C75" s="84"/>
      <c r="D75" s="84"/>
      <c r="E75" s="84"/>
      <c r="F75" s="84"/>
      <c r="G75" s="84"/>
      <c r="H75" s="84"/>
      <c r="I75" s="84"/>
      <c r="J75" s="84"/>
      <c r="K75" s="1"/>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9">
        <v>0.5</v>
      </c>
      <c r="AO75" s="10">
        <v>225</v>
      </c>
      <c r="AP75" s="18">
        <f t="shared" si="23"/>
        <v>999</v>
      </c>
      <c r="AQ75" s="10" t="str">
        <f t="shared" si="24"/>
        <v>-</v>
      </c>
      <c r="AR75" s="10" t="str">
        <f t="shared" si="25"/>
        <v>-</v>
      </c>
      <c r="AS75" s="2"/>
      <c r="AT75" s="19">
        <f>CHOOSE($AT$70,inp_c1_util,inp_c2_util,inp_c3_util,inp_c4_util,inp_c5_util,inp_c6_util,inp_c7_util,inp_c8_util)</f>
        <v>0</v>
      </c>
      <c r="AU75" s="2"/>
      <c r="AV75" s="2"/>
      <c r="AW75" s="2"/>
      <c r="AX75" s="2"/>
      <c r="AY75" s="2"/>
      <c r="AZ75" s="2"/>
      <c r="BA75" s="2"/>
      <c r="BB75" s="10">
        <f>AD26+(IFERROR((AN75/inp_c1_util)*(AO75/inp_c1_rate),0))*AZ26-AY26</f>
        <v>-100</v>
      </c>
      <c r="BC75" s="10">
        <f>AD27+(IFERROR((AN75/inp_c1_util)*(AO75/inp_c1_rate),0))*AZ27-AY27</f>
        <v>-200</v>
      </c>
      <c r="BD75" s="10">
        <f>AD28+(IFERROR((AN75/inp_c1_util)*(AO75/inp_c1_rate),0))*AZ28-AY28</f>
        <v>-300</v>
      </c>
      <c r="BE75" s="10">
        <f>AD29+(IFERROR((AN75/inp_c1_util)*(AO75/inp_c1_rate),0))*AZ29-AY29</f>
        <v>-400</v>
      </c>
      <c r="BF75" s="10">
        <f>AD30+(IFERROR((AN75/inp_c1_util)*(AO75/inp_c1_rate),0))*AZ30-AY30</f>
        <v>-500</v>
      </c>
      <c r="BG75" s="10">
        <f>AD31+(IFERROR((AN75/inp_c1_util)*(AO75/inp_c1_rate),0))*AZ31-AY31</f>
        <v>-600</v>
      </c>
      <c r="BH75" s="10">
        <f>AD32+(IFERROR((AN75/inp_c1_util)*(AO75/inp_c1_rate),0))*AZ32-AY32</f>
        <v>-700</v>
      </c>
      <c r="BI75" s="10">
        <f>AD33+(IFERROR((AN75/inp_c1_util)*(AO75/inp_c1_rate),0))*AZ33-AY33</f>
        <v>-800</v>
      </c>
      <c r="BJ75" s="10">
        <f>AD34+(IFERROR((AN75/inp_c1_util)*(AO75/inp_c1_rate),0))*AZ34-AY34</f>
        <v>-900</v>
      </c>
      <c r="BK75" s="10">
        <f>AD35+(IFERROR((AN75/inp_c1_util)*(AO75/inp_c1_rate),0))*AZ35-AY35</f>
        <v>-1000</v>
      </c>
      <c r="BL75" s="10">
        <f>AD36+(IFERROR((AN75/inp_c1_util)*(AO75/inp_c1_rate),0))*AZ36-AY36</f>
        <v>-1100</v>
      </c>
      <c r="BM75" s="10">
        <f>AD37+(IFERROR((AN75/inp_c1_util)*(AO75/inp_c1_rate),0))*AZ37-AY37</f>
        <v>-1200</v>
      </c>
      <c r="BN75" s="10">
        <f>AD38+(IFERROR((AN75/inp_c1_util)*(AO75/inp_c1_rate),0))*AZ38-AY38</f>
        <v>-1300</v>
      </c>
      <c r="BO75" s="10">
        <f>AD39+(IFERROR((AN75/inp_c1_util)*(AO75/inp_c1_rate),0))*AZ39-AY39</f>
        <v>-1400</v>
      </c>
      <c r="BP75" s="10">
        <f>AD40+(IFERROR((AN75/inp_c1_util)*(AO75/inp_c1_rate),0))*AZ40-AY40</f>
        <v>-1500</v>
      </c>
      <c r="BQ75" s="10">
        <f>AD41+(IFERROR((AN75/inp_c1_util)*(AO75/inp_c1_rate),0))*AZ41-AY41</f>
        <v>-1600</v>
      </c>
      <c r="BR75" s="10">
        <f>AD42+(IFERROR((AN75/inp_c1_util)*(AO75/inp_c1_rate),0))*AZ42-AY42</f>
        <v>-1700</v>
      </c>
      <c r="BS75" s="10">
        <f>AD43+(IFERROR((AN75/inp_c1_util)*(AO75/inp_c1_rate),0))*AZ43-AY43</f>
        <v>-1800</v>
      </c>
      <c r="BT75" s="10">
        <f>AD44+(IFERROR((AN75/inp_c1_util)*(AO75/inp_c1_rate),0))*AZ44-AY44</f>
        <v>-1900</v>
      </c>
      <c r="BU75" s="10">
        <f>AD45+(IFERROR((AN75/inp_c1_util)*(AO75/inp_c1_rate),0))*AZ45-AY45</f>
        <v>-2000</v>
      </c>
      <c r="BV75" s="10">
        <f>AD46+(IFERROR((AN75/inp_c1_util)*(AO75/inp_c1_rate),0))*AZ46-AY46</f>
        <v>-2100</v>
      </c>
      <c r="BW75" s="10">
        <f>AD47+(IFERROR((AN75/inp_c1_util)*(AO75/inp_c1_rate),0))*AZ47-AY47</f>
        <v>-2200</v>
      </c>
      <c r="BX75" s="10">
        <f>AD48+(IFERROR((AN75/inp_c1_util)*(AO75/inp_c1_rate),0))*AZ48-AY48</f>
        <v>-2300</v>
      </c>
      <c r="BY75" s="10">
        <f>AD49+(IFERROR((AN75/inp_c1_util)*(AO75/inp_c1_rate),0))*AZ49-AY49</f>
        <v>-2400</v>
      </c>
      <c r="BZ75" s="2"/>
      <c r="CA75" s="2"/>
      <c r="CB75" s="18">
        <f>IF(AND((IFERROR((AN75/sel_util)*(AO75/sel_rate),0))*AZ26-AY26&gt;=0,1&gt;=sel_start_m),1,9999)</f>
        <v>9999</v>
      </c>
      <c r="CC75" s="18">
        <f>IF(AND((IFERROR((AN75/sel_util)*(AO75/sel_rate),0))*AZ27-AY27&gt;=0,2&gt;=sel_start_m),2,9999)</f>
        <v>9999</v>
      </c>
      <c r="CD75" s="18">
        <f>IF(AND((IFERROR((AN75/sel_util)*(AO75/sel_rate),0))*AZ28-AY28&gt;=0,3&gt;=sel_start_m),3,9999)</f>
        <v>9999</v>
      </c>
      <c r="CE75" s="18">
        <f>IF(AND((IFERROR((AN75/sel_util)*(AO75/sel_rate),0))*AZ29-AY29&gt;=0,4&gt;=sel_start_m),4,9999)</f>
        <v>9999</v>
      </c>
      <c r="CF75" s="18">
        <f>IF(AND((IFERROR((AN75/sel_util)*(AO75/sel_rate),0))*AZ30-AY30&gt;=0,5&gt;=sel_start_m),5,9999)</f>
        <v>9999</v>
      </c>
      <c r="CG75" s="18">
        <f>IF(AND((IFERROR((AN75/sel_util)*(AO75/sel_rate),0))*AZ31-AY31&gt;=0,6&gt;=sel_start_m),6,9999)</f>
        <v>9999</v>
      </c>
      <c r="CH75" s="18">
        <f>IF(AND((IFERROR((AN75/sel_util)*(AO75/sel_rate),0))*AZ32-AY32&gt;=0,7&gt;=sel_start_m),7,9999)</f>
        <v>9999</v>
      </c>
      <c r="CI75" s="18">
        <f>IF(AND((IFERROR((AN75/sel_util)*(AO75/sel_rate),0))*AZ33-AY33&gt;=0,8&gt;=sel_start_m),8,9999)</f>
        <v>9999</v>
      </c>
      <c r="CJ75" s="18">
        <f>IF(AND((IFERROR((AN75/sel_util)*(AO75/sel_rate),0))*AZ34-AY34&gt;=0,9&gt;=sel_start_m),9,9999)</f>
        <v>9999</v>
      </c>
      <c r="CK75" s="18">
        <f>IF(AND((IFERROR((AN75/sel_util)*(AO75/sel_rate),0))*AZ35-AY35&gt;=0,10&gt;=sel_start_m),10,9999)</f>
        <v>9999</v>
      </c>
      <c r="CL75" s="18">
        <f>IF(AND((IFERROR((AN75/sel_util)*(AO75/sel_rate),0))*AZ36-AY36&gt;=0,11&gt;=sel_start_m),11,9999)</f>
        <v>9999</v>
      </c>
      <c r="CM75" s="18">
        <f>IF(AND((IFERROR((AN75/sel_util)*(AO75/sel_rate),0))*AZ37-AY37&gt;=0,12&gt;=sel_start_m),12,9999)</f>
        <v>9999</v>
      </c>
      <c r="CN75" s="18">
        <f>IF(AND((IFERROR((AN75/sel_util)*(AO75/sel_rate),0))*AZ38-AY38&gt;=0,13&gt;=sel_start_m),13,9999)</f>
        <v>9999</v>
      </c>
      <c r="CO75" s="18">
        <f>IF(AND((IFERROR((AN75/sel_util)*(AO75/sel_rate),0))*AZ39-AY39&gt;=0,14&gt;=sel_start_m),14,9999)</f>
        <v>9999</v>
      </c>
      <c r="CP75" s="18">
        <f>IF(AND((IFERROR((AN75/sel_util)*(AO75/sel_rate),0))*AZ40-AY40&gt;=0,15&gt;=sel_start_m),15,9999)</f>
        <v>9999</v>
      </c>
      <c r="CQ75" s="18">
        <f>IF(AND((IFERROR((AN75/sel_util)*(AO75/sel_rate),0))*AZ41-AY41&gt;=0,16&gt;=sel_start_m),16,9999)</f>
        <v>9999</v>
      </c>
      <c r="CR75" s="18">
        <f>IF(AND((IFERROR((AN75/sel_util)*(AO75/sel_rate),0))*AZ42-AY42&gt;=0,17&gt;=sel_start_m),17,9999)</f>
        <v>9999</v>
      </c>
      <c r="CS75" s="18">
        <f>IF(AND((IFERROR((AN75/sel_util)*(AO75/sel_rate),0))*AZ43-AY43&gt;=0,18&gt;=sel_start_m),18,9999)</f>
        <v>9999</v>
      </c>
      <c r="CT75" s="18">
        <f>IF(AND((IFERROR((AN75/sel_util)*(AO75/sel_rate),0))*AZ44-AY44&gt;=0,19&gt;=sel_start_m),19,9999)</f>
        <v>9999</v>
      </c>
      <c r="CU75" s="18">
        <f>IF(AND((IFERROR((AN75/sel_util)*(AO75/sel_rate),0))*AZ45-AY45&gt;=0,20&gt;=sel_start_m),20,9999)</f>
        <v>9999</v>
      </c>
      <c r="CV75" s="18">
        <f>IF(AND((IFERROR((AN75/sel_util)*(AO75/sel_rate),0))*AZ46-AY46&gt;=0,21&gt;=sel_start_m),21,9999)</f>
        <v>9999</v>
      </c>
      <c r="CW75" s="18">
        <f>IF(AND((IFERROR((AN75/sel_util)*(AO75/sel_rate),0))*AZ47-AY47&gt;=0,22&gt;=sel_start_m),22,9999)</f>
        <v>9999</v>
      </c>
      <c r="CX75" s="18">
        <f>IF(AND((IFERROR((AN75/sel_util)*(AO75/sel_rate),0))*AZ48-AY48&gt;=0,23&gt;=sel_start_m),23,9999)</f>
        <v>9999</v>
      </c>
      <c r="CY75" s="18">
        <f>IF(AND((IFERROR((AN75/sel_util)*(AO75/sel_rate),0))*AZ49-AY49&gt;=0,24&gt;=sel_start_m),24,9999)</f>
        <v>9999</v>
      </c>
      <c r="CZ75" s="2"/>
      <c r="DA75" s="2"/>
      <c r="DB75" s="2"/>
      <c r="DC75" s="2"/>
      <c r="DD75" s="2"/>
      <c r="DE75" s="2"/>
      <c r="DF75" s="2"/>
      <c r="DG75" s="2"/>
      <c r="DH75" s="2"/>
      <c r="DI75" s="2"/>
      <c r="DJ75" s="2"/>
      <c r="DK75" s="2"/>
      <c r="DL75" s="2"/>
      <c r="DM75" s="2"/>
    </row>
    <row r="76" spans="1:117" ht="32" customHeight="1" x14ac:dyDescent="0.2">
      <c r="A76" s="1"/>
      <c r="B76" s="84" t="str">
        <f>"Candidate 3 · "&amp;IF(inp_c3_role="","unnamed",inp_c3_role)&amp;" — "&amp;IF(NOT(inp_c3_active),"inactive. Toggle on in the roster to evaluate.",IF(P57&gt;=999,"does not pay back inside 24 months at current assumptions. ","pays back at month "&amp;P57&amp;". ")&amp;IF(P64&lt;0,"Cash trough breaches your floor by "&amp;TEXT(ABS(P64),"$#,##0")&amp;" in month "&amp;P63&amp;". ","Cash trough sits "&amp;TEXT(P64,"$#,##0")&amp;" above your floor at month "&amp;P63&amp;". ")&amp;"Flag: "&amp;P61&amp;".")</f>
        <v>Candidate 3 · unnamed — inactive. Toggle on in the roster to evaluate.</v>
      </c>
      <c r="C76" s="84"/>
      <c r="D76" s="84"/>
      <c r="E76" s="84"/>
      <c r="F76" s="84"/>
      <c r="G76" s="84"/>
      <c r="H76" s="84"/>
      <c r="I76" s="84"/>
      <c r="J76" s="84"/>
      <c r="K76" s="1"/>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9">
        <v>0.5</v>
      </c>
      <c r="AO76" s="10">
        <v>250</v>
      </c>
      <c r="AP76" s="18">
        <f t="shared" si="23"/>
        <v>999</v>
      </c>
      <c r="AQ76" s="10" t="str">
        <f t="shared" si="24"/>
        <v>-</v>
      </c>
      <c r="AR76" s="10" t="str">
        <f t="shared" si="25"/>
        <v>-</v>
      </c>
      <c r="AS76" s="2"/>
      <c r="AT76" s="19">
        <f>CHOOSE($AT$70,inp_c1_rate,inp_c2_rate,inp_c3_rate,inp_c4_rate,inp_c5_rate,inp_c6_rate,inp_c7_rate,inp_c8_rate)</f>
        <v>0</v>
      </c>
      <c r="AU76" s="2"/>
      <c r="AV76" s="2"/>
      <c r="AW76" s="2"/>
      <c r="AX76" s="2"/>
      <c r="AY76" s="2"/>
      <c r="AZ76" s="2"/>
      <c r="BA76" s="2"/>
      <c r="BB76" s="10">
        <f>AD26+(IFERROR((AN76/inp_c1_util)*(AO76/inp_c1_rate),0))*AZ26-AY26</f>
        <v>-100</v>
      </c>
      <c r="BC76" s="10">
        <f>AD27+(IFERROR((AN76/inp_c1_util)*(AO76/inp_c1_rate),0))*AZ27-AY27</f>
        <v>-200</v>
      </c>
      <c r="BD76" s="10">
        <f>AD28+(IFERROR((AN76/inp_c1_util)*(AO76/inp_c1_rate),0))*AZ28-AY28</f>
        <v>-300</v>
      </c>
      <c r="BE76" s="10">
        <f>AD29+(IFERROR((AN76/inp_c1_util)*(AO76/inp_c1_rate),0))*AZ29-AY29</f>
        <v>-400</v>
      </c>
      <c r="BF76" s="10">
        <f>AD30+(IFERROR((AN76/inp_c1_util)*(AO76/inp_c1_rate),0))*AZ30-AY30</f>
        <v>-500</v>
      </c>
      <c r="BG76" s="10">
        <f>AD31+(IFERROR((AN76/inp_c1_util)*(AO76/inp_c1_rate),0))*AZ31-AY31</f>
        <v>-600</v>
      </c>
      <c r="BH76" s="10">
        <f>AD32+(IFERROR((AN76/inp_c1_util)*(AO76/inp_c1_rate),0))*AZ32-AY32</f>
        <v>-700</v>
      </c>
      <c r="BI76" s="10">
        <f>AD33+(IFERROR((AN76/inp_c1_util)*(AO76/inp_c1_rate),0))*AZ33-AY33</f>
        <v>-800</v>
      </c>
      <c r="BJ76" s="10">
        <f>AD34+(IFERROR((AN76/inp_c1_util)*(AO76/inp_c1_rate),0))*AZ34-AY34</f>
        <v>-900</v>
      </c>
      <c r="BK76" s="10">
        <f>AD35+(IFERROR((AN76/inp_c1_util)*(AO76/inp_c1_rate),0))*AZ35-AY35</f>
        <v>-1000</v>
      </c>
      <c r="BL76" s="10">
        <f>AD36+(IFERROR((AN76/inp_c1_util)*(AO76/inp_c1_rate),0))*AZ36-AY36</f>
        <v>-1100</v>
      </c>
      <c r="BM76" s="10">
        <f>AD37+(IFERROR((AN76/inp_c1_util)*(AO76/inp_c1_rate),0))*AZ37-AY37</f>
        <v>-1200</v>
      </c>
      <c r="BN76" s="10">
        <f>AD38+(IFERROR((AN76/inp_c1_util)*(AO76/inp_c1_rate),0))*AZ38-AY38</f>
        <v>-1300</v>
      </c>
      <c r="BO76" s="10">
        <f>AD39+(IFERROR((AN76/inp_c1_util)*(AO76/inp_c1_rate),0))*AZ39-AY39</f>
        <v>-1400</v>
      </c>
      <c r="BP76" s="10">
        <f>AD40+(IFERROR((AN76/inp_c1_util)*(AO76/inp_c1_rate),0))*AZ40-AY40</f>
        <v>-1500</v>
      </c>
      <c r="BQ76" s="10">
        <f>AD41+(IFERROR((AN76/inp_c1_util)*(AO76/inp_c1_rate),0))*AZ41-AY41</f>
        <v>-1600</v>
      </c>
      <c r="BR76" s="10">
        <f>AD42+(IFERROR((AN76/inp_c1_util)*(AO76/inp_c1_rate),0))*AZ42-AY42</f>
        <v>-1700</v>
      </c>
      <c r="BS76" s="10">
        <f>AD43+(IFERROR((AN76/inp_c1_util)*(AO76/inp_c1_rate),0))*AZ43-AY43</f>
        <v>-1800</v>
      </c>
      <c r="BT76" s="10">
        <f>AD44+(IFERROR((AN76/inp_c1_util)*(AO76/inp_c1_rate),0))*AZ44-AY44</f>
        <v>-1900</v>
      </c>
      <c r="BU76" s="10">
        <f>AD45+(IFERROR((AN76/inp_c1_util)*(AO76/inp_c1_rate),0))*AZ45-AY45</f>
        <v>-2000</v>
      </c>
      <c r="BV76" s="10">
        <f>AD46+(IFERROR((AN76/inp_c1_util)*(AO76/inp_c1_rate),0))*AZ46-AY46</f>
        <v>-2100</v>
      </c>
      <c r="BW76" s="10">
        <f>AD47+(IFERROR((AN76/inp_c1_util)*(AO76/inp_c1_rate),0))*AZ47-AY47</f>
        <v>-2200</v>
      </c>
      <c r="BX76" s="10">
        <f>AD48+(IFERROR((AN76/inp_c1_util)*(AO76/inp_c1_rate),0))*AZ48-AY48</f>
        <v>-2300</v>
      </c>
      <c r="BY76" s="10">
        <f>AD49+(IFERROR((AN76/inp_c1_util)*(AO76/inp_c1_rate),0))*AZ49-AY49</f>
        <v>-2400</v>
      </c>
      <c r="BZ76" s="2"/>
      <c r="CA76" s="2"/>
      <c r="CB76" s="18">
        <f>IF(AND((IFERROR((AN76/sel_util)*(AO76/sel_rate),0))*AZ26-AY26&gt;=0,1&gt;=sel_start_m),1,9999)</f>
        <v>9999</v>
      </c>
      <c r="CC76" s="18">
        <f>IF(AND((IFERROR((AN76/sel_util)*(AO76/sel_rate),0))*AZ27-AY27&gt;=0,2&gt;=sel_start_m),2,9999)</f>
        <v>9999</v>
      </c>
      <c r="CD76" s="18">
        <f>IF(AND((IFERROR((AN76/sel_util)*(AO76/sel_rate),0))*AZ28-AY28&gt;=0,3&gt;=sel_start_m),3,9999)</f>
        <v>9999</v>
      </c>
      <c r="CE76" s="18">
        <f>IF(AND((IFERROR((AN76/sel_util)*(AO76/sel_rate),0))*AZ29-AY29&gt;=0,4&gt;=sel_start_m),4,9999)</f>
        <v>9999</v>
      </c>
      <c r="CF76" s="18">
        <f>IF(AND((IFERROR((AN76/sel_util)*(AO76/sel_rate),0))*AZ30-AY30&gt;=0,5&gt;=sel_start_m),5,9999)</f>
        <v>9999</v>
      </c>
      <c r="CG76" s="18">
        <f>IF(AND((IFERROR((AN76/sel_util)*(AO76/sel_rate),0))*AZ31-AY31&gt;=0,6&gt;=sel_start_m),6,9999)</f>
        <v>9999</v>
      </c>
      <c r="CH76" s="18">
        <f>IF(AND((IFERROR((AN76/sel_util)*(AO76/sel_rate),0))*AZ32-AY32&gt;=0,7&gt;=sel_start_m),7,9999)</f>
        <v>9999</v>
      </c>
      <c r="CI76" s="18">
        <f>IF(AND((IFERROR((AN76/sel_util)*(AO76/sel_rate),0))*AZ33-AY33&gt;=0,8&gt;=sel_start_m),8,9999)</f>
        <v>9999</v>
      </c>
      <c r="CJ76" s="18">
        <f>IF(AND((IFERROR((AN76/sel_util)*(AO76/sel_rate),0))*AZ34-AY34&gt;=0,9&gt;=sel_start_m),9,9999)</f>
        <v>9999</v>
      </c>
      <c r="CK76" s="18">
        <f>IF(AND((IFERROR((AN76/sel_util)*(AO76/sel_rate),0))*AZ35-AY35&gt;=0,10&gt;=sel_start_m),10,9999)</f>
        <v>9999</v>
      </c>
      <c r="CL76" s="18">
        <f>IF(AND((IFERROR((AN76/sel_util)*(AO76/sel_rate),0))*AZ36-AY36&gt;=0,11&gt;=sel_start_m),11,9999)</f>
        <v>9999</v>
      </c>
      <c r="CM76" s="18">
        <f>IF(AND((IFERROR((AN76/sel_util)*(AO76/sel_rate),0))*AZ37-AY37&gt;=0,12&gt;=sel_start_m),12,9999)</f>
        <v>9999</v>
      </c>
      <c r="CN76" s="18">
        <f>IF(AND((IFERROR((AN76/sel_util)*(AO76/sel_rate),0))*AZ38-AY38&gt;=0,13&gt;=sel_start_m),13,9999)</f>
        <v>9999</v>
      </c>
      <c r="CO76" s="18">
        <f>IF(AND((IFERROR((AN76/sel_util)*(AO76/sel_rate),0))*AZ39-AY39&gt;=0,14&gt;=sel_start_m),14,9999)</f>
        <v>9999</v>
      </c>
      <c r="CP76" s="18">
        <f>IF(AND((IFERROR((AN76/sel_util)*(AO76/sel_rate),0))*AZ40-AY40&gt;=0,15&gt;=sel_start_m),15,9999)</f>
        <v>9999</v>
      </c>
      <c r="CQ76" s="18">
        <f>IF(AND((IFERROR((AN76/sel_util)*(AO76/sel_rate),0))*AZ41-AY41&gt;=0,16&gt;=sel_start_m),16,9999)</f>
        <v>9999</v>
      </c>
      <c r="CR76" s="18">
        <f>IF(AND((IFERROR((AN76/sel_util)*(AO76/sel_rate),0))*AZ42-AY42&gt;=0,17&gt;=sel_start_m),17,9999)</f>
        <v>9999</v>
      </c>
      <c r="CS76" s="18">
        <f>IF(AND((IFERROR((AN76/sel_util)*(AO76/sel_rate),0))*AZ43-AY43&gt;=0,18&gt;=sel_start_m),18,9999)</f>
        <v>9999</v>
      </c>
      <c r="CT76" s="18">
        <f>IF(AND((IFERROR((AN76/sel_util)*(AO76/sel_rate),0))*AZ44-AY44&gt;=0,19&gt;=sel_start_m),19,9999)</f>
        <v>9999</v>
      </c>
      <c r="CU76" s="18">
        <f>IF(AND((IFERROR((AN76/sel_util)*(AO76/sel_rate),0))*AZ45-AY45&gt;=0,20&gt;=sel_start_m),20,9999)</f>
        <v>9999</v>
      </c>
      <c r="CV76" s="18">
        <f>IF(AND((IFERROR((AN76/sel_util)*(AO76/sel_rate),0))*AZ46-AY46&gt;=0,21&gt;=sel_start_m),21,9999)</f>
        <v>9999</v>
      </c>
      <c r="CW76" s="18">
        <f>IF(AND((IFERROR((AN76/sel_util)*(AO76/sel_rate),0))*AZ47-AY47&gt;=0,22&gt;=sel_start_m),22,9999)</f>
        <v>9999</v>
      </c>
      <c r="CX76" s="18">
        <f>IF(AND((IFERROR((AN76/sel_util)*(AO76/sel_rate),0))*AZ48-AY48&gt;=0,23&gt;=sel_start_m),23,9999)</f>
        <v>9999</v>
      </c>
      <c r="CY76" s="18">
        <f>IF(AND((IFERROR((AN76/sel_util)*(AO76/sel_rate),0))*AZ49-AY49&gt;=0,24&gt;=sel_start_m),24,9999)</f>
        <v>9999</v>
      </c>
      <c r="CZ76" s="2"/>
      <c r="DA76" s="2"/>
      <c r="DB76" s="2"/>
      <c r="DC76" s="2"/>
      <c r="DD76" s="2"/>
      <c r="DE76" s="2"/>
      <c r="DF76" s="2"/>
      <c r="DG76" s="2"/>
      <c r="DH76" s="2"/>
      <c r="DI76" s="2"/>
      <c r="DJ76" s="2"/>
      <c r="DK76" s="2"/>
      <c r="DL76" s="2"/>
      <c r="DM76" s="2"/>
    </row>
    <row r="77" spans="1:117" ht="32" customHeight="1" x14ac:dyDescent="0.2">
      <c r="A77" s="1"/>
      <c r="B77" s="91" t="str">
        <f>"Candidate 4 · "&amp;IF(inp_c4_role="","unnamed",inp_c4_role)&amp;" — "&amp;IF(NOT(inp_c4_active),"inactive. Toggle on in the roster to evaluate.",IF(Q57&gt;=999,"does not pay back inside 24 months at current assumptions. ","pays back at month "&amp;Q57&amp;". ")&amp;IF(Q64&lt;0,"Cash trough breaches your floor by "&amp;TEXT(ABS(Q64),"$#,##0")&amp;" in month "&amp;Q63&amp;". ","Cash trough sits "&amp;TEXT(Q64,"$#,##0")&amp;" above your floor at month "&amp;Q63&amp;". ")&amp;"Flag: "&amp;Q61&amp;".")</f>
        <v>Candidate 4 · unnamed — inactive. Toggle on in the roster to evaluate.</v>
      </c>
      <c r="C77" s="91"/>
      <c r="D77" s="91"/>
      <c r="E77" s="91"/>
      <c r="F77" s="91"/>
      <c r="G77" s="91"/>
      <c r="H77" s="91"/>
      <c r="I77" s="91"/>
      <c r="J77" s="91"/>
      <c r="K77" s="1"/>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9">
        <v>0.5</v>
      </c>
      <c r="AO77" s="10">
        <v>275</v>
      </c>
      <c r="AP77" s="18">
        <f t="shared" si="23"/>
        <v>999</v>
      </c>
      <c r="AQ77" s="10" t="str">
        <f t="shared" si="24"/>
        <v>-</v>
      </c>
      <c r="AR77" s="10" t="str">
        <f t="shared" si="25"/>
        <v>-</v>
      </c>
      <c r="AS77" s="2"/>
      <c r="AT77" s="19">
        <f>CHOOSE($AT$70,inp_c1_m1_prod,inp_c2_m1_prod,inp_c3_m1_prod,inp_c4_m1_prod,inp_c5_m1_prod,inp_c6_m1_prod,inp_c7_m1_prod,inp_c8_m1_prod)</f>
        <v>0</v>
      </c>
      <c r="AU77" s="2"/>
      <c r="AV77" s="2"/>
      <c r="AW77" s="2"/>
      <c r="AX77" s="2"/>
      <c r="AY77" s="2"/>
      <c r="AZ77" s="2"/>
      <c r="BA77" s="2"/>
      <c r="BB77" s="10">
        <f>AD26+(IFERROR((AN77/inp_c1_util)*(AO77/inp_c1_rate),0))*AZ26-AY26</f>
        <v>-100</v>
      </c>
      <c r="BC77" s="10">
        <f>AD27+(IFERROR((AN77/inp_c1_util)*(AO77/inp_c1_rate),0))*AZ27-AY27</f>
        <v>-200</v>
      </c>
      <c r="BD77" s="10">
        <f>AD28+(IFERROR((AN77/inp_c1_util)*(AO77/inp_c1_rate),0))*AZ28-AY28</f>
        <v>-300</v>
      </c>
      <c r="BE77" s="10">
        <f>AD29+(IFERROR((AN77/inp_c1_util)*(AO77/inp_c1_rate),0))*AZ29-AY29</f>
        <v>-400</v>
      </c>
      <c r="BF77" s="10">
        <f>AD30+(IFERROR((AN77/inp_c1_util)*(AO77/inp_c1_rate),0))*AZ30-AY30</f>
        <v>-500</v>
      </c>
      <c r="BG77" s="10">
        <f>AD31+(IFERROR((AN77/inp_c1_util)*(AO77/inp_c1_rate),0))*AZ31-AY31</f>
        <v>-600</v>
      </c>
      <c r="BH77" s="10">
        <f>AD32+(IFERROR((AN77/inp_c1_util)*(AO77/inp_c1_rate),0))*AZ32-AY32</f>
        <v>-700</v>
      </c>
      <c r="BI77" s="10">
        <f>AD33+(IFERROR((AN77/inp_c1_util)*(AO77/inp_c1_rate),0))*AZ33-AY33</f>
        <v>-800</v>
      </c>
      <c r="BJ77" s="10">
        <f>AD34+(IFERROR((AN77/inp_c1_util)*(AO77/inp_c1_rate),0))*AZ34-AY34</f>
        <v>-900</v>
      </c>
      <c r="BK77" s="10">
        <f>AD35+(IFERROR((AN77/inp_c1_util)*(AO77/inp_c1_rate),0))*AZ35-AY35</f>
        <v>-1000</v>
      </c>
      <c r="BL77" s="10">
        <f>AD36+(IFERROR((AN77/inp_c1_util)*(AO77/inp_c1_rate),0))*AZ36-AY36</f>
        <v>-1100</v>
      </c>
      <c r="BM77" s="10">
        <f>AD37+(IFERROR((AN77/inp_c1_util)*(AO77/inp_c1_rate),0))*AZ37-AY37</f>
        <v>-1200</v>
      </c>
      <c r="BN77" s="10">
        <f>AD38+(IFERROR((AN77/inp_c1_util)*(AO77/inp_c1_rate),0))*AZ38-AY38</f>
        <v>-1300</v>
      </c>
      <c r="BO77" s="10">
        <f>AD39+(IFERROR((AN77/inp_c1_util)*(AO77/inp_c1_rate),0))*AZ39-AY39</f>
        <v>-1400</v>
      </c>
      <c r="BP77" s="10">
        <f>AD40+(IFERROR((AN77/inp_c1_util)*(AO77/inp_c1_rate),0))*AZ40-AY40</f>
        <v>-1500</v>
      </c>
      <c r="BQ77" s="10">
        <f>AD41+(IFERROR((AN77/inp_c1_util)*(AO77/inp_c1_rate),0))*AZ41-AY41</f>
        <v>-1600</v>
      </c>
      <c r="BR77" s="10">
        <f>AD42+(IFERROR((AN77/inp_c1_util)*(AO77/inp_c1_rate),0))*AZ42-AY42</f>
        <v>-1700</v>
      </c>
      <c r="BS77" s="10">
        <f>AD43+(IFERROR((AN77/inp_c1_util)*(AO77/inp_c1_rate),0))*AZ43-AY43</f>
        <v>-1800</v>
      </c>
      <c r="BT77" s="10">
        <f>AD44+(IFERROR((AN77/inp_c1_util)*(AO77/inp_c1_rate),0))*AZ44-AY44</f>
        <v>-1900</v>
      </c>
      <c r="BU77" s="10">
        <f>AD45+(IFERROR((AN77/inp_c1_util)*(AO77/inp_c1_rate),0))*AZ45-AY45</f>
        <v>-2000</v>
      </c>
      <c r="BV77" s="10">
        <f>AD46+(IFERROR((AN77/inp_c1_util)*(AO77/inp_c1_rate),0))*AZ46-AY46</f>
        <v>-2100</v>
      </c>
      <c r="BW77" s="10">
        <f>AD47+(IFERROR((AN77/inp_c1_util)*(AO77/inp_c1_rate),0))*AZ47-AY47</f>
        <v>-2200</v>
      </c>
      <c r="BX77" s="10">
        <f>AD48+(IFERROR((AN77/inp_c1_util)*(AO77/inp_c1_rate),0))*AZ48-AY48</f>
        <v>-2300</v>
      </c>
      <c r="BY77" s="10">
        <f>AD49+(IFERROR((AN77/inp_c1_util)*(AO77/inp_c1_rate),0))*AZ49-AY49</f>
        <v>-2400</v>
      </c>
      <c r="BZ77" s="2"/>
      <c r="CA77" s="2"/>
      <c r="CB77" s="18">
        <f>IF(AND((IFERROR((AN77/sel_util)*(AO77/sel_rate),0))*AZ26-AY26&gt;=0,1&gt;=sel_start_m),1,9999)</f>
        <v>9999</v>
      </c>
      <c r="CC77" s="18">
        <f>IF(AND((IFERROR((AN77/sel_util)*(AO77/sel_rate),0))*AZ27-AY27&gt;=0,2&gt;=sel_start_m),2,9999)</f>
        <v>9999</v>
      </c>
      <c r="CD77" s="18">
        <f>IF(AND((IFERROR((AN77/sel_util)*(AO77/sel_rate),0))*AZ28-AY28&gt;=0,3&gt;=sel_start_m),3,9999)</f>
        <v>9999</v>
      </c>
      <c r="CE77" s="18">
        <f>IF(AND((IFERROR((AN77/sel_util)*(AO77/sel_rate),0))*AZ29-AY29&gt;=0,4&gt;=sel_start_m),4,9999)</f>
        <v>9999</v>
      </c>
      <c r="CF77" s="18">
        <f>IF(AND((IFERROR((AN77/sel_util)*(AO77/sel_rate),0))*AZ30-AY30&gt;=0,5&gt;=sel_start_m),5,9999)</f>
        <v>9999</v>
      </c>
      <c r="CG77" s="18">
        <f>IF(AND((IFERROR((AN77/sel_util)*(AO77/sel_rate),0))*AZ31-AY31&gt;=0,6&gt;=sel_start_m),6,9999)</f>
        <v>9999</v>
      </c>
      <c r="CH77" s="18">
        <f>IF(AND((IFERROR((AN77/sel_util)*(AO77/sel_rate),0))*AZ32-AY32&gt;=0,7&gt;=sel_start_m),7,9999)</f>
        <v>9999</v>
      </c>
      <c r="CI77" s="18">
        <f>IF(AND((IFERROR((AN77/sel_util)*(AO77/sel_rate),0))*AZ33-AY33&gt;=0,8&gt;=sel_start_m),8,9999)</f>
        <v>9999</v>
      </c>
      <c r="CJ77" s="18">
        <f>IF(AND((IFERROR((AN77/sel_util)*(AO77/sel_rate),0))*AZ34-AY34&gt;=0,9&gt;=sel_start_m),9,9999)</f>
        <v>9999</v>
      </c>
      <c r="CK77" s="18">
        <f>IF(AND((IFERROR((AN77/sel_util)*(AO77/sel_rate),0))*AZ35-AY35&gt;=0,10&gt;=sel_start_m),10,9999)</f>
        <v>9999</v>
      </c>
      <c r="CL77" s="18">
        <f>IF(AND((IFERROR((AN77/sel_util)*(AO77/sel_rate),0))*AZ36-AY36&gt;=0,11&gt;=sel_start_m),11,9999)</f>
        <v>9999</v>
      </c>
      <c r="CM77" s="18">
        <f>IF(AND((IFERROR((AN77/sel_util)*(AO77/sel_rate),0))*AZ37-AY37&gt;=0,12&gt;=sel_start_m),12,9999)</f>
        <v>9999</v>
      </c>
      <c r="CN77" s="18">
        <f>IF(AND((IFERROR((AN77/sel_util)*(AO77/sel_rate),0))*AZ38-AY38&gt;=0,13&gt;=sel_start_m),13,9999)</f>
        <v>9999</v>
      </c>
      <c r="CO77" s="18">
        <f>IF(AND((IFERROR((AN77/sel_util)*(AO77/sel_rate),0))*AZ39-AY39&gt;=0,14&gt;=sel_start_m),14,9999)</f>
        <v>9999</v>
      </c>
      <c r="CP77" s="18">
        <f>IF(AND((IFERROR((AN77/sel_util)*(AO77/sel_rate),0))*AZ40-AY40&gt;=0,15&gt;=sel_start_m),15,9999)</f>
        <v>9999</v>
      </c>
      <c r="CQ77" s="18">
        <f>IF(AND((IFERROR((AN77/sel_util)*(AO77/sel_rate),0))*AZ41-AY41&gt;=0,16&gt;=sel_start_m),16,9999)</f>
        <v>9999</v>
      </c>
      <c r="CR77" s="18">
        <f>IF(AND((IFERROR((AN77/sel_util)*(AO77/sel_rate),0))*AZ42-AY42&gt;=0,17&gt;=sel_start_m),17,9999)</f>
        <v>9999</v>
      </c>
      <c r="CS77" s="18">
        <f>IF(AND((IFERROR((AN77/sel_util)*(AO77/sel_rate),0))*AZ43-AY43&gt;=0,18&gt;=sel_start_m),18,9999)</f>
        <v>9999</v>
      </c>
      <c r="CT77" s="18">
        <f>IF(AND((IFERROR((AN77/sel_util)*(AO77/sel_rate),0))*AZ44-AY44&gt;=0,19&gt;=sel_start_m),19,9999)</f>
        <v>9999</v>
      </c>
      <c r="CU77" s="18">
        <f>IF(AND((IFERROR((AN77/sel_util)*(AO77/sel_rate),0))*AZ45-AY45&gt;=0,20&gt;=sel_start_m),20,9999)</f>
        <v>9999</v>
      </c>
      <c r="CV77" s="18">
        <f>IF(AND((IFERROR((AN77/sel_util)*(AO77/sel_rate),0))*AZ46-AY46&gt;=0,21&gt;=sel_start_m),21,9999)</f>
        <v>9999</v>
      </c>
      <c r="CW77" s="18">
        <f>IF(AND((IFERROR((AN77/sel_util)*(AO77/sel_rate),0))*AZ47-AY47&gt;=0,22&gt;=sel_start_m),22,9999)</f>
        <v>9999</v>
      </c>
      <c r="CX77" s="18">
        <f>IF(AND((IFERROR((AN77/sel_util)*(AO77/sel_rate),0))*AZ48-AY48&gt;=0,23&gt;=sel_start_m),23,9999)</f>
        <v>9999</v>
      </c>
      <c r="CY77" s="18">
        <f>IF(AND((IFERROR((AN77/sel_util)*(AO77/sel_rate),0))*AZ49-AY49&gt;=0,24&gt;=sel_start_m),24,9999)</f>
        <v>9999</v>
      </c>
      <c r="CZ77" s="2"/>
      <c r="DA77" s="2"/>
      <c r="DB77" s="2"/>
      <c r="DC77" s="2"/>
      <c r="DD77" s="2"/>
      <c r="DE77" s="2"/>
      <c r="DF77" s="2"/>
      <c r="DG77" s="2"/>
      <c r="DH77" s="2"/>
      <c r="DI77" s="2"/>
      <c r="DJ77" s="2"/>
      <c r="DK77" s="2"/>
      <c r="DL77" s="2"/>
      <c r="DM77" s="2"/>
    </row>
    <row r="78" spans="1:117" ht="32" customHeight="1" x14ac:dyDescent="0.2">
      <c r="A78" s="1"/>
      <c r="B78" s="91" t="str">
        <f>"Candidate 5 · "&amp;IF(inp_c5_role="","unnamed",inp_c5_role)&amp;" — "&amp;IF(NOT(inp_c5_active),"inactive. Toggle on in the roster to evaluate.",IF(R57&gt;=999,"does not pay back inside 24 months at current assumptions. ","pays back at month "&amp;R57&amp;". ")&amp;IF(R64&lt;0,"Cash trough breaches your floor by "&amp;TEXT(ABS(R64),"$#,##0")&amp;" in month "&amp;R63&amp;". ","Cash trough sits "&amp;TEXT(R64,"$#,##0")&amp;" above your floor at month "&amp;R63&amp;". ")&amp;"Flag: "&amp;R61&amp;".")</f>
        <v>Candidate 5 · unnamed — inactive. Toggle on in the roster to evaluate.</v>
      </c>
      <c r="C78" s="91"/>
      <c r="D78" s="91"/>
      <c r="E78" s="91"/>
      <c r="F78" s="91"/>
      <c r="G78" s="91"/>
      <c r="H78" s="91"/>
      <c r="I78" s="91"/>
      <c r="J78" s="91"/>
      <c r="K78" s="1"/>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9">
        <v>0.5</v>
      </c>
      <c r="AO78" s="10">
        <v>300</v>
      </c>
      <c r="AP78" s="18">
        <f t="shared" si="23"/>
        <v>999</v>
      </c>
      <c r="AQ78" s="10" t="str">
        <f t="shared" si="24"/>
        <v>-</v>
      </c>
      <c r="AR78" s="10" t="str">
        <f t="shared" si="25"/>
        <v>-</v>
      </c>
      <c r="AS78" s="2"/>
      <c r="AT78" s="19">
        <f>CHOOSE($AT$70,inp_c1_ramp_m,inp_c2_ramp_m,inp_c3_ramp_m,inp_c4_ramp_m,inp_c5_ramp_m,inp_c6_ramp_m,inp_c7_ramp_m,inp_c8_ramp_m)</f>
        <v>0</v>
      </c>
      <c r="AU78" s="2"/>
      <c r="AV78" s="2"/>
      <c r="AW78" s="2"/>
      <c r="AX78" s="2"/>
      <c r="AY78" s="2"/>
      <c r="AZ78" s="2"/>
      <c r="BA78" s="2"/>
      <c r="BB78" s="10">
        <f>AD26+(IFERROR((AN78/inp_c1_util)*(AO78/inp_c1_rate),0))*AZ26-AY26</f>
        <v>-100</v>
      </c>
      <c r="BC78" s="10">
        <f>AD27+(IFERROR((AN78/inp_c1_util)*(AO78/inp_c1_rate),0))*AZ27-AY27</f>
        <v>-200</v>
      </c>
      <c r="BD78" s="10">
        <f>AD28+(IFERROR((AN78/inp_c1_util)*(AO78/inp_c1_rate),0))*AZ28-AY28</f>
        <v>-300</v>
      </c>
      <c r="BE78" s="10">
        <f>AD29+(IFERROR((AN78/inp_c1_util)*(AO78/inp_c1_rate),0))*AZ29-AY29</f>
        <v>-400</v>
      </c>
      <c r="BF78" s="10">
        <f>AD30+(IFERROR((AN78/inp_c1_util)*(AO78/inp_c1_rate),0))*AZ30-AY30</f>
        <v>-500</v>
      </c>
      <c r="BG78" s="10">
        <f>AD31+(IFERROR((AN78/inp_c1_util)*(AO78/inp_c1_rate),0))*AZ31-AY31</f>
        <v>-600</v>
      </c>
      <c r="BH78" s="10">
        <f>AD32+(IFERROR((AN78/inp_c1_util)*(AO78/inp_c1_rate),0))*AZ32-AY32</f>
        <v>-700</v>
      </c>
      <c r="BI78" s="10">
        <f>AD33+(IFERROR((AN78/inp_c1_util)*(AO78/inp_c1_rate),0))*AZ33-AY33</f>
        <v>-800</v>
      </c>
      <c r="BJ78" s="10">
        <f>AD34+(IFERROR((AN78/inp_c1_util)*(AO78/inp_c1_rate),0))*AZ34-AY34</f>
        <v>-900</v>
      </c>
      <c r="BK78" s="10">
        <f>AD35+(IFERROR((AN78/inp_c1_util)*(AO78/inp_c1_rate),0))*AZ35-AY35</f>
        <v>-1000</v>
      </c>
      <c r="BL78" s="10">
        <f>AD36+(IFERROR((AN78/inp_c1_util)*(AO78/inp_c1_rate),0))*AZ36-AY36</f>
        <v>-1100</v>
      </c>
      <c r="BM78" s="10">
        <f>AD37+(IFERROR((AN78/inp_c1_util)*(AO78/inp_c1_rate),0))*AZ37-AY37</f>
        <v>-1200</v>
      </c>
      <c r="BN78" s="10">
        <f>AD38+(IFERROR((AN78/inp_c1_util)*(AO78/inp_c1_rate),0))*AZ38-AY38</f>
        <v>-1300</v>
      </c>
      <c r="BO78" s="10">
        <f>AD39+(IFERROR((AN78/inp_c1_util)*(AO78/inp_c1_rate),0))*AZ39-AY39</f>
        <v>-1400</v>
      </c>
      <c r="BP78" s="10">
        <f>AD40+(IFERROR((AN78/inp_c1_util)*(AO78/inp_c1_rate),0))*AZ40-AY40</f>
        <v>-1500</v>
      </c>
      <c r="BQ78" s="10">
        <f>AD41+(IFERROR((AN78/inp_c1_util)*(AO78/inp_c1_rate),0))*AZ41-AY41</f>
        <v>-1600</v>
      </c>
      <c r="BR78" s="10">
        <f>AD42+(IFERROR((AN78/inp_c1_util)*(AO78/inp_c1_rate),0))*AZ42-AY42</f>
        <v>-1700</v>
      </c>
      <c r="BS78" s="10">
        <f>AD43+(IFERROR((AN78/inp_c1_util)*(AO78/inp_c1_rate),0))*AZ43-AY43</f>
        <v>-1800</v>
      </c>
      <c r="BT78" s="10">
        <f>AD44+(IFERROR((AN78/inp_c1_util)*(AO78/inp_c1_rate),0))*AZ44-AY44</f>
        <v>-1900</v>
      </c>
      <c r="BU78" s="10">
        <f>AD45+(IFERROR((AN78/inp_c1_util)*(AO78/inp_c1_rate),0))*AZ45-AY45</f>
        <v>-2000</v>
      </c>
      <c r="BV78" s="10">
        <f>AD46+(IFERROR((AN78/inp_c1_util)*(AO78/inp_c1_rate),0))*AZ46-AY46</f>
        <v>-2100</v>
      </c>
      <c r="BW78" s="10">
        <f>AD47+(IFERROR((AN78/inp_c1_util)*(AO78/inp_c1_rate),0))*AZ47-AY47</f>
        <v>-2200</v>
      </c>
      <c r="BX78" s="10">
        <f>AD48+(IFERROR((AN78/inp_c1_util)*(AO78/inp_c1_rate),0))*AZ48-AY48</f>
        <v>-2300</v>
      </c>
      <c r="BY78" s="10">
        <f>AD49+(IFERROR((AN78/inp_c1_util)*(AO78/inp_c1_rate),0))*AZ49-AY49</f>
        <v>-2400</v>
      </c>
      <c r="BZ78" s="2"/>
      <c r="CA78" s="2"/>
      <c r="CB78" s="18">
        <f>IF(AND((IFERROR((AN78/sel_util)*(AO78/sel_rate),0))*AZ26-AY26&gt;=0,1&gt;=sel_start_m),1,9999)</f>
        <v>9999</v>
      </c>
      <c r="CC78" s="18">
        <f>IF(AND((IFERROR((AN78/sel_util)*(AO78/sel_rate),0))*AZ27-AY27&gt;=0,2&gt;=sel_start_m),2,9999)</f>
        <v>9999</v>
      </c>
      <c r="CD78" s="18">
        <f>IF(AND((IFERROR((AN78/sel_util)*(AO78/sel_rate),0))*AZ28-AY28&gt;=0,3&gt;=sel_start_m),3,9999)</f>
        <v>9999</v>
      </c>
      <c r="CE78" s="18">
        <f>IF(AND((IFERROR((AN78/sel_util)*(AO78/sel_rate),0))*AZ29-AY29&gt;=0,4&gt;=sel_start_m),4,9999)</f>
        <v>9999</v>
      </c>
      <c r="CF78" s="18">
        <f>IF(AND((IFERROR((AN78/sel_util)*(AO78/sel_rate),0))*AZ30-AY30&gt;=0,5&gt;=sel_start_m),5,9999)</f>
        <v>9999</v>
      </c>
      <c r="CG78" s="18">
        <f>IF(AND((IFERROR((AN78/sel_util)*(AO78/sel_rate),0))*AZ31-AY31&gt;=0,6&gt;=sel_start_m),6,9999)</f>
        <v>9999</v>
      </c>
      <c r="CH78" s="18">
        <f>IF(AND((IFERROR((AN78/sel_util)*(AO78/sel_rate),0))*AZ32-AY32&gt;=0,7&gt;=sel_start_m),7,9999)</f>
        <v>9999</v>
      </c>
      <c r="CI78" s="18">
        <f>IF(AND((IFERROR((AN78/sel_util)*(AO78/sel_rate),0))*AZ33-AY33&gt;=0,8&gt;=sel_start_m),8,9999)</f>
        <v>9999</v>
      </c>
      <c r="CJ78" s="18">
        <f>IF(AND((IFERROR((AN78/sel_util)*(AO78/sel_rate),0))*AZ34-AY34&gt;=0,9&gt;=sel_start_m),9,9999)</f>
        <v>9999</v>
      </c>
      <c r="CK78" s="18">
        <f>IF(AND((IFERROR((AN78/sel_util)*(AO78/sel_rate),0))*AZ35-AY35&gt;=0,10&gt;=sel_start_m),10,9999)</f>
        <v>9999</v>
      </c>
      <c r="CL78" s="18">
        <f>IF(AND((IFERROR((AN78/sel_util)*(AO78/sel_rate),0))*AZ36-AY36&gt;=0,11&gt;=sel_start_m),11,9999)</f>
        <v>9999</v>
      </c>
      <c r="CM78" s="18">
        <f>IF(AND((IFERROR((AN78/sel_util)*(AO78/sel_rate),0))*AZ37-AY37&gt;=0,12&gt;=sel_start_m),12,9999)</f>
        <v>9999</v>
      </c>
      <c r="CN78" s="18">
        <f>IF(AND((IFERROR((AN78/sel_util)*(AO78/sel_rate),0))*AZ38-AY38&gt;=0,13&gt;=sel_start_m),13,9999)</f>
        <v>9999</v>
      </c>
      <c r="CO78" s="18">
        <f>IF(AND((IFERROR((AN78/sel_util)*(AO78/sel_rate),0))*AZ39-AY39&gt;=0,14&gt;=sel_start_m),14,9999)</f>
        <v>9999</v>
      </c>
      <c r="CP78" s="18">
        <f>IF(AND((IFERROR((AN78/sel_util)*(AO78/sel_rate),0))*AZ40-AY40&gt;=0,15&gt;=sel_start_m),15,9999)</f>
        <v>9999</v>
      </c>
      <c r="CQ78" s="18">
        <f>IF(AND((IFERROR((AN78/sel_util)*(AO78/sel_rate),0))*AZ41-AY41&gt;=0,16&gt;=sel_start_m),16,9999)</f>
        <v>9999</v>
      </c>
      <c r="CR78" s="18">
        <f>IF(AND((IFERROR((AN78/sel_util)*(AO78/sel_rate),0))*AZ42-AY42&gt;=0,17&gt;=sel_start_m),17,9999)</f>
        <v>9999</v>
      </c>
      <c r="CS78" s="18">
        <f>IF(AND((IFERROR((AN78/sel_util)*(AO78/sel_rate),0))*AZ43-AY43&gt;=0,18&gt;=sel_start_m),18,9999)</f>
        <v>9999</v>
      </c>
      <c r="CT78" s="18">
        <f>IF(AND((IFERROR((AN78/sel_util)*(AO78/sel_rate),0))*AZ44-AY44&gt;=0,19&gt;=sel_start_m),19,9999)</f>
        <v>9999</v>
      </c>
      <c r="CU78" s="18">
        <f>IF(AND((IFERROR((AN78/sel_util)*(AO78/sel_rate),0))*AZ45-AY45&gt;=0,20&gt;=sel_start_m),20,9999)</f>
        <v>9999</v>
      </c>
      <c r="CV78" s="18">
        <f>IF(AND((IFERROR((AN78/sel_util)*(AO78/sel_rate),0))*AZ46-AY46&gt;=0,21&gt;=sel_start_m),21,9999)</f>
        <v>9999</v>
      </c>
      <c r="CW78" s="18">
        <f>IF(AND((IFERROR((AN78/sel_util)*(AO78/sel_rate),0))*AZ47-AY47&gt;=0,22&gt;=sel_start_m),22,9999)</f>
        <v>9999</v>
      </c>
      <c r="CX78" s="18">
        <f>IF(AND((IFERROR((AN78/sel_util)*(AO78/sel_rate),0))*AZ48-AY48&gt;=0,23&gt;=sel_start_m),23,9999)</f>
        <v>9999</v>
      </c>
      <c r="CY78" s="18">
        <f>IF(AND((IFERROR((AN78/sel_util)*(AO78/sel_rate),0))*AZ49-AY49&gt;=0,24&gt;=sel_start_m),24,9999)</f>
        <v>9999</v>
      </c>
      <c r="CZ78" s="2"/>
      <c r="DA78" s="2"/>
      <c r="DB78" s="2"/>
      <c r="DC78" s="2"/>
      <c r="DD78" s="2"/>
      <c r="DE78" s="2"/>
      <c r="DF78" s="2"/>
      <c r="DG78" s="2"/>
      <c r="DH78" s="2"/>
      <c r="DI78" s="2"/>
      <c r="DJ78" s="2"/>
      <c r="DK78" s="2"/>
      <c r="DL78" s="2"/>
      <c r="DM78" s="2"/>
    </row>
    <row r="79" spans="1:117" ht="32" customHeight="1" x14ac:dyDescent="0.2">
      <c r="A79" s="1"/>
      <c r="B79" s="91" t="str">
        <f>"Candidate 6 · "&amp;IF(inp_c6_role="","unnamed",inp_c6_role)&amp;" — "&amp;IF(NOT(inp_c6_active),"inactive. Toggle on in the roster to evaluate.",IF(S57&gt;=999,"does not pay back inside 24 months at current assumptions. ","pays back at month "&amp;S57&amp;". ")&amp;IF(S64&lt;0,"Cash trough breaches your floor by "&amp;TEXT(ABS(S64),"$#,##0")&amp;" in month "&amp;S63&amp;". ","Cash trough sits "&amp;TEXT(S64,"$#,##0")&amp;" above your floor at month "&amp;S63&amp;". ")&amp;"Flag: "&amp;S61&amp;".")</f>
        <v>Candidate 6 · unnamed — inactive. Toggle on in the roster to evaluate.</v>
      </c>
      <c r="C79" s="91"/>
      <c r="D79" s="91"/>
      <c r="E79" s="91"/>
      <c r="F79" s="91"/>
      <c r="G79" s="91"/>
      <c r="H79" s="91"/>
      <c r="I79" s="91"/>
      <c r="J79" s="91"/>
      <c r="K79" s="1"/>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9">
        <v>0.6</v>
      </c>
      <c r="AO79" s="10">
        <v>150</v>
      </c>
      <c r="AP79" s="18">
        <f t="shared" si="23"/>
        <v>999</v>
      </c>
      <c r="AQ79" s="10" t="str">
        <f t="shared" si="24"/>
        <v>-</v>
      </c>
      <c r="AR79" s="10" t="str">
        <f t="shared" si="25"/>
        <v>-</v>
      </c>
      <c r="AS79" s="2"/>
      <c r="AT79" s="19">
        <f>CHOOSE($AT$70,inp_c1_start_m,inp_c2_start_m,inp_c3_start_m,inp_c4_start_m,inp_c5_start_m,inp_c6_start_m,inp_c7_start_m,inp_c8_start_m)</f>
        <v>0</v>
      </c>
      <c r="AU79" s="2"/>
      <c r="AV79" s="2"/>
      <c r="AW79" s="2"/>
      <c r="AX79" s="2"/>
      <c r="AY79" s="2"/>
      <c r="AZ79" s="2"/>
      <c r="BA79" s="2"/>
      <c r="BB79" s="10">
        <f>AD26+(IFERROR((AN79/inp_c1_util)*(AO79/inp_c1_rate),0))*AZ26-AY26</f>
        <v>-100</v>
      </c>
      <c r="BC79" s="10">
        <f>AD27+(IFERROR((AN79/inp_c1_util)*(AO79/inp_c1_rate),0))*AZ27-AY27</f>
        <v>-200</v>
      </c>
      <c r="BD79" s="10">
        <f>AD28+(IFERROR((AN79/inp_c1_util)*(AO79/inp_c1_rate),0))*AZ28-AY28</f>
        <v>-300</v>
      </c>
      <c r="BE79" s="10">
        <f>AD29+(IFERROR((AN79/inp_c1_util)*(AO79/inp_c1_rate),0))*AZ29-AY29</f>
        <v>-400</v>
      </c>
      <c r="BF79" s="10">
        <f>AD30+(IFERROR((AN79/inp_c1_util)*(AO79/inp_c1_rate),0))*AZ30-AY30</f>
        <v>-500</v>
      </c>
      <c r="BG79" s="10">
        <f>AD31+(IFERROR((AN79/inp_c1_util)*(AO79/inp_c1_rate),0))*AZ31-AY31</f>
        <v>-600</v>
      </c>
      <c r="BH79" s="10">
        <f>AD32+(IFERROR((AN79/inp_c1_util)*(AO79/inp_c1_rate),0))*AZ32-AY32</f>
        <v>-700</v>
      </c>
      <c r="BI79" s="10">
        <f>AD33+(IFERROR((AN79/inp_c1_util)*(AO79/inp_c1_rate),0))*AZ33-AY33</f>
        <v>-800</v>
      </c>
      <c r="BJ79" s="10">
        <f>AD34+(IFERROR((AN79/inp_c1_util)*(AO79/inp_c1_rate),0))*AZ34-AY34</f>
        <v>-900</v>
      </c>
      <c r="BK79" s="10">
        <f>AD35+(IFERROR((AN79/inp_c1_util)*(AO79/inp_c1_rate),0))*AZ35-AY35</f>
        <v>-1000</v>
      </c>
      <c r="BL79" s="10">
        <f>AD36+(IFERROR((AN79/inp_c1_util)*(AO79/inp_c1_rate),0))*AZ36-AY36</f>
        <v>-1100</v>
      </c>
      <c r="BM79" s="10">
        <f>AD37+(IFERROR((AN79/inp_c1_util)*(AO79/inp_c1_rate),0))*AZ37-AY37</f>
        <v>-1200</v>
      </c>
      <c r="BN79" s="10">
        <f>AD38+(IFERROR((AN79/inp_c1_util)*(AO79/inp_c1_rate),0))*AZ38-AY38</f>
        <v>-1300</v>
      </c>
      <c r="BO79" s="10">
        <f>AD39+(IFERROR((AN79/inp_c1_util)*(AO79/inp_c1_rate),0))*AZ39-AY39</f>
        <v>-1400</v>
      </c>
      <c r="BP79" s="10">
        <f>AD40+(IFERROR((AN79/inp_c1_util)*(AO79/inp_c1_rate),0))*AZ40-AY40</f>
        <v>-1500</v>
      </c>
      <c r="BQ79" s="10">
        <f>AD41+(IFERROR((AN79/inp_c1_util)*(AO79/inp_c1_rate),0))*AZ41-AY41</f>
        <v>-1600</v>
      </c>
      <c r="BR79" s="10">
        <f>AD42+(IFERROR((AN79/inp_c1_util)*(AO79/inp_c1_rate),0))*AZ42-AY42</f>
        <v>-1700</v>
      </c>
      <c r="BS79" s="10">
        <f>AD43+(IFERROR((AN79/inp_c1_util)*(AO79/inp_c1_rate),0))*AZ43-AY43</f>
        <v>-1800</v>
      </c>
      <c r="BT79" s="10">
        <f>AD44+(IFERROR((AN79/inp_c1_util)*(AO79/inp_c1_rate),0))*AZ44-AY44</f>
        <v>-1900</v>
      </c>
      <c r="BU79" s="10">
        <f>AD45+(IFERROR((AN79/inp_c1_util)*(AO79/inp_c1_rate),0))*AZ45-AY45</f>
        <v>-2000</v>
      </c>
      <c r="BV79" s="10">
        <f>AD46+(IFERROR((AN79/inp_c1_util)*(AO79/inp_c1_rate),0))*AZ46-AY46</f>
        <v>-2100</v>
      </c>
      <c r="BW79" s="10">
        <f>AD47+(IFERROR((AN79/inp_c1_util)*(AO79/inp_c1_rate),0))*AZ47-AY47</f>
        <v>-2200</v>
      </c>
      <c r="BX79" s="10">
        <f>AD48+(IFERROR((AN79/inp_c1_util)*(AO79/inp_c1_rate),0))*AZ48-AY48</f>
        <v>-2300</v>
      </c>
      <c r="BY79" s="10">
        <f>AD49+(IFERROR((AN79/inp_c1_util)*(AO79/inp_c1_rate),0))*AZ49-AY49</f>
        <v>-2400</v>
      </c>
      <c r="BZ79" s="2"/>
      <c r="CA79" s="2"/>
      <c r="CB79" s="18">
        <f>IF(AND((IFERROR((AN79/sel_util)*(AO79/sel_rate),0))*AZ26-AY26&gt;=0,1&gt;=sel_start_m),1,9999)</f>
        <v>9999</v>
      </c>
      <c r="CC79" s="18">
        <f>IF(AND((IFERROR((AN79/sel_util)*(AO79/sel_rate),0))*AZ27-AY27&gt;=0,2&gt;=sel_start_m),2,9999)</f>
        <v>9999</v>
      </c>
      <c r="CD79" s="18">
        <f>IF(AND((IFERROR((AN79/sel_util)*(AO79/sel_rate),0))*AZ28-AY28&gt;=0,3&gt;=sel_start_m),3,9999)</f>
        <v>9999</v>
      </c>
      <c r="CE79" s="18">
        <f>IF(AND((IFERROR((AN79/sel_util)*(AO79/sel_rate),0))*AZ29-AY29&gt;=0,4&gt;=sel_start_m),4,9999)</f>
        <v>9999</v>
      </c>
      <c r="CF79" s="18">
        <f>IF(AND((IFERROR((AN79/sel_util)*(AO79/sel_rate),0))*AZ30-AY30&gt;=0,5&gt;=sel_start_m),5,9999)</f>
        <v>9999</v>
      </c>
      <c r="CG79" s="18">
        <f>IF(AND((IFERROR((AN79/sel_util)*(AO79/sel_rate),0))*AZ31-AY31&gt;=0,6&gt;=sel_start_m),6,9999)</f>
        <v>9999</v>
      </c>
      <c r="CH79" s="18">
        <f>IF(AND((IFERROR((AN79/sel_util)*(AO79/sel_rate),0))*AZ32-AY32&gt;=0,7&gt;=sel_start_m),7,9999)</f>
        <v>9999</v>
      </c>
      <c r="CI79" s="18">
        <f>IF(AND((IFERROR((AN79/sel_util)*(AO79/sel_rate),0))*AZ33-AY33&gt;=0,8&gt;=sel_start_m),8,9999)</f>
        <v>9999</v>
      </c>
      <c r="CJ79" s="18">
        <f>IF(AND((IFERROR((AN79/sel_util)*(AO79/sel_rate),0))*AZ34-AY34&gt;=0,9&gt;=sel_start_m),9,9999)</f>
        <v>9999</v>
      </c>
      <c r="CK79" s="18">
        <f>IF(AND((IFERROR((AN79/sel_util)*(AO79/sel_rate),0))*AZ35-AY35&gt;=0,10&gt;=sel_start_m),10,9999)</f>
        <v>9999</v>
      </c>
      <c r="CL79" s="18">
        <f>IF(AND((IFERROR((AN79/sel_util)*(AO79/sel_rate),0))*AZ36-AY36&gt;=0,11&gt;=sel_start_m),11,9999)</f>
        <v>9999</v>
      </c>
      <c r="CM79" s="18">
        <f>IF(AND((IFERROR((AN79/sel_util)*(AO79/sel_rate),0))*AZ37-AY37&gt;=0,12&gt;=sel_start_m),12,9999)</f>
        <v>9999</v>
      </c>
      <c r="CN79" s="18">
        <f>IF(AND((IFERROR((AN79/sel_util)*(AO79/sel_rate),0))*AZ38-AY38&gt;=0,13&gt;=sel_start_m),13,9999)</f>
        <v>9999</v>
      </c>
      <c r="CO79" s="18">
        <f>IF(AND((IFERROR((AN79/sel_util)*(AO79/sel_rate),0))*AZ39-AY39&gt;=0,14&gt;=sel_start_m),14,9999)</f>
        <v>9999</v>
      </c>
      <c r="CP79" s="18">
        <f>IF(AND((IFERROR((AN79/sel_util)*(AO79/sel_rate),0))*AZ40-AY40&gt;=0,15&gt;=sel_start_m),15,9999)</f>
        <v>9999</v>
      </c>
      <c r="CQ79" s="18">
        <f>IF(AND((IFERROR((AN79/sel_util)*(AO79/sel_rate),0))*AZ41-AY41&gt;=0,16&gt;=sel_start_m),16,9999)</f>
        <v>9999</v>
      </c>
      <c r="CR79" s="18">
        <f>IF(AND((IFERROR((AN79/sel_util)*(AO79/sel_rate),0))*AZ42-AY42&gt;=0,17&gt;=sel_start_m),17,9999)</f>
        <v>9999</v>
      </c>
      <c r="CS79" s="18">
        <f>IF(AND((IFERROR((AN79/sel_util)*(AO79/sel_rate),0))*AZ43-AY43&gt;=0,18&gt;=sel_start_m),18,9999)</f>
        <v>9999</v>
      </c>
      <c r="CT79" s="18">
        <f>IF(AND((IFERROR((AN79/sel_util)*(AO79/sel_rate),0))*AZ44-AY44&gt;=0,19&gt;=sel_start_m),19,9999)</f>
        <v>9999</v>
      </c>
      <c r="CU79" s="18">
        <f>IF(AND((IFERROR((AN79/sel_util)*(AO79/sel_rate),0))*AZ45-AY45&gt;=0,20&gt;=sel_start_m),20,9999)</f>
        <v>9999</v>
      </c>
      <c r="CV79" s="18">
        <f>IF(AND((IFERROR((AN79/sel_util)*(AO79/sel_rate),0))*AZ46-AY46&gt;=0,21&gt;=sel_start_m),21,9999)</f>
        <v>9999</v>
      </c>
      <c r="CW79" s="18">
        <f>IF(AND((IFERROR((AN79/sel_util)*(AO79/sel_rate),0))*AZ47-AY47&gt;=0,22&gt;=sel_start_m),22,9999)</f>
        <v>9999</v>
      </c>
      <c r="CX79" s="18">
        <f>IF(AND((IFERROR((AN79/sel_util)*(AO79/sel_rate),0))*AZ48-AY48&gt;=0,23&gt;=sel_start_m),23,9999)</f>
        <v>9999</v>
      </c>
      <c r="CY79" s="18">
        <f>IF(AND((IFERROR((AN79/sel_util)*(AO79/sel_rate),0))*AZ49-AY49&gt;=0,24&gt;=sel_start_m),24,9999)</f>
        <v>9999</v>
      </c>
      <c r="CZ79" s="2"/>
      <c r="DA79" s="2"/>
      <c r="DB79" s="2"/>
      <c r="DC79" s="2"/>
      <c r="DD79" s="2"/>
      <c r="DE79" s="2"/>
      <c r="DF79" s="2"/>
      <c r="DG79" s="2"/>
      <c r="DH79" s="2"/>
      <c r="DI79" s="2"/>
      <c r="DJ79" s="2"/>
      <c r="DK79" s="2"/>
      <c r="DL79" s="2"/>
      <c r="DM79" s="2"/>
    </row>
    <row r="80" spans="1:117" ht="32" customHeight="1" x14ac:dyDescent="0.2">
      <c r="A80" s="1"/>
      <c r="B80" s="91" t="str">
        <f>"Candidate 7 · "&amp;IF(inp_c7_role="","unnamed",inp_c7_role)&amp;" — "&amp;IF(NOT(inp_c7_active),"inactive. Toggle on in the roster to evaluate.",IF(T57&gt;=999,"does not pay back inside 24 months at current assumptions. ","pays back at month "&amp;T57&amp;". ")&amp;IF(T64&lt;0,"Cash trough breaches your floor by "&amp;TEXT(ABS(T64),"$#,##0")&amp;" in month "&amp;T63&amp;". ","Cash trough sits "&amp;TEXT(T64,"$#,##0")&amp;" above your floor at month "&amp;T63&amp;". ")&amp;"Flag: "&amp;T61&amp;".")</f>
        <v>Candidate 7 · unnamed — inactive. Toggle on in the roster to evaluate.</v>
      </c>
      <c r="C80" s="91"/>
      <c r="D80" s="91"/>
      <c r="E80" s="91"/>
      <c r="F80" s="91"/>
      <c r="G80" s="91"/>
      <c r="H80" s="91"/>
      <c r="I80" s="91"/>
      <c r="J80" s="91"/>
      <c r="K80" s="1"/>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9">
        <v>0.6</v>
      </c>
      <c r="AO80" s="10">
        <v>175</v>
      </c>
      <c r="AP80" s="18">
        <f t="shared" si="23"/>
        <v>999</v>
      </c>
      <c r="AQ80" s="10" t="str">
        <f t="shared" si="24"/>
        <v>-</v>
      </c>
      <c r="AR80" s="10" t="str">
        <f t="shared" si="25"/>
        <v>-</v>
      </c>
      <c r="AS80" s="2"/>
      <c r="AT80" s="19">
        <f>CHOOSE($AT$70,inp_c1_collect_lag,inp_c2_collect_lag,inp_c3_collect_lag,inp_c4_collect_lag,inp_c5_collect_lag,inp_c6_collect_lag,inp_c7_collect_lag,inp_c8_collect_lag)</f>
        <v>0</v>
      </c>
      <c r="AU80" s="2"/>
      <c r="AV80" s="2"/>
      <c r="AW80" s="2"/>
      <c r="AX80" s="2"/>
      <c r="AY80" s="2"/>
      <c r="AZ80" s="2"/>
      <c r="BA80" s="2"/>
      <c r="BB80" s="10">
        <f>AD26+(IFERROR((AN80/inp_c1_util)*(AO80/inp_c1_rate),0))*AZ26-AY26</f>
        <v>-100</v>
      </c>
      <c r="BC80" s="10">
        <f>AD27+(IFERROR((AN80/inp_c1_util)*(AO80/inp_c1_rate),0))*AZ27-AY27</f>
        <v>-200</v>
      </c>
      <c r="BD80" s="10">
        <f>AD28+(IFERROR((AN80/inp_c1_util)*(AO80/inp_c1_rate),0))*AZ28-AY28</f>
        <v>-300</v>
      </c>
      <c r="BE80" s="10">
        <f>AD29+(IFERROR((AN80/inp_c1_util)*(AO80/inp_c1_rate),0))*AZ29-AY29</f>
        <v>-400</v>
      </c>
      <c r="BF80" s="10">
        <f>AD30+(IFERROR((AN80/inp_c1_util)*(AO80/inp_c1_rate),0))*AZ30-AY30</f>
        <v>-500</v>
      </c>
      <c r="BG80" s="10">
        <f>AD31+(IFERROR((AN80/inp_c1_util)*(AO80/inp_c1_rate),0))*AZ31-AY31</f>
        <v>-600</v>
      </c>
      <c r="BH80" s="10">
        <f>AD32+(IFERROR((AN80/inp_c1_util)*(AO80/inp_c1_rate),0))*AZ32-AY32</f>
        <v>-700</v>
      </c>
      <c r="BI80" s="10">
        <f>AD33+(IFERROR((AN80/inp_c1_util)*(AO80/inp_c1_rate),0))*AZ33-AY33</f>
        <v>-800</v>
      </c>
      <c r="BJ80" s="10">
        <f>AD34+(IFERROR((AN80/inp_c1_util)*(AO80/inp_c1_rate),0))*AZ34-AY34</f>
        <v>-900</v>
      </c>
      <c r="BK80" s="10">
        <f>AD35+(IFERROR((AN80/inp_c1_util)*(AO80/inp_c1_rate),0))*AZ35-AY35</f>
        <v>-1000</v>
      </c>
      <c r="BL80" s="10">
        <f>AD36+(IFERROR((AN80/inp_c1_util)*(AO80/inp_c1_rate),0))*AZ36-AY36</f>
        <v>-1100</v>
      </c>
      <c r="BM80" s="10">
        <f>AD37+(IFERROR((AN80/inp_c1_util)*(AO80/inp_c1_rate),0))*AZ37-AY37</f>
        <v>-1200</v>
      </c>
      <c r="BN80" s="10">
        <f>AD38+(IFERROR((AN80/inp_c1_util)*(AO80/inp_c1_rate),0))*AZ38-AY38</f>
        <v>-1300</v>
      </c>
      <c r="BO80" s="10">
        <f>AD39+(IFERROR((AN80/inp_c1_util)*(AO80/inp_c1_rate),0))*AZ39-AY39</f>
        <v>-1400</v>
      </c>
      <c r="BP80" s="10">
        <f>AD40+(IFERROR((AN80/inp_c1_util)*(AO80/inp_c1_rate),0))*AZ40-AY40</f>
        <v>-1500</v>
      </c>
      <c r="BQ80" s="10">
        <f>AD41+(IFERROR((AN80/inp_c1_util)*(AO80/inp_c1_rate),0))*AZ41-AY41</f>
        <v>-1600</v>
      </c>
      <c r="BR80" s="10">
        <f>AD42+(IFERROR((AN80/inp_c1_util)*(AO80/inp_c1_rate),0))*AZ42-AY42</f>
        <v>-1700</v>
      </c>
      <c r="BS80" s="10">
        <f>AD43+(IFERROR((AN80/inp_c1_util)*(AO80/inp_c1_rate),0))*AZ43-AY43</f>
        <v>-1800</v>
      </c>
      <c r="BT80" s="10">
        <f>AD44+(IFERROR((AN80/inp_c1_util)*(AO80/inp_c1_rate),0))*AZ44-AY44</f>
        <v>-1900</v>
      </c>
      <c r="BU80" s="10">
        <f>AD45+(IFERROR((AN80/inp_c1_util)*(AO80/inp_c1_rate),0))*AZ45-AY45</f>
        <v>-2000</v>
      </c>
      <c r="BV80" s="10">
        <f>AD46+(IFERROR((AN80/inp_c1_util)*(AO80/inp_c1_rate),0))*AZ46-AY46</f>
        <v>-2100</v>
      </c>
      <c r="BW80" s="10">
        <f>AD47+(IFERROR((AN80/inp_c1_util)*(AO80/inp_c1_rate),0))*AZ47-AY47</f>
        <v>-2200</v>
      </c>
      <c r="BX80" s="10">
        <f>AD48+(IFERROR((AN80/inp_c1_util)*(AO80/inp_c1_rate),0))*AZ48-AY48</f>
        <v>-2300</v>
      </c>
      <c r="BY80" s="10">
        <f>AD49+(IFERROR((AN80/inp_c1_util)*(AO80/inp_c1_rate),0))*AZ49-AY49</f>
        <v>-2400</v>
      </c>
      <c r="BZ80" s="2"/>
      <c r="CA80" s="2"/>
      <c r="CB80" s="18">
        <f>IF(AND((IFERROR((AN80/sel_util)*(AO80/sel_rate),0))*AZ26-AY26&gt;=0,1&gt;=sel_start_m),1,9999)</f>
        <v>9999</v>
      </c>
      <c r="CC80" s="18">
        <f>IF(AND((IFERROR((AN80/sel_util)*(AO80/sel_rate),0))*AZ27-AY27&gt;=0,2&gt;=sel_start_m),2,9999)</f>
        <v>9999</v>
      </c>
      <c r="CD80" s="18">
        <f>IF(AND((IFERROR((AN80/sel_util)*(AO80/sel_rate),0))*AZ28-AY28&gt;=0,3&gt;=sel_start_m),3,9999)</f>
        <v>9999</v>
      </c>
      <c r="CE80" s="18">
        <f>IF(AND((IFERROR((AN80/sel_util)*(AO80/sel_rate),0))*AZ29-AY29&gt;=0,4&gt;=sel_start_m),4,9999)</f>
        <v>9999</v>
      </c>
      <c r="CF80" s="18">
        <f>IF(AND((IFERROR((AN80/sel_util)*(AO80/sel_rate),0))*AZ30-AY30&gt;=0,5&gt;=sel_start_m),5,9999)</f>
        <v>9999</v>
      </c>
      <c r="CG80" s="18">
        <f>IF(AND((IFERROR((AN80/sel_util)*(AO80/sel_rate),0))*AZ31-AY31&gt;=0,6&gt;=sel_start_m),6,9999)</f>
        <v>9999</v>
      </c>
      <c r="CH80" s="18">
        <f>IF(AND((IFERROR((AN80/sel_util)*(AO80/sel_rate),0))*AZ32-AY32&gt;=0,7&gt;=sel_start_m),7,9999)</f>
        <v>9999</v>
      </c>
      <c r="CI80" s="18">
        <f>IF(AND((IFERROR((AN80/sel_util)*(AO80/sel_rate),0))*AZ33-AY33&gt;=0,8&gt;=sel_start_m),8,9999)</f>
        <v>9999</v>
      </c>
      <c r="CJ80" s="18">
        <f>IF(AND((IFERROR((AN80/sel_util)*(AO80/sel_rate),0))*AZ34-AY34&gt;=0,9&gt;=sel_start_m),9,9999)</f>
        <v>9999</v>
      </c>
      <c r="CK80" s="18">
        <f>IF(AND((IFERROR((AN80/sel_util)*(AO80/sel_rate),0))*AZ35-AY35&gt;=0,10&gt;=sel_start_m),10,9999)</f>
        <v>9999</v>
      </c>
      <c r="CL80" s="18">
        <f>IF(AND((IFERROR((AN80/sel_util)*(AO80/sel_rate),0))*AZ36-AY36&gt;=0,11&gt;=sel_start_m),11,9999)</f>
        <v>9999</v>
      </c>
      <c r="CM80" s="18">
        <f>IF(AND((IFERROR((AN80/sel_util)*(AO80/sel_rate),0))*AZ37-AY37&gt;=0,12&gt;=sel_start_m),12,9999)</f>
        <v>9999</v>
      </c>
      <c r="CN80" s="18">
        <f>IF(AND((IFERROR((AN80/sel_util)*(AO80/sel_rate),0))*AZ38-AY38&gt;=0,13&gt;=sel_start_m),13,9999)</f>
        <v>9999</v>
      </c>
      <c r="CO80" s="18">
        <f>IF(AND((IFERROR((AN80/sel_util)*(AO80/sel_rate),0))*AZ39-AY39&gt;=0,14&gt;=sel_start_m),14,9999)</f>
        <v>9999</v>
      </c>
      <c r="CP80" s="18">
        <f>IF(AND((IFERROR((AN80/sel_util)*(AO80/sel_rate),0))*AZ40-AY40&gt;=0,15&gt;=sel_start_m),15,9999)</f>
        <v>9999</v>
      </c>
      <c r="CQ80" s="18">
        <f>IF(AND((IFERROR((AN80/sel_util)*(AO80/sel_rate),0))*AZ41-AY41&gt;=0,16&gt;=sel_start_m),16,9999)</f>
        <v>9999</v>
      </c>
      <c r="CR80" s="18">
        <f>IF(AND((IFERROR((AN80/sel_util)*(AO80/sel_rate),0))*AZ42-AY42&gt;=0,17&gt;=sel_start_m),17,9999)</f>
        <v>9999</v>
      </c>
      <c r="CS80" s="18">
        <f>IF(AND((IFERROR((AN80/sel_util)*(AO80/sel_rate),0))*AZ43-AY43&gt;=0,18&gt;=sel_start_m),18,9999)</f>
        <v>9999</v>
      </c>
      <c r="CT80" s="18">
        <f>IF(AND((IFERROR((AN80/sel_util)*(AO80/sel_rate),0))*AZ44-AY44&gt;=0,19&gt;=sel_start_m),19,9999)</f>
        <v>9999</v>
      </c>
      <c r="CU80" s="18">
        <f>IF(AND((IFERROR((AN80/sel_util)*(AO80/sel_rate),0))*AZ45-AY45&gt;=0,20&gt;=sel_start_m),20,9999)</f>
        <v>9999</v>
      </c>
      <c r="CV80" s="18">
        <f>IF(AND((IFERROR((AN80/sel_util)*(AO80/sel_rate),0))*AZ46-AY46&gt;=0,21&gt;=sel_start_m),21,9999)</f>
        <v>9999</v>
      </c>
      <c r="CW80" s="18">
        <f>IF(AND((IFERROR((AN80/sel_util)*(AO80/sel_rate),0))*AZ47-AY47&gt;=0,22&gt;=sel_start_m),22,9999)</f>
        <v>9999</v>
      </c>
      <c r="CX80" s="18">
        <f>IF(AND((IFERROR((AN80/sel_util)*(AO80/sel_rate),0))*AZ48-AY48&gt;=0,23&gt;=sel_start_m),23,9999)</f>
        <v>9999</v>
      </c>
      <c r="CY80" s="18">
        <f>IF(AND((IFERROR((AN80/sel_util)*(AO80/sel_rate),0))*AZ49-AY49&gt;=0,24&gt;=sel_start_m),24,9999)</f>
        <v>9999</v>
      </c>
      <c r="CZ80" s="2"/>
      <c r="DA80" s="2"/>
      <c r="DB80" s="2"/>
      <c r="DC80" s="2"/>
      <c r="DD80" s="2"/>
      <c r="DE80" s="2"/>
      <c r="DF80" s="2"/>
      <c r="DG80" s="2"/>
      <c r="DH80" s="2"/>
      <c r="DI80" s="2"/>
      <c r="DJ80" s="2"/>
      <c r="DK80" s="2"/>
      <c r="DL80" s="2"/>
      <c r="DM80" s="2"/>
    </row>
    <row r="81" spans="1:117" ht="32" customHeight="1" x14ac:dyDescent="0.2">
      <c r="A81" s="1"/>
      <c r="B81" s="91" t="str">
        <f>"Candidate 8 · "&amp;IF(inp_c8_role="","unnamed",inp_c8_role)&amp;" — "&amp;IF(NOT(inp_c8_active),"inactive. Toggle on in the roster to evaluate.",IF(U57&gt;=999,"does not pay back inside 24 months at current assumptions. ","pays back at month "&amp;U57&amp;". ")&amp;IF(U64&lt;0,"Cash trough breaches your floor by "&amp;TEXT(ABS(U64),"$#,##0")&amp;" in month "&amp;U63&amp;". ","Cash trough sits "&amp;TEXT(U64,"$#,##0")&amp;" above your floor at month "&amp;U63&amp;". ")&amp;"Flag: "&amp;U61&amp;".")</f>
        <v>Candidate 8 · unnamed — inactive. Toggle on in the roster to evaluate.</v>
      </c>
      <c r="C81" s="91"/>
      <c r="D81" s="91"/>
      <c r="E81" s="91"/>
      <c r="F81" s="91"/>
      <c r="G81" s="91"/>
      <c r="H81" s="91"/>
      <c r="I81" s="91"/>
      <c r="J81" s="91"/>
      <c r="K81" s="1"/>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9">
        <v>0.6</v>
      </c>
      <c r="AO81" s="10">
        <v>200</v>
      </c>
      <c r="AP81" s="18">
        <f t="shared" si="23"/>
        <v>999</v>
      </c>
      <c r="AQ81" s="10" t="str">
        <f t="shared" si="24"/>
        <v>-</v>
      </c>
      <c r="AR81" s="10" t="str">
        <f t="shared" si="25"/>
        <v>-</v>
      </c>
      <c r="AS81" s="2"/>
      <c r="AT81" s="2"/>
      <c r="AU81" s="2"/>
      <c r="AV81" s="2"/>
      <c r="AW81" s="2"/>
      <c r="AX81" s="2"/>
      <c r="AY81" s="2"/>
      <c r="AZ81" s="2"/>
      <c r="BA81" s="2"/>
      <c r="BB81" s="10">
        <f>AD26+(IFERROR((AN81/inp_c1_util)*(AO81/inp_c1_rate),0))*AZ26-AY26</f>
        <v>-100</v>
      </c>
      <c r="BC81" s="10">
        <f>AD27+(IFERROR((AN81/inp_c1_util)*(AO81/inp_c1_rate),0))*AZ27-AY27</f>
        <v>-200</v>
      </c>
      <c r="BD81" s="10">
        <f>AD28+(IFERROR((AN81/inp_c1_util)*(AO81/inp_c1_rate),0))*AZ28-AY28</f>
        <v>-300</v>
      </c>
      <c r="BE81" s="10">
        <f>AD29+(IFERROR((AN81/inp_c1_util)*(AO81/inp_c1_rate),0))*AZ29-AY29</f>
        <v>-400</v>
      </c>
      <c r="BF81" s="10">
        <f>AD30+(IFERROR((AN81/inp_c1_util)*(AO81/inp_c1_rate),0))*AZ30-AY30</f>
        <v>-500</v>
      </c>
      <c r="BG81" s="10">
        <f>AD31+(IFERROR((AN81/inp_c1_util)*(AO81/inp_c1_rate),0))*AZ31-AY31</f>
        <v>-600</v>
      </c>
      <c r="BH81" s="10">
        <f>AD32+(IFERROR((AN81/inp_c1_util)*(AO81/inp_c1_rate),0))*AZ32-AY32</f>
        <v>-700</v>
      </c>
      <c r="BI81" s="10">
        <f>AD33+(IFERROR((AN81/inp_c1_util)*(AO81/inp_c1_rate),0))*AZ33-AY33</f>
        <v>-800</v>
      </c>
      <c r="BJ81" s="10">
        <f>AD34+(IFERROR((AN81/inp_c1_util)*(AO81/inp_c1_rate),0))*AZ34-AY34</f>
        <v>-900</v>
      </c>
      <c r="BK81" s="10">
        <f>AD35+(IFERROR((AN81/inp_c1_util)*(AO81/inp_c1_rate),0))*AZ35-AY35</f>
        <v>-1000</v>
      </c>
      <c r="BL81" s="10">
        <f>AD36+(IFERROR((AN81/inp_c1_util)*(AO81/inp_c1_rate),0))*AZ36-AY36</f>
        <v>-1100</v>
      </c>
      <c r="BM81" s="10">
        <f>AD37+(IFERROR((AN81/inp_c1_util)*(AO81/inp_c1_rate),0))*AZ37-AY37</f>
        <v>-1200</v>
      </c>
      <c r="BN81" s="10">
        <f>AD38+(IFERROR((AN81/inp_c1_util)*(AO81/inp_c1_rate),0))*AZ38-AY38</f>
        <v>-1300</v>
      </c>
      <c r="BO81" s="10">
        <f>AD39+(IFERROR((AN81/inp_c1_util)*(AO81/inp_c1_rate),0))*AZ39-AY39</f>
        <v>-1400</v>
      </c>
      <c r="BP81" s="10">
        <f>AD40+(IFERROR((AN81/inp_c1_util)*(AO81/inp_c1_rate),0))*AZ40-AY40</f>
        <v>-1500</v>
      </c>
      <c r="BQ81" s="10">
        <f>AD41+(IFERROR((AN81/inp_c1_util)*(AO81/inp_c1_rate),0))*AZ41-AY41</f>
        <v>-1600</v>
      </c>
      <c r="BR81" s="10">
        <f>AD42+(IFERROR((AN81/inp_c1_util)*(AO81/inp_c1_rate),0))*AZ42-AY42</f>
        <v>-1700</v>
      </c>
      <c r="BS81" s="10">
        <f>AD43+(IFERROR((AN81/inp_c1_util)*(AO81/inp_c1_rate),0))*AZ43-AY43</f>
        <v>-1800</v>
      </c>
      <c r="BT81" s="10">
        <f>AD44+(IFERROR((AN81/inp_c1_util)*(AO81/inp_c1_rate),0))*AZ44-AY44</f>
        <v>-1900</v>
      </c>
      <c r="BU81" s="10">
        <f>AD45+(IFERROR((AN81/inp_c1_util)*(AO81/inp_c1_rate),0))*AZ45-AY45</f>
        <v>-2000</v>
      </c>
      <c r="BV81" s="10">
        <f>AD46+(IFERROR((AN81/inp_c1_util)*(AO81/inp_c1_rate),0))*AZ46-AY46</f>
        <v>-2100</v>
      </c>
      <c r="BW81" s="10">
        <f>AD47+(IFERROR((AN81/inp_c1_util)*(AO81/inp_c1_rate),0))*AZ47-AY47</f>
        <v>-2200</v>
      </c>
      <c r="BX81" s="10">
        <f>AD48+(IFERROR((AN81/inp_c1_util)*(AO81/inp_c1_rate),0))*AZ48-AY48</f>
        <v>-2300</v>
      </c>
      <c r="BY81" s="10">
        <f>AD49+(IFERROR((AN81/inp_c1_util)*(AO81/inp_c1_rate),0))*AZ49-AY49</f>
        <v>-2400</v>
      </c>
      <c r="BZ81" s="2"/>
      <c r="CA81" s="2"/>
      <c r="CB81" s="18">
        <f>IF(AND((IFERROR((AN81/sel_util)*(AO81/sel_rate),0))*AZ26-AY26&gt;=0,1&gt;=sel_start_m),1,9999)</f>
        <v>9999</v>
      </c>
      <c r="CC81" s="18">
        <f>IF(AND((IFERROR((AN81/sel_util)*(AO81/sel_rate),0))*AZ27-AY27&gt;=0,2&gt;=sel_start_m),2,9999)</f>
        <v>9999</v>
      </c>
      <c r="CD81" s="18">
        <f>IF(AND((IFERROR((AN81/sel_util)*(AO81/sel_rate),0))*AZ28-AY28&gt;=0,3&gt;=sel_start_m),3,9999)</f>
        <v>9999</v>
      </c>
      <c r="CE81" s="18">
        <f>IF(AND((IFERROR((AN81/sel_util)*(AO81/sel_rate),0))*AZ29-AY29&gt;=0,4&gt;=sel_start_m),4,9999)</f>
        <v>9999</v>
      </c>
      <c r="CF81" s="18">
        <f>IF(AND((IFERROR((AN81/sel_util)*(AO81/sel_rate),0))*AZ30-AY30&gt;=0,5&gt;=sel_start_m),5,9999)</f>
        <v>9999</v>
      </c>
      <c r="CG81" s="18">
        <f>IF(AND((IFERROR((AN81/sel_util)*(AO81/sel_rate),0))*AZ31-AY31&gt;=0,6&gt;=sel_start_m),6,9999)</f>
        <v>9999</v>
      </c>
      <c r="CH81" s="18">
        <f>IF(AND((IFERROR((AN81/sel_util)*(AO81/sel_rate),0))*AZ32-AY32&gt;=0,7&gt;=sel_start_m),7,9999)</f>
        <v>9999</v>
      </c>
      <c r="CI81" s="18">
        <f>IF(AND((IFERROR((AN81/sel_util)*(AO81/sel_rate),0))*AZ33-AY33&gt;=0,8&gt;=sel_start_m),8,9999)</f>
        <v>9999</v>
      </c>
      <c r="CJ81" s="18">
        <f>IF(AND((IFERROR((AN81/sel_util)*(AO81/sel_rate),0))*AZ34-AY34&gt;=0,9&gt;=sel_start_m),9,9999)</f>
        <v>9999</v>
      </c>
      <c r="CK81" s="18">
        <f>IF(AND((IFERROR((AN81/sel_util)*(AO81/sel_rate),0))*AZ35-AY35&gt;=0,10&gt;=sel_start_m),10,9999)</f>
        <v>9999</v>
      </c>
      <c r="CL81" s="18">
        <f>IF(AND((IFERROR((AN81/sel_util)*(AO81/sel_rate),0))*AZ36-AY36&gt;=0,11&gt;=sel_start_m),11,9999)</f>
        <v>9999</v>
      </c>
      <c r="CM81" s="18">
        <f>IF(AND((IFERROR((AN81/sel_util)*(AO81/sel_rate),0))*AZ37-AY37&gt;=0,12&gt;=sel_start_m),12,9999)</f>
        <v>9999</v>
      </c>
      <c r="CN81" s="18">
        <f>IF(AND((IFERROR((AN81/sel_util)*(AO81/sel_rate),0))*AZ38-AY38&gt;=0,13&gt;=sel_start_m),13,9999)</f>
        <v>9999</v>
      </c>
      <c r="CO81" s="18">
        <f>IF(AND((IFERROR((AN81/sel_util)*(AO81/sel_rate),0))*AZ39-AY39&gt;=0,14&gt;=sel_start_m),14,9999)</f>
        <v>9999</v>
      </c>
      <c r="CP81" s="18">
        <f>IF(AND((IFERROR((AN81/sel_util)*(AO81/sel_rate),0))*AZ40-AY40&gt;=0,15&gt;=sel_start_m),15,9999)</f>
        <v>9999</v>
      </c>
      <c r="CQ81" s="18">
        <f>IF(AND((IFERROR((AN81/sel_util)*(AO81/sel_rate),0))*AZ41-AY41&gt;=0,16&gt;=sel_start_m),16,9999)</f>
        <v>9999</v>
      </c>
      <c r="CR81" s="18">
        <f>IF(AND((IFERROR((AN81/sel_util)*(AO81/sel_rate),0))*AZ42-AY42&gt;=0,17&gt;=sel_start_m),17,9999)</f>
        <v>9999</v>
      </c>
      <c r="CS81" s="18">
        <f>IF(AND((IFERROR((AN81/sel_util)*(AO81/sel_rate),0))*AZ43-AY43&gt;=0,18&gt;=sel_start_m),18,9999)</f>
        <v>9999</v>
      </c>
      <c r="CT81" s="18">
        <f>IF(AND((IFERROR((AN81/sel_util)*(AO81/sel_rate),0))*AZ44-AY44&gt;=0,19&gt;=sel_start_m),19,9999)</f>
        <v>9999</v>
      </c>
      <c r="CU81" s="18">
        <f>IF(AND((IFERROR((AN81/sel_util)*(AO81/sel_rate),0))*AZ45-AY45&gt;=0,20&gt;=sel_start_m),20,9999)</f>
        <v>9999</v>
      </c>
      <c r="CV81" s="18">
        <f>IF(AND((IFERROR((AN81/sel_util)*(AO81/sel_rate),0))*AZ46-AY46&gt;=0,21&gt;=sel_start_m),21,9999)</f>
        <v>9999</v>
      </c>
      <c r="CW81" s="18">
        <f>IF(AND((IFERROR((AN81/sel_util)*(AO81/sel_rate),0))*AZ47-AY47&gt;=0,22&gt;=sel_start_m),22,9999)</f>
        <v>9999</v>
      </c>
      <c r="CX81" s="18">
        <f>IF(AND((IFERROR((AN81/sel_util)*(AO81/sel_rate),0))*AZ48-AY48&gt;=0,23&gt;=sel_start_m),23,9999)</f>
        <v>9999</v>
      </c>
      <c r="CY81" s="18">
        <f>IF(AND((IFERROR((AN81/sel_util)*(AO81/sel_rate),0))*AZ49-AY49&gt;=0,24&gt;=sel_start_m),24,9999)</f>
        <v>9999</v>
      </c>
      <c r="CZ81" s="2"/>
      <c r="DA81" s="2"/>
      <c r="DB81" s="2"/>
      <c r="DC81" s="2"/>
      <c r="DD81" s="2"/>
      <c r="DE81" s="2"/>
      <c r="DF81" s="2"/>
      <c r="DG81" s="2"/>
      <c r="DH81" s="2"/>
      <c r="DI81" s="2"/>
      <c r="DJ81" s="2"/>
      <c r="DK81" s="2"/>
      <c r="DL81" s="2"/>
      <c r="DM81" s="2"/>
    </row>
    <row r="82" spans="1:117" x14ac:dyDescent="0.2">
      <c r="A82" s="1"/>
      <c r="B82" s="1"/>
      <c r="C82" s="1"/>
      <c r="D82" s="1"/>
      <c r="E82" s="1"/>
      <c r="F82" s="1"/>
      <c r="G82" s="1"/>
      <c r="H82" s="1"/>
      <c r="I82" s="1"/>
      <c r="J82" s="1"/>
      <c r="K82" s="1"/>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9">
        <v>0.6</v>
      </c>
      <c r="AO82" s="10">
        <v>225</v>
      </c>
      <c r="AP82" s="18">
        <f t="shared" si="23"/>
        <v>999</v>
      </c>
      <c r="AQ82" s="10" t="str">
        <f t="shared" si="24"/>
        <v>-</v>
      </c>
      <c r="AR82" s="10" t="str">
        <f t="shared" si="25"/>
        <v>-</v>
      </c>
      <c r="AS82" s="2"/>
      <c r="AT82" s="2"/>
      <c r="AU82" s="2"/>
      <c r="AV82" s="2"/>
      <c r="AW82" s="2"/>
      <c r="AX82" s="2"/>
      <c r="AY82" s="2"/>
      <c r="AZ82" s="2"/>
      <c r="BA82" s="2"/>
      <c r="BB82" s="10">
        <f>AD26+(IFERROR((AN82/inp_c1_util)*(AO82/inp_c1_rate),0))*AZ26-AY26</f>
        <v>-100</v>
      </c>
      <c r="BC82" s="10">
        <f>AD27+(IFERROR((AN82/inp_c1_util)*(AO82/inp_c1_rate),0))*AZ27-AY27</f>
        <v>-200</v>
      </c>
      <c r="BD82" s="10">
        <f>AD28+(IFERROR((AN82/inp_c1_util)*(AO82/inp_c1_rate),0))*AZ28-AY28</f>
        <v>-300</v>
      </c>
      <c r="BE82" s="10">
        <f>AD29+(IFERROR((AN82/inp_c1_util)*(AO82/inp_c1_rate),0))*AZ29-AY29</f>
        <v>-400</v>
      </c>
      <c r="BF82" s="10">
        <f>AD30+(IFERROR((AN82/inp_c1_util)*(AO82/inp_c1_rate),0))*AZ30-AY30</f>
        <v>-500</v>
      </c>
      <c r="BG82" s="10">
        <f>AD31+(IFERROR((AN82/inp_c1_util)*(AO82/inp_c1_rate),0))*AZ31-AY31</f>
        <v>-600</v>
      </c>
      <c r="BH82" s="10">
        <f>AD32+(IFERROR((AN82/inp_c1_util)*(AO82/inp_c1_rate),0))*AZ32-AY32</f>
        <v>-700</v>
      </c>
      <c r="BI82" s="10">
        <f>AD33+(IFERROR((AN82/inp_c1_util)*(AO82/inp_c1_rate),0))*AZ33-AY33</f>
        <v>-800</v>
      </c>
      <c r="BJ82" s="10">
        <f>AD34+(IFERROR((AN82/inp_c1_util)*(AO82/inp_c1_rate),0))*AZ34-AY34</f>
        <v>-900</v>
      </c>
      <c r="BK82" s="10">
        <f>AD35+(IFERROR((AN82/inp_c1_util)*(AO82/inp_c1_rate),0))*AZ35-AY35</f>
        <v>-1000</v>
      </c>
      <c r="BL82" s="10">
        <f>AD36+(IFERROR((AN82/inp_c1_util)*(AO82/inp_c1_rate),0))*AZ36-AY36</f>
        <v>-1100</v>
      </c>
      <c r="BM82" s="10">
        <f>AD37+(IFERROR((AN82/inp_c1_util)*(AO82/inp_c1_rate),0))*AZ37-AY37</f>
        <v>-1200</v>
      </c>
      <c r="BN82" s="10">
        <f>AD38+(IFERROR((AN82/inp_c1_util)*(AO82/inp_c1_rate),0))*AZ38-AY38</f>
        <v>-1300</v>
      </c>
      <c r="BO82" s="10">
        <f>AD39+(IFERROR((AN82/inp_c1_util)*(AO82/inp_c1_rate),0))*AZ39-AY39</f>
        <v>-1400</v>
      </c>
      <c r="BP82" s="10">
        <f>AD40+(IFERROR((AN82/inp_c1_util)*(AO82/inp_c1_rate),0))*AZ40-AY40</f>
        <v>-1500</v>
      </c>
      <c r="BQ82" s="10">
        <f>AD41+(IFERROR((AN82/inp_c1_util)*(AO82/inp_c1_rate),0))*AZ41-AY41</f>
        <v>-1600</v>
      </c>
      <c r="BR82" s="10">
        <f>AD42+(IFERROR((AN82/inp_c1_util)*(AO82/inp_c1_rate),0))*AZ42-AY42</f>
        <v>-1700</v>
      </c>
      <c r="BS82" s="10">
        <f>AD43+(IFERROR((AN82/inp_c1_util)*(AO82/inp_c1_rate),0))*AZ43-AY43</f>
        <v>-1800</v>
      </c>
      <c r="BT82" s="10">
        <f>AD44+(IFERROR((AN82/inp_c1_util)*(AO82/inp_c1_rate),0))*AZ44-AY44</f>
        <v>-1900</v>
      </c>
      <c r="BU82" s="10">
        <f>AD45+(IFERROR((AN82/inp_c1_util)*(AO82/inp_c1_rate),0))*AZ45-AY45</f>
        <v>-2000</v>
      </c>
      <c r="BV82" s="10">
        <f>AD46+(IFERROR((AN82/inp_c1_util)*(AO82/inp_c1_rate),0))*AZ46-AY46</f>
        <v>-2100</v>
      </c>
      <c r="BW82" s="10">
        <f>AD47+(IFERROR((AN82/inp_c1_util)*(AO82/inp_c1_rate),0))*AZ47-AY47</f>
        <v>-2200</v>
      </c>
      <c r="BX82" s="10">
        <f>AD48+(IFERROR((AN82/inp_c1_util)*(AO82/inp_c1_rate),0))*AZ48-AY48</f>
        <v>-2300</v>
      </c>
      <c r="BY82" s="10">
        <f>AD49+(IFERROR((AN82/inp_c1_util)*(AO82/inp_c1_rate),0))*AZ49-AY49</f>
        <v>-2400</v>
      </c>
      <c r="BZ82" s="2"/>
      <c r="CA82" s="2"/>
      <c r="CB82" s="18">
        <f>IF(AND((IFERROR((AN82/sel_util)*(AO82/sel_rate),0))*AZ26-AY26&gt;=0,1&gt;=sel_start_m),1,9999)</f>
        <v>9999</v>
      </c>
      <c r="CC82" s="18">
        <f>IF(AND((IFERROR((AN82/sel_util)*(AO82/sel_rate),0))*AZ27-AY27&gt;=0,2&gt;=sel_start_m),2,9999)</f>
        <v>9999</v>
      </c>
      <c r="CD82" s="18">
        <f>IF(AND((IFERROR((AN82/sel_util)*(AO82/sel_rate),0))*AZ28-AY28&gt;=0,3&gt;=sel_start_m),3,9999)</f>
        <v>9999</v>
      </c>
      <c r="CE82" s="18">
        <f>IF(AND((IFERROR((AN82/sel_util)*(AO82/sel_rate),0))*AZ29-AY29&gt;=0,4&gt;=sel_start_m),4,9999)</f>
        <v>9999</v>
      </c>
      <c r="CF82" s="18">
        <f>IF(AND((IFERROR((AN82/sel_util)*(AO82/sel_rate),0))*AZ30-AY30&gt;=0,5&gt;=sel_start_m),5,9999)</f>
        <v>9999</v>
      </c>
      <c r="CG82" s="18">
        <f>IF(AND((IFERROR((AN82/sel_util)*(AO82/sel_rate),0))*AZ31-AY31&gt;=0,6&gt;=sel_start_m),6,9999)</f>
        <v>9999</v>
      </c>
      <c r="CH82" s="18">
        <f>IF(AND((IFERROR((AN82/sel_util)*(AO82/sel_rate),0))*AZ32-AY32&gt;=0,7&gt;=sel_start_m),7,9999)</f>
        <v>9999</v>
      </c>
      <c r="CI82" s="18">
        <f>IF(AND((IFERROR((AN82/sel_util)*(AO82/sel_rate),0))*AZ33-AY33&gt;=0,8&gt;=sel_start_m),8,9999)</f>
        <v>9999</v>
      </c>
      <c r="CJ82" s="18">
        <f>IF(AND((IFERROR((AN82/sel_util)*(AO82/sel_rate),0))*AZ34-AY34&gt;=0,9&gt;=sel_start_m),9,9999)</f>
        <v>9999</v>
      </c>
      <c r="CK82" s="18">
        <f>IF(AND((IFERROR((AN82/sel_util)*(AO82/sel_rate),0))*AZ35-AY35&gt;=0,10&gt;=sel_start_m),10,9999)</f>
        <v>9999</v>
      </c>
      <c r="CL82" s="18">
        <f>IF(AND((IFERROR((AN82/sel_util)*(AO82/sel_rate),0))*AZ36-AY36&gt;=0,11&gt;=sel_start_m),11,9999)</f>
        <v>9999</v>
      </c>
      <c r="CM82" s="18">
        <f>IF(AND((IFERROR((AN82/sel_util)*(AO82/sel_rate),0))*AZ37-AY37&gt;=0,12&gt;=sel_start_m),12,9999)</f>
        <v>9999</v>
      </c>
      <c r="CN82" s="18">
        <f>IF(AND((IFERROR((AN82/sel_util)*(AO82/sel_rate),0))*AZ38-AY38&gt;=0,13&gt;=sel_start_m),13,9999)</f>
        <v>9999</v>
      </c>
      <c r="CO82" s="18">
        <f>IF(AND((IFERROR((AN82/sel_util)*(AO82/sel_rate),0))*AZ39-AY39&gt;=0,14&gt;=sel_start_m),14,9999)</f>
        <v>9999</v>
      </c>
      <c r="CP82" s="18">
        <f>IF(AND((IFERROR((AN82/sel_util)*(AO82/sel_rate),0))*AZ40-AY40&gt;=0,15&gt;=sel_start_m),15,9999)</f>
        <v>9999</v>
      </c>
      <c r="CQ82" s="18">
        <f>IF(AND((IFERROR((AN82/sel_util)*(AO82/sel_rate),0))*AZ41-AY41&gt;=0,16&gt;=sel_start_m),16,9999)</f>
        <v>9999</v>
      </c>
      <c r="CR82" s="18">
        <f>IF(AND((IFERROR((AN82/sel_util)*(AO82/sel_rate),0))*AZ42-AY42&gt;=0,17&gt;=sel_start_m),17,9999)</f>
        <v>9999</v>
      </c>
      <c r="CS82" s="18">
        <f>IF(AND((IFERROR((AN82/sel_util)*(AO82/sel_rate),0))*AZ43-AY43&gt;=0,18&gt;=sel_start_m),18,9999)</f>
        <v>9999</v>
      </c>
      <c r="CT82" s="18">
        <f>IF(AND((IFERROR((AN82/sel_util)*(AO82/sel_rate),0))*AZ44-AY44&gt;=0,19&gt;=sel_start_m),19,9999)</f>
        <v>9999</v>
      </c>
      <c r="CU82" s="18">
        <f>IF(AND((IFERROR((AN82/sel_util)*(AO82/sel_rate),0))*AZ45-AY45&gt;=0,20&gt;=sel_start_m),20,9999)</f>
        <v>9999</v>
      </c>
      <c r="CV82" s="18">
        <f>IF(AND((IFERROR((AN82/sel_util)*(AO82/sel_rate),0))*AZ46-AY46&gt;=0,21&gt;=sel_start_m),21,9999)</f>
        <v>9999</v>
      </c>
      <c r="CW82" s="18">
        <f>IF(AND((IFERROR((AN82/sel_util)*(AO82/sel_rate),0))*AZ47-AY47&gt;=0,22&gt;=sel_start_m),22,9999)</f>
        <v>9999</v>
      </c>
      <c r="CX82" s="18">
        <f>IF(AND((IFERROR((AN82/sel_util)*(AO82/sel_rate),0))*AZ48-AY48&gt;=0,23&gt;=sel_start_m),23,9999)</f>
        <v>9999</v>
      </c>
      <c r="CY82" s="18">
        <f>IF(AND((IFERROR((AN82/sel_util)*(AO82/sel_rate),0))*AZ49-AY49&gt;=0,24&gt;=sel_start_m),24,9999)</f>
        <v>9999</v>
      </c>
      <c r="CZ82" s="2"/>
      <c r="DA82" s="2"/>
      <c r="DB82" s="2"/>
      <c r="DC82" s="2"/>
      <c r="DD82" s="2"/>
      <c r="DE82" s="2"/>
      <c r="DF82" s="2"/>
      <c r="DG82" s="2"/>
      <c r="DH82" s="2"/>
      <c r="DI82" s="2"/>
      <c r="DJ82" s="2"/>
      <c r="DK82" s="2"/>
      <c r="DL82" s="2"/>
      <c r="DM82" s="2"/>
    </row>
    <row r="83" spans="1:117" ht="22" customHeight="1" x14ac:dyDescent="0.2">
      <c r="A83" s="1"/>
      <c r="B83" s="95" t="s">
        <v>258</v>
      </c>
      <c r="C83" s="92"/>
      <c r="D83" s="92"/>
      <c r="E83" s="92"/>
      <c r="F83" s="92"/>
      <c r="G83" s="92"/>
      <c r="H83" s="92"/>
      <c r="I83" s="92"/>
      <c r="J83" s="92"/>
      <c r="K83" s="1"/>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9">
        <v>0.6</v>
      </c>
      <c r="AO83" s="10">
        <v>250</v>
      </c>
      <c r="AP83" s="18">
        <f t="shared" si="23"/>
        <v>999</v>
      </c>
      <c r="AQ83" s="10" t="str">
        <f t="shared" si="24"/>
        <v>-</v>
      </c>
      <c r="AR83" s="10" t="str">
        <f t="shared" si="25"/>
        <v>-</v>
      </c>
      <c r="AS83" s="2"/>
      <c r="AT83" s="2"/>
      <c r="AU83" s="2"/>
      <c r="AV83" s="2"/>
      <c r="AW83" s="2"/>
      <c r="AX83" s="2"/>
      <c r="AY83" s="2"/>
      <c r="AZ83" s="2"/>
      <c r="BA83" s="2"/>
      <c r="BB83" s="10">
        <f>AD26+(IFERROR((AN83/inp_c1_util)*(AO83/inp_c1_rate),0))*AZ26-AY26</f>
        <v>-100</v>
      </c>
      <c r="BC83" s="10">
        <f>AD27+(IFERROR((AN83/inp_c1_util)*(AO83/inp_c1_rate),0))*AZ27-AY27</f>
        <v>-200</v>
      </c>
      <c r="BD83" s="10">
        <f>AD28+(IFERROR((AN83/inp_c1_util)*(AO83/inp_c1_rate),0))*AZ28-AY28</f>
        <v>-300</v>
      </c>
      <c r="BE83" s="10">
        <f>AD29+(IFERROR((AN83/inp_c1_util)*(AO83/inp_c1_rate),0))*AZ29-AY29</f>
        <v>-400</v>
      </c>
      <c r="BF83" s="10">
        <f>AD30+(IFERROR((AN83/inp_c1_util)*(AO83/inp_c1_rate),0))*AZ30-AY30</f>
        <v>-500</v>
      </c>
      <c r="BG83" s="10">
        <f>AD31+(IFERROR((AN83/inp_c1_util)*(AO83/inp_c1_rate),0))*AZ31-AY31</f>
        <v>-600</v>
      </c>
      <c r="BH83" s="10">
        <f>AD32+(IFERROR((AN83/inp_c1_util)*(AO83/inp_c1_rate),0))*AZ32-AY32</f>
        <v>-700</v>
      </c>
      <c r="BI83" s="10">
        <f>AD33+(IFERROR((AN83/inp_c1_util)*(AO83/inp_c1_rate),0))*AZ33-AY33</f>
        <v>-800</v>
      </c>
      <c r="BJ83" s="10">
        <f>AD34+(IFERROR((AN83/inp_c1_util)*(AO83/inp_c1_rate),0))*AZ34-AY34</f>
        <v>-900</v>
      </c>
      <c r="BK83" s="10">
        <f>AD35+(IFERROR((AN83/inp_c1_util)*(AO83/inp_c1_rate),0))*AZ35-AY35</f>
        <v>-1000</v>
      </c>
      <c r="BL83" s="10">
        <f>AD36+(IFERROR((AN83/inp_c1_util)*(AO83/inp_c1_rate),0))*AZ36-AY36</f>
        <v>-1100</v>
      </c>
      <c r="BM83" s="10">
        <f>AD37+(IFERROR((AN83/inp_c1_util)*(AO83/inp_c1_rate),0))*AZ37-AY37</f>
        <v>-1200</v>
      </c>
      <c r="BN83" s="10">
        <f>AD38+(IFERROR((AN83/inp_c1_util)*(AO83/inp_c1_rate),0))*AZ38-AY38</f>
        <v>-1300</v>
      </c>
      <c r="BO83" s="10">
        <f>AD39+(IFERROR((AN83/inp_c1_util)*(AO83/inp_c1_rate),0))*AZ39-AY39</f>
        <v>-1400</v>
      </c>
      <c r="BP83" s="10">
        <f>AD40+(IFERROR((AN83/inp_c1_util)*(AO83/inp_c1_rate),0))*AZ40-AY40</f>
        <v>-1500</v>
      </c>
      <c r="BQ83" s="10">
        <f>AD41+(IFERROR((AN83/inp_c1_util)*(AO83/inp_c1_rate),0))*AZ41-AY41</f>
        <v>-1600</v>
      </c>
      <c r="BR83" s="10">
        <f>AD42+(IFERROR((AN83/inp_c1_util)*(AO83/inp_c1_rate),0))*AZ42-AY42</f>
        <v>-1700</v>
      </c>
      <c r="BS83" s="10">
        <f>AD43+(IFERROR((AN83/inp_c1_util)*(AO83/inp_c1_rate),0))*AZ43-AY43</f>
        <v>-1800</v>
      </c>
      <c r="BT83" s="10">
        <f>AD44+(IFERROR((AN83/inp_c1_util)*(AO83/inp_c1_rate),0))*AZ44-AY44</f>
        <v>-1900</v>
      </c>
      <c r="BU83" s="10">
        <f>AD45+(IFERROR((AN83/inp_c1_util)*(AO83/inp_c1_rate),0))*AZ45-AY45</f>
        <v>-2000</v>
      </c>
      <c r="BV83" s="10">
        <f>AD46+(IFERROR((AN83/inp_c1_util)*(AO83/inp_c1_rate),0))*AZ46-AY46</f>
        <v>-2100</v>
      </c>
      <c r="BW83" s="10">
        <f>AD47+(IFERROR((AN83/inp_c1_util)*(AO83/inp_c1_rate),0))*AZ47-AY47</f>
        <v>-2200</v>
      </c>
      <c r="BX83" s="10">
        <f>AD48+(IFERROR((AN83/inp_c1_util)*(AO83/inp_c1_rate),0))*AZ48-AY48</f>
        <v>-2300</v>
      </c>
      <c r="BY83" s="10">
        <f>AD49+(IFERROR((AN83/inp_c1_util)*(AO83/inp_c1_rate),0))*AZ49-AY49</f>
        <v>-2400</v>
      </c>
      <c r="BZ83" s="2"/>
      <c r="CA83" s="2"/>
      <c r="CB83" s="18">
        <f>IF(AND((IFERROR((AN83/sel_util)*(AO83/sel_rate),0))*AZ26-AY26&gt;=0,1&gt;=sel_start_m),1,9999)</f>
        <v>9999</v>
      </c>
      <c r="CC83" s="18">
        <f>IF(AND((IFERROR((AN83/sel_util)*(AO83/sel_rate),0))*AZ27-AY27&gt;=0,2&gt;=sel_start_m),2,9999)</f>
        <v>9999</v>
      </c>
      <c r="CD83" s="18">
        <f>IF(AND((IFERROR((AN83/sel_util)*(AO83/sel_rate),0))*AZ28-AY28&gt;=0,3&gt;=sel_start_m),3,9999)</f>
        <v>9999</v>
      </c>
      <c r="CE83" s="18">
        <f>IF(AND((IFERROR((AN83/sel_util)*(AO83/sel_rate),0))*AZ29-AY29&gt;=0,4&gt;=sel_start_m),4,9999)</f>
        <v>9999</v>
      </c>
      <c r="CF83" s="18">
        <f>IF(AND((IFERROR((AN83/sel_util)*(AO83/sel_rate),0))*AZ30-AY30&gt;=0,5&gt;=sel_start_m),5,9999)</f>
        <v>9999</v>
      </c>
      <c r="CG83" s="18">
        <f>IF(AND((IFERROR((AN83/sel_util)*(AO83/sel_rate),0))*AZ31-AY31&gt;=0,6&gt;=sel_start_m),6,9999)</f>
        <v>9999</v>
      </c>
      <c r="CH83" s="18">
        <f>IF(AND((IFERROR((AN83/sel_util)*(AO83/sel_rate),0))*AZ32-AY32&gt;=0,7&gt;=sel_start_m),7,9999)</f>
        <v>9999</v>
      </c>
      <c r="CI83" s="18">
        <f>IF(AND((IFERROR((AN83/sel_util)*(AO83/sel_rate),0))*AZ33-AY33&gt;=0,8&gt;=sel_start_m),8,9999)</f>
        <v>9999</v>
      </c>
      <c r="CJ83" s="18">
        <f>IF(AND((IFERROR((AN83/sel_util)*(AO83/sel_rate),0))*AZ34-AY34&gt;=0,9&gt;=sel_start_m),9,9999)</f>
        <v>9999</v>
      </c>
      <c r="CK83" s="18">
        <f>IF(AND((IFERROR((AN83/sel_util)*(AO83/sel_rate),0))*AZ35-AY35&gt;=0,10&gt;=sel_start_m),10,9999)</f>
        <v>9999</v>
      </c>
      <c r="CL83" s="18">
        <f>IF(AND((IFERROR((AN83/sel_util)*(AO83/sel_rate),0))*AZ36-AY36&gt;=0,11&gt;=sel_start_m),11,9999)</f>
        <v>9999</v>
      </c>
      <c r="CM83" s="18">
        <f>IF(AND((IFERROR((AN83/sel_util)*(AO83/sel_rate),0))*AZ37-AY37&gt;=0,12&gt;=sel_start_m),12,9999)</f>
        <v>9999</v>
      </c>
      <c r="CN83" s="18">
        <f>IF(AND((IFERROR((AN83/sel_util)*(AO83/sel_rate),0))*AZ38-AY38&gt;=0,13&gt;=sel_start_m),13,9999)</f>
        <v>9999</v>
      </c>
      <c r="CO83" s="18">
        <f>IF(AND((IFERROR((AN83/sel_util)*(AO83/sel_rate),0))*AZ39-AY39&gt;=0,14&gt;=sel_start_m),14,9999)</f>
        <v>9999</v>
      </c>
      <c r="CP83" s="18">
        <f>IF(AND((IFERROR((AN83/sel_util)*(AO83/sel_rate),0))*AZ40-AY40&gt;=0,15&gt;=sel_start_m),15,9999)</f>
        <v>9999</v>
      </c>
      <c r="CQ83" s="18">
        <f>IF(AND((IFERROR((AN83/sel_util)*(AO83/sel_rate),0))*AZ41-AY41&gt;=0,16&gt;=sel_start_m),16,9999)</f>
        <v>9999</v>
      </c>
      <c r="CR83" s="18">
        <f>IF(AND((IFERROR((AN83/sel_util)*(AO83/sel_rate),0))*AZ42-AY42&gt;=0,17&gt;=sel_start_m),17,9999)</f>
        <v>9999</v>
      </c>
      <c r="CS83" s="18">
        <f>IF(AND((IFERROR((AN83/sel_util)*(AO83/sel_rate),0))*AZ43-AY43&gt;=0,18&gt;=sel_start_m),18,9999)</f>
        <v>9999</v>
      </c>
      <c r="CT83" s="18">
        <f>IF(AND((IFERROR((AN83/sel_util)*(AO83/sel_rate),0))*AZ44-AY44&gt;=0,19&gt;=sel_start_m),19,9999)</f>
        <v>9999</v>
      </c>
      <c r="CU83" s="18">
        <f>IF(AND((IFERROR((AN83/sel_util)*(AO83/sel_rate),0))*AZ45-AY45&gt;=0,20&gt;=sel_start_m),20,9999)</f>
        <v>9999</v>
      </c>
      <c r="CV83" s="18">
        <f>IF(AND((IFERROR((AN83/sel_util)*(AO83/sel_rate),0))*AZ46-AY46&gt;=0,21&gt;=sel_start_m),21,9999)</f>
        <v>9999</v>
      </c>
      <c r="CW83" s="18">
        <f>IF(AND((IFERROR((AN83/sel_util)*(AO83/sel_rate),0))*AZ47-AY47&gt;=0,22&gt;=sel_start_m),22,9999)</f>
        <v>9999</v>
      </c>
      <c r="CX83" s="18">
        <f>IF(AND((IFERROR((AN83/sel_util)*(AO83/sel_rate),0))*AZ48-AY48&gt;=0,23&gt;=sel_start_m),23,9999)</f>
        <v>9999</v>
      </c>
      <c r="CY83" s="18">
        <f>IF(AND((IFERROR((AN83/sel_util)*(AO83/sel_rate),0))*AZ49-AY49&gt;=0,24&gt;=sel_start_m),24,9999)</f>
        <v>9999</v>
      </c>
      <c r="CZ83" s="2"/>
      <c r="DA83" s="2"/>
      <c r="DB83" s="2"/>
      <c r="DC83" s="2"/>
      <c r="DD83" s="2"/>
      <c r="DE83" s="2"/>
      <c r="DF83" s="2"/>
      <c r="DG83" s="2"/>
      <c r="DH83" s="2"/>
      <c r="DI83" s="2"/>
      <c r="DJ83" s="2"/>
      <c r="DK83" s="2"/>
      <c r="DL83" s="2"/>
      <c r="DM83" s="2"/>
    </row>
    <row r="84" spans="1:117" ht="22" customHeight="1" x14ac:dyDescent="0.2">
      <c r="A84" s="1"/>
      <c r="B84" s="82"/>
      <c r="C84" s="1"/>
      <c r="D84" s="1"/>
      <c r="E84" s="1"/>
      <c r="F84" s="1"/>
      <c r="G84" s="1"/>
      <c r="H84" s="1"/>
      <c r="I84" s="1"/>
      <c r="J84" s="1"/>
      <c r="K84" s="1"/>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9">
        <v>0.6</v>
      </c>
      <c r="AO84" s="10">
        <v>275</v>
      </c>
      <c r="AP84" s="18">
        <f t="shared" si="23"/>
        <v>999</v>
      </c>
      <c r="AQ84" s="10" t="str">
        <f t="shared" si="24"/>
        <v>-</v>
      </c>
      <c r="AR84" s="10" t="str">
        <f t="shared" si="25"/>
        <v>-</v>
      </c>
      <c r="AS84" s="2"/>
      <c r="AT84" s="2"/>
      <c r="AU84" s="2"/>
      <c r="AV84" s="2"/>
      <c r="AW84" s="2"/>
      <c r="AX84" s="2"/>
      <c r="AY84" s="2"/>
      <c r="AZ84" s="2"/>
      <c r="BA84" s="2"/>
      <c r="BB84" s="10">
        <f>AD26+(IFERROR((AN84/inp_c1_util)*(AO84/inp_c1_rate),0))*AZ26-AY26</f>
        <v>-100</v>
      </c>
      <c r="BC84" s="10">
        <f>AD27+(IFERROR((AN84/inp_c1_util)*(AO84/inp_c1_rate),0))*AZ27-AY27</f>
        <v>-200</v>
      </c>
      <c r="BD84" s="10">
        <f>AD28+(IFERROR((AN84/inp_c1_util)*(AO84/inp_c1_rate),0))*AZ28-AY28</f>
        <v>-300</v>
      </c>
      <c r="BE84" s="10">
        <f>AD29+(IFERROR((AN84/inp_c1_util)*(AO84/inp_c1_rate),0))*AZ29-AY29</f>
        <v>-400</v>
      </c>
      <c r="BF84" s="10">
        <f>AD30+(IFERROR((AN84/inp_c1_util)*(AO84/inp_c1_rate),0))*AZ30-AY30</f>
        <v>-500</v>
      </c>
      <c r="BG84" s="10">
        <f>AD31+(IFERROR((AN84/inp_c1_util)*(AO84/inp_c1_rate),0))*AZ31-AY31</f>
        <v>-600</v>
      </c>
      <c r="BH84" s="10">
        <f>AD32+(IFERROR((AN84/inp_c1_util)*(AO84/inp_c1_rate),0))*AZ32-AY32</f>
        <v>-700</v>
      </c>
      <c r="BI84" s="10">
        <f>AD33+(IFERROR((AN84/inp_c1_util)*(AO84/inp_c1_rate),0))*AZ33-AY33</f>
        <v>-800</v>
      </c>
      <c r="BJ84" s="10">
        <f>AD34+(IFERROR((AN84/inp_c1_util)*(AO84/inp_c1_rate),0))*AZ34-AY34</f>
        <v>-900</v>
      </c>
      <c r="BK84" s="10">
        <f>AD35+(IFERROR((AN84/inp_c1_util)*(AO84/inp_c1_rate),0))*AZ35-AY35</f>
        <v>-1000</v>
      </c>
      <c r="BL84" s="10">
        <f>AD36+(IFERROR((AN84/inp_c1_util)*(AO84/inp_c1_rate),0))*AZ36-AY36</f>
        <v>-1100</v>
      </c>
      <c r="BM84" s="10">
        <f>AD37+(IFERROR((AN84/inp_c1_util)*(AO84/inp_c1_rate),0))*AZ37-AY37</f>
        <v>-1200</v>
      </c>
      <c r="BN84" s="10">
        <f>AD38+(IFERROR((AN84/inp_c1_util)*(AO84/inp_c1_rate),0))*AZ38-AY38</f>
        <v>-1300</v>
      </c>
      <c r="BO84" s="10">
        <f>AD39+(IFERROR((AN84/inp_c1_util)*(AO84/inp_c1_rate),0))*AZ39-AY39</f>
        <v>-1400</v>
      </c>
      <c r="BP84" s="10">
        <f>AD40+(IFERROR((AN84/inp_c1_util)*(AO84/inp_c1_rate),0))*AZ40-AY40</f>
        <v>-1500</v>
      </c>
      <c r="BQ84" s="10">
        <f>AD41+(IFERROR((AN84/inp_c1_util)*(AO84/inp_c1_rate),0))*AZ41-AY41</f>
        <v>-1600</v>
      </c>
      <c r="BR84" s="10">
        <f>AD42+(IFERROR((AN84/inp_c1_util)*(AO84/inp_c1_rate),0))*AZ42-AY42</f>
        <v>-1700</v>
      </c>
      <c r="BS84" s="10">
        <f>AD43+(IFERROR((AN84/inp_c1_util)*(AO84/inp_c1_rate),0))*AZ43-AY43</f>
        <v>-1800</v>
      </c>
      <c r="BT84" s="10">
        <f>AD44+(IFERROR((AN84/inp_c1_util)*(AO84/inp_c1_rate),0))*AZ44-AY44</f>
        <v>-1900</v>
      </c>
      <c r="BU84" s="10">
        <f>AD45+(IFERROR((AN84/inp_c1_util)*(AO84/inp_c1_rate),0))*AZ45-AY45</f>
        <v>-2000</v>
      </c>
      <c r="BV84" s="10">
        <f>AD46+(IFERROR((AN84/inp_c1_util)*(AO84/inp_c1_rate),0))*AZ46-AY46</f>
        <v>-2100</v>
      </c>
      <c r="BW84" s="10">
        <f>AD47+(IFERROR((AN84/inp_c1_util)*(AO84/inp_c1_rate),0))*AZ47-AY47</f>
        <v>-2200</v>
      </c>
      <c r="BX84" s="10">
        <f>AD48+(IFERROR((AN84/inp_c1_util)*(AO84/inp_c1_rate),0))*AZ48-AY48</f>
        <v>-2300</v>
      </c>
      <c r="BY84" s="10">
        <f>AD49+(IFERROR((AN84/inp_c1_util)*(AO84/inp_c1_rate),0))*AZ49-AY49</f>
        <v>-2400</v>
      </c>
      <c r="BZ84" s="2"/>
      <c r="CA84" s="2"/>
      <c r="CB84" s="18">
        <f>IF(AND((IFERROR((AN84/sel_util)*(AO84/sel_rate),0))*AZ26-AY26&gt;=0,1&gt;=sel_start_m),1,9999)</f>
        <v>9999</v>
      </c>
      <c r="CC84" s="18">
        <f>IF(AND((IFERROR((AN84/sel_util)*(AO84/sel_rate),0))*AZ27-AY27&gt;=0,2&gt;=sel_start_m),2,9999)</f>
        <v>9999</v>
      </c>
      <c r="CD84" s="18">
        <f>IF(AND((IFERROR((AN84/sel_util)*(AO84/sel_rate),0))*AZ28-AY28&gt;=0,3&gt;=sel_start_m),3,9999)</f>
        <v>9999</v>
      </c>
      <c r="CE84" s="18">
        <f>IF(AND((IFERROR((AN84/sel_util)*(AO84/sel_rate),0))*AZ29-AY29&gt;=0,4&gt;=sel_start_m),4,9999)</f>
        <v>9999</v>
      </c>
      <c r="CF84" s="18">
        <f>IF(AND((IFERROR((AN84/sel_util)*(AO84/sel_rate),0))*AZ30-AY30&gt;=0,5&gt;=sel_start_m),5,9999)</f>
        <v>9999</v>
      </c>
      <c r="CG84" s="18">
        <f>IF(AND((IFERROR((AN84/sel_util)*(AO84/sel_rate),0))*AZ31-AY31&gt;=0,6&gt;=sel_start_m),6,9999)</f>
        <v>9999</v>
      </c>
      <c r="CH84" s="18">
        <f>IF(AND((IFERROR((AN84/sel_util)*(AO84/sel_rate),0))*AZ32-AY32&gt;=0,7&gt;=sel_start_m),7,9999)</f>
        <v>9999</v>
      </c>
      <c r="CI84" s="18">
        <f>IF(AND((IFERROR((AN84/sel_util)*(AO84/sel_rate),0))*AZ33-AY33&gt;=0,8&gt;=sel_start_m),8,9999)</f>
        <v>9999</v>
      </c>
      <c r="CJ84" s="18">
        <f>IF(AND((IFERROR((AN84/sel_util)*(AO84/sel_rate),0))*AZ34-AY34&gt;=0,9&gt;=sel_start_m),9,9999)</f>
        <v>9999</v>
      </c>
      <c r="CK84" s="18">
        <f>IF(AND((IFERROR((AN84/sel_util)*(AO84/sel_rate),0))*AZ35-AY35&gt;=0,10&gt;=sel_start_m),10,9999)</f>
        <v>9999</v>
      </c>
      <c r="CL84" s="18">
        <f>IF(AND((IFERROR((AN84/sel_util)*(AO84/sel_rate),0))*AZ36-AY36&gt;=0,11&gt;=sel_start_m),11,9999)</f>
        <v>9999</v>
      </c>
      <c r="CM84" s="18">
        <f>IF(AND((IFERROR((AN84/sel_util)*(AO84/sel_rate),0))*AZ37-AY37&gt;=0,12&gt;=sel_start_m),12,9999)</f>
        <v>9999</v>
      </c>
      <c r="CN84" s="18">
        <f>IF(AND((IFERROR((AN84/sel_util)*(AO84/sel_rate),0))*AZ38-AY38&gt;=0,13&gt;=sel_start_m),13,9999)</f>
        <v>9999</v>
      </c>
      <c r="CO84" s="18">
        <f>IF(AND((IFERROR((AN84/sel_util)*(AO84/sel_rate),0))*AZ39-AY39&gt;=0,14&gt;=sel_start_m),14,9999)</f>
        <v>9999</v>
      </c>
      <c r="CP84" s="18">
        <f>IF(AND((IFERROR((AN84/sel_util)*(AO84/sel_rate),0))*AZ40-AY40&gt;=0,15&gt;=sel_start_m),15,9999)</f>
        <v>9999</v>
      </c>
      <c r="CQ84" s="18">
        <f>IF(AND((IFERROR((AN84/sel_util)*(AO84/sel_rate),0))*AZ41-AY41&gt;=0,16&gt;=sel_start_m),16,9999)</f>
        <v>9999</v>
      </c>
      <c r="CR84" s="18">
        <f>IF(AND((IFERROR((AN84/sel_util)*(AO84/sel_rate),0))*AZ42-AY42&gt;=0,17&gt;=sel_start_m),17,9999)</f>
        <v>9999</v>
      </c>
      <c r="CS84" s="18">
        <f>IF(AND((IFERROR((AN84/sel_util)*(AO84/sel_rate),0))*AZ43-AY43&gt;=0,18&gt;=sel_start_m),18,9999)</f>
        <v>9999</v>
      </c>
      <c r="CT84" s="18">
        <f>IF(AND((IFERROR((AN84/sel_util)*(AO84/sel_rate),0))*AZ44-AY44&gt;=0,19&gt;=sel_start_m),19,9999)</f>
        <v>9999</v>
      </c>
      <c r="CU84" s="18">
        <f>IF(AND((IFERROR((AN84/sel_util)*(AO84/sel_rate),0))*AZ45-AY45&gt;=0,20&gt;=sel_start_m),20,9999)</f>
        <v>9999</v>
      </c>
      <c r="CV84" s="18">
        <f>IF(AND((IFERROR((AN84/sel_util)*(AO84/sel_rate),0))*AZ46-AY46&gt;=0,21&gt;=sel_start_m),21,9999)</f>
        <v>9999</v>
      </c>
      <c r="CW84" s="18">
        <f>IF(AND((IFERROR((AN84/sel_util)*(AO84/sel_rate),0))*AZ47-AY47&gt;=0,22&gt;=sel_start_m),22,9999)</f>
        <v>9999</v>
      </c>
      <c r="CX84" s="18">
        <f>IF(AND((IFERROR((AN84/sel_util)*(AO84/sel_rate),0))*AZ48-AY48&gt;=0,23&gt;=sel_start_m),23,9999)</f>
        <v>9999</v>
      </c>
      <c r="CY84" s="18">
        <f>IF(AND((IFERROR((AN84/sel_util)*(AO84/sel_rate),0))*AZ49-AY49&gt;=0,24&gt;=sel_start_m),24,9999)</f>
        <v>9999</v>
      </c>
      <c r="CZ84" s="2"/>
      <c r="DA84" s="2"/>
      <c r="DB84" s="2"/>
      <c r="DC84" s="2"/>
      <c r="DD84" s="2"/>
      <c r="DE84" s="2"/>
      <c r="DF84" s="2"/>
      <c r="DG84" s="2"/>
      <c r="DH84" s="2"/>
      <c r="DI84" s="2"/>
      <c r="DJ84" s="2"/>
      <c r="DK84" s="2"/>
      <c r="DL84" s="2"/>
      <c r="DM84" s="2"/>
    </row>
    <row r="85" spans="1:117" ht="22" customHeight="1" x14ac:dyDescent="0.2">
      <c r="A85" s="1"/>
      <c r="B85" s="5" t="str">
        <f>"SENSITIVITY · "&amp;UPPER(CHOOSE($AT$70,IF(inp_c1_role="","Candidate 1",inp_c1_role),IF(inp_c2_role="","Candidate 2",inp_c2_role),IF(inp_c3_role="","Candidate 3",inp_c3_role),IF(inp_c4_role="","Candidate 4",inp_c4_role),IF(inp_c5_role="","Candidate 5",inp_c5_role),IF(inp_c6_role="","Candidate 6",inp_c6_role),IF(inp_c7_role="","Candidate 7",inp_c7_role),IF(inp_c8_role="","Candidate 8",inp_c8_role)))&amp;IF(NOT(CHOOSE($AT$70,inp_c1_active,inp_c2_active,inp_c3_active,inp_c4_active,inp_c5_active,inp_c6_active,inp_c7_active,inp_c8_active))," (inactive)","")</f>
        <v>SENSITIVITY · CANDIDATE 1 (inactive)</v>
      </c>
      <c r="C85" s="1"/>
      <c r="D85" s="1"/>
      <c r="E85" s="1"/>
      <c r="F85" s="1"/>
      <c r="G85" s="1"/>
      <c r="H85" s="1"/>
      <c r="I85" s="1"/>
      <c r="J85" s="29" t="s">
        <v>55</v>
      </c>
      <c r="K85" s="1"/>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9">
        <v>0.6</v>
      </c>
      <c r="AO85" s="10">
        <v>300</v>
      </c>
      <c r="AP85" s="18">
        <f t="shared" si="23"/>
        <v>999</v>
      </c>
      <c r="AQ85" s="10" t="str">
        <f t="shared" si="24"/>
        <v>-</v>
      </c>
      <c r="AR85" s="10" t="str">
        <f t="shared" si="25"/>
        <v>-</v>
      </c>
      <c r="AS85" s="2"/>
      <c r="AT85" s="2"/>
      <c r="AU85" s="2"/>
      <c r="AV85" s="2"/>
      <c r="AW85" s="2"/>
      <c r="AX85" s="2"/>
      <c r="AY85" s="2"/>
      <c r="AZ85" s="2"/>
      <c r="BA85" s="2"/>
      <c r="BB85" s="10">
        <f>AD26+(IFERROR((AN85/inp_c1_util)*(AO85/inp_c1_rate),0))*AZ26-AY26</f>
        <v>-100</v>
      </c>
      <c r="BC85" s="10">
        <f>AD27+(IFERROR((AN85/inp_c1_util)*(AO85/inp_c1_rate),0))*AZ27-AY27</f>
        <v>-200</v>
      </c>
      <c r="BD85" s="10">
        <f>AD28+(IFERROR((AN85/inp_c1_util)*(AO85/inp_c1_rate),0))*AZ28-AY28</f>
        <v>-300</v>
      </c>
      <c r="BE85" s="10">
        <f>AD29+(IFERROR((AN85/inp_c1_util)*(AO85/inp_c1_rate),0))*AZ29-AY29</f>
        <v>-400</v>
      </c>
      <c r="BF85" s="10">
        <f>AD30+(IFERROR((AN85/inp_c1_util)*(AO85/inp_c1_rate),0))*AZ30-AY30</f>
        <v>-500</v>
      </c>
      <c r="BG85" s="10">
        <f>AD31+(IFERROR((AN85/inp_c1_util)*(AO85/inp_c1_rate),0))*AZ31-AY31</f>
        <v>-600</v>
      </c>
      <c r="BH85" s="10">
        <f>AD32+(IFERROR((AN85/inp_c1_util)*(AO85/inp_c1_rate),0))*AZ32-AY32</f>
        <v>-700</v>
      </c>
      <c r="BI85" s="10">
        <f>AD33+(IFERROR((AN85/inp_c1_util)*(AO85/inp_c1_rate),0))*AZ33-AY33</f>
        <v>-800</v>
      </c>
      <c r="BJ85" s="10">
        <f>AD34+(IFERROR((AN85/inp_c1_util)*(AO85/inp_c1_rate),0))*AZ34-AY34</f>
        <v>-900</v>
      </c>
      <c r="BK85" s="10">
        <f>AD35+(IFERROR((AN85/inp_c1_util)*(AO85/inp_c1_rate),0))*AZ35-AY35</f>
        <v>-1000</v>
      </c>
      <c r="BL85" s="10">
        <f>AD36+(IFERROR((AN85/inp_c1_util)*(AO85/inp_c1_rate),0))*AZ36-AY36</f>
        <v>-1100</v>
      </c>
      <c r="BM85" s="10">
        <f>AD37+(IFERROR((AN85/inp_c1_util)*(AO85/inp_c1_rate),0))*AZ37-AY37</f>
        <v>-1200</v>
      </c>
      <c r="BN85" s="10">
        <f>AD38+(IFERROR((AN85/inp_c1_util)*(AO85/inp_c1_rate),0))*AZ38-AY38</f>
        <v>-1300</v>
      </c>
      <c r="BO85" s="10">
        <f>AD39+(IFERROR((AN85/inp_c1_util)*(AO85/inp_c1_rate),0))*AZ39-AY39</f>
        <v>-1400</v>
      </c>
      <c r="BP85" s="10">
        <f>AD40+(IFERROR((AN85/inp_c1_util)*(AO85/inp_c1_rate),0))*AZ40-AY40</f>
        <v>-1500</v>
      </c>
      <c r="BQ85" s="10">
        <f>AD41+(IFERROR((AN85/inp_c1_util)*(AO85/inp_c1_rate),0))*AZ41-AY41</f>
        <v>-1600</v>
      </c>
      <c r="BR85" s="10">
        <f>AD42+(IFERROR((AN85/inp_c1_util)*(AO85/inp_c1_rate),0))*AZ42-AY42</f>
        <v>-1700</v>
      </c>
      <c r="BS85" s="10">
        <f>AD43+(IFERROR((AN85/inp_c1_util)*(AO85/inp_c1_rate),0))*AZ43-AY43</f>
        <v>-1800</v>
      </c>
      <c r="BT85" s="10">
        <f>AD44+(IFERROR((AN85/inp_c1_util)*(AO85/inp_c1_rate),0))*AZ44-AY44</f>
        <v>-1900</v>
      </c>
      <c r="BU85" s="10">
        <f>AD45+(IFERROR((AN85/inp_c1_util)*(AO85/inp_c1_rate),0))*AZ45-AY45</f>
        <v>-2000</v>
      </c>
      <c r="BV85" s="10">
        <f>AD46+(IFERROR((AN85/inp_c1_util)*(AO85/inp_c1_rate),0))*AZ46-AY46</f>
        <v>-2100</v>
      </c>
      <c r="BW85" s="10">
        <f>AD47+(IFERROR((AN85/inp_c1_util)*(AO85/inp_c1_rate),0))*AZ47-AY47</f>
        <v>-2200</v>
      </c>
      <c r="BX85" s="10">
        <f>AD48+(IFERROR((AN85/inp_c1_util)*(AO85/inp_c1_rate),0))*AZ48-AY48</f>
        <v>-2300</v>
      </c>
      <c r="BY85" s="10">
        <f>AD49+(IFERROR((AN85/inp_c1_util)*(AO85/inp_c1_rate),0))*AZ49-AY49</f>
        <v>-2400</v>
      </c>
      <c r="BZ85" s="2"/>
      <c r="CA85" s="2"/>
      <c r="CB85" s="18">
        <f>IF(AND((IFERROR((AN85/sel_util)*(AO85/sel_rate),0))*AZ26-AY26&gt;=0,1&gt;=sel_start_m),1,9999)</f>
        <v>9999</v>
      </c>
      <c r="CC85" s="18">
        <f>IF(AND((IFERROR((AN85/sel_util)*(AO85/sel_rate),0))*AZ27-AY27&gt;=0,2&gt;=sel_start_m),2,9999)</f>
        <v>9999</v>
      </c>
      <c r="CD85" s="18">
        <f>IF(AND((IFERROR((AN85/sel_util)*(AO85/sel_rate),0))*AZ28-AY28&gt;=0,3&gt;=sel_start_m),3,9999)</f>
        <v>9999</v>
      </c>
      <c r="CE85" s="18">
        <f>IF(AND((IFERROR((AN85/sel_util)*(AO85/sel_rate),0))*AZ29-AY29&gt;=0,4&gt;=sel_start_m),4,9999)</f>
        <v>9999</v>
      </c>
      <c r="CF85" s="18">
        <f>IF(AND((IFERROR((AN85/sel_util)*(AO85/sel_rate),0))*AZ30-AY30&gt;=0,5&gt;=sel_start_m),5,9999)</f>
        <v>9999</v>
      </c>
      <c r="CG85" s="18">
        <f>IF(AND((IFERROR((AN85/sel_util)*(AO85/sel_rate),0))*AZ31-AY31&gt;=0,6&gt;=sel_start_m),6,9999)</f>
        <v>9999</v>
      </c>
      <c r="CH85" s="18">
        <f>IF(AND((IFERROR((AN85/sel_util)*(AO85/sel_rate),0))*AZ32-AY32&gt;=0,7&gt;=sel_start_m),7,9999)</f>
        <v>9999</v>
      </c>
      <c r="CI85" s="18">
        <f>IF(AND((IFERROR((AN85/sel_util)*(AO85/sel_rate),0))*AZ33-AY33&gt;=0,8&gt;=sel_start_m),8,9999)</f>
        <v>9999</v>
      </c>
      <c r="CJ85" s="18">
        <f>IF(AND((IFERROR((AN85/sel_util)*(AO85/sel_rate),0))*AZ34-AY34&gt;=0,9&gt;=sel_start_m),9,9999)</f>
        <v>9999</v>
      </c>
      <c r="CK85" s="18">
        <f>IF(AND((IFERROR((AN85/sel_util)*(AO85/sel_rate),0))*AZ35-AY35&gt;=0,10&gt;=sel_start_m),10,9999)</f>
        <v>9999</v>
      </c>
      <c r="CL85" s="18">
        <f>IF(AND((IFERROR((AN85/sel_util)*(AO85/sel_rate),0))*AZ36-AY36&gt;=0,11&gt;=sel_start_m),11,9999)</f>
        <v>9999</v>
      </c>
      <c r="CM85" s="18">
        <f>IF(AND((IFERROR((AN85/sel_util)*(AO85/sel_rate),0))*AZ37-AY37&gt;=0,12&gt;=sel_start_m),12,9999)</f>
        <v>9999</v>
      </c>
      <c r="CN85" s="18">
        <f>IF(AND((IFERROR((AN85/sel_util)*(AO85/sel_rate),0))*AZ38-AY38&gt;=0,13&gt;=sel_start_m),13,9999)</f>
        <v>9999</v>
      </c>
      <c r="CO85" s="18">
        <f>IF(AND((IFERROR((AN85/sel_util)*(AO85/sel_rate),0))*AZ39-AY39&gt;=0,14&gt;=sel_start_m),14,9999)</f>
        <v>9999</v>
      </c>
      <c r="CP85" s="18">
        <f>IF(AND((IFERROR((AN85/sel_util)*(AO85/sel_rate),0))*AZ40-AY40&gt;=0,15&gt;=sel_start_m),15,9999)</f>
        <v>9999</v>
      </c>
      <c r="CQ85" s="18">
        <f>IF(AND((IFERROR((AN85/sel_util)*(AO85/sel_rate),0))*AZ41-AY41&gt;=0,16&gt;=sel_start_m),16,9999)</f>
        <v>9999</v>
      </c>
      <c r="CR85" s="18">
        <f>IF(AND((IFERROR((AN85/sel_util)*(AO85/sel_rate),0))*AZ42-AY42&gt;=0,17&gt;=sel_start_m),17,9999)</f>
        <v>9999</v>
      </c>
      <c r="CS85" s="18">
        <f>IF(AND((IFERROR((AN85/sel_util)*(AO85/sel_rate),0))*AZ43-AY43&gt;=0,18&gt;=sel_start_m),18,9999)</f>
        <v>9999</v>
      </c>
      <c r="CT85" s="18">
        <f>IF(AND((IFERROR((AN85/sel_util)*(AO85/sel_rate),0))*AZ44-AY44&gt;=0,19&gt;=sel_start_m),19,9999)</f>
        <v>9999</v>
      </c>
      <c r="CU85" s="18">
        <f>IF(AND((IFERROR((AN85/sel_util)*(AO85/sel_rate),0))*AZ45-AY45&gt;=0,20&gt;=sel_start_m),20,9999)</f>
        <v>9999</v>
      </c>
      <c r="CV85" s="18">
        <f>IF(AND((IFERROR((AN85/sel_util)*(AO85/sel_rate),0))*AZ46-AY46&gt;=0,21&gt;=sel_start_m),21,9999)</f>
        <v>9999</v>
      </c>
      <c r="CW85" s="18">
        <f>IF(AND((IFERROR((AN85/sel_util)*(AO85/sel_rate),0))*AZ47-AY47&gt;=0,22&gt;=sel_start_m),22,9999)</f>
        <v>9999</v>
      </c>
      <c r="CX85" s="18">
        <f>IF(AND((IFERROR((AN85/sel_util)*(AO85/sel_rate),0))*AZ48-AY48&gt;=0,23&gt;=sel_start_m),23,9999)</f>
        <v>9999</v>
      </c>
      <c r="CY85" s="18">
        <f>IF(AND((IFERROR((AN85/sel_util)*(AO85/sel_rate),0))*AZ49-AY49&gt;=0,24&gt;=sel_start_m),24,9999)</f>
        <v>9999</v>
      </c>
      <c r="CZ85" s="2"/>
      <c r="DA85" s="2"/>
      <c r="DB85" s="2"/>
      <c r="DC85" s="2"/>
      <c r="DD85" s="2"/>
      <c r="DE85" s="2"/>
      <c r="DF85" s="2"/>
      <c r="DG85" s="2"/>
      <c r="DH85" s="2"/>
      <c r="DI85" s="2"/>
      <c r="DJ85" s="2"/>
      <c r="DK85" s="2"/>
      <c r="DL85" s="2"/>
      <c r="DM85" s="2"/>
    </row>
    <row r="86" spans="1:117" ht="22" customHeight="1" x14ac:dyDescent="0.2">
      <c r="A86" s="1"/>
      <c r="B86" s="6" t="s">
        <v>142</v>
      </c>
      <c r="C86" s="30">
        <v>150</v>
      </c>
      <c r="D86" s="30">
        <v>175</v>
      </c>
      <c r="E86" s="30">
        <v>200</v>
      </c>
      <c r="F86" s="30">
        <v>225</v>
      </c>
      <c r="G86" s="30">
        <v>250</v>
      </c>
      <c r="H86" s="30">
        <v>275</v>
      </c>
      <c r="I86" s="30">
        <v>300</v>
      </c>
      <c r="J86" s="1"/>
      <c r="K86" s="1"/>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9">
        <v>0.7</v>
      </c>
      <c r="AO86" s="10">
        <v>150</v>
      </c>
      <c r="AP86" s="18">
        <f t="shared" si="23"/>
        <v>999</v>
      </c>
      <c r="AQ86" s="10" t="str">
        <f t="shared" si="24"/>
        <v>-</v>
      </c>
      <c r="AR86" s="10" t="str">
        <f t="shared" si="25"/>
        <v>-</v>
      </c>
      <c r="AS86" s="2"/>
      <c r="AT86" s="2"/>
      <c r="AU86" s="2"/>
      <c r="AV86" s="2"/>
      <c r="AW86" s="2"/>
      <c r="AX86" s="2"/>
      <c r="AY86" s="2"/>
      <c r="AZ86" s="2"/>
      <c r="BA86" s="2"/>
      <c r="BB86" s="10">
        <f>AD26+(IFERROR((AN86/inp_c1_util)*(AO86/inp_c1_rate),0))*AZ26-AY26</f>
        <v>-100</v>
      </c>
      <c r="BC86" s="10">
        <f>AD27+(IFERROR((AN86/inp_c1_util)*(AO86/inp_c1_rate),0))*AZ27-AY27</f>
        <v>-200</v>
      </c>
      <c r="BD86" s="10">
        <f>AD28+(IFERROR((AN86/inp_c1_util)*(AO86/inp_c1_rate),0))*AZ28-AY28</f>
        <v>-300</v>
      </c>
      <c r="BE86" s="10">
        <f>AD29+(IFERROR((AN86/inp_c1_util)*(AO86/inp_c1_rate),0))*AZ29-AY29</f>
        <v>-400</v>
      </c>
      <c r="BF86" s="10">
        <f>AD30+(IFERROR((AN86/inp_c1_util)*(AO86/inp_c1_rate),0))*AZ30-AY30</f>
        <v>-500</v>
      </c>
      <c r="BG86" s="10">
        <f>AD31+(IFERROR((AN86/inp_c1_util)*(AO86/inp_c1_rate),0))*AZ31-AY31</f>
        <v>-600</v>
      </c>
      <c r="BH86" s="10">
        <f>AD32+(IFERROR((AN86/inp_c1_util)*(AO86/inp_c1_rate),0))*AZ32-AY32</f>
        <v>-700</v>
      </c>
      <c r="BI86" s="10">
        <f>AD33+(IFERROR((AN86/inp_c1_util)*(AO86/inp_c1_rate),0))*AZ33-AY33</f>
        <v>-800</v>
      </c>
      <c r="BJ86" s="10">
        <f>AD34+(IFERROR((AN86/inp_c1_util)*(AO86/inp_c1_rate),0))*AZ34-AY34</f>
        <v>-900</v>
      </c>
      <c r="BK86" s="10">
        <f>AD35+(IFERROR((AN86/inp_c1_util)*(AO86/inp_c1_rate),0))*AZ35-AY35</f>
        <v>-1000</v>
      </c>
      <c r="BL86" s="10">
        <f>AD36+(IFERROR((AN86/inp_c1_util)*(AO86/inp_c1_rate),0))*AZ36-AY36</f>
        <v>-1100</v>
      </c>
      <c r="BM86" s="10">
        <f>AD37+(IFERROR((AN86/inp_c1_util)*(AO86/inp_c1_rate),0))*AZ37-AY37</f>
        <v>-1200</v>
      </c>
      <c r="BN86" s="10">
        <f>AD38+(IFERROR((AN86/inp_c1_util)*(AO86/inp_c1_rate),0))*AZ38-AY38</f>
        <v>-1300</v>
      </c>
      <c r="BO86" s="10">
        <f>AD39+(IFERROR((AN86/inp_c1_util)*(AO86/inp_c1_rate),0))*AZ39-AY39</f>
        <v>-1400</v>
      </c>
      <c r="BP86" s="10">
        <f>AD40+(IFERROR((AN86/inp_c1_util)*(AO86/inp_c1_rate),0))*AZ40-AY40</f>
        <v>-1500</v>
      </c>
      <c r="BQ86" s="10">
        <f>AD41+(IFERROR((AN86/inp_c1_util)*(AO86/inp_c1_rate),0))*AZ41-AY41</f>
        <v>-1600</v>
      </c>
      <c r="BR86" s="10">
        <f>AD42+(IFERROR((AN86/inp_c1_util)*(AO86/inp_c1_rate),0))*AZ42-AY42</f>
        <v>-1700</v>
      </c>
      <c r="BS86" s="10">
        <f>AD43+(IFERROR((AN86/inp_c1_util)*(AO86/inp_c1_rate),0))*AZ43-AY43</f>
        <v>-1800</v>
      </c>
      <c r="BT86" s="10">
        <f>AD44+(IFERROR((AN86/inp_c1_util)*(AO86/inp_c1_rate),0))*AZ44-AY44</f>
        <v>-1900</v>
      </c>
      <c r="BU86" s="10">
        <f>AD45+(IFERROR((AN86/inp_c1_util)*(AO86/inp_c1_rate),0))*AZ45-AY45</f>
        <v>-2000</v>
      </c>
      <c r="BV86" s="10">
        <f>AD46+(IFERROR((AN86/inp_c1_util)*(AO86/inp_c1_rate),0))*AZ46-AY46</f>
        <v>-2100</v>
      </c>
      <c r="BW86" s="10">
        <f>AD47+(IFERROR((AN86/inp_c1_util)*(AO86/inp_c1_rate),0))*AZ47-AY47</f>
        <v>-2200</v>
      </c>
      <c r="BX86" s="10">
        <f>AD48+(IFERROR((AN86/inp_c1_util)*(AO86/inp_c1_rate),0))*AZ48-AY48</f>
        <v>-2300</v>
      </c>
      <c r="BY86" s="10">
        <f>AD49+(IFERROR((AN86/inp_c1_util)*(AO86/inp_c1_rate),0))*AZ49-AY49</f>
        <v>-2400</v>
      </c>
      <c r="BZ86" s="2"/>
      <c r="CA86" s="2"/>
      <c r="CB86" s="18">
        <f>IF(AND((IFERROR((AN86/sel_util)*(AO86/sel_rate),0))*AZ26-AY26&gt;=0,1&gt;=sel_start_m),1,9999)</f>
        <v>9999</v>
      </c>
      <c r="CC86" s="18">
        <f>IF(AND((IFERROR((AN86/sel_util)*(AO86/sel_rate),0))*AZ27-AY27&gt;=0,2&gt;=sel_start_m),2,9999)</f>
        <v>9999</v>
      </c>
      <c r="CD86" s="18">
        <f>IF(AND((IFERROR((AN86/sel_util)*(AO86/sel_rate),0))*AZ28-AY28&gt;=0,3&gt;=sel_start_m),3,9999)</f>
        <v>9999</v>
      </c>
      <c r="CE86" s="18">
        <f>IF(AND((IFERROR((AN86/sel_util)*(AO86/sel_rate),0))*AZ29-AY29&gt;=0,4&gt;=sel_start_m),4,9999)</f>
        <v>9999</v>
      </c>
      <c r="CF86" s="18">
        <f>IF(AND((IFERROR((AN86/sel_util)*(AO86/sel_rate),0))*AZ30-AY30&gt;=0,5&gt;=sel_start_m),5,9999)</f>
        <v>9999</v>
      </c>
      <c r="CG86" s="18">
        <f>IF(AND((IFERROR((AN86/sel_util)*(AO86/sel_rate),0))*AZ31-AY31&gt;=0,6&gt;=sel_start_m),6,9999)</f>
        <v>9999</v>
      </c>
      <c r="CH86" s="18">
        <f>IF(AND((IFERROR((AN86/sel_util)*(AO86/sel_rate),0))*AZ32-AY32&gt;=0,7&gt;=sel_start_m),7,9999)</f>
        <v>9999</v>
      </c>
      <c r="CI86" s="18">
        <f>IF(AND((IFERROR((AN86/sel_util)*(AO86/sel_rate),0))*AZ33-AY33&gt;=0,8&gt;=sel_start_m),8,9999)</f>
        <v>9999</v>
      </c>
      <c r="CJ86" s="18">
        <f>IF(AND((IFERROR((AN86/sel_util)*(AO86/sel_rate),0))*AZ34-AY34&gt;=0,9&gt;=sel_start_m),9,9999)</f>
        <v>9999</v>
      </c>
      <c r="CK86" s="18">
        <f>IF(AND((IFERROR((AN86/sel_util)*(AO86/sel_rate),0))*AZ35-AY35&gt;=0,10&gt;=sel_start_m),10,9999)</f>
        <v>9999</v>
      </c>
      <c r="CL86" s="18">
        <f>IF(AND((IFERROR((AN86/sel_util)*(AO86/sel_rate),0))*AZ36-AY36&gt;=0,11&gt;=sel_start_m),11,9999)</f>
        <v>9999</v>
      </c>
      <c r="CM86" s="18">
        <f>IF(AND((IFERROR((AN86/sel_util)*(AO86/sel_rate),0))*AZ37-AY37&gt;=0,12&gt;=sel_start_m),12,9999)</f>
        <v>9999</v>
      </c>
      <c r="CN86" s="18">
        <f>IF(AND((IFERROR((AN86/sel_util)*(AO86/sel_rate),0))*AZ38-AY38&gt;=0,13&gt;=sel_start_m),13,9999)</f>
        <v>9999</v>
      </c>
      <c r="CO86" s="18">
        <f>IF(AND((IFERROR((AN86/sel_util)*(AO86/sel_rate),0))*AZ39-AY39&gt;=0,14&gt;=sel_start_m),14,9999)</f>
        <v>9999</v>
      </c>
      <c r="CP86" s="18">
        <f>IF(AND((IFERROR((AN86/sel_util)*(AO86/sel_rate),0))*AZ40-AY40&gt;=0,15&gt;=sel_start_m),15,9999)</f>
        <v>9999</v>
      </c>
      <c r="CQ86" s="18">
        <f>IF(AND((IFERROR((AN86/sel_util)*(AO86/sel_rate),0))*AZ41-AY41&gt;=0,16&gt;=sel_start_m),16,9999)</f>
        <v>9999</v>
      </c>
      <c r="CR86" s="18">
        <f>IF(AND((IFERROR((AN86/sel_util)*(AO86/sel_rate),0))*AZ42-AY42&gt;=0,17&gt;=sel_start_m),17,9999)</f>
        <v>9999</v>
      </c>
      <c r="CS86" s="18">
        <f>IF(AND((IFERROR((AN86/sel_util)*(AO86/sel_rate),0))*AZ43-AY43&gt;=0,18&gt;=sel_start_m),18,9999)</f>
        <v>9999</v>
      </c>
      <c r="CT86" s="18">
        <f>IF(AND((IFERROR((AN86/sel_util)*(AO86/sel_rate),0))*AZ44-AY44&gt;=0,19&gt;=sel_start_m),19,9999)</f>
        <v>9999</v>
      </c>
      <c r="CU86" s="18">
        <f>IF(AND((IFERROR((AN86/sel_util)*(AO86/sel_rate),0))*AZ45-AY45&gt;=0,20&gt;=sel_start_m),20,9999)</f>
        <v>9999</v>
      </c>
      <c r="CV86" s="18">
        <f>IF(AND((IFERROR((AN86/sel_util)*(AO86/sel_rate),0))*AZ46-AY46&gt;=0,21&gt;=sel_start_m),21,9999)</f>
        <v>9999</v>
      </c>
      <c r="CW86" s="18">
        <f>IF(AND((IFERROR((AN86/sel_util)*(AO86/sel_rate),0))*AZ47-AY47&gt;=0,22&gt;=sel_start_m),22,9999)</f>
        <v>9999</v>
      </c>
      <c r="CX86" s="18">
        <f>IF(AND((IFERROR((AN86/sel_util)*(AO86/sel_rate),0))*AZ48-AY48&gt;=0,23&gt;=sel_start_m),23,9999)</f>
        <v>9999</v>
      </c>
      <c r="CY86" s="18">
        <f>IF(AND((IFERROR((AN86/sel_util)*(AO86/sel_rate),0))*AZ49-AY49&gt;=0,24&gt;=sel_start_m),24,9999)</f>
        <v>9999</v>
      </c>
      <c r="CZ86" s="2"/>
      <c r="DA86" s="2"/>
      <c r="DB86" s="2"/>
      <c r="DC86" s="2"/>
      <c r="DD86" s="2"/>
      <c r="DE86" s="2"/>
      <c r="DF86" s="2"/>
      <c r="DG86" s="2"/>
      <c r="DH86" s="2"/>
      <c r="DI86" s="2"/>
      <c r="DJ86" s="2"/>
      <c r="DK86" s="2"/>
      <c r="DL86" s="2"/>
      <c r="DM86" s="2"/>
    </row>
    <row r="87" spans="1:117" ht="22" customHeight="1" x14ac:dyDescent="0.2">
      <c r="A87" s="1"/>
      <c r="B87" s="31">
        <v>0.5</v>
      </c>
      <c r="C87" s="32">
        <f>AP72</f>
        <v>999</v>
      </c>
      <c r="D87" s="32">
        <f>AP73</f>
        <v>999</v>
      </c>
      <c r="E87" s="32">
        <f>AP74</f>
        <v>999</v>
      </c>
      <c r="F87" s="32">
        <f>AP75</f>
        <v>999</v>
      </c>
      <c r="G87" s="32">
        <f>AP76</f>
        <v>999</v>
      </c>
      <c r="H87" s="32">
        <f>AP77</f>
        <v>999</v>
      </c>
      <c r="I87" s="32">
        <f>AP78</f>
        <v>999</v>
      </c>
      <c r="J87" s="1"/>
      <c r="K87" s="1"/>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9">
        <v>0.7</v>
      </c>
      <c r="AO87" s="10">
        <v>175</v>
      </c>
      <c r="AP87" s="18">
        <f t="shared" si="23"/>
        <v>999</v>
      </c>
      <c r="AQ87" s="10" t="str">
        <f t="shared" si="24"/>
        <v>-</v>
      </c>
      <c r="AR87" s="10" t="str">
        <f t="shared" si="25"/>
        <v>-</v>
      </c>
      <c r="AS87" s="2"/>
      <c r="AT87" s="2"/>
      <c r="AU87" s="2"/>
      <c r="AV87" s="2"/>
      <c r="AW87" s="2"/>
      <c r="AX87" s="2"/>
      <c r="AY87" s="2"/>
      <c r="AZ87" s="2"/>
      <c r="BA87" s="2"/>
      <c r="BB87" s="10">
        <f>AD26+(IFERROR((AN87/inp_c1_util)*(AO87/inp_c1_rate),0))*AZ26-AY26</f>
        <v>-100</v>
      </c>
      <c r="BC87" s="10">
        <f>AD27+(IFERROR((AN87/inp_c1_util)*(AO87/inp_c1_rate),0))*AZ27-AY27</f>
        <v>-200</v>
      </c>
      <c r="BD87" s="10">
        <f>AD28+(IFERROR((AN87/inp_c1_util)*(AO87/inp_c1_rate),0))*AZ28-AY28</f>
        <v>-300</v>
      </c>
      <c r="BE87" s="10">
        <f>AD29+(IFERROR((AN87/inp_c1_util)*(AO87/inp_c1_rate),0))*AZ29-AY29</f>
        <v>-400</v>
      </c>
      <c r="BF87" s="10">
        <f>AD30+(IFERROR((AN87/inp_c1_util)*(AO87/inp_c1_rate),0))*AZ30-AY30</f>
        <v>-500</v>
      </c>
      <c r="BG87" s="10">
        <f>AD31+(IFERROR((AN87/inp_c1_util)*(AO87/inp_c1_rate),0))*AZ31-AY31</f>
        <v>-600</v>
      </c>
      <c r="BH87" s="10">
        <f>AD32+(IFERROR((AN87/inp_c1_util)*(AO87/inp_c1_rate),0))*AZ32-AY32</f>
        <v>-700</v>
      </c>
      <c r="BI87" s="10">
        <f>AD33+(IFERROR((AN87/inp_c1_util)*(AO87/inp_c1_rate),0))*AZ33-AY33</f>
        <v>-800</v>
      </c>
      <c r="BJ87" s="10">
        <f>AD34+(IFERROR((AN87/inp_c1_util)*(AO87/inp_c1_rate),0))*AZ34-AY34</f>
        <v>-900</v>
      </c>
      <c r="BK87" s="10">
        <f>AD35+(IFERROR((AN87/inp_c1_util)*(AO87/inp_c1_rate),0))*AZ35-AY35</f>
        <v>-1000</v>
      </c>
      <c r="BL87" s="10">
        <f>AD36+(IFERROR((AN87/inp_c1_util)*(AO87/inp_c1_rate),0))*AZ36-AY36</f>
        <v>-1100</v>
      </c>
      <c r="BM87" s="10">
        <f>AD37+(IFERROR((AN87/inp_c1_util)*(AO87/inp_c1_rate),0))*AZ37-AY37</f>
        <v>-1200</v>
      </c>
      <c r="BN87" s="10">
        <f>AD38+(IFERROR((AN87/inp_c1_util)*(AO87/inp_c1_rate),0))*AZ38-AY38</f>
        <v>-1300</v>
      </c>
      <c r="BO87" s="10">
        <f>AD39+(IFERROR((AN87/inp_c1_util)*(AO87/inp_c1_rate),0))*AZ39-AY39</f>
        <v>-1400</v>
      </c>
      <c r="BP87" s="10">
        <f>AD40+(IFERROR((AN87/inp_c1_util)*(AO87/inp_c1_rate),0))*AZ40-AY40</f>
        <v>-1500</v>
      </c>
      <c r="BQ87" s="10">
        <f>AD41+(IFERROR((AN87/inp_c1_util)*(AO87/inp_c1_rate),0))*AZ41-AY41</f>
        <v>-1600</v>
      </c>
      <c r="BR87" s="10">
        <f>AD42+(IFERROR((AN87/inp_c1_util)*(AO87/inp_c1_rate),0))*AZ42-AY42</f>
        <v>-1700</v>
      </c>
      <c r="BS87" s="10">
        <f>AD43+(IFERROR((AN87/inp_c1_util)*(AO87/inp_c1_rate),0))*AZ43-AY43</f>
        <v>-1800</v>
      </c>
      <c r="BT87" s="10">
        <f>AD44+(IFERROR((AN87/inp_c1_util)*(AO87/inp_c1_rate),0))*AZ44-AY44</f>
        <v>-1900</v>
      </c>
      <c r="BU87" s="10">
        <f>AD45+(IFERROR((AN87/inp_c1_util)*(AO87/inp_c1_rate),0))*AZ45-AY45</f>
        <v>-2000</v>
      </c>
      <c r="BV87" s="10">
        <f>AD46+(IFERROR((AN87/inp_c1_util)*(AO87/inp_c1_rate),0))*AZ46-AY46</f>
        <v>-2100</v>
      </c>
      <c r="BW87" s="10">
        <f>AD47+(IFERROR((AN87/inp_c1_util)*(AO87/inp_c1_rate),0))*AZ47-AY47</f>
        <v>-2200</v>
      </c>
      <c r="BX87" s="10">
        <f>AD48+(IFERROR((AN87/inp_c1_util)*(AO87/inp_c1_rate),0))*AZ48-AY48</f>
        <v>-2300</v>
      </c>
      <c r="BY87" s="10">
        <f>AD49+(IFERROR((AN87/inp_c1_util)*(AO87/inp_c1_rate),0))*AZ49-AY49</f>
        <v>-2400</v>
      </c>
      <c r="BZ87" s="2"/>
      <c r="CA87" s="2"/>
      <c r="CB87" s="18">
        <f>IF(AND((IFERROR((AN87/sel_util)*(AO87/sel_rate),0))*AZ26-AY26&gt;=0,1&gt;=sel_start_m),1,9999)</f>
        <v>9999</v>
      </c>
      <c r="CC87" s="18">
        <f>IF(AND((IFERROR((AN87/sel_util)*(AO87/sel_rate),0))*AZ27-AY27&gt;=0,2&gt;=sel_start_m),2,9999)</f>
        <v>9999</v>
      </c>
      <c r="CD87" s="18">
        <f>IF(AND((IFERROR((AN87/sel_util)*(AO87/sel_rate),0))*AZ28-AY28&gt;=0,3&gt;=sel_start_m),3,9999)</f>
        <v>9999</v>
      </c>
      <c r="CE87" s="18">
        <f>IF(AND((IFERROR((AN87/sel_util)*(AO87/sel_rate),0))*AZ29-AY29&gt;=0,4&gt;=sel_start_m),4,9999)</f>
        <v>9999</v>
      </c>
      <c r="CF87" s="18">
        <f>IF(AND((IFERROR((AN87/sel_util)*(AO87/sel_rate),0))*AZ30-AY30&gt;=0,5&gt;=sel_start_m),5,9999)</f>
        <v>9999</v>
      </c>
      <c r="CG87" s="18">
        <f>IF(AND((IFERROR((AN87/sel_util)*(AO87/sel_rate),0))*AZ31-AY31&gt;=0,6&gt;=sel_start_m),6,9999)</f>
        <v>9999</v>
      </c>
      <c r="CH87" s="18">
        <f>IF(AND((IFERROR((AN87/sel_util)*(AO87/sel_rate),0))*AZ32-AY32&gt;=0,7&gt;=sel_start_m),7,9999)</f>
        <v>9999</v>
      </c>
      <c r="CI87" s="18">
        <f>IF(AND((IFERROR((AN87/sel_util)*(AO87/sel_rate),0))*AZ33-AY33&gt;=0,8&gt;=sel_start_m),8,9999)</f>
        <v>9999</v>
      </c>
      <c r="CJ87" s="18">
        <f>IF(AND((IFERROR((AN87/sel_util)*(AO87/sel_rate),0))*AZ34-AY34&gt;=0,9&gt;=sel_start_m),9,9999)</f>
        <v>9999</v>
      </c>
      <c r="CK87" s="18">
        <f>IF(AND((IFERROR((AN87/sel_util)*(AO87/sel_rate),0))*AZ35-AY35&gt;=0,10&gt;=sel_start_m),10,9999)</f>
        <v>9999</v>
      </c>
      <c r="CL87" s="18">
        <f>IF(AND((IFERROR((AN87/sel_util)*(AO87/sel_rate),0))*AZ36-AY36&gt;=0,11&gt;=sel_start_m),11,9999)</f>
        <v>9999</v>
      </c>
      <c r="CM87" s="18">
        <f>IF(AND((IFERROR((AN87/sel_util)*(AO87/sel_rate),0))*AZ37-AY37&gt;=0,12&gt;=sel_start_m),12,9999)</f>
        <v>9999</v>
      </c>
      <c r="CN87" s="18">
        <f>IF(AND((IFERROR((AN87/sel_util)*(AO87/sel_rate),0))*AZ38-AY38&gt;=0,13&gt;=sel_start_m),13,9999)</f>
        <v>9999</v>
      </c>
      <c r="CO87" s="18">
        <f>IF(AND((IFERROR((AN87/sel_util)*(AO87/sel_rate),0))*AZ39-AY39&gt;=0,14&gt;=sel_start_m),14,9999)</f>
        <v>9999</v>
      </c>
      <c r="CP87" s="18">
        <f>IF(AND((IFERROR((AN87/sel_util)*(AO87/sel_rate),0))*AZ40-AY40&gt;=0,15&gt;=sel_start_m),15,9999)</f>
        <v>9999</v>
      </c>
      <c r="CQ87" s="18">
        <f>IF(AND((IFERROR((AN87/sel_util)*(AO87/sel_rate),0))*AZ41-AY41&gt;=0,16&gt;=sel_start_m),16,9999)</f>
        <v>9999</v>
      </c>
      <c r="CR87" s="18">
        <f>IF(AND((IFERROR((AN87/sel_util)*(AO87/sel_rate),0))*AZ42-AY42&gt;=0,17&gt;=sel_start_m),17,9999)</f>
        <v>9999</v>
      </c>
      <c r="CS87" s="18">
        <f>IF(AND((IFERROR((AN87/sel_util)*(AO87/sel_rate),0))*AZ43-AY43&gt;=0,18&gt;=sel_start_m),18,9999)</f>
        <v>9999</v>
      </c>
      <c r="CT87" s="18">
        <f>IF(AND((IFERROR((AN87/sel_util)*(AO87/sel_rate),0))*AZ44-AY44&gt;=0,19&gt;=sel_start_m),19,9999)</f>
        <v>9999</v>
      </c>
      <c r="CU87" s="18">
        <f>IF(AND((IFERROR((AN87/sel_util)*(AO87/sel_rate),0))*AZ45-AY45&gt;=0,20&gt;=sel_start_m),20,9999)</f>
        <v>9999</v>
      </c>
      <c r="CV87" s="18">
        <f>IF(AND((IFERROR((AN87/sel_util)*(AO87/sel_rate),0))*AZ46-AY46&gt;=0,21&gt;=sel_start_m),21,9999)</f>
        <v>9999</v>
      </c>
      <c r="CW87" s="18">
        <f>IF(AND((IFERROR((AN87/sel_util)*(AO87/sel_rate),0))*AZ47-AY47&gt;=0,22&gt;=sel_start_m),22,9999)</f>
        <v>9999</v>
      </c>
      <c r="CX87" s="18">
        <f>IF(AND((IFERROR((AN87/sel_util)*(AO87/sel_rate),0))*AZ48-AY48&gt;=0,23&gt;=sel_start_m),23,9999)</f>
        <v>9999</v>
      </c>
      <c r="CY87" s="18">
        <f>IF(AND((IFERROR((AN87/sel_util)*(AO87/sel_rate),0))*AZ49-AY49&gt;=0,24&gt;=sel_start_m),24,9999)</f>
        <v>9999</v>
      </c>
      <c r="CZ87" s="2"/>
      <c r="DA87" s="2"/>
      <c r="DB87" s="2"/>
      <c r="DC87" s="2"/>
      <c r="DD87" s="2"/>
      <c r="DE87" s="2"/>
      <c r="DF87" s="2"/>
      <c r="DG87" s="2"/>
      <c r="DH87" s="2"/>
      <c r="DI87" s="2"/>
      <c r="DJ87" s="2"/>
      <c r="DK87" s="2"/>
      <c r="DL87" s="2"/>
      <c r="DM87" s="2"/>
    </row>
    <row r="88" spans="1:117" ht="22" customHeight="1" x14ac:dyDescent="0.2">
      <c r="A88" s="1"/>
      <c r="B88" s="31">
        <v>0.6</v>
      </c>
      <c r="C88" s="32">
        <f>AP79</f>
        <v>999</v>
      </c>
      <c r="D88" s="32">
        <f>AP80</f>
        <v>999</v>
      </c>
      <c r="E88" s="32">
        <f>AP81</f>
        <v>999</v>
      </c>
      <c r="F88" s="32">
        <f>AP82</f>
        <v>999</v>
      </c>
      <c r="G88" s="32">
        <f>AP83</f>
        <v>999</v>
      </c>
      <c r="H88" s="32">
        <f>AP84</f>
        <v>999</v>
      </c>
      <c r="I88" s="32">
        <f>AP85</f>
        <v>999</v>
      </c>
      <c r="J88" s="1"/>
      <c r="K88" s="1"/>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9">
        <v>0.7</v>
      </c>
      <c r="AO88" s="10">
        <v>200</v>
      </c>
      <c r="AP88" s="18">
        <f t="shared" si="23"/>
        <v>999</v>
      </c>
      <c r="AQ88" s="10" t="str">
        <f t="shared" si="24"/>
        <v>-</v>
      </c>
      <c r="AR88" s="10" t="str">
        <f t="shared" si="25"/>
        <v>-</v>
      </c>
      <c r="AS88" s="2"/>
      <c r="AT88" s="2"/>
      <c r="AU88" s="2"/>
      <c r="AV88" s="2"/>
      <c r="AW88" s="2"/>
      <c r="AX88" s="2"/>
      <c r="AY88" s="2"/>
      <c r="AZ88" s="2"/>
      <c r="BA88" s="2"/>
      <c r="BB88" s="10">
        <f>AD26+(IFERROR((AN88/inp_c1_util)*(AO88/inp_c1_rate),0))*AZ26-AY26</f>
        <v>-100</v>
      </c>
      <c r="BC88" s="10">
        <f>AD27+(IFERROR((AN88/inp_c1_util)*(AO88/inp_c1_rate),0))*AZ27-AY27</f>
        <v>-200</v>
      </c>
      <c r="BD88" s="10">
        <f>AD28+(IFERROR((AN88/inp_c1_util)*(AO88/inp_c1_rate),0))*AZ28-AY28</f>
        <v>-300</v>
      </c>
      <c r="BE88" s="10">
        <f>AD29+(IFERROR((AN88/inp_c1_util)*(AO88/inp_c1_rate),0))*AZ29-AY29</f>
        <v>-400</v>
      </c>
      <c r="BF88" s="10">
        <f>AD30+(IFERROR((AN88/inp_c1_util)*(AO88/inp_c1_rate),0))*AZ30-AY30</f>
        <v>-500</v>
      </c>
      <c r="BG88" s="10">
        <f>AD31+(IFERROR((AN88/inp_c1_util)*(AO88/inp_c1_rate),0))*AZ31-AY31</f>
        <v>-600</v>
      </c>
      <c r="BH88" s="10">
        <f>AD32+(IFERROR((AN88/inp_c1_util)*(AO88/inp_c1_rate),0))*AZ32-AY32</f>
        <v>-700</v>
      </c>
      <c r="BI88" s="10">
        <f>AD33+(IFERROR((AN88/inp_c1_util)*(AO88/inp_c1_rate),0))*AZ33-AY33</f>
        <v>-800</v>
      </c>
      <c r="BJ88" s="10">
        <f>AD34+(IFERROR((AN88/inp_c1_util)*(AO88/inp_c1_rate),0))*AZ34-AY34</f>
        <v>-900</v>
      </c>
      <c r="BK88" s="10">
        <f>AD35+(IFERROR((AN88/inp_c1_util)*(AO88/inp_c1_rate),0))*AZ35-AY35</f>
        <v>-1000</v>
      </c>
      <c r="BL88" s="10">
        <f>AD36+(IFERROR((AN88/inp_c1_util)*(AO88/inp_c1_rate),0))*AZ36-AY36</f>
        <v>-1100</v>
      </c>
      <c r="BM88" s="10">
        <f>AD37+(IFERROR((AN88/inp_c1_util)*(AO88/inp_c1_rate),0))*AZ37-AY37</f>
        <v>-1200</v>
      </c>
      <c r="BN88" s="10">
        <f>AD38+(IFERROR((AN88/inp_c1_util)*(AO88/inp_c1_rate),0))*AZ38-AY38</f>
        <v>-1300</v>
      </c>
      <c r="BO88" s="10">
        <f>AD39+(IFERROR((AN88/inp_c1_util)*(AO88/inp_c1_rate),0))*AZ39-AY39</f>
        <v>-1400</v>
      </c>
      <c r="BP88" s="10">
        <f>AD40+(IFERROR((AN88/inp_c1_util)*(AO88/inp_c1_rate),0))*AZ40-AY40</f>
        <v>-1500</v>
      </c>
      <c r="BQ88" s="10">
        <f>AD41+(IFERROR((AN88/inp_c1_util)*(AO88/inp_c1_rate),0))*AZ41-AY41</f>
        <v>-1600</v>
      </c>
      <c r="BR88" s="10">
        <f>AD42+(IFERROR((AN88/inp_c1_util)*(AO88/inp_c1_rate),0))*AZ42-AY42</f>
        <v>-1700</v>
      </c>
      <c r="BS88" s="10">
        <f>AD43+(IFERROR((AN88/inp_c1_util)*(AO88/inp_c1_rate),0))*AZ43-AY43</f>
        <v>-1800</v>
      </c>
      <c r="BT88" s="10">
        <f>AD44+(IFERROR((AN88/inp_c1_util)*(AO88/inp_c1_rate),0))*AZ44-AY44</f>
        <v>-1900</v>
      </c>
      <c r="BU88" s="10">
        <f>AD45+(IFERROR((AN88/inp_c1_util)*(AO88/inp_c1_rate),0))*AZ45-AY45</f>
        <v>-2000</v>
      </c>
      <c r="BV88" s="10">
        <f>AD46+(IFERROR((AN88/inp_c1_util)*(AO88/inp_c1_rate),0))*AZ46-AY46</f>
        <v>-2100</v>
      </c>
      <c r="BW88" s="10">
        <f>AD47+(IFERROR((AN88/inp_c1_util)*(AO88/inp_c1_rate),0))*AZ47-AY47</f>
        <v>-2200</v>
      </c>
      <c r="BX88" s="10">
        <f>AD48+(IFERROR((AN88/inp_c1_util)*(AO88/inp_c1_rate),0))*AZ48-AY48</f>
        <v>-2300</v>
      </c>
      <c r="BY88" s="10">
        <f>AD49+(IFERROR((AN88/inp_c1_util)*(AO88/inp_c1_rate),0))*AZ49-AY49</f>
        <v>-2400</v>
      </c>
      <c r="BZ88" s="2"/>
      <c r="CA88" s="2"/>
      <c r="CB88" s="18">
        <f>IF(AND((IFERROR((AN88/sel_util)*(AO88/sel_rate),0))*AZ26-AY26&gt;=0,1&gt;=sel_start_m),1,9999)</f>
        <v>9999</v>
      </c>
      <c r="CC88" s="18">
        <f>IF(AND((IFERROR((AN88/sel_util)*(AO88/sel_rate),0))*AZ27-AY27&gt;=0,2&gt;=sel_start_m),2,9999)</f>
        <v>9999</v>
      </c>
      <c r="CD88" s="18">
        <f>IF(AND((IFERROR((AN88/sel_util)*(AO88/sel_rate),0))*AZ28-AY28&gt;=0,3&gt;=sel_start_m),3,9999)</f>
        <v>9999</v>
      </c>
      <c r="CE88" s="18">
        <f>IF(AND((IFERROR((AN88/sel_util)*(AO88/sel_rate),0))*AZ29-AY29&gt;=0,4&gt;=sel_start_m),4,9999)</f>
        <v>9999</v>
      </c>
      <c r="CF88" s="18">
        <f>IF(AND((IFERROR((AN88/sel_util)*(AO88/sel_rate),0))*AZ30-AY30&gt;=0,5&gt;=sel_start_m),5,9999)</f>
        <v>9999</v>
      </c>
      <c r="CG88" s="18">
        <f>IF(AND((IFERROR((AN88/sel_util)*(AO88/sel_rate),0))*AZ31-AY31&gt;=0,6&gt;=sel_start_m),6,9999)</f>
        <v>9999</v>
      </c>
      <c r="CH88" s="18">
        <f>IF(AND((IFERROR((AN88/sel_util)*(AO88/sel_rate),0))*AZ32-AY32&gt;=0,7&gt;=sel_start_m),7,9999)</f>
        <v>9999</v>
      </c>
      <c r="CI88" s="18">
        <f>IF(AND((IFERROR((AN88/sel_util)*(AO88/sel_rate),0))*AZ33-AY33&gt;=0,8&gt;=sel_start_m),8,9999)</f>
        <v>9999</v>
      </c>
      <c r="CJ88" s="18">
        <f>IF(AND((IFERROR((AN88/sel_util)*(AO88/sel_rate),0))*AZ34-AY34&gt;=0,9&gt;=sel_start_m),9,9999)</f>
        <v>9999</v>
      </c>
      <c r="CK88" s="18">
        <f>IF(AND((IFERROR((AN88/sel_util)*(AO88/sel_rate),0))*AZ35-AY35&gt;=0,10&gt;=sel_start_m),10,9999)</f>
        <v>9999</v>
      </c>
      <c r="CL88" s="18">
        <f>IF(AND((IFERROR((AN88/sel_util)*(AO88/sel_rate),0))*AZ36-AY36&gt;=0,11&gt;=sel_start_m),11,9999)</f>
        <v>9999</v>
      </c>
      <c r="CM88" s="18">
        <f>IF(AND((IFERROR((AN88/sel_util)*(AO88/sel_rate),0))*AZ37-AY37&gt;=0,12&gt;=sel_start_m),12,9999)</f>
        <v>9999</v>
      </c>
      <c r="CN88" s="18">
        <f>IF(AND((IFERROR((AN88/sel_util)*(AO88/sel_rate),0))*AZ38-AY38&gt;=0,13&gt;=sel_start_m),13,9999)</f>
        <v>9999</v>
      </c>
      <c r="CO88" s="18">
        <f>IF(AND((IFERROR((AN88/sel_util)*(AO88/sel_rate),0))*AZ39-AY39&gt;=0,14&gt;=sel_start_m),14,9999)</f>
        <v>9999</v>
      </c>
      <c r="CP88" s="18">
        <f>IF(AND((IFERROR((AN88/sel_util)*(AO88/sel_rate),0))*AZ40-AY40&gt;=0,15&gt;=sel_start_m),15,9999)</f>
        <v>9999</v>
      </c>
      <c r="CQ88" s="18">
        <f>IF(AND((IFERROR((AN88/sel_util)*(AO88/sel_rate),0))*AZ41-AY41&gt;=0,16&gt;=sel_start_m),16,9999)</f>
        <v>9999</v>
      </c>
      <c r="CR88" s="18">
        <f>IF(AND((IFERROR((AN88/sel_util)*(AO88/sel_rate),0))*AZ42-AY42&gt;=0,17&gt;=sel_start_m),17,9999)</f>
        <v>9999</v>
      </c>
      <c r="CS88" s="18">
        <f>IF(AND((IFERROR((AN88/sel_util)*(AO88/sel_rate),0))*AZ43-AY43&gt;=0,18&gt;=sel_start_m),18,9999)</f>
        <v>9999</v>
      </c>
      <c r="CT88" s="18">
        <f>IF(AND((IFERROR((AN88/sel_util)*(AO88/sel_rate),0))*AZ44-AY44&gt;=0,19&gt;=sel_start_m),19,9999)</f>
        <v>9999</v>
      </c>
      <c r="CU88" s="18">
        <f>IF(AND((IFERROR((AN88/sel_util)*(AO88/sel_rate),0))*AZ45-AY45&gt;=0,20&gt;=sel_start_m),20,9999)</f>
        <v>9999</v>
      </c>
      <c r="CV88" s="18">
        <f>IF(AND((IFERROR((AN88/sel_util)*(AO88/sel_rate),0))*AZ46-AY46&gt;=0,21&gt;=sel_start_m),21,9999)</f>
        <v>9999</v>
      </c>
      <c r="CW88" s="18">
        <f>IF(AND((IFERROR((AN88/sel_util)*(AO88/sel_rate),0))*AZ47-AY47&gt;=0,22&gt;=sel_start_m),22,9999)</f>
        <v>9999</v>
      </c>
      <c r="CX88" s="18">
        <f>IF(AND((IFERROR((AN88/sel_util)*(AO88/sel_rate),0))*AZ48-AY48&gt;=0,23&gt;=sel_start_m),23,9999)</f>
        <v>9999</v>
      </c>
      <c r="CY88" s="18">
        <f>IF(AND((IFERROR((AN88/sel_util)*(AO88/sel_rate),0))*AZ49-AY49&gt;=0,24&gt;=sel_start_m),24,9999)</f>
        <v>9999</v>
      </c>
      <c r="CZ88" s="2"/>
      <c r="DA88" s="2"/>
      <c r="DB88" s="2"/>
      <c r="DC88" s="2"/>
      <c r="DD88" s="2"/>
      <c r="DE88" s="2"/>
      <c r="DF88" s="2"/>
      <c r="DG88" s="2"/>
      <c r="DH88" s="2"/>
      <c r="DI88" s="2"/>
      <c r="DJ88" s="2"/>
      <c r="DK88" s="2"/>
      <c r="DL88" s="2"/>
      <c r="DM88" s="2"/>
    </row>
    <row r="89" spans="1:117" x14ac:dyDescent="0.2">
      <c r="A89" s="1"/>
      <c r="B89" s="31">
        <v>0.7</v>
      </c>
      <c r="C89" s="32">
        <f>AP86</f>
        <v>999</v>
      </c>
      <c r="D89" s="32">
        <f>AP87</f>
        <v>999</v>
      </c>
      <c r="E89" s="32">
        <f>AP88</f>
        <v>999</v>
      </c>
      <c r="F89" s="32">
        <f>AP89</f>
        <v>999</v>
      </c>
      <c r="G89" s="32">
        <f>AP90</f>
        <v>999</v>
      </c>
      <c r="H89" s="32">
        <f>AP91</f>
        <v>999</v>
      </c>
      <c r="I89" s="32">
        <f>AP92</f>
        <v>999</v>
      </c>
      <c r="J89" s="1"/>
      <c r="K89" s="1"/>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9">
        <v>0.7</v>
      </c>
      <c r="AO89" s="10">
        <v>225</v>
      </c>
      <c r="AP89" s="18">
        <f t="shared" si="23"/>
        <v>999</v>
      </c>
      <c r="AQ89" s="10" t="str">
        <f t="shared" si="24"/>
        <v>-</v>
      </c>
      <c r="AR89" s="10" t="str">
        <f t="shared" si="25"/>
        <v>-</v>
      </c>
      <c r="AS89" s="2"/>
      <c r="AT89" s="2"/>
      <c r="AU89" s="2"/>
      <c r="AV89" s="2"/>
      <c r="AW89" s="2"/>
      <c r="AX89" s="2"/>
      <c r="AY89" s="2"/>
      <c r="AZ89" s="2"/>
      <c r="BA89" s="2"/>
      <c r="BB89" s="10">
        <f>AD26+(IFERROR((AN89/inp_c1_util)*(AO89/inp_c1_rate),0))*AZ26-AY26</f>
        <v>-100</v>
      </c>
      <c r="BC89" s="10">
        <f>AD27+(IFERROR((AN89/inp_c1_util)*(AO89/inp_c1_rate),0))*AZ27-AY27</f>
        <v>-200</v>
      </c>
      <c r="BD89" s="10">
        <f>AD28+(IFERROR((AN89/inp_c1_util)*(AO89/inp_c1_rate),0))*AZ28-AY28</f>
        <v>-300</v>
      </c>
      <c r="BE89" s="10">
        <f>AD29+(IFERROR((AN89/inp_c1_util)*(AO89/inp_c1_rate),0))*AZ29-AY29</f>
        <v>-400</v>
      </c>
      <c r="BF89" s="10">
        <f>AD30+(IFERROR((AN89/inp_c1_util)*(AO89/inp_c1_rate),0))*AZ30-AY30</f>
        <v>-500</v>
      </c>
      <c r="BG89" s="10">
        <f>AD31+(IFERROR((AN89/inp_c1_util)*(AO89/inp_c1_rate),0))*AZ31-AY31</f>
        <v>-600</v>
      </c>
      <c r="BH89" s="10">
        <f>AD32+(IFERROR((AN89/inp_c1_util)*(AO89/inp_c1_rate),0))*AZ32-AY32</f>
        <v>-700</v>
      </c>
      <c r="BI89" s="10">
        <f>AD33+(IFERROR((AN89/inp_c1_util)*(AO89/inp_c1_rate),0))*AZ33-AY33</f>
        <v>-800</v>
      </c>
      <c r="BJ89" s="10">
        <f>AD34+(IFERROR((AN89/inp_c1_util)*(AO89/inp_c1_rate),0))*AZ34-AY34</f>
        <v>-900</v>
      </c>
      <c r="BK89" s="10">
        <f>AD35+(IFERROR((AN89/inp_c1_util)*(AO89/inp_c1_rate),0))*AZ35-AY35</f>
        <v>-1000</v>
      </c>
      <c r="BL89" s="10">
        <f>AD36+(IFERROR((AN89/inp_c1_util)*(AO89/inp_c1_rate),0))*AZ36-AY36</f>
        <v>-1100</v>
      </c>
      <c r="BM89" s="10">
        <f>AD37+(IFERROR((AN89/inp_c1_util)*(AO89/inp_c1_rate),0))*AZ37-AY37</f>
        <v>-1200</v>
      </c>
      <c r="BN89" s="10">
        <f>AD38+(IFERROR((AN89/inp_c1_util)*(AO89/inp_c1_rate),0))*AZ38-AY38</f>
        <v>-1300</v>
      </c>
      <c r="BO89" s="10">
        <f>AD39+(IFERROR((AN89/inp_c1_util)*(AO89/inp_c1_rate),0))*AZ39-AY39</f>
        <v>-1400</v>
      </c>
      <c r="BP89" s="10">
        <f>AD40+(IFERROR((AN89/inp_c1_util)*(AO89/inp_c1_rate),0))*AZ40-AY40</f>
        <v>-1500</v>
      </c>
      <c r="BQ89" s="10">
        <f>AD41+(IFERROR((AN89/inp_c1_util)*(AO89/inp_c1_rate),0))*AZ41-AY41</f>
        <v>-1600</v>
      </c>
      <c r="BR89" s="10">
        <f>AD42+(IFERROR((AN89/inp_c1_util)*(AO89/inp_c1_rate),0))*AZ42-AY42</f>
        <v>-1700</v>
      </c>
      <c r="BS89" s="10">
        <f>AD43+(IFERROR((AN89/inp_c1_util)*(AO89/inp_c1_rate),0))*AZ43-AY43</f>
        <v>-1800</v>
      </c>
      <c r="BT89" s="10">
        <f>AD44+(IFERROR((AN89/inp_c1_util)*(AO89/inp_c1_rate),0))*AZ44-AY44</f>
        <v>-1900</v>
      </c>
      <c r="BU89" s="10">
        <f>AD45+(IFERROR((AN89/inp_c1_util)*(AO89/inp_c1_rate),0))*AZ45-AY45</f>
        <v>-2000</v>
      </c>
      <c r="BV89" s="10">
        <f>AD46+(IFERROR((AN89/inp_c1_util)*(AO89/inp_c1_rate),0))*AZ46-AY46</f>
        <v>-2100</v>
      </c>
      <c r="BW89" s="10">
        <f>AD47+(IFERROR((AN89/inp_c1_util)*(AO89/inp_c1_rate),0))*AZ47-AY47</f>
        <v>-2200</v>
      </c>
      <c r="BX89" s="10">
        <f>AD48+(IFERROR((AN89/inp_c1_util)*(AO89/inp_c1_rate),0))*AZ48-AY48</f>
        <v>-2300</v>
      </c>
      <c r="BY89" s="10">
        <f>AD49+(IFERROR((AN89/inp_c1_util)*(AO89/inp_c1_rate),0))*AZ49-AY49</f>
        <v>-2400</v>
      </c>
      <c r="BZ89" s="2"/>
      <c r="CA89" s="2"/>
      <c r="CB89" s="18">
        <f>IF(AND((IFERROR((AN89/sel_util)*(AO89/sel_rate),0))*AZ26-AY26&gt;=0,1&gt;=sel_start_m),1,9999)</f>
        <v>9999</v>
      </c>
      <c r="CC89" s="18">
        <f>IF(AND((IFERROR((AN89/sel_util)*(AO89/sel_rate),0))*AZ27-AY27&gt;=0,2&gt;=sel_start_m),2,9999)</f>
        <v>9999</v>
      </c>
      <c r="CD89" s="18">
        <f>IF(AND((IFERROR((AN89/sel_util)*(AO89/sel_rate),0))*AZ28-AY28&gt;=0,3&gt;=sel_start_m),3,9999)</f>
        <v>9999</v>
      </c>
      <c r="CE89" s="18">
        <f>IF(AND((IFERROR((AN89/sel_util)*(AO89/sel_rate),0))*AZ29-AY29&gt;=0,4&gt;=sel_start_m),4,9999)</f>
        <v>9999</v>
      </c>
      <c r="CF89" s="18">
        <f>IF(AND((IFERROR((AN89/sel_util)*(AO89/sel_rate),0))*AZ30-AY30&gt;=0,5&gt;=sel_start_m),5,9999)</f>
        <v>9999</v>
      </c>
      <c r="CG89" s="18">
        <f>IF(AND((IFERROR((AN89/sel_util)*(AO89/sel_rate),0))*AZ31-AY31&gt;=0,6&gt;=sel_start_m),6,9999)</f>
        <v>9999</v>
      </c>
      <c r="CH89" s="18">
        <f>IF(AND((IFERROR((AN89/sel_util)*(AO89/sel_rate),0))*AZ32-AY32&gt;=0,7&gt;=sel_start_m),7,9999)</f>
        <v>9999</v>
      </c>
      <c r="CI89" s="18">
        <f>IF(AND((IFERROR((AN89/sel_util)*(AO89/sel_rate),0))*AZ33-AY33&gt;=0,8&gt;=sel_start_m),8,9999)</f>
        <v>9999</v>
      </c>
      <c r="CJ89" s="18">
        <f>IF(AND((IFERROR((AN89/sel_util)*(AO89/sel_rate),0))*AZ34-AY34&gt;=0,9&gt;=sel_start_m),9,9999)</f>
        <v>9999</v>
      </c>
      <c r="CK89" s="18">
        <f>IF(AND((IFERROR((AN89/sel_util)*(AO89/sel_rate),0))*AZ35-AY35&gt;=0,10&gt;=sel_start_m),10,9999)</f>
        <v>9999</v>
      </c>
      <c r="CL89" s="18">
        <f>IF(AND((IFERROR((AN89/sel_util)*(AO89/sel_rate),0))*AZ36-AY36&gt;=0,11&gt;=sel_start_m),11,9999)</f>
        <v>9999</v>
      </c>
      <c r="CM89" s="18">
        <f>IF(AND((IFERROR((AN89/sel_util)*(AO89/sel_rate),0))*AZ37-AY37&gt;=0,12&gt;=sel_start_m),12,9999)</f>
        <v>9999</v>
      </c>
      <c r="CN89" s="18">
        <f>IF(AND((IFERROR((AN89/sel_util)*(AO89/sel_rate),0))*AZ38-AY38&gt;=0,13&gt;=sel_start_m),13,9999)</f>
        <v>9999</v>
      </c>
      <c r="CO89" s="18">
        <f>IF(AND((IFERROR((AN89/sel_util)*(AO89/sel_rate),0))*AZ39-AY39&gt;=0,14&gt;=sel_start_m),14,9999)</f>
        <v>9999</v>
      </c>
      <c r="CP89" s="18">
        <f>IF(AND((IFERROR((AN89/sel_util)*(AO89/sel_rate),0))*AZ40-AY40&gt;=0,15&gt;=sel_start_m),15,9999)</f>
        <v>9999</v>
      </c>
      <c r="CQ89" s="18">
        <f>IF(AND((IFERROR((AN89/sel_util)*(AO89/sel_rate),0))*AZ41-AY41&gt;=0,16&gt;=sel_start_m),16,9999)</f>
        <v>9999</v>
      </c>
      <c r="CR89" s="18">
        <f>IF(AND((IFERROR((AN89/sel_util)*(AO89/sel_rate),0))*AZ42-AY42&gt;=0,17&gt;=sel_start_m),17,9999)</f>
        <v>9999</v>
      </c>
      <c r="CS89" s="18">
        <f>IF(AND((IFERROR((AN89/sel_util)*(AO89/sel_rate),0))*AZ43-AY43&gt;=0,18&gt;=sel_start_m),18,9999)</f>
        <v>9999</v>
      </c>
      <c r="CT89" s="18">
        <f>IF(AND((IFERROR((AN89/sel_util)*(AO89/sel_rate),0))*AZ44-AY44&gt;=0,19&gt;=sel_start_m),19,9999)</f>
        <v>9999</v>
      </c>
      <c r="CU89" s="18">
        <f>IF(AND((IFERROR((AN89/sel_util)*(AO89/sel_rate),0))*AZ45-AY45&gt;=0,20&gt;=sel_start_m),20,9999)</f>
        <v>9999</v>
      </c>
      <c r="CV89" s="18">
        <f>IF(AND((IFERROR((AN89/sel_util)*(AO89/sel_rate),0))*AZ46-AY46&gt;=0,21&gt;=sel_start_m),21,9999)</f>
        <v>9999</v>
      </c>
      <c r="CW89" s="18">
        <f>IF(AND((IFERROR((AN89/sel_util)*(AO89/sel_rate),0))*AZ47-AY47&gt;=0,22&gt;=sel_start_m),22,9999)</f>
        <v>9999</v>
      </c>
      <c r="CX89" s="18">
        <f>IF(AND((IFERROR((AN89/sel_util)*(AO89/sel_rate),0))*AZ48-AY48&gt;=0,23&gt;=sel_start_m),23,9999)</f>
        <v>9999</v>
      </c>
      <c r="CY89" s="18">
        <f>IF(AND((IFERROR((AN89/sel_util)*(AO89/sel_rate),0))*AZ49-AY49&gt;=0,24&gt;=sel_start_m),24,9999)</f>
        <v>9999</v>
      </c>
      <c r="CZ89" s="2"/>
      <c r="DA89" s="2"/>
      <c r="DB89" s="2"/>
      <c r="DC89" s="2"/>
      <c r="DD89" s="2"/>
      <c r="DE89" s="2"/>
      <c r="DF89" s="2"/>
      <c r="DG89" s="2"/>
      <c r="DH89" s="2"/>
      <c r="DI89" s="2"/>
      <c r="DJ89" s="2"/>
      <c r="DK89" s="2"/>
      <c r="DL89" s="2"/>
      <c r="DM89" s="2"/>
    </row>
    <row r="90" spans="1:117" x14ac:dyDescent="0.2">
      <c r="A90" s="1"/>
      <c r="B90" s="31">
        <v>0.75</v>
      </c>
      <c r="C90" s="32">
        <f>AP93</f>
        <v>999</v>
      </c>
      <c r="D90" s="32">
        <f>AP94</f>
        <v>999</v>
      </c>
      <c r="E90" s="32">
        <f>AP95</f>
        <v>999</v>
      </c>
      <c r="F90" s="32">
        <f>AP96</f>
        <v>999</v>
      </c>
      <c r="G90" s="32">
        <f>AP97</f>
        <v>999</v>
      </c>
      <c r="H90" s="32">
        <f>AP98</f>
        <v>999</v>
      </c>
      <c r="I90" s="32">
        <f>AP99</f>
        <v>999</v>
      </c>
      <c r="J90" s="1"/>
      <c r="K90" s="1"/>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9">
        <v>0.7</v>
      </c>
      <c r="AO90" s="10">
        <v>250</v>
      </c>
      <c r="AP90" s="18">
        <f t="shared" si="23"/>
        <v>999</v>
      </c>
      <c r="AQ90" s="10" t="str">
        <f t="shared" si="24"/>
        <v>-</v>
      </c>
      <c r="AR90" s="10" t="str">
        <f t="shared" si="25"/>
        <v>-</v>
      </c>
      <c r="AS90" s="2"/>
      <c r="AT90" s="2"/>
      <c r="AU90" s="2"/>
      <c r="AV90" s="2"/>
      <c r="AW90" s="2"/>
      <c r="AX90" s="2"/>
      <c r="AY90" s="2"/>
      <c r="AZ90" s="2"/>
      <c r="BA90" s="2"/>
      <c r="BB90" s="10">
        <f>AD26+(IFERROR((AN90/inp_c1_util)*(AO90/inp_c1_rate),0))*AZ26-AY26</f>
        <v>-100</v>
      </c>
      <c r="BC90" s="10">
        <f>AD27+(IFERROR((AN90/inp_c1_util)*(AO90/inp_c1_rate),0))*AZ27-AY27</f>
        <v>-200</v>
      </c>
      <c r="BD90" s="10">
        <f>AD28+(IFERROR((AN90/inp_c1_util)*(AO90/inp_c1_rate),0))*AZ28-AY28</f>
        <v>-300</v>
      </c>
      <c r="BE90" s="10">
        <f>AD29+(IFERROR((AN90/inp_c1_util)*(AO90/inp_c1_rate),0))*AZ29-AY29</f>
        <v>-400</v>
      </c>
      <c r="BF90" s="10">
        <f>AD30+(IFERROR((AN90/inp_c1_util)*(AO90/inp_c1_rate),0))*AZ30-AY30</f>
        <v>-500</v>
      </c>
      <c r="BG90" s="10">
        <f>AD31+(IFERROR((AN90/inp_c1_util)*(AO90/inp_c1_rate),0))*AZ31-AY31</f>
        <v>-600</v>
      </c>
      <c r="BH90" s="10">
        <f>AD32+(IFERROR((AN90/inp_c1_util)*(AO90/inp_c1_rate),0))*AZ32-AY32</f>
        <v>-700</v>
      </c>
      <c r="BI90" s="10">
        <f>AD33+(IFERROR((AN90/inp_c1_util)*(AO90/inp_c1_rate),0))*AZ33-AY33</f>
        <v>-800</v>
      </c>
      <c r="BJ90" s="10">
        <f>AD34+(IFERROR((AN90/inp_c1_util)*(AO90/inp_c1_rate),0))*AZ34-AY34</f>
        <v>-900</v>
      </c>
      <c r="BK90" s="10">
        <f>AD35+(IFERROR((AN90/inp_c1_util)*(AO90/inp_c1_rate),0))*AZ35-AY35</f>
        <v>-1000</v>
      </c>
      <c r="BL90" s="10">
        <f>AD36+(IFERROR((AN90/inp_c1_util)*(AO90/inp_c1_rate),0))*AZ36-AY36</f>
        <v>-1100</v>
      </c>
      <c r="BM90" s="10">
        <f>AD37+(IFERROR((AN90/inp_c1_util)*(AO90/inp_c1_rate),0))*AZ37-AY37</f>
        <v>-1200</v>
      </c>
      <c r="BN90" s="10">
        <f>AD38+(IFERROR((AN90/inp_c1_util)*(AO90/inp_c1_rate),0))*AZ38-AY38</f>
        <v>-1300</v>
      </c>
      <c r="BO90" s="10">
        <f>AD39+(IFERROR((AN90/inp_c1_util)*(AO90/inp_c1_rate),0))*AZ39-AY39</f>
        <v>-1400</v>
      </c>
      <c r="BP90" s="10">
        <f>AD40+(IFERROR((AN90/inp_c1_util)*(AO90/inp_c1_rate),0))*AZ40-AY40</f>
        <v>-1500</v>
      </c>
      <c r="BQ90" s="10">
        <f>AD41+(IFERROR((AN90/inp_c1_util)*(AO90/inp_c1_rate),0))*AZ41-AY41</f>
        <v>-1600</v>
      </c>
      <c r="BR90" s="10">
        <f>AD42+(IFERROR((AN90/inp_c1_util)*(AO90/inp_c1_rate),0))*AZ42-AY42</f>
        <v>-1700</v>
      </c>
      <c r="BS90" s="10">
        <f>AD43+(IFERROR((AN90/inp_c1_util)*(AO90/inp_c1_rate),0))*AZ43-AY43</f>
        <v>-1800</v>
      </c>
      <c r="BT90" s="10">
        <f>AD44+(IFERROR((AN90/inp_c1_util)*(AO90/inp_c1_rate),0))*AZ44-AY44</f>
        <v>-1900</v>
      </c>
      <c r="BU90" s="10">
        <f>AD45+(IFERROR((AN90/inp_c1_util)*(AO90/inp_c1_rate),0))*AZ45-AY45</f>
        <v>-2000</v>
      </c>
      <c r="BV90" s="10">
        <f>AD46+(IFERROR((AN90/inp_c1_util)*(AO90/inp_c1_rate),0))*AZ46-AY46</f>
        <v>-2100</v>
      </c>
      <c r="BW90" s="10">
        <f>AD47+(IFERROR((AN90/inp_c1_util)*(AO90/inp_c1_rate),0))*AZ47-AY47</f>
        <v>-2200</v>
      </c>
      <c r="BX90" s="10">
        <f>AD48+(IFERROR((AN90/inp_c1_util)*(AO90/inp_c1_rate),0))*AZ48-AY48</f>
        <v>-2300</v>
      </c>
      <c r="BY90" s="10">
        <f>AD49+(IFERROR((AN90/inp_c1_util)*(AO90/inp_c1_rate),0))*AZ49-AY49</f>
        <v>-2400</v>
      </c>
      <c r="BZ90" s="2"/>
      <c r="CA90" s="2"/>
      <c r="CB90" s="18">
        <f>IF(AND((IFERROR((AN90/sel_util)*(AO90/sel_rate),0))*AZ26-AY26&gt;=0,1&gt;=sel_start_m),1,9999)</f>
        <v>9999</v>
      </c>
      <c r="CC90" s="18">
        <f>IF(AND((IFERROR((AN90/sel_util)*(AO90/sel_rate),0))*AZ27-AY27&gt;=0,2&gt;=sel_start_m),2,9999)</f>
        <v>9999</v>
      </c>
      <c r="CD90" s="18">
        <f>IF(AND((IFERROR((AN90/sel_util)*(AO90/sel_rate),0))*AZ28-AY28&gt;=0,3&gt;=sel_start_m),3,9999)</f>
        <v>9999</v>
      </c>
      <c r="CE90" s="18">
        <f>IF(AND((IFERROR((AN90/sel_util)*(AO90/sel_rate),0))*AZ29-AY29&gt;=0,4&gt;=sel_start_m),4,9999)</f>
        <v>9999</v>
      </c>
      <c r="CF90" s="18">
        <f>IF(AND((IFERROR((AN90/sel_util)*(AO90/sel_rate),0))*AZ30-AY30&gt;=0,5&gt;=sel_start_m),5,9999)</f>
        <v>9999</v>
      </c>
      <c r="CG90" s="18">
        <f>IF(AND((IFERROR((AN90/sel_util)*(AO90/sel_rate),0))*AZ31-AY31&gt;=0,6&gt;=sel_start_m),6,9999)</f>
        <v>9999</v>
      </c>
      <c r="CH90" s="18">
        <f>IF(AND((IFERROR((AN90/sel_util)*(AO90/sel_rate),0))*AZ32-AY32&gt;=0,7&gt;=sel_start_m),7,9999)</f>
        <v>9999</v>
      </c>
      <c r="CI90" s="18">
        <f>IF(AND((IFERROR((AN90/sel_util)*(AO90/sel_rate),0))*AZ33-AY33&gt;=0,8&gt;=sel_start_m),8,9999)</f>
        <v>9999</v>
      </c>
      <c r="CJ90" s="18">
        <f>IF(AND((IFERROR((AN90/sel_util)*(AO90/sel_rate),0))*AZ34-AY34&gt;=0,9&gt;=sel_start_m),9,9999)</f>
        <v>9999</v>
      </c>
      <c r="CK90" s="18">
        <f>IF(AND((IFERROR((AN90/sel_util)*(AO90/sel_rate),0))*AZ35-AY35&gt;=0,10&gt;=sel_start_m),10,9999)</f>
        <v>9999</v>
      </c>
      <c r="CL90" s="18">
        <f>IF(AND((IFERROR((AN90/sel_util)*(AO90/sel_rate),0))*AZ36-AY36&gt;=0,11&gt;=sel_start_m),11,9999)</f>
        <v>9999</v>
      </c>
      <c r="CM90" s="18">
        <f>IF(AND((IFERROR((AN90/sel_util)*(AO90/sel_rate),0))*AZ37-AY37&gt;=0,12&gt;=sel_start_m),12,9999)</f>
        <v>9999</v>
      </c>
      <c r="CN90" s="18">
        <f>IF(AND((IFERROR((AN90/sel_util)*(AO90/sel_rate),0))*AZ38-AY38&gt;=0,13&gt;=sel_start_m),13,9999)</f>
        <v>9999</v>
      </c>
      <c r="CO90" s="18">
        <f>IF(AND((IFERROR((AN90/sel_util)*(AO90/sel_rate),0))*AZ39-AY39&gt;=0,14&gt;=sel_start_m),14,9999)</f>
        <v>9999</v>
      </c>
      <c r="CP90" s="18">
        <f>IF(AND((IFERROR((AN90/sel_util)*(AO90/sel_rate),0))*AZ40-AY40&gt;=0,15&gt;=sel_start_m),15,9999)</f>
        <v>9999</v>
      </c>
      <c r="CQ90" s="18">
        <f>IF(AND((IFERROR((AN90/sel_util)*(AO90/sel_rate),0))*AZ41-AY41&gt;=0,16&gt;=sel_start_m),16,9999)</f>
        <v>9999</v>
      </c>
      <c r="CR90" s="18">
        <f>IF(AND((IFERROR((AN90/sel_util)*(AO90/sel_rate),0))*AZ42-AY42&gt;=0,17&gt;=sel_start_m),17,9999)</f>
        <v>9999</v>
      </c>
      <c r="CS90" s="18">
        <f>IF(AND((IFERROR((AN90/sel_util)*(AO90/sel_rate),0))*AZ43-AY43&gt;=0,18&gt;=sel_start_m),18,9999)</f>
        <v>9999</v>
      </c>
      <c r="CT90" s="18">
        <f>IF(AND((IFERROR((AN90/sel_util)*(AO90/sel_rate),0))*AZ44-AY44&gt;=0,19&gt;=sel_start_m),19,9999)</f>
        <v>9999</v>
      </c>
      <c r="CU90" s="18">
        <f>IF(AND((IFERROR((AN90/sel_util)*(AO90/sel_rate),0))*AZ45-AY45&gt;=0,20&gt;=sel_start_m),20,9999)</f>
        <v>9999</v>
      </c>
      <c r="CV90" s="18">
        <f>IF(AND((IFERROR((AN90/sel_util)*(AO90/sel_rate),0))*AZ46-AY46&gt;=0,21&gt;=sel_start_m),21,9999)</f>
        <v>9999</v>
      </c>
      <c r="CW90" s="18">
        <f>IF(AND((IFERROR((AN90/sel_util)*(AO90/sel_rate),0))*AZ47-AY47&gt;=0,22&gt;=sel_start_m),22,9999)</f>
        <v>9999</v>
      </c>
      <c r="CX90" s="18">
        <f>IF(AND((IFERROR((AN90/sel_util)*(AO90/sel_rate),0))*AZ48-AY48&gt;=0,23&gt;=sel_start_m),23,9999)</f>
        <v>9999</v>
      </c>
      <c r="CY90" s="18">
        <f>IF(AND((IFERROR((AN90/sel_util)*(AO90/sel_rate),0))*AZ49-AY49&gt;=0,24&gt;=sel_start_m),24,9999)</f>
        <v>9999</v>
      </c>
      <c r="CZ90" s="2"/>
      <c r="DA90" s="2"/>
      <c r="DB90" s="2"/>
      <c r="DC90" s="2"/>
      <c r="DD90" s="2"/>
      <c r="DE90" s="2"/>
      <c r="DF90" s="2"/>
      <c r="DG90" s="2"/>
      <c r="DH90" s="2"/>
      <c r="DI90" s="2"/>
      <c r="DJ90" s="2"/>
      <c r="DK90" s="2"/>
      <c r="DL90" s="2"/>
      <c r="DM90" s="2"/>
    </row>
    <row r="91" spans="1:117" ht="22" customHeight="1" x14ac:dyDescent="0.2">
      <c r="A91" s="1"/>
      <c r="B91" s="31">
        <v>0.8</v>
      </c>
      <c r="C91" s="32">
        <f>AP100</f>
        <v>999</v>
      </c>
      <c r="D91" s="32">
        <f>AP101</f>
        <v>999</v>
      </c>
      <c r="E91" s="32">
        <f>AP102</f>
        <v>999</v>
      </c>
      <c r="F91" s="32">
        <f>AP103</f>
        <v>999</v>
      </c>
      <c r="G91" s="32">
        <f>AP104</f>
        <v>999</v>
      </c>
      <c r="H91" s="32">
        <f>AP105</f>
        <v>999</v>
      </c>
      <c r="I91" s="32">
        <f>AP106</f>
        <v>999</v>
      </c>
      <c r="J91" s="1"/>
      <c r="K91" s="1"/>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9">
        <v>0.7</v>
      </c>
      <c r="AO91" s="10">
        <v>275</v>
      </c>
      <c r="AP91" s="18">
        <f t="shared" si="23"/>
        <v>999</v>
      </c>
      <c r="AQ91" s="10" t="str">
        <f t="shared" si="24"/>
        <v>-</v>
      </c>
      <c r="AR91" s="10" t="str">
        <f t="shared" si="25"/>
        <v>-</v>
      </c>
      <c r="AS91" s="2"/>
      <c r="AT91" s="2"/>
      <c r="AU91" s="2"/>
      <c r="AV91" s="2"/>
      <c r="AW91" s="2"/>
      <c r="AX91" s="2"/>
      <c r="AY91" s="2"/>
      <c r="AZ91" s="2"/>
      <c r="BA91" s="2"/>
      <c r="BB91" s="10">
        <f>AD26+(IFERROR((AN91/inp_c1_util)*(AO91/inp_c1_rate),0))*AZ26-AY26</f>
        <v>-100</v>
      </c>
      <c r="BC91" s="10">
        <f>AD27+(IFERROR((AN91/inp_c1_util)*(AO91/inp_c1_rate),0))*AZ27-AY27</f>
        <v>-200</v>
      </c>
      <c r="BD91" s="10">
        <f>AD28+(IFERROR((AN91/inp_c1_util)*(AO91/inp_c1_rate),0))*AZ28-AY28</f>
        <v>-300</v>
      </c>
      <c r="BE91" s="10">
        <f>AD29+(IFERROR((AN91/inp_c1_util)*(AO91/inp_c1_rate),0))*AZ29-AY29</f>
        <v>-400</v>
      </c>
      <c r="BF91" s="10">
        <f>AD30+(IFERROR((AN91/inp_c1_util)*(AO91/inp_c1_rate),0))*AZ30-AY30</f>
        <v>-500</v>
      </c>
      <c r="BG91" s="10">
        <f>AD31+(IFERROR((AN91/inp_c1_util)*(AO91/inp_c1_rate),0))*AZ31-AY31</f>
        <v>-600</v>
      </c>
      <c r="BH91" s="10">
        <f>AD32+(IFERROR((AN91/inp_c1_util)*(AO91/inp_c1_rate),0))*AZ32-AY32</f>
        <v>-700</v>
      </c>
      <c r="BI91" s="10">
        <f>AD33+(IFERROR((AN91/inp_c1_util)*(AO91/inp_c1_rate),0))*AZ33-AY33</f>
        <v>-800</v>
      </c>
      <c r="BJ91" s="10">
        <f>AD34+(IFERROR((AN91/inp_c1_util)*(AO91/inp_c1_rate),0))*AZ34-AY34</f>
        <v>-900</v>
      </c>
      <c r="BK91" s="10">
        <f>AD35+(IFERROR((AN91/inp_c1_util)*(AO91/inp_c1_rate),0))*AZ35-AY35</f>
        <v>-1000</v>
      </c>
      <c r="BL91" s="10">
        <f>AD36+(IFERROR((AN91/inp_c1_util)*(AO91/inp_c1_rate),0))*AZ36-AY36</f>
        <v>-1100</v>
      </c>
      <c r="BM91" s="10">
        <f>AD37+(IFERROR((AN91/inp_c1_util)*(AO91/inp_c1_rate),0))*AZ37-AY37</f>
        <v>-1200</v>
      </c>
      <c r="BN91" s="10">
        <f>AD38+(IFERROR((AN91/inp_c1_util)*(AO91/inp_c1_rate),0))*AZ38-AY38</f>
        <v>-1300</v>
      </c>
      <c r="BO91" s="10">
        <f>AD39+(IFERROR((AN91/inp_c1_util)*(AO91/inp_c1_rate),0))*AZ39-AY39</f>
        <v>-1400</v>
      </c>
      <c r="BP91" s="10">
        <f>AD40+(IFERROR((AN91/inp_c1_util)*(AO91/inp_c1_rate),0))*AZ40-AY40</f>
        <v>-1500</v>
      </c>
      <c r="BQ91" s="10">
        <f>AD41+(IFERROR((AN91/inp_c1_util)*(AO91/inp_c1_rate),0))*AZ41-AY41</f>
        <v>-1600</v>
      </c>
      <c r="BR91" s="10">
        <f>AD42+(IFERROR((AN91/inp_c1_util)*(AO91/inp_c1_rate),0))*AZ42-AY42</f>
        <v>-1700</v>
      </c>
      <c r="BS91" s="10">
        <f>AD43+(IFERROR((AN91/inp_c1_util)*(AO91/inp_c1_rate),0))*AZ43-AY43</f>
        <v>-1800</v>
      </c>
      <c r="BT91" s="10">
        <f>AD44+(IFERROR((AN91/inp_c1_util)*(AO91/inp_c1_rate),0))*AZ44-AY44</f>
        <v>-1900</v>
      </c>
      <c r="BU91" s="10">
        <f>AD45+(IFERROR((AN91/inp_c1_util)*(AO91/inp_c1_rate),0))*AZ45-AY45</f>
        <v>-2000</v>
      </c>
      <c r="BV91" s="10">
        <f>AD46+(IFERROR((AN91/inp_c1_util)*(AO91/inp_c1_rate),0))*AZ46-AY46</f>
        <v>-2100</v>
      </c>
      <c r="BW91" s="10">
        <f>AD47+(IFERROR((AN91/inp_c1_util)*(AO91/inp_c1_rate),0))*AZ47-AY47</f>
        <v>-2200</v>
      </c>
      <c r="BX91" s="10">
        <f>AD48+(IFERROR((AN91/inp_c1_util)*(AO91/inp_c1_rate),0))*AZ48-AY48</f>
        <v>-2300</v>
      </c>
      <c r="BY91" s="10">
        <f>AD49+(IFERROR((AN91/inp_c1_util)*(AO91/inp_c1_rate),0))*AZ49-AY49</f>
        <v>-2400</v>
      </c>
      <c r="BZ91" s="2"/>
      <c r="CA91" s="2"/>
      <c r="CB91" s="18">
        <f>IF(AND((IFERROR((AN91/sel_util)*(AO91/sel_rate),0))*AZ26-AY26&gt;=0,1&gt;=sel_start_m),1,9999)</f>
        <v>9999</v>
      </c>
      <c r="CC91" s="18">
        <f>IF(AND((IFERROR((AN91/sel_util)*(AO91/sel_rate),0))*AZ27-AY27&gt;=0,2&gt;=sel_start_m),2,9999)</f>
        <v>9999</v>
      </c>
      <c r="CD91" s="18">
        <f>IF(AND((IFERROR((AN91/sel_util)*(AO91/sel_rate),0))*AZ28-AY28&gt;=0,3&gt;=sel_start_m),3,9999)</f>
        <v>9999</v>
      </c>
      <c r="CE91" s="18">
        <f>IF(AND((IFERROR((AN91/sel_util)*(AO91/sel_rate),0))*AZ29-AY29&gt;=0,4&gt;=sel_start_m),4,9999)</f>
        <v>9999</v>
      </c>
      <c r="CF91" s="18">
        <f>IF(AND((IFERROR((AN91/sel_util)*(AO91/sel_rate),0))*AZ30-AY30&gt;=0,5&gt;=sel_start_m),5,9999)</f>
        <v>9999</v>
      </c>
      <c r="CG91" s="18">
        <f>IF(AND((IFERROR((AN91/sel_util)*(AO91/sel_rate),0))*AZ31-AY31&gt;=0,6&gt;=sel_start_m),6,9999)</f>
        <v>9999</v>
      </c>
      <c r="CH91" s="18">
        <f>IF(AND((IFERROR((AN91/sel_util)*(AO91/sel_rate),0))*AZ32-AY32&gt;=0,7&gt;=sel_start_m),7,9999)</f>
        <v>9999</v>
      </c>
      <c r="CI91" s="18">
        <f>IF(AND((IFERROR((AN91/sel_util)*(AO91/sel_rate),0))*AZ33-AY33&gt;=0,8&gt;=sel_start_m),8,9999)</f>
        <v>9999</v>
      </c>
      <c r="CJ91" s="18">
        <f>IF(AND((IFERROR((AN91/sel_util)*(AO91/sel_rate),0))*AZ34-AY34&gt;=0,9&gt;=sel_start_m),9,9999)</f>
        <v>9999</v>
      </c>
      <c r="CK91" s="18">
        <f>IF(AND((IFERROR((AN91/sel_util)*(AO91/sel_rate),0))*AZ35-AY35&gt;=0,10&gt;=sel_start_m),10,9999)</f>
        <v>9999</v>
      </c>
      <c r="CL91" s="18">
        <f>IF(AND((IFERROR((AN91/sel_util)*(AO91/sel_rate),0))*AZ36-AY36&gt;=0,11&gt;=sel_start_m),11,9999)</f>
        <v>9999</v>
      </c>
      <c r="CM91" s="18">
        <f>IF(AND((IFERROR((AN91/sel_util)*(AO91/sel_rate),0))*AZ37-AY37&gt;=0,12&gt;=sel_start_m),12,9999)</f>
        <v>9999</v>
      </c>
      <c r="CN91" s="18">
        <f>IF(AND((IFERROR((AN91/sel_util)*(AO91/sel_rate),0))*AZ38-AY38&gt;=0,13&gt;=sel_start_m),13,9999)</f>
        <v>9999</v>
      </c>
      <c r="CO91" s="18">
        <f>IF(AND((IFERROR((AN91/sel_util)*(AO91/sel_rate),0))*AZ39-AY39&gt;=0,14&gt;=sel_start_m),14,9999)</f>
        <v>9999</v>
      </c>
      <c r="CP91" s="18">
        <f>IF(AND((IFERROR((AN91/sel_util)*(AO91/sel_rate),0))*AZ40-AY40&gt;=0,15&gt;=sel_start_m),15,9999)</f>
        <v>9999</v>
      </c>
      <c r="CQ91" s="18">
        <f>IF(AND((IFERROR((AN91/sel_util)*(AO91/sel_rate),0))*AZ41-AY41&gt;=0,16&gt;=sel_start_m),16,9999)</f>
        <v>9999</v>
      </c>
      <c r="CR91" s="18">
        <f>IF(AND((IFERROR((AN91/sel_util)*(AO91/sel_rate),0))*AZ42-AY42&gt;=0,17&gt;=sel_start_m),17,9999)</f>
        <v>9999</v>
      </c>
      <c r="CS91" s="18">
        <f>IF(AND((IFERROR((AN91/sel_util)*(AO91/sel_rate),0))*AZ43-AY43&gt;=0,18&gt;=sel_start_m),18,9999)</f>
        <v>9999</v>
      </c>
      <c r="CT91" s="18">
        <f>IF(AND((IFERROR((AN91/sel_util)*(AO91/sel_rate),0))*AZ44-AY44&gt;=0,19&gt;=sel_start_m),19,9999)</f>
        <v>9999</v>
      </c>
      <c r="CU91" s="18">
        <f>IF(AND((IFERROR((AN91/sel_util)*(AO91/sel_rate),0))*AZ45-AY45&gt;=0,20&gt;=sel_start_m),20,9999)</f>
        <v>9999</v>
      </c>
      <c r="CV91" s="18">
        <f>IF(AND((IFERROR((AN91/sel_util)*(AO91/sel_rate),0))*AZ46-AY46&gt;=0,21&gt;=sel_start_m),21,9999)</f>
        <v>9999</v>
      </c>
      <c r="CW91" s="18">
        <f>IF(AND((IFERROR((AN91/sel_util)*(AO91/sel_rate),0))*AZ47-AY47&gt;=0,22&gt;=sel_start_m),22,9999)</f>
        <v>9999</v>
      </c>
      <c r="CX91" s="18">
        <f>IF(AND((IFERROR((AN91/sel_util)*(AO91/sel_rate),0))*AZ48-AY48&gt;=0,23&gt;=sel_start_m),23,9999)</f>
        <v>9999</v>
      </c>
      <c r="CY91" s="18">
        <f>IF(AND((IFERROR((AN91/sel_util)*(AO91/sel_rate),0))*AZ49-AY49&gt;=0,24&gt;=sel_start_m),24,9999)</f>
        <v>9999</v>
      </c>
      <c r="CZ91" s="2"/>
      <c r="DA91" s="2"/>
      <c r="DB91" s="2"/>
      <c r="DC91" s="2"/>
      <c r="DD91" s="2"/>
      <c r="DE91" s="2"/>
      <c r="DF91" s="2"/>
      <c r="DG91" s="2"/>
      <c r="DH91" s="2"/>
      <c r="DI91" s="2"/>
      <c r="DJ91" s="2"/>
      <c r="DK91" s="2"/>
      <c r="DL91" s="2"/>
      <c r="DM91" s="2"/>
    </row>
    <row r="92" spans="1:117" ht="22" customHeight="1" x14ac:dyDescent="0.2">
      <c r="A92" s="1"/>
      <c r="B92" s="1"/>
      <c r="C92" s="1"/>
      <c r="D92" s="1"/>
      <c r="E92" s="1"/>
      <c r="F92" s="1"/>
      <c r="G92" s="1"/>
      <c r="H92" s="1"/>
      <c r="I92" s="1"/>
      <c r="J92" s="1"/>
      <c r="K92" s="1"/>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9">
        <v>0.7</v>
      </c>
      <c r="AO92" s="10">
        <v>300</v>
      </c>
      <c r="AP92" s="18">
        <f t="shared" si="23"/>
        <v>999</v>
      </c>
      <c r="AQ92" s="10" t="str">
        <f t="shared" si="24"/>
        <v>-</v>
      </c>
      <c r="AR92" s="10" t="str">
        <f t="shared" si="25"/>
        <v>-</v>
      </c>
      <c r="AS92" s="2"/>
      <c r="AT92" s="2"/>
      <c r="AU92" s="2"/>
      <c r="AV92" s="2"/>
      <c r="AW92" s="2"/>
      <c r="AX92" s="2"/>
      <c r="AY92" s="2"/>
      <c r="AZ92" s="2"/>
      <c r="BA92" s="2"/>
      <c r="BB92" s="10">
        <f>AD26+(IFERROR((AN92/inp_c1_util)*(AO92/inp_c1_rate),0))*AZ26-AY26</f>
        <v>-100</v>
      </c>
      <c r="BC92" s="10">
        <f>AD27+(IFERROR((AN92/inp_c1_util)*(AO92/inp_c1_rate),0))*AZ27-AY27</f>
        <v>-200</v>
      </c>
      <c r="BD92" s="10">
        <f>AD28+(IFERROR((AN92/inp_c1_util)*(AO92/inp_c1_rate),0))*AZ28-AY28</f>
        <v>-300</v>
      </c>
      <c r="BE92" s="10">
        <f>AD29+(IFERROR((AN92/inp_c1_util)*(AO92/inp_c1_rate),0))*AZ29-AY29</f>
        <v>-400</v>
      </c>
      <c r="BF92" s="10">
        <f>AD30+(IFERROR((AN92/inp_c1_util)*(AO92/inp_c1_rate),0))*AZ30-AY30</f>
        <v>-500</v>
      </c>
      <c r="BG92" s="10">
        <f>AD31+(IFERROR((AN92/inp_c1_util)*(AO92/inp_c1_rate),0))*AZ31-AY31</f>
        <v>-600</v>
      </c>
      <c r="BH92" s="10">
        <f>AD32+(IFERROR((AN92/inp_c1_util)*(AO92/inp_c1_rate),0))*AZ32-AY32</f>
        <v>-700</v>
      </c>
      <c r="BI92" s="10">
        <f>AD33+(IFERROR((AN92/inp_c1_util)*(AO92/inp_c1_rate),0))*AZ33-AY33</f>
        <v>-800</v>
      </c>
      <c r="BJ92" s="10">
        <f>AD34+(IFERROR((AN92/inp_c1_util)*(AO92/inp_c1_rate),0))*AZ34-AY34</f>
        <v>-900</v>
      </c>
      <c r="BK92" s="10">
        <f>AD35+(IFERROR((AN92/inp_c1_util)*(AO92/inp_c1_rate),0))*AZ35-AY35</f>
        <v>-1000</v>
      </c>
      <c r="BL92" s="10">
        <f>AD36+(IFERROR((AN92/inp_c1_util)*(AO92/inp_c1_rate),0))*AZ36-AY36</f>
        <v>-1100</v>
      </c>
      <c r="BM92" s="10">
        <f>AD37+(IFERROR((AN92/inp_c1_util)*(AO92/inp_c1_rate),0))*AZ37-AY37</f>
        <v>-1200</v>
      </c>
      <c r="BN92" s="10">
        <f>AD38+(IFERROR((AN92/inp_c1_util)*(AO92/inp_c1_rate),0))*AZ38-AY38</f>
        <v>-1300</v>
      </c>
      <c r="BO92" s="10">
        <f>AD39+(IFERROR((AN92/inp_c1_util)*(AO92/inp_c1_rate),0))*AZ39-AY39</f>
        <v>-1400</v>
      </c>
      <c r="BP92" s="10">
        <f>AD40+(IFERROR((AN92/inp_c1_util)*(AO92/inp_c1_rate),0))*AZ40-AY40</f>
        <v>-1500</v>
      </c>
      <c r="BQ92" s="10">
        <f>AD41+(IFERROR((AN92/inp_c1_util)*(AO92/inp_c1_rate),0))*AZ41-AY41</f>
        <v>-1600</v>
      </c>
      <c r="BR92" s="10">
        <f>AD42+(IFERROR((AN92/inp_c1_util)*(AO92/inp_c1_rate),0))*AZ42-AY42</f>
        <v>-1700</v>
      </c>
      <c r="BS92" s="10">
        <f>AD43+(IFERROR((AN92/inp_c1_util)*(AO92/inp_c1_rate),0))*AZ43-AY43</f>
        <v>-1800</v>
      </c>
      <c r="BT92" s="10">
        <f>AD44+(IFERROR((AN92/inp_c1_util)*(AO92/inp_c1_rate),0))*AZ44-AY44</f>
        <v>-1900</v>
      </c>
      <c r="BU92" s="10">
        <f>AD45+(IFERROR((AN92/inp_c1_util)*(AO92/inp_c1_rate),0))*AZ45-AY45</f>
        <v>-2000</v>
      </c>
      <c r="BV92" s="10">
        <f>AD46+(IFERROR((AN92/inp_c1_util)*(AO92/inp_c1_rate),0))*AZ46-AY46</f>
        <v>-2100</v>
      </c>
      <c r="BW92" s="10">
        <f>AD47+(IFERROR((AN92/inp_c1_util)*(AO92/inp_c1_rate),0))*AZ47-AY47</f>
        <v>-2200</v>
      </c>
      <c r="BX92" s="10">
        <f>AD48+(IFERROR((AN92/inp_c1_util)*(AO92/inp_c1_rate),0))*AZ48-AY48</f>
        <v>-2300</v>
      </c>
      <c r="BY92" s="10">
        <f>AD49+(IFERROR((AN92/inp_c1_util)*(AO92/inp_c1_rate),0))*AZ49-AY49</f>
        <v>-2400</v>
      </c>
      <c r="BZ92" s="2"/>
      <c r="CA92" s="2"/>
      <c r="CB92" s="18">
        <f>IF(AND((IFERROR((AN92/sel_util)*(AO92/sel_rate),0))*AZ26-AY26&gt;=0,1&gt;=sel_start_m),1,9999)</f>
        <v>9999</v>
      </c>
      <c r="CC92" s="18">
        <f>IF(AND((IFERROR((AN92/sel_util)*(AO92/sel_rate),0))*AZ27-AY27&gt;=0,2&gt;=sel_start_m),2,9999)</f>
        <v>9999</v>
      </c>
      <c r="CD92" s="18">
        <f>IF(AND((IFERROR((AN92/sel_util)*(AO92/sel_rate),0))*AZ28-AY28&gt;=0,3&gt;=sel_start_m),3,9999)</f>
        <v>9999</v>
      </c>
      <c r="CE92" s="18">
        <f>IF(AND((IFERROR((AN92/sel_util)*(AO92/sel_rate),0))*AZ29-AY29&gt;=0,4&gt;=sel_start_m),4,9999)</f>
        <v>9999</v>
      </c>
      <c r="CF92" s="18">
        <f>IF(AND((IFERROR((AN92/sel_util)*(AO92/sel_rate),0))*AZ30-AY30&gt;=0,5&gt;=sel_start_m),5,9999)</f>
        <v>9999</v>
      </c>
      <c r="CG92" s="18">
        <f>IF(AND((IFERROR((AN92/sel_util)*(AO92/sel_rate),0))*AZ31-AY31&gt;=0,6&gt;=sel_start_m),6,9999)</f>
        <v>9999</v>
      </c>
      <c r="CH92" s="18">
        <f>IF(AND((IFERROR((AN92/sel_util)*(AO92/sel_rate),0))*AZ32-AY32&gt;=0,7&gt;=sel_start_m),7,9999)</f>
        <v>9999</v>
      </c>
      <c r="CI92" s="18">
        <f>IF(AND((IFERROR((AN92/sel_util)*(AO92/sel_rate),0))*AZ33-AY33&gt;=0,8&gt;=sel_start_m),8,9999)</f>
        <v>9999</v>
      </c>
      <c r="CJ92" s="18">
        <f>IF(AND((IFERROR((AN92/sel_util)*(AO92/sel_rate),0))*AZ34-AY34&gt;=0,9&gt;=sel_start_m),9,9999)</f>
        <v>9999</v>
      </c>
      <c r="CK92" s="18">
        <f>IF(AND((IFERROR((AN92/sel_util)*(AO92/sel_rate),0))*AZ35-AY35&gt;=0,10&gt;=sel_start_m),10,9999)</f>
        <v>9999</v>
      </c>
      <c r="CL92" s="18">
        <f>IF(AND((IFERROR((AN92/sel_util)*(AO92/sel_rate),0))*AZ36-AY36&gt;=0,11&gt;=sel_start_m),11,9999)</f>
        <v>9999</v>
      </c>
      <c r="CM92" s="18">
        <f>IF(AND((IFERROR((AN92/sel_util)*(AO92/sel_rate),0))*AZ37-AY37&gt;=0,12&gt;=sel_start_m),12,9999)</f>
        <v>9999</v>
      </c>
      <c r="CN92" s="18">
        <f>IF(AND((IFERROR((AN92/sel_util)*(AO92/sel_rate),0))*AZ38-AY38&gt;=0,13&gt;=sel_start_m),13,9999)</f>
        <v>9999</v>
      </c>
      <c r="CO92" s="18">
        <f>IF(AND((IFERROR((AN92/sel_util)*(AO92/sel_rate),0))*AZ39-AY39&gt;=0,14&gt;=sel_start_m),14,9999)</f>
        <v>9999</v>
      </c>
      <c r="CP92" s="18">
        <f>IF(AND((IFERROR((AN92/sel_util)*(AO92/sel_rate),0))*AZ40-AY40&gt;=0,15&gt;=sel_start_m),15,9999)</f>
        <v>9999</v>
      </c>
      <c r="CQ92" s="18">
        <f>IF(AND((IFERROR((AN92/sel_util)*(AO92/sel_rate),0))*AZ41-AY41&gt;=0,16&gt;=sel_start_m),16,9999)</f>
        <v>9999</v>
      </c>
      <c r="CR92" s="18">
        <f>IF(AND((IFERROR((AN92/sel_util)*(AO92/sel_rate),0))*AZ42-AY42&gt;=0,17&gt;=sel_start_m),17,9999)</f>
        <v>9999</v>
      </c>
      <c r="CS92" s="18">
        <f>IF(AND((IFERROR((AN92/sel_util)*(AO92/sel_rate),0))*AZ43-AY43&gt;=0,18&gt;=sel_start_m),18,9999)</f>
        <v>9999</v>
      </c>
      <c r="CT92" s="18">
        <f>IF(AND((IFERROR((AN92/sel_util)*(AO92/sel_rate),0))*AZ44-AY44&gt;=0,19&gt;=sel_start_m),19,9999)</f>
        <v>9999</v>
      </c>
      <c r="CU92" s="18">
        <f>IF(AND((IFERROR((AN92/sel_util)*(AO92/sel_rate),0))*AZ45-AY45&gt;=0,20&gt;=sel_start_m),20,9999)</f>
        <v>9999</v>
      </c>
      <c r="CV92" s="18">
        <f>IF(AND((IFERROR((AN92/sel_util)*(AO92/sel_rate),0))*AZ46-AY46&gt;=0,21&gt;=sel_start_m),21,9999)</f>
        <v>9999</v>
      </c>
      <c r="CW92" s="18">
        <f>IF(AND((IFERROR((AN92/sel_util)*(AO92/sel_rate),0))*AZ47-AY47&gt;=0,22&gt;=sel_start_m),22,9999)</f>
        <v>9999</v>
      </c>
      <c r="CX92" s="18">
        <f>IF(AND((IFERROR((AN92/sel_util)*(AO92/sel_rate),0))*AZ48-AY48&gt;=0,23&gt;=sel_start_m),23,9999)</f>
        <v>9999</v>
      </c>
      <c r="CY92" s="18">
        <f>IF(AND((IFERROR((AN92/sel_util)*(AO92/sel_rate),0))*AZ49-AY49&gt;=0,24&gt;=sel_start_m),24,9999)</f>
        <v>9999</v>
      </c>
      <c r="CZ92" s="2"/>
      <c r="DA92" s="2"/>
      <c r="DB92" s="2"/>
      <c r="DC92" s="2"/>
      <c r="DD92" s="2"/>
      <c r="DE92" s="2"/>
      <c r="DF92" s="2"/>
      <c r="DG92" s="2"/>
      <c r="DH92" s="2"/>
      <c r="DI92" s="2"/>
      <c r="DJ92" s="2"/>
      <c r="DK92" s="2"/>
      <c r="DL92" s="2"/>
      <c r="DM92" s="2"/>
    </row>
    <row r="93" spans="1:117" ht="20" customHeight="1" x14ac:dyDescent="0.2">
      <c r="A93" s="1"/>
      <c r="B93" s="1"/>
      <c r="C93" s="1"/>
      <c r="D93" s="1"/>
      <c r="E93" s="1"/>
      <c r="F93" s="1"/>
      <c r="G93" s="1"/>
      <c r="H93" s="1"/>
      <c r="I93" s="1"/>
      <c r="J93" s="1"/>
      <c r="K93" s="1"/>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9">
        <v>0.75</v>
      </c>
      <c r="AO93" s="10">
        <v>150</v>
      </c>
      <c r="AP93" s="18">
        <f t="shared" si="23"/>
        <v>999</v>
      </c>
      <c r="AQ93" s="10" t="str">
        <f t="shared" si="24"/>
        <v>-</v>
      </c>
      <c r="AR93" s="10" t="str">
        <f t="shared" si="25"/>
        <v>-</v>
      </c>
      <c r="AS93" s="2"/>
      <c r="AT93" s="2"/>
      <c r="AU93" s="2"/>
      <c r="AV93" s="2"/>
      <c r="AW93" s="2"/>
      <c r="AX93" s="2"/>
      <c r="AY93" s="2"/>
      <c r="AZ93" s="2"/>
      <c r="BA93" s="2"/>
      <c r="BB93" s="10">
        <f>AD26+(IFERROR((AN93/inp_c1_util)*(AO93/inp_c1_rate),0))*AZ26-AY26</f>
        <v>-100</v>
      </c>
      <c r="BC93" s="10">
        <f>AD27+(IFERROR((AN93/inp_c1_util)*(AO93/inp_c1_rate),0))*AZ27-AY27</f>
        <v>-200</v>
      </c>
      <c r="BD93" s="10">
        <f>AD28+(IFERROR((AN93/inp_c1_util)*(AO93/inp_c1_rate),0))*AZ28-AY28</f>
        <v>-300</v>
      </c>
      <c r="BE93" s="10">
        <f>AD29+(IFERROR((AN93/inp_c1_util)*(AO93/inp_c1_rate),0))*AZ29-AY29</f>
        <v>-400</v>
      </c>
      <c r="BF93" s="10">
        <f>AD30+(IFERROR((AN93/inp_c1_util)*(AO93/inp_c1_rate),0))*AZ30-AY30</f>
        <v>-500</v>
      </c>
      <c r="BG93" s="10">
        <f>AD31+(IFERROR((AN93/inp_c1_util)*(AO93/inp_c1_rate),0))*AZ31-AY31</f>
        <v>-600</v>
      </c>
      <c r="BH93" s="10">
        <f>AD32+(IFERROR((AN93/inp_c1_util)*(AO93/inp_c1_rate),0))*AZ32-AY32</f>
        <v>-700</v>
      </c>
      <c r="BI93" s="10">
        <f>AD33+(IFERROR((AN93/inp_c1_util)*(AO93/inp_c1_rate),0))*AZ33-AY33</f>
        <v>-800</v>
      </c>
      <c r="BJ93" s="10">
        <f>AD34+(IFERROR((AN93/inp_c1_util)*(AO93/inp_c1_rate),0))*AZ34-AY34</f>
        <v>-900</v>
      </c>
      <c r="BK93" s="10">
        <f>AD35+(IFERROR((AN93/inp_c1_util)*(AO93/inp_c1_rate),0))*AZ35-AY35</f>
        <v>-1000</v>
      </c>
      <c r="BL93" s="10">
        <f>AD36+(IFERROR((AN93/inp_c1_util)*(AO93/inp_c1_rate),0))*AZ36-AY36</f>
        <v>-1100</v>
      </c>
      <c r="BM93" s="10">
        <f>AD37+(IFERROR((AN93/inp_c1_util)*(AO93/inp_c1_rate),0))*AZ37-AY37</f>
        <v>-1200</v>
      </c>
      <c r="BN93" s="10">
        <f>AD38+(IFERROR((AN93/inp_c1_util)*(AO93/inp_c1_rate),0))*AZ38-AY38</f>
        <v>-1300</v>
      </c>
      <c r="BO93" s="10">
        <f>AD39+(IFERROR((AN93/inp_c1_util)*(AO93/inp_c1_rate),0))*AZ39-AY39</f>
        <v>-1400</v>
      </c>
      <c r="BP93" s="10">
        <f>AD40+(IFERROR((AN93/inp_c1_util)*(AO93/inp_c1_rate),0))*AZ40-AY40</f>
        <v>-1500</v>
      </c>
      <c r="BQ93" s="10">
        <f>AD41+(IFERROR((AN93/inp_c1_util)*(AO93/inp_c1_rate),0))*AZ41-AY41</f>
        <v>-1600</v>
      </c>
      <c r="BR93" s="10">
        <f>AD42+(IFERROR((AN93/inp_c1_util)*(AO93/inp_c1_rate),0))*AZ42-AY42</f>
        <v>-1700</v>
      </c>
      <c r="BS93" s="10">
        <f>AD43+(IFERROR((AN93/inp_c1_util)*(AO93/inp_c1_rate),0))*AZ43-AY43</f>
        <v>-1800</v>
      </c>
      <c r="BT93" s="10">
        <f>AD44+(IFERROR((AN93/inp_c1_util)*(AO93/inp_c1_rate),0))*AZ44-AY44</f>
        <v>-1900</v>
      </c>
      <c r="BU93" s="10">
        <f>AD45+(IFERROR((AN93/inp_c1_util)*(AO93/inp_c1_rate),0))*AZ45-AY45</f>
        <v>-2000</v>
      </c>
      <c r="BV93" s="10">
        <f>AD46+(IFERROR((AN93/inp_c1_util)*(AO93/inp_c1_rate),0))*AZ46-AY46</f>
        <v>-2100</v>
      </c>
      <c r="BW93" s="10">
        <f>AD47+(IFERROR((AN93/inp_c1_util)*(AO93/inp_c1_rate),0))*AZ47-AY47</f>
        <v>-2200</v>
      </c>
      <c r="BX93" s="10">
        <f>AD48+(IFERROR((AN93/inp_c1_util)*(AO93/inp_c1_rate),0))*AZ48-AY48</f>
        <v>-2300</v>
      </c>
      <c r="BY93" s="10">
        <f>AD49+(IFERROR((AN93/inp_c1_util)*(AO93/inp_c1_rate),0))*AZ49-AY49</f>
        <v>-2400</v>
      </c>
      <c r="BZ93" s="2"/>
      <c r="CA93" s="2"/>
      <c r="CB93" s="18">
        <f>IF(AND((IFERROR((AN93/sel_util)*(AO93/sel_rate),0))*AZ26-AY26&gt;=0,1&gt;=sel_start_m),1,9999)</f>
        <v>9999</v>
      </c>
      <c r="CC93" s="18">
        <f>IF(AND((IFERROR((AN93/sel_util)*(AO93/sel_rate),0))*AZ27-AY27&gt;=0,2&gt;=sel_start_m),2,9999)</f>
        <v>9999</v>
      </c>
      <c r="CD93" s="18">
        <f>IF(AND((IFERROR((AN93/sel_util)*(AO93/sel_rate),0))*AZ28-AY28&gt;=0,3&gt;=sel_start_m),3,9999)</f>
        <v>9999</v>
      </c>
      <c r="CE93" s="18">
        <f>IF(AND((IFERROR((AN93/sel_util)*(AO93/sel_rate),0))*AZ29-AY29&gt;=0,4&gt;=sel_start_m),4,9999)</f>
        <v>9999</v>
      </c>
      <c r="CF93" s="18">
        <f>IF(AND((IFERROR((AN93/sel_util)*(AO93/sel_rate),0))*AZ30-AY30&gt;=0,5&gt;=sel_start_m),5,9999)</f>
        <v>9999</v>
      </c>
      <c r="CG93" s="18">
        <f>IF(AND((IFERROR((AN93/sel_util)*(AO93/sel_rate),0))*AZ31-AY31&gt;=0,6&gt;=sel_start_m),6,9999)</f>
        <v>9999</v>
      </c>
      <c r="CH93" s="18">
        <f>IF(AND((IFERROR((AN93/sel_util)*(AO93/sel_rate),0))*AZ32-AY32&gt;=0,7&gt;=sel_start_m),7,9999)</f>
        <v>9999</v>
      </c>
      <c r="CI93" s="18">
        <f>IF(AND((IFERROR((AN93/sel_util)*(AO93/sel_rate),0))*AZ33-AY33&gt;=0,8&gt;=sel_start_m),8,9999)</f>
        <v>9999</v>
      </c>
      <c r="CJ93" s="18">
        <f>IF(AND((IFERROR((AN93/sel_util)*(AO93/sel_rate),0))*AZ34-AY34&gt;=0,9&gt;=sel_start_m),9,9999)</f>
        <v>9999</v>
      </c>
      <c r="CK93" s="18">
        <f>IF(AND((IFERROR((AN93/sel_util)*(AO93/sel_rate),0))*AZ35-AY35&gt;=0,10&gt;=sel_start_m),10,9999)</f>
        <v>9999</v>
      </c>
      <c r="CL93" s="18">
        <f>IF(AND((IFERROR((AN93/sel_util)*(AO93/sel_rate),0))*AZ36-AY36&gt;=0,11&gt;=sel_start_m),11,9999)</f>
        <v>9999</v>
      </c>
      <c r="CM93" s="18">
        <f>IF(AND((IFERROR((AN93/sel_util)*(AO93/sel_rate),0))*AZ37-AY37&gt;=0,12&gt;=sel_start_m),12,9999)</f>
        <v>9999</v>
      </c>
      <c r="CN93" s="18">
        <f>IF(AND((IFERROR((AN93/sel_util)*(AO93/sel_rate),0))*AZ38-AY38&gt;=0,13&gt;=sel_start_m),13,9999)</f>
        <v>9999</v>
      </c>
      <c r="CO93" s="18">
        <f>IF(AND((IFERROR((AN93/sel_util)*(AO93/sel_rate),0))*AZ39-AY39&gt;=0,14&gt;=sel_start_m),14,9999)</f>
        <v>9999</v>
      </c>
      <c r="CP93" s="18">
        <f>IF(AND((IFERROR((AN93/sel_util)*(AO93/sel_rate),0))*AZ40-AY40&gt;=0,15&gt;=sel_start_m),15,9999)</f>
        <v>9999</v>
      </c>
      <c r="CQ93" s="18">
        <f>IF(AND((IFERROR((AN93/sel_util)*(AO93/sel_rate),0))*AZ41-AY41&gt;=0,16&gt;=sel_start_m),16,9999)</f>
        <v>9999</v>
      </c>
      <c r="CR93" s="18">
        <f>IF(AND((IFERROR((AN93/sel_util)*(AO93/sel_rate),0))*AZ42-AY42&gt;=0,17&gt;=sel_start_m),17,9999)</f>
        <v>9999</v>
      </c>
      <c r="CS93" s="18">
        <f>IF(AND((IFERROR((AN93/sel_util)*(AO93/sel_rate),0))*AZ43-AY43&gt;=0,18&gt;=sel_start_m),18,9999)</f>
        <v>9999</v>
      </c>
      <c r="CT93" s="18">
        <f>IF(AND((IFERROR((AN93/sel_util)*(AO93/sel_rate),0))*AZ44-AY44&gt;=0,19&gt;=sel_start_m),19,9999)</f>
        <v>9999</v>
      </c>
      <c r="CU93" s="18">
        <f>IF(AND((IFERROR((AN93/sel_util)*(AO93/sel_rate),0))*AZ45-AY45&gt;=0,20&gt;=sel_start_m),20,9999)</f>
        <v>9999</v>
      </c>
      <c r="CV93" s="18">
        <f>IF(AND((IFERROR((AN93/sel_util)*(AO93/sel_rate),0))*AZ46-AY46&gt;=0,21&gt;=sel_start_m),21,9999)</f>
        <v>9999</v>
      </c>
      <c r="CW93" s="18">
        <f>IF(AND((IFERROR((AN93/sel_util)*(AO93/sel_rate),0))*AZ47-AY47&gt;=0,22&gt;=sel_start_m),22,9999)</f>
        <v>9999</v>
      </c>
      <c r="CX93" s="18">
        <f>IF(AND((IFERROR((AN93/sel_util)*(AO93/sel_rate),0))*AZ48-AY48&gt;=0,23&gt;=sel_start_m),23,9999)</f>
        <v>9999</v>
      </c>
      <c r="CY93" s="18">
        <f>IF(AND((IFERROR((AN93/sel_util)*(AO93/sel_rate),0))*AZ49-AY49&gt;=0,24&gt;=sel_start_m),24,9999)</f>
        <v>9999</v>
      </c>
      <c r="CZ93" s="2"/>
      <c r="DA93" s="2"/>
      <c r="DB93" s="2"/>
      <c r="DC93" s="2"/>
      <c r="DD93" s="2"/>
      <c r="DE93" s="2"/>
      <c r="DF93" s="2"/>
      <c r="DG93" s="2"/>
      <c r="DH93" s="2"/>
      <c r="DI93" s="2"/>
      <c r="DJ93" s="2"/>
      <c r="DK93" s="2"/>
      <c r="DL93" s="2"/>
      <c r="DM93" s="2"/>
    </row>
    <row r="94" spans="1:117" ht="20" customHeight="1" x14ac:dyDescent="0.2">
      <c r="A94" s="1"/>
      <c r="B94" s="6" t="s">
        <v>126</v>
      </c>
      <c r="C94" s="30">
        <v>150</v>
      </c>
      <c r="D94" s="30">
        <v>175</v>
      </c>
      <c r="E94" s="30">
        <v>200</v>
      </c>
      <c r="F94" s="30">
        <v>225</v>
      </c>
      <c r="G94" s="30">
        <v>250</v>
      </c>
      <c r="H94" s="30">
        <v>275</v>
      </c>
      <c r="I94" s="30">
        <v>300</v>
      </c>
      <c r="J94" s="1"/>
      <c r="K94" s="1"/>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9">
        <v>0.75</v>
      </c>
      <c r="AO94" s="10">
        <v>175</v>
      </c>
      <c r="AP94" s="18">
        <f t="shared" si="23"/>
        <v>999</v>
      </c>
      <c r="AQ94" s="10" t="str">
        <f t="shared" si="24"/>
        <v>-</v>
      </c>
      <c r="AR94" s="10" t="str">
        <f t="shared" si="25"/>
        <v>-</v>
      </c>
      <c r="AS94" s="2"/>
      <c r="AT94" s="2"/>
      <c r="AU94" s="2"/>
      <c r="AV94" s="2"/>
      <c r="AW94" s="2"/>
      <c r="AX94" s="2"/>
      <c r="AY94" s="2"/>
      <c r="AZ94" s="2"/>
      <c r="BA94" s="2"/>
      <c r="BB94" s="10">
        <f>AD26+(IFERROR((AN94/inp_c1_util)*(AO94/inp_c1_rate),0))*AZ26-AY26</f>
        <v>-100</v>
      </c>
      <c r="BC94" s="10">
        <f>AD27+(IFERROR((AN94/inp_c1_util)*(AO94/inp_c1_rate),0))*AZ27-AY27</f>
        <v>-200</v>
      </c>
      <c r="BD94" s="10">
        <f>AD28+(IFERROR((AN94/inp_c1_util)*(AO94/inp_c1_rate),0))*AZ28-AY28</f>
        <v>-300</v>
      </c>
      <c r="BE94" s="10">
        <f>AD29+(IFERROR((AN94/inp_c1_util)*(AO94/inp_c1_rate),0))*AZ29-AY29</f>
        <v>-400</v>
      </c>
      <c r="BF94" s="10">
        <f>AD30+(IFERROR((AN94/inp_c1_util)*(AO94/inp_c1_rate),0))*AZ30-AY30</f>
        <v>-500</v>
      </c>
      <c r="BG94" s="10">
        <f>AD31+(IFERROR((AN94/inp_c1_util)*(AO94/inp_c1_rate),0))*AZ31-AY31</f>
        <v>-600</v>
      </c>
      <c r="BH94" s="10">
        <f>AD32+(IFERROR((AN94/inp_c1_util)*(AO94/inp_c1_rate),0))*AZ32-AY32</f>
        <v>-700</v>
      </c>
      <c r="BI94" s="10">
        <f>AD33+(IFERROR((AN94/inp_c1_util)*(AO94/inp_c1_rate),0))*AZ33-AY33</f>
        <v>-800</v>
      </c>
      <c r="BJ94" s="10">
        <f>AD34+(IFERROR((AN94/inp_c1_util)*(AO94/inp_c1_rate),0))*AZ34-AY34</f>
        <v>-900</v>
      </c>
      <c r="BK94" s="10">
        <f>AD35+(IFERROR((AN94/inp_c1_util)*(AO94/inp_c1_rate),0))*AZ35-AY35</f>
        <v>-1000</v>
      </c>
      <c r="BL94" s="10">
        <f>AD36+(IFERROR((AN94/inp_c1_util)*(AO94/inp_c1_rate),0))*AZ36-AY36</f>
        <v>-1100</v>
      </c>
      <c r="BM94" s="10">
        <f>AD37+(IFERROR((AN94/inp_c1_util)*(AO94/inp_c1_rate),0))*AZ37-AY37</f>
        <v>-1200</v>
      </c>
      <c r="BN94" s="10">
        <f>AD38+(IFERROR((AN94/inp_c1_util)*(AO94/inp_c1_rate),0))*AZ38-AY38</f>
        <v>-1300</v>
      </c>
      <c r="BO94" s="10">
        <f>AD39+(IFERROR((AN94/inp_c1_util)*(AO94/inp_c1_rate),0))*AZ39-AY39</f>
        <v>-1400</v>
      </c>
      <c r="BP94" s="10">
        <f>AD40+(IFERROR((AN94/inp_c1_util)*(AO94/inp_c1_rate),0))*AZ40-AY40</f>
        <v>-1500</v>
      </c>
      <c r="BQ94" s="10">
        <f>AD41+(IFERROR((AN94/inp_c1_util)*(AO94/inp_c1_rate),0))*AZ41-AY41</f>
        <v>-1600</v>
      </c>
      <c r="BR94" s="10">
        <f>AD42+(IFERROR((AN94/inp_c1_util)*(AO94/inp_c1_rate),0))*AZ42-AY42</f>
        <v>-1700</v>
      </c>
      <c r="BS94" s="10">
        <f>AD43+(IFERROR((AN94/inp_c1_util)*(AO94/inp_c1_rate),0))*AZ43-AY43</f>
        <v>-1800</v>
      </c>
      <c r="BT94" s="10">
        <f>AD44+(IFERROR((AN94/inp_c1_util)*(AO94/inp_c1_rate),0))*AZ44-AY44</f>
        <v>-1900</v>
      </c>
      <c r="BU94" s="10">
        <f>AD45+(IFERROR((AN94/inp_c1_util)*(AO94/inp_c1_rate),0))*AZ45-AY45</f>
        <v>-2000</v>
      </c>
      <c r="BV94" s="10">
        <f>AD46+(IFERROR((AN94/inp_c1_util)*(AO94/inp_c1_rate),0))*AZ46-AY46</f>
        <v>-2100</v>
      </c>
      <c r="BW94" s="10">
        <f>AD47+(IFERROR((AN94/inp_c1_util)*(AO94/inp_c1_rate),0))*AZ47-AY47</f>
        <v>-2200</v>
      </c>
      <c r="BX94" s="10">
        <f>AD48+(IFERROR((AN94/inp_c1_util)*(AO94/inp_c1_rate),0))*AZ48-AY48</f>
        <v>-2300</v>
      </c>
      <c r="BY94" s="10">
        <f>AD49+(IFERROR((AN94/inp_c1_util)*(AO94/inp_c1_rate),0))*AZ49-AY49</f>
        <v>-2400</v>
      </c>
      <c r="BZ94" s="2"/>
      <c r="CA94" s="2"/>
      <c r="CB94" s="18">
        <f>IF(AND((IFERROR((AN94/sel_util)*(AO94/sel_rate),0))*AZ26-AY26&gt;=0,1&gt;=sel_start_m),1,9999)</f>
        <v>9999</v>
      </c>
      <c r="CC94" s="18">
        <f>IF(AND((IFERROR((AN94/sel_util)*(AO94/sel_rate),0))*AZ27-AY27&gt;=0,2&gt;=sel_start_m),2,9999)</f>
        <v>9999</v>
      </c>
      <c r="CD94" s="18">
        <f>IF(AND((IFERROR((AN94/sel_util)*(AO94/sel_rate),0))*AZ28-AY28&gt;=0,3&gt;=sel_start_m),3,9999)</f>
        <v>9999</v>
      </c>
      <c r="CE94" s="18">
        <f>IF(AND((IFERROR((AN94/sel_util)*(AO94/sel_rate),0))*AZ29-AY29&gt;=0,4&gt;=sel_start_m),4,9999)</f>
        <v>9999</v>
      </c>
      <c r="CF94" s="18">
        <f>IF(AND((IFERROR((AN94/sel_util)*(AO94/sel_rate),0))*AZ30-AY30&gt;=0,5&gt;=sel_start_m),5,9999)</f>
        <v>9999</v>
      </c>
      <c r="CG94" s="18">
        <f>IF(AND((IFERROR((AN94/sel_util)*(AO94/sel_rate),0))*AZ31-AY31&gt;=0,6&gt;=sel_start_m),6,9999)</f>
        <v>9999</v>
      </c>
      <c r="CH94" s="18">
        <f>IF(AND((IFERROR((AN94/sel_util)*(AO94/sel_rate),0))*AZ32-AY32&gt;=0,7&gt;=sel_start_m),7,9999)</f>
        <v>9999</v>
      </c>
      <c r="CI94" s="18">
        <f>IF(AND((IFERROR((AN94/sel_util)*(AO94/sel_rate),0))*AZ33-AY33&gt;=0,8&gt;=sel_start_m),8,9999)</f>
        <v>9999</v>
      </c>
      <c r="CJ94" s="18">
        <f>IF(AND((IFERROR((AN94/sel_util)*(AO94/sel_rate),0))*AZ34-AY34&gt;=0,9&gt;=sel_start_m),9,9999)</f>
        <v>9999</v>
      </c>
      <c r="CK94" s="18">
        <f>IF(AND((IFERROR((AN94/sel_util)*(AO94/sel_rate),0))*AZ35-AY35&gt;=0,10&gt;=sel_start_m),10,9999)</f>
        <v>9999</v>
      </c>
      <c r="CL94" s="18">
        <f>IF(AND((IFERROR((AN94/sel_util)*(AO94/sel_rate),0))*AZ36-AY36&gt;=0,11&gt;=sel_start_m),11,9999)</f>
        <v>9999</v>
      </c>
      <c r="CM94" s="18">
        <f>IF(AND((IFERROR((AN94/sel_util)*(AO94/sel_rate),0))*AZ37-AY37&gt;=0,12&gt;=sel_start_m),12,9999)</f>
        <v>9999</v>
      </c>
      <c r="CN94" s="18">
        <f>IF(AND((IFERROR((AN94/sel_util)*(AO94/sel_rate),0))*AZ38-AY38&gt;=0,13&gt;=sel_start_m),13,9999)</f>
        <v>9999</v>
      </c>
      <c r="CO94" s="18">
        <f>IF(AND((IFERROR((AN94/sel_util)*(AO94/sel_rate),0))*AZ39-AY39&gt;=0,14&gt;=sel_start_m),14,9999)</f>
        <v>9999</v>
      </c>
      <c r="CP94" s="18">
        <f>IF(AND((IFERROR((AN94/sel_util)*(AO94/sel_rate),0))*AZ40-AY40&gt;=0,15&gt;=sel_start_m),15,9999)</f>
        <v>9999</v>
      </c>
      <c r="CQ94" s="18">
        <f>IF(AND((IFERROR((AN94/sel_util)*(AO94/sel_rate),0))*AZ41-AY41&gt;=0,16&gt;=sel_start_m),16,9999)</f>
        <v>9999</v>
      </c>
      <c r="CR94" s="18">
        <f>IF(AND((IFERROR((AN94/sel_util)*(AO94/sel_rate),0))*AZ42-AY42&gt;=0,17&gt;=sel_start_m),17,9999)</f>
        <v>9999</v>
      </c>
      <c r="CS94" s="18">
        <f>IF(AND((IFERROR((AN94/sel_util)*(AO94/sel_rate),0))*AZ43-AY43&gt;=0,18&gt;=sel_start_m),18,9999)</f>
        <v>9999</v>
      </c>
      <c r="CT94" s="18">
        <f>IF(AND((IFERROR((AN94/sel_util)*(AO94/sel_rate),0))*AZ44-AY44&gt;=0,19&gt;=sel_start_m),19,9999)</f>
        <v>9999</v>
      </c>
      <c r="CU94" s="18">
        <f>IF(AND((IFERROR((AN94/sel_util)*(AO94/sel_rate),0))*AZ45-AY45&gt;=0,20&gt;=sel_start_m),20,9999)</f>
        <v>9999</v>
      </c>
      <c r="CV94" s="18">
        <f>IF(AND((IFERROR((AN94/sel_util)*(AO94/sel_rate),0))*AZ46-AY46&gt;=0,21&gt;=sel_start_m),21,9999)</f>
        <v>9999</v>
      </c>
      <c r="CW94" s="18">
        <f>IF(AND((IFERROR((AN94/sel_util)*(AO94/sel_rate),0))*AZ47-AY47&gt;=0,22&gt;=sel_start_m),22,9999)</f>
        <v>9999</v>
      </c>
      <c r="CX94" s="18">
        <f>IF(AND((IFERROR((AN94/sel_util)*(AO94/sel_rate),0))*AZ48-AY48&gt;=0,23&gt;=sel_start_m),23,9999)</f>
        <v>9999</v>
      </c>
      <c r="CY94" s="18">
        <f>IF(AND((IFERROR((AN94/sel_util)*(AO94/sel_rate),0))*AZ49-AY49&gt;=0,24&gt;=sel_start_m),24,9999)</f>
        <v>9999</v>
      </c>
      <c r="CZ94" s="2"/>
      <c r="DA94" s="2"/>
      <c r="DB94" s="2"/>
      <c r="DC94" s="2"/>
      <c r="DD94" s="2"/>
      <c r="DE94" s="2"/>
      <c r="DF94" s="2"/>
      <c r="DG94" s="2"/>
      <c r="DH94" s="2"/>
      <c r="DI94" s="2"/>
      <c r="DJ94" s="2"/>
      <c r="DK94" s="2"/>
      <c r="DL94" s="2"/>
      <c r="DM94" s="2"/>
    </row>
    <row r="95" spans="1:117" ht="20" customHeight="1" x14ac:dyDescent="0.2">
      <c r="A95" s="1"/>
      <c r="B95" s="31">
        <v>0.5</v>
      </c>
      <c r="C95" s="33" t="str">
        <f>AR72</f>
        <v>-</v>
      </c>
      <c r="D95" s="33" t="str">
        <f>AR73</f>
        <v>-</v>
      </c>
      <c r="E95" s="33" t="str">
        <f>AR74</f>
        <v>-</v>
      </c>
      <c r="F95" s="33" t="str">
        <f>AR75</f>
        <v>-</v>
      </c>
      <c r="G95" s="33" t="str">
        <f>AR76</f>
        <v>-</v>
      </c>
      <c r="H95" s="33" t="str">
        <f>AR77</f>
        <v>-</v>
      </c>
      <c r="I95" s="33" t="str">
        <f>AR78</f>
        <v>-</v>
      </c>
      <c r="J95" s="1"/>
      <c r="K95" s="1"/>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9">
        <v>0.75</v>
      </c>
      <c r="AO95" s="10">
        <v>200</v>
      </c>
      <c r="AP95" s="18">
        <f t="shared" si="23"/>
        <v>999</v>
      </c>
      <c r="AQ95" s="10" t="str">
        <f t="shared" si="24"/>
        <v>-</v>
      </c>
      <c r="AR95" s="10" t="str">
        <f t="shared" si="25"/>
        <v>-</v>
      </c>
      <c r="AS95" s="2"/>
      <c r="AT95" s="2"/>
      <c r="AU95" s="2"/>
      <c r="AV95" s="2"/>
      <c r="AW95" s="2"/>
      <c r="AX95" s="2"/>
      <c r="AY95" s="2"/>
      <c r="AZ95" s="2"/>
      <c r="BA95" s="2"/>
      <c r="BB95" s="10">
        <f>AD26+(IFERROR((AN95/inp_c1_util)*(AO95/inp_c1_rate),0))*AZ26-AY26</f>
        <v>-100</v>
      </c>
      <c r="BC95" s="10">
        <f>AD27+(IFERROR((AN95/inp_c1_util)*(AO95/inp_c1_rate),0))*AZ27-AY27</f>
        <v>-200</v>
      </c>
      <c r="BD95" s="10">
        <f>AD28+(IFERROR((AN95/inp_c1_util)*(AO95/inp_c1_rate),0))*AZ28-AY28</f>
        <v>-300</v>
      </c>
      <c r="BE95" s="10">
        <f>AD29+(IFERROR((AN95/inp_c1_util)*(AO95/inp_c1_rate),0))*AZ29-AY29</f>
        <v>-400</v>
      </c>
      <c r="BF95" s="10">
        <f>AD30+(IFERROR((AN95/inp_c1_util)*(AO95/inp_c1_rate),0))*AZ30-AY30</f>
        <v>-500</v>
      </c>
      <c r="BG95" s="10">
        <f>AD31+(IFERROR((AN95/inp_c1_util)*(AO95/inp_c1_rate),0))*AZ31-AY31</f>
        <v>-600</v>
      </c>
      <c r="BH95" s="10">
        <f>AD32+(IFERROR((AN95/inp_c1_util)*(AO95/inp_c1_rate),0))*AZ32-AY32</f>
        <v>-700</v>
      </c>
      <c r="BI95" s="10">
        <f>AD33+(IFERROR((AN95/inp_c1_util)*(AO95/inp_c1_rate),0))*AZ33-AY33</f>
        <v>-800</v>
      </c>
      <c r="BJ95" s="10">
        <f>AD34+(IFERROR((AN95/inp_c1_util)*(AO95/inp_c1_rate),0))*AZ34-AY34</f>
        <v>-900</v>
      </c>
      <c r="BK95" s="10">
        <f>AD35+(IFERROR((AN95/inp_c1_util)*(AO95/inp_c1_rate),0))*AZ35-AY35</f>
        <v>-1000</v>
      </c>
      <c r="BL95" s="10">
        <f>AD36+(IFERROR((AN95/inp_c1_util)*(AO95/inp_c1_rate),0))*AZ36-AY36</f>
        <v>-1100</v>
      </c>
      <c r="BM95" s="10">
        <f>AD37+(IFERROR((AN95/inp_c1_util)*(AO95/inp_c1_rate),0))*AZ37-AY37</f>
        <v>-1200</v>
      </c>
      <c r="BN95" s="10">
        <f>AD38+(IFERROR((AN95/inp_c1_util)*(AO95/inp_c1_rate),0))*AZ38-AY38</f>
        <v>-1300</v>
      </c>
      <c r="BO95" s="10">
        <f>AD39+(IFERROR((AN95/inp_c1_util)*(AO95/inp_c1_rate),0))*AZ39-AY39</f>
        <v>-1400</v>
      </c>
      <c r="BP95" s="10">
        <f>AD40+(IFERROR((AN95/inp_c1_util)*(AO95/inp_c1_rate),0))*AZ40-AY40</f>
        <v>-1500</v>
      </c>
      <c r="BQ95" s="10">
        <f>AD41+(IFERROR((AN95/inp_c1_util)*(AO95/inp_c1_rate),0))*AZ41-AY41</f>
        <v>-1600</v>
      </c>
      <c r="BR95" s="10">
        <f>AD42+(IFERROR((AN95/inp_c1_util)*(AO95/inp_c1_rate),0))*AZ42-AY42</f>
        <v>-1700</v>
      </c>
      <c r="BS95" s="10">
        <f>AD43+(IFERROR((AN95/inp_c1_util)*(AO95/inp_c1_rate),0))*AZ43-AY43</f>
        <v>-1800</v>
      </c>
      <c r="BT95" s="10">
        <f>AD44+(IFERROR((AN95/inp_c1_util)*(AO95/inp_c1_rate),0))*AZ44-AY44</f>
        <v>-1900</v>
      </c>
      <c r="BU95" s="10">
        <f>AD45+(IFERROR((AN95/inp_c1_util)*(AO95/inp_c1_rate),0))*AZ45-AY45</f>
        <v>-2000</v>
      </c>
      <c r="BV95" s="10">
        <f>AD46+(IFERROR((AN95/inp_c1_util)*(AO95/inp_c1_rate),0))*AZ46-AY46</f>
        <v>-2100</v>
      </c>
      <c r="BW95" s="10">
        <f>AD47+(IFERROR((AN95/inp_c1_util)*(AO95/inp_c1_rate),0))*AZ47-AY47</f>
        <v>-2200</v>
      </c>
      <c r="BX95" s="10">
        <f>AD48+(IFERROR((AN95/inp_c1_util)*(AO95/inp_c1_rate),0))*AZ48-AY48</f>
        <v>-2300</v>
      </c>
      <c r="BY95" s="10">
        <f>AD49+(IFERROR((AN95/inp_c1_util)*(AO95/inp_c1_rate),0))*AZ49-AY49</f>
        <v>-2400</v>
      </c>
      <c r="BZ95" s="2"/>
      <c r="CA95" s="2"/>
      <c r="CB95" s="18">
        <f>IF(AND((IFERROR((AN95/sel_util)*(AO95/sel_rate),0))*AZ26-AY26&gt;=0,1&gt;=sel_start_m),1,9999)</f>
        <v>9999</v>
      </c>
      <c r="CC95" s="18">
        <f>IF(AND((IFERROR((AN95/sel_util)*(AO95/sel_rate),0))*AZ27-AY27&gt;=0,2&gt;=sel_start_m),2,9999)</f>
        <v>9999</v>
      </c>
      <c r="CD95" s="18">
        <f>IF(AND((IFERROR((AN95/sel_util)*(AO95/sel_rate),0))*AZ28-AY28&gt;=0,3&gt;=sel_start_m),3,9999)</f>
        <v>9999</v>
      </c>
      <c r="CE95" s="18">
        <f>IF(AND((IFERROR((AN95/sel_util)*(AO95/sel_rate),0))*AZ29-AY29&gt;=0,4&gt;=sel_start_m),4,9999)</f>
        <v>9999</v>
      </c>
      <c r="CF95" s="18">
        <f>IF(AND((IFERROR((AN95/sel_util)*(AO95/sel_rate),0))*AZ30-AY30&gt;=0,5&gt;=sel_start_m),5,9999)</f>
        <v>9999</v>
      </c>
      <c r="CG95" s="18">
        <f>IF(AND((IFERROR((AN95/sel_util)*(AO95/sel_rate),0))*AZ31-AY31&gt;=0,6&gt;=sel_start_m),6,9999)</f>
        <v>9999</v>
      </c>
      <c r="CH95" s="18">
        <f>IF(AND((IFERROR((AN95/sel_util)*(AO95/sel_rate),0))*AZ32-AY32&gt;=0,7&gt;=sel_start_m),7,9999)</f>
        <v>9999</v>
      </c>
      <c r="CI95" s="18">
        <f>IF(AND((IFERROR((AN95/sel_util)*(AO95/sel_rate),0))*AZ33-AY33&gt;=0,8&gt;=sel_start_m),8,9999)</f>
        <v>9999</v>
      </c>
      <c r="CJ95" s="18">
        <f>IF(AND((IFERROR((AN95/sel_util)*(AO95/sel_rate),0))*AZ34-AY34&gt;=0,9&gt;=sel_start_m),9,9999)</f>
        <v>9999</v>
      </c>
      <c r="CK95" s="18">
        <f>IF(AND((IFERROR((AN95/sel_util)*(AO95/sel_rate),0))*AZ35-AY35&gt;=0,10&gt;=sel_start_m),10,9999)</f>
        <v>9999</v>
      </c>
      <c r="CL95" s="18">
        <f>IF(AND((IFERROR((AN95/sel_util)*(AO95/sel_rate),0))*AZ36-AY36&gt;=0,11&gt;=sel_start_m),11,9999)</f>
        <v>9999</v>
      </c>
      <c r="CM95" s="18">
        <f>IF(AND((IFERROR((AN95/sel_util)*(AO95/sel_rate),0))*AZ37-AY37&gt;=0,12&gt;=sel_start_m),12,9999)</f>
        <v>9999</v>
      </c>
      <c r="CN95" s="18">
        <f>IF(AND((IFERROR((AN95/sel_util)*(AO95/sel_rate),0))*AZ38-AY38&gt;=0,13&gt;=sel_start_m),13,9999)</f>
        <v>9999</v>
      </c>
      <c r="CO95" s="18">
        <f>IF(AND((IFERROR((AN95/sel_util)*(AO95/sel_rate),0))*AZ39-AY39&gt;=0,14&gt;=sel_start_m),14,9999)</f>
        <v>9999</v>
      </c>
      <c r="CP95" s="18">
        <f>IF(AND((IFERROR((AN95/sel_util)*(AO95/sel_rate),0))*AZ40-AY40&gt;=0,15&gt;=sel_start_m),15,9999)</f>
        <v>9999</v>
      </c>
      <c r="CQ95" s="18">
        <f>IF(AND((IFERROR((AN95/sel_util)*(AO95/sel_rate),0))*AZ41-AY41&gt;=0,16&gt;=sel_start_m),16,9999)</f>
        <v>9999</v>
      </c>
      <c r="CR95" s="18">
        <f>IF(AND((IFERROR((AN95/sel_util)*(AO95/sel_rate),0))*AZ42-AY42&gt;=0,17&gt;=sel_start_m),17,9999)</f>
        <v>9999</v>
      </c>
      <c r="CS95" s="18">
        <f>IF(AND((IFERROR((AN95/sel_util)*(AO95/sel_rate),0))*AZ43-AY43&gt;=0,18&gt;=sel_start_m),18,9999)</f>
        <v>9999</v>
      </c>
      <c r="CT95" s="18">
        <f>IF(AND((IFERROR((AN95/sel_util)*(AO95/sel_rate),0))*AZ44-AY44&gt;=0,19&gt;=sel_start_m),19,9999)</f>
        <v>9999</v>
      </c>
      <c r="CU95" s="18">
        <f>IF(AND((IFERROR((AN95/sel_util)*(AO95/sel_rate),0))*AZ45-AY45&gt;=0,20&gt;=sel_start_m),20,9999)</f>
        <v>9999</v>
      </c>
      <c r="CV95" s="18">
        <f>IF(AND((IFERROR((AN95/sel_util)*(AO95/sel_rate),0))*AZ46-AY46&gt;=0,21&gt;=sel_start_m),21,9999)</f>
        <v>9999</v>
      </c>
      <c r="CW95" s="18">
        <f>IF(AND((IFERROR((AN95/sel_util)*(AO95/sel_rate),0))*AZ47-AY47&gt;=0,22&gt;=sel_start_m),22,9999)</f>
        <v>9999</v>
      </c>
      <c r="CX95" s="18">
        <f>IF(AND((IFERROR((AN95/sel_util)*(AO95/sel_rate),0))*AZ48-AY48&gt;=0,23&gt;=sel_start_m),23,9999)</f>
        <v>9999</v>
      </c>
      <c r="CY95" s="18">
        <f>IF(AND((IFERROR((AN95/sel_util)*(AO95/sel_rate),0))*AZ49-AY49&gt;=0,24&gt;=sel_start_m),24,9999)</f>
        <v>9999</v>
      </c>
      <c r="CZ95" s="2"/>
      <c r="DA95" s="2"/>
      <c r="DB95" s="2"/>
      <c r="DC95" s="2"/>
      <c r="DD95" s="2"/>
      <c r="DE95" s="2"/>
      <c r="DF95" s="2"/>
      <c r="DG95" s="2"/>
      <c r="DH95" s="2"/>
      <c r="DI95" s="2"/>
      <c r="DJ95" s="2"/>
      <c r="DK95" s="2"/>
      <c r="DL95" s="2"/>
      <c r="DM95" s="2"/>
    </row>
    <row r="96" spans="1:117" ht="20" customHeight="1" x14ac:dyDescent="0.2">
      <c r="A96" s="1"/>
      <c r="B96" s="31">
        <v>0.6</v>
      </c>
      <c r="C96" s="33" t="str">
        <f>AR79</f>
        <v>-</v>
      </c>
      <c r="D96" s="33" t="str">
        <f>AR80</f>
        <v>-</v>
      </c>
      <c r="E96" s="33" t="str">
        <f>AR81</f>
        <v>-</v>
      </c>
      <c r="F96" s="33" t="str">
        <f>AR82</f>
        <v>-</v>
      </c>
      <c r="G96" s="33" t="str">
        <f>AR83</f>
        <v>-</v>
      </c>
      <c r="H96" s="33" t="str">
        <f>AR84</f>
        <v>-</v>
      </c>
      <c r="I96" s="33" t="str">
        <f>AR85</f>
        <v>-</v>
      </c>
      <c r="J96" s="1"/>
      <c r="K96" s="1"/>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9">
        <v>0.75</v>
      </c>
      <c r="AO96" s="10">
        <v>225</v>
      </c>
      <c r="AP96" s="18">
        <f t="shared" si="23"/>
        <v>999</v>
      </c>
      <c r="AQ96" s="10" t="str">
        <f t="shared" si="24"/>
        <v>-</v>
      </c>
      <c r="AR96" s="10" t="str">
        <f t="shared" si="25"/>
        <v>-</v>
      </c>
      <c r="AS96" s="2"/>
      <c r="AT96" s="2"/>
      <c r="AU96" s="2"/>
      <c r="AV96" s="2"/>
      <c r="AW96" s="2"/>
      <c r="AX96" s="2"/>
      <c r="AY96" s="2"/>
      <c r="AZ96" s="2"/>
      <c r="BA96" s="2"/>
      <c r="BB96" s="10">
        <f>AD26+(IFERROR((AN96/inp_c1_util)*(AO96/inp_c1_rate),0))*AZ26-AY26</f>
        <v>-100</v>
      </c>
      <c r="BC96" s="10">
        <f>AD27+(IFERROR((AN96/inp_c1_util)*(AO96/inp_c1_rate),0))*AZ27-AY27</f>
        <v>-200</v>
      </c>
      <c r="BD96" s="10">
        <f>AD28+(IFERROR((AN96/inp_c1_util)*(AO96/inp_c1_rate),0))*AZ28-AY28</f>
        <v>-300</v>
      </c>
      <c r="BE96" s="10">
        <f>AD29+(IFERROR((AN96/inp_c1_util)*(AO96/inp_c1_rate),0))*AZ29-AY29</f>
        <v>-400</v>
      </c>
      <c r="BF96" s="10">
        <f>AD30+(IFERROR((AN96/inp_c1_util)*(AO96/inp_c1_rate),0))*AZ30-AY30</f>
        <v>-500</v>
      </c>
      <c r="BG96" s="10">
        <f>AD31+(IFERROR((AN96/inp_c1_util)*(AO96/inp_c1_rate),0))*AZ31-AY31</f>
        <v>-600</v>
      </c>
      <c r="BH96" s="10">
        <f>AD32+(IFERROR((AN96/inp_c1_util)*(AO96/inp_c1_rate),0))*AZ32-AY32</f>
        <v>-700</v>
      </c>
      <c r="BI96" s="10">
        <f>AD33+(IFERROR((AN96/inp_c1_util)*(AO96/inp_c1_rate),0))*AZ33-AY33</f>
        <v>-800</v>
      </c>
      <c r="BJ96" s="10">
        <f>AD34+(IFERROR((AN96/inp_c1_util)*(AO96/inp_c1_rate),0))*AZ34-AY34</f>
        <v>-900</v>
      </c>
      <c r="BK96" s="10">
        <f>AD35+(IFERROR((AN96/inp_c1_util)*(AO96/inp_c1_rate),0))*AZ35-AY35</f>
        <v>-1000</v>
      </c>
      <c r="BL96" s="10">
        <f>AD36+(IFERROR((AN96/inp_c1_util)*(AO96/inp_c1_rate),0))*AZ36-AY36</f>
        <v>-1100</v>
      </c>
      <c r="BM96" s="10">
        <f>AD37+(IFERROR((AN96/inp_c1_util)*(AO96/inp_c1_rate),0))*AZ37-AY37</f>
        <v>-1200</v>
      </c>
      <c r="BN96" s="10">
        <f>AD38+(IFERROR((AN96/inp_c1_util)*(AO96/inp_c1_rate),0))*AZ38-AY38</f>
        <v>-1300</v>
      </c>
      <c r="BO96" s="10">
        <f>AD39+(IFERROR((AN96/inp_c1_util)*(AO96/inp_c1_rate),0))*AZ39-AY39</f>
        <v>-1400</v>
      </c>
      <c r="BP96" s="10">
        <f>AD40+(IFERROR((AN96/inp_c1_util)*(AO96/inp_c1_rate),0))*AZ40-AY40</f>
        <v>-1500</v>
      </c>
      <c r="BQ96" s="10">
        <f>AD41+(IFERROR((AN96/inp_c1_util)*(AO96/inp_c1_rate),0))*AZ41-AY41</f>
        <v>-1600</v>
      </c>
      <c r="BR96" s="10">
        <f>AD42+(IFERROR((AN96/inp_c1_util)*(AO96/inp_c1_rate),0))*AZ42-AY42</f>
        <v>-1700</v>
      </c>
      <c r="BS96" s="10">
        <f>AD43+(IFERROR((AN96/inp_c1_util)*(AO96/inp_c1_rate),0))*AZ43-AY43</f>
        <v>-1800</v>
      </c>
      <c r="BT96" s="10">
        <f>AD44+(IFERROR((AN96/inp_c1_util)*(AO96/inp_c1_rate),0))*AZ44-AY44</f>
        <v>-1900</v>
      </c>
      <c r="BU96" s="10">
        <f>AD45+(IFERROR((AN96/inp_c1_util)*(AO96/inp_c1_rate),0))*AZ45-AY45</f>
        <v>-2000</v>
      </c>
      <c r="BV96" s="10">
        <f>AD46+(IFERROR((AN96/inp_c1_util)*(AO96/inp_c1_rate),0))*AZ46-AY46</f>
        <v>-2100</v>
      </c>
      <c r="BW96" s="10">
        <f>AD47+(IFERROR((AN96/inp_c1_util)*(AO96/inp_c1_rate),0))*AZ47-AY47</f>
        <v>-2200</v>
      </c>
      <c r="BX96" s="10">
        <f>AD48+(IFERROR((AN96/inp_c1_util)*(AO96/inp_c1_rate),0))*AZ48-AY48</f>
        <v>-2300</v>
      </c>
      <c r="BY96" s="10">
        <f>AD49+(IFERROR((AN96/inp_c1_util)*(AO96/inp_c1_rate),0))*AZ49-AY49</f>
        <v>-2400</v>
      </c>
      <c r="BZ96" s="2"/>
      <c r="CA96" s="2"/>
      <c r="CB96" s="18">
        <f>IF(AND((IFERROR((AN96/sel_util)*(AO96/sel_rate),0))*AZ26-AY26&gt;=0,1&gt;=sel_start_m),1,9999)</f>
        <v>9999</v>
      </c>
      <c r="CC96" s="18">
        <f>IF(AND((IFERROR((AN96/sel_util)*(AO96/sel_rate),0))*AZ27-AY27&gt;=0,2&gt;=sel_start_m),2,9999)</f>
        <v>9999</v>
      </c>
      <c r="CD96" s="18">
        <f>IF(AND((IFERROR((AN96/sel_util)*(AO96/sel_rate),0))*AZ28-AY28&gt;=0,3&gt;=sel_start_m),3,9999)</f>
        <v>9999</v>
      </c>
      <c r="CE96" s="18">
        <f>IF(AND((IFERROR((AN96/sel_util)*(AO96/sel_rate),0))*AZ29-AY29&gt;=0,4&gt;=sel_start_m),4,9999)</f>
        <v>9999</v>
      </c>
      <c r="CF96" s="18">
        <f>IF(AND((IFERROR((AN96/sel_util)*(AO96/sel_rate),0))*AZ30-AY30&gt;=0,5&gt;=sel_start_m),5,9999)</f>
        <v>9999</v>
      </c>
      <c r="CG96" s="18">
        <f>IF(AND((IFERROR((AN96/sel_util)*(AO96/sel_rate),0))*AZ31-AY31&gt;=0,6&gt;=sel_start_m),6,9999)</f>
        <v>9999</v>
      </c>
      <c r="CH96" s="18">
        <f>IF(AND((IFERROR((AN96/sel_util)*(AO96/sel_rate),0))*AZ32-AY32&gt;=0,7&gt;=sel_start_m),7,9999)</f>
        <v>9999</v>
      </c>
      <c r="CI96" s="18">
        <f>IF(AND((IFERROR((AN96/sel_util)*(AO96/sel_rate),0))*AZ33-AY33&gt;=0,8&gt;=sel_start_m),8,9999)</f>
        <v>9999</v>
      </c>
      <c r="CJ96" s="18">
        <f>IF(AND((IFERROR((AN96/sel_util)*(AO96/sel_rate),0))*AZ34-AY34&gt;=0,9&gt;=sel_start_m),9,9999)</f>
        <v>9999</v>
      </c>
      <c r="CK96" s="18">
        <f>IF(AND((IFERROR((AN96/sel_util)*(AO96/sel_rate),0))*AZ35-AY35&gt;=0,10&gt;=sel_start_m),10,9999)</f>
        <v>9999</v>
      </c>
      <c r="CL96" s="18">
        <f>IF(AND((IFERROR((AN96/sel_util)*(AO96/sel_rate),0))*AZ36-AY36&gt;=0,11&gt;=sel_start_m),11,9999)</f>
        <v>9999</v>
      </c>
      <c r="CM96" s="18">
        <f>IF(AND((IFERROR((AN96/sel_util)*(AO96/sel_rate),0))*AZ37-AY37&gt;=0,12&gt;=sel_start_m),12,9999)</f>
        <v>9999</v>
      </c>
      <c r="CN96" s="18">
        <f>IF(AND((IFERROR((AN96/sel_util)*(AO96/sel_rate),0))*AZ38-AY38&gt;=0,13&gt;=sel_start_m),13,9999)</f>
        <v>9999</v>
      </c>
      <c r="CO96" s="18">
        <f>IF(AND((IFERROR((AN96/sel_util)*(AO96/sel_rate),0))*AZ39-AY39&gt;=0,14&gt;=sel_start_m),14,9999)</f>
        <v>9999</v>
      </c>
      <c r="CP96" s="18">
        <f>IF(AND((IFERROR((AN96/sel_util)*(AO96/sel_rate),0))*AZ40-AY40&gt;=0,15&gt;=sel_start_m),15,9999)</f>
        <v>9999</v>
      </c>
      <c r="CQ96" s="18">
        <f>IF(AND((IFERROR((AN96/sel_util)*(AO96/sel_rate),0))*AZ41-AY41&gt;=0,16&gt;=sel_start_m),16,9999)</f>
        <v>9999</v>
      </c>
      <c r="CR96" s="18">
        <f>IF(AND((IFERROR((AN96/sel_util)*(AO96/sel_rate),0))*AZ42-AY42&gt;=0,17&gt;=sel_start_m),17,9999)</f>
        <v>9999</v>
      </c>
      <c r="CS96" s="18">
        <f>IF(AND((IFERROR((AN96/sel_util)*(AO96/sel_rate),0))*AZ43-AY43&gt;=0,18&gt;=sel_start_m),18,9999)</f>
        <v>9999</v>
      </c>
      <c r="CT96" s="18">
        <f>IF(AND((IFERROR((AN96/sel_util)*(AO96/sel_rate),0))*AZ44-AY44&gt;=0,19&gt;=sel_start_m),19,9999)</f>
        <v>9999</v>
      </c>
      <c r="CU96" s="18">
        <f>IF(AND((IFERROR((AN96/sel_util)*(AO96/sel_rate),0))*AZ45-AY45&gt;=0,20&gt;=sel_start_m),20,9999)</f>
        <v>9999</v>
      </c>
      <c r="CV96" s="18">
        <f>IF(AND((IFERROR((AN96/sel_util)*(AO96/sel_rate),0))*AZ46-AY46&gt;=0,21&gt;=sel_start_m),21,9999)</f>
        <v>9999</v>
      </c>
      <c r="CW96" s="18">
        <f>IF(AND((IFERROR((AN96/sel_util)*(AO96/sel_rate),0))*AZ47-AY47&gt;=0,22&gt;=sel_start_m),22,9999)</f>
        <v>9999</v>
      </c>
      <c r="CX96" s="18">
        <f>IF(AND((IFERROR((AN96/sel_util)*(AO96/sel_rate),0))*AZ48-AY48&gt;=0,23&gt;=sel_start_m),23,9999)</f>
        <v>9999</v>
      </c>
      <c r="CY96" s="18">
        <f>IF(AND((IFERROR((AN96/sel_util)*(AO96/sel_rate),0))*AZ49-AY49&gt;=0,24&gt;=sel_start_m),24,9999)</f>
        <v>9999</v>
      </c>
      <c r="CZ96" s="2"/>
      <c r="DA96" s="2"/>
      <c r="DB96" s="2"/>
      <c r="DC96" s="2"/>
      <c r="DD96" s="2"/>
      <c r="DE96" s="2"/>
      <c r="DF96" s="2"/>
      <c r="DG96" s="2"/>
      <c r="DH96" s="2"/>
      <c r="DI96" s="2"/>
      <c r="DJ96" s="2"/>
      <c r="DK96" s="2"/>
      <c r="DL96" s="2"/>
      <c r="DM96" s="2"/>
    </row>
    <row r="97" spans="1:117" ht="20" customHeight="1" x14ac:dyDescent="0.2">
      <c r="A97" s="1"/>
      <c r="B97" s="31">
        <v>0.7</v>
      </c>
      <c r="C97" s="33" t="str">
        <f>AR86</f>
        <v>-</v>
      </c>
      <c r="D97" s="33" t="str">
        <f>AR87</f>
        <v>-</v>
      </c>
      <c r="E97" s="33" t="str">
        <f>AR88</f>
        <v>-</v>
      </c>
      <c r="F97" s="33" t="str">
        <f>AR89</f>
        <v>-</v>
      </c>
      <c r="G97" s="33" t="str">
        <f>AR90</f>
        <v>-</v>
      </c>
      <c r="H97" s="33" t="str">
        <f>AR91</f>
        <v>-</v>
      </c>
      <c r="I97" s="33" t="str">
        <f>AR92</f>
        <v>-</v>
      </c>
      <c r="J97" s="1"/>
      <c r="K97" s="1"/>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9">
        <v>0.75</v>
      </c>
      <c r="AO97" s="10">
        <v>250</v>
      </c>
      <c r="AP97" s="18">
        <f t="shared" si="23"/>
        <v>999</v>
      </c>
      <c r="AQ97" s="10" t="str">
        <f t="shared" si="24"/>
        <v>-</v>
      </c>
      <c r="AR97" s="10" t="str">
        <f t="shared" si="25"/>
        <v>-</v>
      </c>
      <c r="AS97" s="2"/>
      <c r="AT97" s="2"/>
      <c r="AU97" s="2"/>
      <c r="AV97" s="2"/>
      <c r="AW97" s="2"/>
      <c r="AX97" s="2"/>
      <c r="AY97" s="2"/>
      <c r="AZ97" s="2"/>
      <c r="BA97" s="2"/>
      <c r="BB97" s="10">
        <f>AD26+(IFERROR((AN97/inp_c1_util)*(AO97/inp_c1_rate),0))*AZ26-AY26</f>
        <v>-100</v>
      </c>
      <c r="BC97" s="10">
        <f>AD27+(IFERROR((AN97/inp_c1_util)*(AO97/inp_c1_rate),0))*AZ27-AY27</f>
        <v>-200</v>
      </c>
      <c r="BD97" s="10">
        <f>AD28+(IFERROR((AN97/inp_c1_util)*(AO97/inp_c1_rate),0))*AZ28-AY28</f>
        <v>-300</v>
      </c>
      <c r="BE97" s="10">
        <f>AD29+(IFERROR((AN97/inp_c1_util)*(AO97/inp_c1_rate),0))*AZ29-AY29</f>
        <v>-400</v>
      </c>
      <c r="BF97" s="10">
        <f>AD30+(IFERROR((AN97/inp_c1_util)*(AO97/inp_c1_rate),0))*AZ30-AY30</f>
        <v>-500</v>
      </c>
      <c r="BG97" s="10">
        <f>AD31+(IFERROR((AN97/inp_c1_util)*(AO97/inp_c1_rate),0))*AZ31-AY31</f>
        <v>-600</v>
      </c>
      <c r="BH97" s="10">
        <f>AD32+(IFERROR((AN97/inp_c1_util)*(AO97/inp_c1_rate),0))*AZ32-AY32</f>
        <v>-700</v>
      </c>
      <c r="BI97" s="10">
        <f>AD33+(IFERROR((AN97/inp_c1_util)*(AO97/inp_c1_rate),0))*AZ33-AY33</f>
        <v>-800</v>
      </c>
      <c r="BJ97" s="10">
        <f>AD34+(IFERROR((AN97/inp_c1_util)*(AO97/inp_c1_rate),0))*AZ34-AY34</f>
        <v>-900</v>
      </c>
      <c r="BK97" s="10">
        <f>AD35+(IFERROR((AN97/inp_c1_util)*(AO97/inp_c1_rate),0))*AZ35-AY35</f>
        <v>-1000</v>
      </c>
      <c r="BL97" s="10">
        <f>AD36+(IFERROR((AN97/inp_c1_util)*(AO97/inp_c1_rate),0))*AZ36-AY36</f>
        <v>-1100</v>
      </c>
      <c r="BM97" s="10">
        <f>AD37+(IFERROR((AN97/inp_c1_util)*(AO97/inp_c1_rate),0))*AZ37-AY37</f>
        <v>-1200</v>
      </c>
      <c r="BN97" s="10">
        <f>AD38+(IFERROR((AN97/inp_c1_util)*(AO97/inp_c1_rate),0))*AZ38-AY38</f>
        <v>-1300</v>
      </c>
      <c r="BO97" s="10">
        <f>AD39+(IFERROR((AN97/inp_c1_util)*(AO97/inp_c1_rate),0))*AZ39-AY39</f>
        <v>-1400</v>
      </c>
      <c r="BP97" s="10">
        <f>AD40+(IFERROR((AN97/inp_c1_util)*(AO97/inp_c1_rate),0))*AZ40-AY40</f>
        <v>-1500</v>
      </c>
      <c r="BQ97" s="10">
        <f>AD41+(IFERROR((AN97/inp_c1_util)*(AO97/inp_c1_rate),0))*AZ41-AY41</f>
        <v>-1600</v>
      </c>
      <c r="BR97" s="10">
        <f>AD42+(IFERROR((AN97/inp_c1_util)*(AO97/inp_c1_rate),0))*AZ42-AY42</f>
        <v>-1700</v>
      </c>
      <c r="BS97" s="10">
        <f>AD43+(IFERROR((AN97/inp_c1_util)*(AO97/inp_c1_rate),0))*AZ43-AY43</f>
        <v>-1800</v>
      </c>
      <c r="BT97" s="10">
        <f>AD44+(IFERROR((AN97/inp_c1_util)*(AO97/inp_c1_rate),0))*AZ44-AY44</f>
        <v>-1900</v>
      </c>
      <c r="BU97" s="10">
        <f>AD45+(IFERROR((AN97/inp_c1_util)*(AO97/inp_c1_rate),0))*AZ45-AY45</f>
        <v>-2000</v>
      </c>
      <c r="BV97" s="10">
        <f>AD46+(IFERROR((AN97/inp_c1_util)*(AO97/inp_c1_rate),0))*AZ46-AY46</f>
        <v>-2100</v>
      </c>
      <c r="BW97" s="10">
        <f>AD47+(IFERROR((AN97/inp_c1_util)*(AO97/inp_c1_rate),0))*AZ47-AY47</f>
        <v>-2200</v>
      </c>
      <c r="BX97" s="10">
        <f>AD48+(IFERROR((AN97/inp_c1_util)*(AO97/inp_c1_rate),0))*AZ48-AY48</f>
        <v>-2300</v>
      </c>
      <c r="BY97" s="10">
        <f>AD49+(IFERROR((AN97/inp_c1_util)*(AO97/inp_c1_rate),0))*AZ49-AY49</f>
        <v>-2400</v>
      </c>
      <c r="BZ97" s="2"/>
      <c r="CA97" s="2"/>
      <c r="CB97" s="18">
        <f>IF(AND((IFERROR((AN97/sel_util)*(AO97/sel_rate),0))*AZ26-AY26&gt;=0,1&gt;=sel_start_m),1,9999)</f>
        <v>9999</v>
      </c>
      <c r="CC97" s="18">
        <f>IF(AND((IFERROR((AN97/sel_util)*(AO97/sel_rate),0))*AZ27-AY27&gt;=0,2&gt;=sel_start_m),2,9999)</f>
        <v>9999</v>
      </c>
      <c r="CD97" s="18">
        <f>IF(AND((IFERROR((AN97/sel_util)*(AO97/sel_rate),0))*AZ28-AY28&gt;=0,3&gt;=sel_start_m),3,9999)</f>
        <v>9999</v>
      </c>
      <c r="CE97" s="18">
        <f>IF(AND((IFERROR((AN97/sel_util)*(AO97/sel_rate),0))*AZ29-AY29&gt;=0,4&gt;=sel_start_m),4,9999)</f>
        <v>9999</v>
      </c>
      <c r="CF97" s="18">
        <f>IF(AND((IFERROR((AN97/sel_util)*(AO97/sel_rate),0))*AZ30-AY30&gt;=0,5&gt;=sel_start_m),5,9999)</f>
        <v>9999</v>
      </c>
      <c r="CG97" s="18">
        <f>IF(AND((IFERROR((AN97/sel_util)*(AO97/sel_rate),0))*AZ31-AY31&gt;=0,6&gt;=sel_start_m),6,9999)</f>
        <v>9999</v>
      </c>
      <c r="CH97" s="18">
        <f>IF(AND((IFERROR((AN97/sel_util)*(AO97/sel_rate),0))*AZ32-AY32&gt;=0,7&gt;=sel_start_m),7,9999)</f>
        <v>9999</v>
      </c>
      <c r="CI97" s="18">
        <f>IF(AND((IFERROR((AN97/sel_util)*(AO97/sel_rate),0))*AZ33-AY33&gt;=0,8&gt;=sel_start_m),8,9999)</f>
        <v>9999</v>
      </c>
      <c r="CJ97" s="18">
        <f>IF(AND((IFERROR((AN97/sel_util)*(AO97/sel_rate),0))*AZ34-AY34&gt;=0,9&gt;=sel_start_m),9,9999)</f>
        <v>9999</v>
      </c>
      <c r="CK97" s="18">
        <f>IF(AND((IFERROR((AN97/sel_util)*(AO97/sel_rate),0))*AZ35-AY35&gt;=0,10&gt;=sel_start_m),10,9999)</f>
        <v>9999</v>
      </c>
      <c r="CL97" s="18">
        <f>IF(AND((IFERROR((AN97/sel_util)*(AO97/sel_rate),0))*AZ36-AY36&gt;=0,11&gt;=sel_start_m),11,9999)</f>
        <v>9999</v>
      </c>
      <c r="CM97" s="18">
        <f>IF(AND((IFERROR((AN97/sel_util)*(AO97/sel_rate),0))*AZ37-AY37&gt;=0,12&gt;=sel_start_m),12,9999)</f>
        <v>9999</v>
      </c>
      <c r="CN97" s="18">
        <f>IF(AND((IFERROR((AN97/sel_util)*(AO97/sel_rate),0))*AZ38-AY38&gt;=0,13&gt;=sel_start_m),13,9999)</f>
        <v>9999</v>
      </c>
      <c r="CO97" s="18">
        <f>IF(AND((IFERROR((AN97/sel_util)*(AO97/sel_rate),0))*AZ39-AY39&gt;=0,14&gt;=sel_start_m),14,9999)</f>
        <v>9999</v>
      </c>
      <c r="CP97" s="18">
        <f>IF(AND((IFERROR((AN97/sel_util)*(AO97/sel_rate),0))*AZ40-AY40&gt;=0,15&gt;=sel_start_m),15,9999)</f>
        <v>9999</v>
      </c>
      <c r="CQ97" s="18">
        <f>IF(AND((IFERROR((AN97/sel_util)*(AO97/sel_rate),0))*AZ41-AY41&gt;=0,16&gt;=sel_start_m),16,9999)</f>
        <v>9999</v>
      </c>
      <c r="CR97" s="18">
        <f>IF(AND((IFERROR((AN97/sel_util)*(AO97/sel_rate),0))*AZ42-AY42&gt;=0,17&gt;=sel_start_m),17,9999)</f>
        <v>9999</v>
      </c>
      <c r="CS97" s="18">
        <f>IF(AND((IFERROR((AN97/sel_util)*(AO97/sel_rate),0))*AZ43-AY43&gt;=0,18&gt;=sel_start_m),18,9999)</f>
        <v>9999</v>
      </c>
      <c r="CT97" s="18">
        <f>IF(AND((IFERROR((AN97/sel_util)*(AO97/sel_rate),0))*AZ44-AY44&gt;=0,19&gt;=sel_start_m),19,9999)</f>
        <v>9999</v>
      </c>
      <c r="CU97" s="18">
        <f>IF(AND((IFERROR((AN97/sel_util)*(AO97/sel_rate),0))*AZ45-AY45&gt;=0,20&gt;=sel_start_m),20,9999)</f>
        <v>9999</v>
      </c>
      <c r="CV97" s="18">
        <f>IF(AND((IFERROR((AN97/sel_util)*(AO97/sel_rate),0))*AZ46-AY46&gt;=0,21&gt;=sel_start_m),21,9999)</f>
        <v>9999</v>
      </c>
      <c r="CW97" s="18">
        <f>IF(AND((IFERROR((AN97/sel_util)*(AO97/sel_rate),0))*AZ47-AY47&gt;=0,22&gt;=sel_start_m),22,9999)</f>
        <v>9999</v>
      </c>
      <c r="CX97" s="18">
        <f>IF(AND((IFERROR((AN97/sel_util)*(AO97/sel_rate),0))*AZ48-AY48&gt;=0,23&gt;=sel_start_m),23,9999)</f>
        <v>9999</v>
      </c>
      <c r="CY97" s="18">
        <f>IF(AND((IFERROR((AN97/sel_util)*(AO97/sel_rate),0))*AZ49-AY49&gt;=0,24&gt;=sel_start_m),24,9999)</f>
        <v>9999</v>
      </c>
      <c r="CZ97" s="2"/>
      <c r="DA97" s="2"/>
      <c r="DB97" s="2"/>
      <c r="DC97" s="2"/>
      <c r="DD97" s="2"/>
      <c r="DE97" s="2"/>
      <c r="DF97" s="2"/>
      <c r="DG97" s="2"/>
      <c r="DH97" s="2"/>
      <c r="DI97" s="2"/>
      <c r="DJ97" s="2"/>
      <c r="DK97" s="2"/>
      <c r="DL97" s="2"/>
      <c r="DM97" s="2"/>
    </row>
    <row r="98" spans="1:117" ht="20" customHeight="1" x14ac:dyDescent="0.2">
      <c r="A98" s="1"/>
      <c r="B98" s="31">
        <v>0.75</v>
      </c>
      <c r="C98" s="33" t="str">
        <f>AR93</f>
        <v>-</v>
      </c>
      <c r="D98" s="33" t="str">
        <f>AR94</f>
        <v>-</v>
      </c>
      <c r="E98" s="33" t="str">
        <f>AR95</f>
        <v>-</v>
      </c>
      <c r="F98" s="33" t="str">
        <f>AR96</f>
        <v>-</v>
      </c>
      <c r="G98" s="33" t="str">
        <f>AR97</f>
        <v>-</v>
      </c>
      <c r="H98" s="33" t="str">
        <f>AR98</f>
        <v>-</v>
      </c>
      <c r="I98" s="33" t="str">
        <f>AR99</f>
        <v>-</v>
      </c>
      <c r="J98" s="1"/>
      <c r="K98" s="1"/>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9">
        <v>0.75</v>
      </c>
      <c r="AO98" s="10">
        <v>275</v>
      </c>
      <c r="AP98" s="18">
        <f t="shared" si="23"/>
        <v>999</v>
      </c>
      <c r="AQ98" s="10" t="str">
        <f t="shared" si="24"/>
        <v>-</v>
      </c>
      <c r="AR98" s="10" t="str">
        <f t="shared" si="25"/>
        <v>-</v>
      </c>
      <c r="AS98" s="2"/>
      <c r="AT98" s="2"/>
      <c r="AU98" s="2"/>
      <c r="AV98" s="2"/>
      <c r="AW98" s="2"/>
      <c r="AX98" s="2"/>
      <c r="AY98" s="2"/>
      <c r="AZ98" s="2"/>
      <c r="BA98" s="2"/>
      <c r="BB98" s="10">
        <f>AD26+(IFERROR((AN98/inp_c1_util)*(AO98/inp_c1_rate),0))*AZ26-AY26</f>
        <v>-100</v>
      </c>
      <c r="BC98" s="10">
        <f>AD27+(IFERROR((AN98/inp_c1_util)*(AO98/inp_c1_rate),0))*AZ27-AY27</f>
        <v>-200</v>
      </c>
      <c r="BD98" s="10">
        <f>AD28+(IFERROR((AN98/inp_c1_util)*(AO98/inp_c1_rate),0))*AZ28-AY28</f>
        <v>-300</v>
      </c>
      <c r="BE98" s="10">
        <f>AD29+(IFERROR((AN98/inp_c1_util)*(AO98/inp_c1_rate),0))*AZ29-AY29</f>
        <v>-400</v>
      </c>
      <c r="BF98" s="10">
        <f>AD30+(IFERROR((AN98/inp_c1_util)*(AO98/inp_c1_rate),0))*AZ30-AY30</f>
        <v>-500</v>
      </c>
      <c r="BG98" s="10">
        <f>AD31+(IFERROR((AN98/inp_c1_util)*(AO98/inp_c1_rate),0))*AZ31-AY31</f>
        <v>-600</v>
      </c>
      <c r="BH98" s="10">
        <f>AD32+(IFERROR((AN98/inp_c1_util)*(AO98/inp_c1_rate),0))*AZ32-AY32</f>
        <v>-700</v>
      </c>
      <c r="BI98" s="10">
        <f>AD33+(IFERROR((AN98/inp_c1_util)*(AO98/inp_c1_rate),0))*AZ33-AY33</f>
        <v>-800</v>
      </c>
      <c r="BJ98" s="10">
        <f>AD34+(IFERROR((AN98/inp_c1_util)*(AO98/inp_c1_rate),0))*AZ34-AY34</f>
        <v>-900</v>
      </c>
      <c r="BK98" s="10">
        <f>AD35+(IFERROR((AN98/inp_c1_util)*(AO98/inp_c1_rate),0))*AZ35-AY35</f>
        <v>-1000</v>
      </c>
      <c r="BL98" s="10">
        <f>AD36+(IFERROR((AN98/inp_c1_util)*(AO98/inp_c1_rate),0))*AZ36-AY36</f>
        <v>-1100</v>
      </c>
      <c r="BM98" s="10">
        <f>AD37+(IFERROR((AN98/inp_c1_util)*(AO98/inp_c1_rate),0))*AZ37-AY37</f>
        <v>-1200</v>
      </c>
      <c r="BN98" s="10">
        <f>AD38+(IFERROR((AN98/inp_c1_util)*(AO98/inp_c1_rate),0))*AZ38-AY38</f>
        <v>-1300</v>
      </c>
      <c r="BO98" s="10">
        <f>AD39+(IFERROR((AN98/inp_c1_util)*(AO98/inp_c1_rate),0))*AZ39-AY39</f>
        <v>-1400</v>
      </c>
      <c r="BP98" s="10">
        <f>AD40+(IFERROR((AN98/inp_c1_util)*(AO98/inp_c1_rate),0))*AZ40-AY40</f>
        <v>-1500</v>
      </c>
      <c r="BQ98" s="10">
        <f>AD41+(IFERROR((AN98/inp_c1_util)*(AO98/inp_c1_rate),0))*AZ41-AY41</f>
        <v>-1600</v>
      </c>
      <c r="BR98" s="10">
        <f>AD42+(IFERROR((AN98/inp_c1_util)*(AO98/inp_c1_rate),0))*AZ42-AY42</f>
        <v>-1700</v>
      </c>
      <c r="BS98" s="10">
        <f>AD43+(IFERROR((AN98/inp_c1_util)*(AO98/inp_c1_rate),0))*AZ43-AY43</f>
        <v>-1800</v>
      </c>
      <c r="BT98" s="10">
        <f>AD44+(IFERROR((AN98/inp_c1_util)*(AO98/inp_c1_rate),0))*AZ44-AY44</f>
        <v>-1900</v>
      </c>
      <c r="BU98" s="10">
        <f>AD45+(IFERROR((AN98/inp_c1_util)*(AO98/inp_c1_rate),0))*AZ45-AY45</f>
        <v>-2000</v>
      </c>
      <c r="BV98" s="10">
        <f>AD46+(IFERROR((AN98/inp_c1_util)*(AO98/inp_c1_rate),0))*AZ46-AY46</f>
        <v>-2100</v>
      </c>
      <c r="BW98" s="10">
        <f>AD47+(IFERROR((AN98/inp_c1_util)*(AO98/inp_c1_rate),0))*AZ47-AY47</f>
        <v>-2200</v>
      </c>
      <c r="BX98" s="10">
        <f>AD48+(IFERROR((AN98/inp_c1_util)*(AO98/inp_c1_rate),0))*AZ48-AY48</f>
        <v>-2300</v>
      </c>
      <c r="BY98" s="10">
        <f>AD49+(IFERROR((AN98/inp_c1_util)*(AO98/inp_c1_rate),0))*AZ49-AY49</f>
        <v>-2400</v>
      </c>
      <c r="BZ98" s="2"/>
      <c r="CA98" s="2"/>
      <c r="CB98" s="18">
        <f>IF(AND((IFERROR((AN98/sel_util)*(AO98/sel_rate),0))*AZ26-AY26&gt;=0,1&gt;=sel_start_m),1,9999)</f>
        <v>9999</v>
      </c>
      <c r="CC98" s="18">
        <f>IF(AND((IFERROR((AN98/sel_util)*(AO98/sel_rate),0))*AZ27-AY27&gt;=0,2&gt;=sel_start_m),2,9999)</f>
        <v>9999</v>
      </c>
      <c r="CD98" s="18">
        <f>IF(AND((IFERROR((AN98/sel_util)*(AO98/sel_rate),0))*AZ28-AY28&gt;=0,3&gt;=sel_start_m),3,9999)</f>
        <v>9999</v>
      </c>
      <c r="CE98" s="18">
        <f>IF(AND((IFERROR((AN98/sel_util)*(AO98/sel_rate),0))*AZ29-AY29&gt;=0,4&gt;=sel_start_m),4,9999)</f>
        <v>9999</v>
      </c>
      <c r="CF98" s="18">
        <f>IF(AND((IFERROR((AN98/sel_util)*(AO98/sel_rate),0))*AZ30-AY30&gt;=0,5&gt;=sel_start_m),5,9999)</f>
        <v>9999</v>
      </c>
      <c r="CG98" s="18">
        <f>IF(AND((IFERROR((AN98/sel_util)*(AO98/sel_rate),0))*AZ31-AY31&gt;=0,6&gt;=sel_start_m),6,9999)</f>
        <v>9999</v>
      </c>
      <c r="CH98" s="18">
        <f>IF(AND((IFERROR((AN98/sel_util)*(AO98/sel_rate),0))*AZ32-AY32&gt;=0,7&gt;=sel_start_m),7,9999)</f>
        <v>9999</v>
      </c>
      <c r="CI98" s="18">
        <f>IF(AND((IFERROR((AN98/sel_util)*(AO98/sel_rate),0))*AZ33-AY33&gt;=0,8&gt;=sel_start_m),8,9999)</f>
        <v>9999</v>
      </c>
      <c r="CJ98" s="18">
        <f>IF(AND((IFERROR((AN98/sel_util)*(AO98/sel_rate),0))*AZ34-AY34&gt;=0,9&gt;=sel_start_m),9,9999)</f>
        <v>9999</v>
      </c>
      <c r="CK98" s="18">
        <f>IF(AND((IFERROR((AN98/sel_util)*(AO98/sel_rate),0))*AZ35-AY35&gt;=0,10&gt;=sel_start_m),10,9999)</f>
        <v>9999</v>
      </c>
      <c r="CL98" s="18">
        <f>IF(AND((IFERROR((AN98/sel_util)*(AO98/sel_rate),0))*AZ36-AY36&gt;=0,11&gt;=sel_start_m),11,9999)</f>
        <v>9999</v>
      </c>
      <c r="CM98" s="18">
        <f>IF(AND((IFERROR((AN98/sel_util)*(AO98/sel_rate),0))*AZ37-AY37&gt;=0,12&gt;=sel_start_m),12,9999)</f>
        <v>9999</v>
      </c>
      <c r="CN98" s="18">
        <f>IF(AND((IFERROR((AN98/sel_util)*(AO98/sel_rate),0))*AZ38-AY38&gt;=0,13&gt;=sel_start_m),13,9999)</f>
        <v>9999</v>
      </c>
      <c r="CO98" s="18">
        <f>IF(AND((IFERROR((AN98/sel_util)*(AO98/sel_rate),0))*AZ39-AY39&gt;=0,14&gt;=sel_start_m),14,9999)</f>
        <v>9999</v>
      </c>
      <c r="CP98" s="18">
        <f>IF(AND((IFERROR((AN98/sel_util)*(AO98/sel_rate),0))*AZ40-AY40&gt;=0,15&gt;=sel_start_m),15,9999)</f>
        <v>9999</v>
      </c>
      <c r="CQ98" s="18">
        <f>IF(AND((IFERROR((AN98/sel_util)*(AO98/sel_rate),0))*AZ41-AY41&gt;=0,16&gt;=sel_start_m),16,9999)</f>
        <v>9999</v>
      </c>
      <c r="CR98" s="18">
        <f>IF(AND((IFERROR((AN98/sel_util)*(AO98/sel_rate),0))*AZ42-AY42&gt;=0,17&gt;=sel_start_m),17,9999)</f>
        <v>9999</v>
      </c>
      <c r="CS98" s="18">
        <f>IF(AND((IFERROR((AN98/sel_util)*(AO98/sel_rate),0))*AZ43-AY43&gt;=0,18&gt;=sel_start_m),18,9999)</f>
        <v>9999</v>
      </c>
      <c r="CT98" s="18">
        <f>IF(AND((IFERROR((AN98/sel_util)*(AO98/sel_rate),0))*AZ44-AY44&gt;=0,19&gt;=sel_start_m),19,9999)</f>
        <v>9999</v>
      </c>
      <c r="CU98" s="18">
        <f>IF(AND((IFERROR((AN98/sel_util)*(AO98/sel_rate),0))*AZ45-AY45&gt;=0,20&gt;=sel_start_m),20,9999)</f>
        <v>9999</v>
      </c>
      <c r="CV98" s="18">
        <f>IF(AND((IFERROR((AN98/sel_util)*(AO98/sel_rate),0))*AZ46-AY46&gt;=0,21&gt;=sel_start_m),21,9999)</f>
        <v>9999</v>
      </c>
      <c r="CW98" s="18">
        <f>IF(AND((IFERROR((AN98/sel_util)*(AO98/sel_rate),0))*AZ47-AY47&gt;=0,22&gt;=sel_start_m),22,9999)</f>
        <v>9999</v>
      </c>
      <c r="CX98" s="18">
        <f>IF(AND((IFERROR((AN98/sel_util)*(AO98/sel_rate),0))*AZ48-AY48&gt;=0,23&gt;=sel_start_m),23,9999)</f>
        <v>9999</v>
      </c>
      <c r="CY98" s="18">
        <f>IF(AND((IFERROR((AN98/sel_util)*(AO98/sel_rate),0))*AZ49-AY49&gt;=0,24&gt;=sel_start_m),24,9999)</f>
        <v>9999</v>
      </c>
      <c r="CZ98" s="2"/>
      <c r="DA98" s="2"/>
      <c r="DB98" s="2"/>
      <c r="DC98" s="2"/>
      <c r="DD98" s="2"/>
      <c r="DE98" s="2"/>
      <c r="DF98" s="2"/>
      <c r="DG98" s="2"/>
      <c r="DH98" s="2"/>
      <c r="DI98" s="2"/>
      <c r="DJ98" s="2"/>
      <c r="DK98" s="2"/>
      <c r="DL98" s="2"/>
      <c r="DM98" s="2"/>
    </row>
    <row r="99" spans="1:117" ht="20" customHeight="1" x14ac:dyDescent="0.2">
      <c r="A99" s="1"/>
      <c r="B99" s="31">
        <v>0.8</v>
      </c>
      <c r="C99" s="33" t="str">
        <f>AR100</f>
        <v>-</v>
      </c>
      <c r="D99" s="33" t="str">
        <f>AR101</f>
        <v>-</v>
      </c>
      <c r="E99" s="33" t="str">
        <f>AR102</f>
        <v>-</v>
      </c>
      <c r="F99" s="33" t="str">
        <f>AR103</f>
        <v>-</v>
      </c>
      <c r="G99" s="33" t="str">
        <f>AR104</f>
        <v>-</v>
      </c>
      <c r="H99" s="33" t="str">
        <f>AR105</f>
        <v>-</v>
      </c>
      <c r="I99" s="33" t="str">
        <f>AR106</f>
        <v>-</v>
      </c>
      <c r="J99" s="1"/>
      <c r="K99" s="1"/>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9">
        <v>0.75</v>
      </c>
      <c r="AO99" s="10">
        <v>300</v>
      </c>
      <c r="AP99" s="18">
        <f t="shared" si="23"/>
        <v>999</v>
      </c>
      <c r="AQ99" s="10" t="str">
        <f t="shared" si="24"/>
        <v>-</v>
      </c>
      <c r="AR99" s="10" t="str">
        <f t="shared" si="25"/>
        <v>-</v>
      </c>
      <c r="AS99" s="2"/>
      <c r="AT99" s="2"/>
      <c r="AU99" s="2"/>
      <c r="AV99" s="2"/>
      <c r="AW99" s="2"/>
      <c r="AX99" s="2"/>
      <c r="AY99" s="2"/>
      <c r="AZ99" s="2"/>
      <c r="BA99" s="2"/>
      <c r="BB99" s="10">
        <f>AD26+(IFERROR((AN99/inp_c1_util)*(AO99/inp_c1_rate),0))*AZ26-AY26</f>
        <v>-100</v>
      </c>
      <c r="BC99" s="10">
        <f>AD27+(IFERROR((AN99/inp_c1_util)*(AO99/inp_c1_rate),0))*AZ27-AY27</f>
        <v>-200</v>
      </c>
      <c r="BD99" s="10">
        <f>AD28+(IFERROR((AN99/inp_c1_util)*(AO99/inp_c1_rate),0))*AZ28-AY28</f>
        <v>-300</v>
      </c>
      <c r="BE99" s="10">
        <f>AD29+(IFERROR((AN99/inp_c1_util)*(AO99/inp_c1_rate),0))*AZ29-AY29</f>
        <v>-400</v>
      </c>
      <c r="BF99" s="10">
        <f>AD30+(IFERROR((AN99/inp_c1_util)*(AO99/inp_c1_rate),0))*AZ30-AY30</f>
        <v>-500</v>
      </c>
      <c r="BG99" s="10">
        <f>AD31+(IFERROR((AN99/inp_c1_util)*(AO99/inp_c1_rate),0))*AZ31-AY31</f>
        <v>-600</v>
      </c>
      <c r="BH99" s="10">
        <f>AD32+(IFERROR((AN99/inp_c1_util)*(AO99/inp_c1_rate),0))*AZ32-AY32</f>
        <v>-700</v>
      </c>
      <c r="BI99" s="10">
        <f>AD33+(IFERROR((AN99/inp_c1_util)*(AO99/inp_c1_rate),0))*AZ33-AY33</f>
        <v>-800</v>
      </c>
      <c r="BJ99" s="10">
        <f>AD34+(IFERROR((AN99/inp_c1_util)*(AO99/inp_c1_rate),0))*AZ34-AY34</f>
        <v>-900</v>
      </c>
      <c r="BK99" s="10">
        <f>AD35+(IFERROR((AN99/inp_c1_util)*(AO99/inp_c1_rate),0))*AZ35-AY35</f>
        <v>-1000</v>
      </c>
      <c r="BL99" s="10">
        <f>AD36+(IFERROR((AN99/inp_c1_util)*(AO99/inp_c1_rate),0))*AZ36-AY36</f>
        <v>-1100</v>
      </c>
      <c r="BM99" s="10">
        <f>AD37+(IFERROR((AN99/inp_c1_util)*(AO99/inp_c1_rate),0))*AZ37-AY37</f>
        <v>-1200</v>
      </c>
      <c r="BN99" s="10">
        <f>AD38+(IFERROR((AN99/inp_c1_util)*(AO99/inp_c1_rate),0))*AZ38-AY38</f>
        <v>-1300</v>
      </c>
      <c r="BO99" s="10">
        <f>AD39+(IFERROR((AN99/inp_c1_util)*(AO99/inp_c1_rate),0))*AZ39-AY39</f>
        <v>-1400</v>
      </c>
      <c r="BP99" s="10">
        <f>AD40+(IFERROR((AN99/inp_c1_util)*(AO99/inp_c1_rate),0))*AZ40-AY40</f>
        <v>-1500</v>
      </c>
      <c r="BQ99" s="10">
        <f>AD41+(IFERROR((AN99/inp_c1_util)*(AO99/inp_c1_rate),0))*AZ41-AY41</f>
        <v>-1600</v>
      </c>
      <c r="BR99" s="10">
        <f>AD42+(IFERROR((AN99/inp_c1_util)*(AO99/inp_c1_rate),0))*AZ42-AY42</f>
        <v>-1700</v>
      </c>
      <c r="BS99" s="10">
        <f>AD43+(IFERROR((AN99/inp_c1_util)*(AO99/inp_c1_rate),0))*AZ43-AY43</f>
        <v>-1800</v>
      </c>
      <c r="BT99" s="10">
        <f>AD44+(IFERROR((AN99/inp_c1_util)*(AO99/inp_c1_rate),0))*AZ44-AY44</f>
        <v>-1900</v>
      </c>
      <c r="BU99" s="10">
        <f>AD45+(IFERROR((AN99/inp_c1_util)*(AO99/inp_c1_rate),0))*AZ45-AY45</f>
        <v>-2000</v>
      </c>
      <c r="BV99" s="10">
        <f>AD46+(IFERROR((AN99/inp_c1_util)*(AO99/inp_c1_rate),0))*AZ46-AY46</f>
        <v>-2100</v>
      </c>
      <c r="BW99" s="10">
        <f>AD47+(IFERROR((AN99/inp_c1_util)*(AO99/inp_c1_rate),0))*AZ47-AY47</f>
        <v>-2200</v>
      </c>
      <c r="BX99" s="10">
        <f>AD48+(IFERROR((AN99/inp_c1_util)*(AO99/inp_c1_rate),0))*AZ48-AY48</f>
        <v>-2300</v>
      </c>
      <c r="BY99" s="10">
        <f>AD49+(IFERROR((AN99/inp_c1_util)*(AO99/inp_c1_rate),0))*AZ49-AY49</f>
        <v>-2400</v>
      </c>
      <c r="BZ99" s="2"/>
      <c r="CA99" s="2"/>
      <c r="CB99" s="18">
        <f>IF(AND((IFERROR((AN99/sel_util)*(AO99/sel_rate),0))*AZ26-AY26&gt;=0,1&gt;=sel_start_m),1,9999)</f>
        <v>9999</v>
      </c>
      <c r="CC99" s="18">
        <f>IF(AND((IFERROR((AN99/sel_util)*(AO99/sel_rate),0))*AZ27-AY27&gt;=0,2&gt;=sel_start_m),2,9999)</f>
        <v>9999</v>
      </c>
      <c r="CD99" s="18">
        <f>IF(AND((IFERROR((AN99/sel_util)*(AO99/sel_rate),0))*AZ28-AY28&gt;=0,3&gt;=sel_start_m),3,9999)</f>
        <v>9999</v>
      </c>
      <c r="CE99" s="18">
        <f>IF(AND((IFERROR((AN99/sel_util)*(AO99/sel_rate),0))*AZ29-AY29&gt;=0,4&gt;=sel_start_m),4,9999)</f>
        <v>9999</v>
      </c>
      <c r="CF99" s="18">
        <f>IF(AND((IFERROR((AN99/sel_util)*(AO99/sel_rate),0))*AZ30-AY30&gt;=0,5&gt;=sel_start_m),5,9999)</f>
        <v>9999</v>
      </c>
      <c r="CG99" s="18">
        <f>IF(AND((IFERROR((AN99/sel_util)*(AO99/sel_rate),0))*AZ31-AY31&gt;=0,6&gt;=sel_start_m),6,9999)</f>
        <v>9999</v>
      </c>
      <c r="CH99" s="18">
        <f>IF(AND((IFERROR((AN99/sel_util)*(AO99/sel_rate),0))*AZ32-AY32&gt;=0,7&gt;=sel_start_m),7,9999)</f>
        <v>9999</v>
      </c>
      <c r="CI99" s="18">
        <f>IF(AND((IFERROR((AN99/sel_util)*(AO99/sel_rate),0))*AZ33-AY33&gt;=0,8&gt;=sel_start_m),8,9999)</f>
        <v>9999</v>
      </c>
      <c r="CJ99" s="18">
        <f>IF(AND((IFERROR((AN99/sel_util)*(AO99/sel_rate),0))*AZ34-AY34&gt;=0,9&gt;=sel_start_m),9,9999)</f>
        <v>9999</v>
      </c>
      <c r="CK99" s="18">
        <f>IF(AND((IFERROR((AN99/sel_util)*(AO99/sel_rate),0))*AZ35-AY35&gt;=0,10&gt;=sel_start_m),10,9999)</f>
        <v>9999</v>
      </c>
      <c r="CL99" s="18">
        <f>IF(AND((IFERROR((AN99/sel_util)*(AO99/sel_rate),0))*AZ36-AY36&gt;=0,11&gt;=sel_start_m),11,9999)</f>
        <v>9999</v>
      </c>
      <c r="CM99" s="18">
        <f>IF(AND((IFERROR((AN99/sel_util)*(AO99/sel_rate),0))*AZ37-AY37&gt;=0,12&gt;=sel_start_m),12,9999)</f>
        <v>9999</v>
      </c>
      <c r="CN99" s="18">
        <f>IF(AND((IFERROR((AN99/sel_util)*(AO99/sel_rate),0))*AZ38-AY38&gt;=0,13&gt;=sel_start_m),13,9999)</f>
        <v>9999</v>
      </c>
      <c r="CO99" s="18">
        <f>IF(AND((IFERROR((AN99/sel_util)*(AO99/sel_rate),0))*AZ39-AY39&gt;=0,14&gt;=sel_start_m),14,9999)</f>
        <v>9999</v>
      </c>
      <c r="CP99" s="18">
        <f>IF(AND((IFERROR((AN99/sel_util)*(AO99/sel_rate),0))*AZ40-AY40&gt;=0,15&gt;=sel_start_m),15,9999)</f>
        <v>9999</v>
      </c>
      <c r="CQ99" s="18">
        <f>IF(AND((IFERROR((AN99/sel_util)*(AO99/sel_rate),0))*AZ41-AY41&gt;=0,16&gt;=sel_start_m),16,9999)</f>
        <v>9999</v>
      </c>
      <c r="CR99" s="18">
        <f>IF(AND((IFERROR((AN99/sel_util)*(AO99/sel_rate),0))*AZ42-AY42&gt;=0,17&gt;=sel_start_m),17,9999)</f>
        <v>9999</v>
      </c>
      <c r="CS99" s="18">
        <f>IF(AND((IFERROR((AN99/sel_util)*(AO99/sel_rate),0))*AZ43-AY43&gt;=0,18&gt;=sel_start_m),18,9999)</f>
        <v>9999</v>
      </c>
      <c r="CT99" s="18">
        <f>IF(AND((IFERROR((AN99/sel_util)*(AO99/sel_rate),0))*AZ44-AY44&gt;=0,19&gt;=sel_start_m),19,9999)</f>
        <v>9999</v>
      </c>
      <c r="CU99" s="18">
        <f>IF(AND((IFERROR((AN99/sel_util)*(AO99/sel_rate),0))*AZ45-AY45&gt;=0,20&gt;=sel_start_m),20,9999)</f>
        <v>9999</v>
      </c>
      <c r="CV99" s="18">
        <f>IF(AND((IFERROR((AN99/sel_util)*(AO99/sel_rate),0))*AZ46-AY46&gt;=0,21&gt;=sel_start_m),21,9999)</f>
        <v>9999</v>
      </c>
      <c r="CW99" s="18">
        <f>IF(AND((IFERROR((AN99/sel_util)*(AO99/sel_rate),0))*AZ47-AY47&gt;=0,22&gt;=sel_start_m),22,9999)</f>
        <v>9999</v>
      </c>
      <c r="CX99" s="18">
        <f>IF(AND((IFERROR((AN99/sel_util)*(AO99/sel_rate),0))*AZ48-AY48&gt;=0,23&gt;=sel_start_m),23,9999)</f>
        <v>9999</v>
      </c>
      <c r="CY99" s="18">
        <f>IF(AND((IFERROR((AN99/sel_util)*(AO99/sel_rate),0))*AZ49-AY49&gt;=0,24&gt;=sel_start_m),24,9999)</f>
        <v>9999</v>
      </c>
      <c r="CZ99" s="2"/>
      <c r="DA99" s="2"/>
      <c r="DB99" s="2"/>
      <c r="DC99" s="2"/>
      <c r="DD99" s="2"/>
      <c r="DE99" s="2"/>
      <c r="DF99" s="2"/>
      <c r="DG99" s="2"/>
      <c r="DH99" s="2"/>
      <c r="DI99" s="2"/>
      <c r="DJ99" s="2"/>
      <c r="DK99" s="2"/>
      <c r="DL99" s="2"/>
      <c r="DM99" s="2"/>
    </row>
    <row r="100" spans="1:117" ht="20" customHeight="1" x14ac:dyDescent="0.2">
      <c r="A100" s="1"/>
      <c r="B100" s="1"/>
      <c r="C100" s="1"/>
      <c r="D100" s="1"/>
      <c r="E100" s="1"/>
      <c r="F100" s="1"/>
      <c r="G100" s="1"/>
      <c r="H100" s="1"/>
      <c r="I100" s="1"/>
      <c r="J100" s="1"/>
      <c r="K100" s="1"/>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9">
        <v>0.8</v>
      </c>
      <c r="AO100" s="10">
        <v>150</v>
      </c>
      <c r="AP100" s="18">
        <f t="shared" si="23"/>
        <v>999</v>
      </c>
      <c r="AQ100" s="10" t="str">
        <f t="shared" si="24"/>
        <v>-</v>
      </c>
      <c r="AR100" s="10" t="str">
        <f t="shared" si="25"/>
        <v>-</v>
      </c>
      <c r="AS100" s="2"/>
      <c r="AT100" s="2"/>
      <c r="AU100" s="2"/>
      <c r="AV100" s="2"/>
      <c r="AW100" s="2"/>
      <c r="AX100" s="2"/>
      <c r="AY100" s="2"/>
      <c r="AZ100" s="2"/>
      <c r="BA100" s="2"/>
      <c r="BB100" s="10">
        <f>AD26+(IFERROR((AN100/inp_c1_util)*(AO100/inp_c1_rate),0))*AZ26-AY26</f>
        <v>-100</v>
      </c>
      <c r="BC100" s="10">
        <f>AD27+(IFERROR((AN100/inp_c1_util)*(AO100/inp_c1_rate),0))*AZ27-AY27</f>
        <v>-200</v>
      </c>
      <c r="BD100" s="10">
        <f>AD28+(IFERROR((AN100/inp_c1_util)*(AO100/inp_c1_rate),0))*AZ28-AY28</f>
        <v>-300</v>
      </c>
      <c r="BE100" s="10">
        <f>AD29+(IFERROR((AN100/inp_c1_util)*(AO100/inp_c1_rate),0))*AZ29-AY29</f>
        <v>-400</v>
      </c>
      <c r="BF100" s="10">
        <f>AD30+(IFERROR((AN100/inp_c1_util)*(AO100/inp_c1_rate),0))*AZ30-AY30</f>
        <v>-500</v>
      </c>
      <c r="BG100" s="10">
        <f>AD31+(IFERROR((AN100/inp_c1_util)*(AO100/inp_c1_rate),0))*AZ31-AY31</f>
        <v>-600</v>
      </c>
      <c r="BH100" s="10">
        <f>AD32+(IFERROR((AN100/inp_c1_util)*(AO100/inp_c1_rate),0))*AZ32-AY32</f>
        <v>-700</v>
      </c>
      <c r="BI100" s="10">
        <f>AD33+(IFERROR((AN100/inp_c1_util)*(AO100/inp_c1_rate),0))*AZ33-AY33</f>
        <v>-800</v>
      </c>
      <c r="BJ100" s="10">
        <f>AD34+(IFERROR((AN100/inp_c1_util)*(AO100/inp_c1_rate),0))*AZ34-AY34</f>
        <v>-900</v>
      </c>
      <c r="BK100" s="10">
        <f>AD35+(IFERROR((AN100/inp_c1_util)*(AO100/inp_c1_rate),0))*AZ35-AY35</f>
        <v>-1000</v>
      </c>
      <c r="BL100" s="10">
        <f>AD36+(IFERROR((AN100/inp_c1_util)*(AO100/inp_c1_rate),0))*AZ36-AY36</f>
        <v>-1100</v>
      </c>
      <c r="BM100" s="10">
        <f>AD37+(IFERROR((AN100/inp_c1_util)*(AO100/inp_c1_rate),0))*AZ37-AY37</f>
        <v>-1200</v>
      </c>
      <c r="BN100" s="10">
        <f>AD38+(IFERROR((AN100/inp_c1_util)*(AO100/inp_c1_rate),0))*AZ38-AY38</f>
        <v>-1300</v>
      </c>
      <c r="BO100" s="10">
        <f>AD39+(IFERROR((AN100/inp_c1_util)*(AO100/inp_c1_rate),0))*AZ39-AY39</f>
        <v>-1400</v>
      </c>
      <c r="BP100" s="10">
        <f>AD40+(IFERROR((AN100/inp_c1_util)*(AO100/inp_c1_rate),0))*AZ40-AY40</f>
        <v>-1500</v>
      </c>
      <c r="BQ100" s="10">
        <f>AD41+(IFERROR((AN100/inp_c1_util)*(AO100/inp_c1_rate),0))*AZ41-AY41</f>
        <v>-1600</v>
      </c>
      <c r="BR100" s="10">
        <f>AD42+(IFERROR((AN100/inp_c1_util)*(AO100/inp_c1_rate),0))*AZ42-AY42</f>
        <v>-1700</v>
      </c>
      <c r="BS100" s="10">
        <f>AD43+(IFERROR((AN100/inp_c1_util)*(AO100/inp_c1_rate),0))*AZ43-AY43</f>
        <v>-1800</v>
      </c>
      <c r="BT100" s="10">
        <f>AD44+(IFERROR((AN100/inp_c1_util)*(AO100/inp_c1_rate),0))*AZ44-AY44</f>
        <v>-1900</v>
      </c>
      <c r="BU100" s="10">
        <f>AD45+(IFERROR((AN100/inp_c1_util)*(AO100/inp_c1_rate),0))*AZ45-AY45</f>
        <v>-2000</v>
      </c>
      <c r="BV100" s="10">
        <f>AD46+(IFERROR((AN100/inp_c1_util)*(AO100/inp_c1_rate),0))*AZ46-AY46</f>
        <v>-2100</v>
      </c>
      <c r="BW100" s="10">
        <f>AD47+(IFERROR((AN100/inp_c1_util)*(AO100/inp_c1_rate),0))*AZ47-AY47</f>
        <v>-2200</v>
      </c>
      <c r="BX100" s="10">
        <f>AD48+(IFERROR((AN100/inp_c1_util)*(AO100/inp_c1_rate),0))*AZ48-AY48</f>
        <v>-2300</v>
      </c>
      <c r="BY100" s="10">
        <f>AD49+(IFERROR((AN100/inp_c1_util)*(AO100/inp_c1_rate),0))*AZ49-AY49</f>
        <v>-2400</v>
      </c>
      <c r="BZ100" s="2"/>
      <c r="CA100" s="2"/>
      <c r="CB100" s="18">
        <f>IF(AND((IFERROR((AN100/sel_util)*(AO100/sel_rate),0))*AZ26-AY26&gt;=0,1&gt;=sel_start_m),1,9999)</f>
        <v>9999</v>
      </c>
      <c r="CC100" s="18">
        <f>IF(AND((IFERROR((AN100/sel_util)*(AO100/sel_rate),0))*AZ27-AY27&gt;=0,2&gt;=sel_start_m),2,9999)</f>
        <v>9999</v>
      </c>
      <c r="CD100" s="18">
        <f>IF(AND((IFERROR((AN100/sel_util)*(AO100/sel_rate),0))*AZ28-AY28&gt;=0,3&gt;=sel_start_m),3,9999)</f>
        <v>9999</v>
      </c>
      <c r="CE100" s="18">
        <f>IF(AND((IFERROR((AN100/sel_util)*(AO100/sel_rate),0))*AZ29-AY29&gt;=0,4&gt;=sel_start_m),4,9999)</f>
        <v>9999</v>
      </c>
      <c r="CF100" s="18">
        <f>IF(AND((IFERROR((AN100/sel_util)*(AO100/sel_rate),0))*AZ30-AY30&gt;=0,5&gt;=sel_start_m),5,9999)</f>
        <v>9999</v>
      </c>
      <c r="CG100" s="18">
        <f>IF(AND((IFERROR((AN100/sel_util)*(AO100/sel_rate),0))*AZ31-AY31&gt;=0,6&gt;=sel_start_m),6,9999)</f>
        <v>9999</v>
      </c>
      <c r="CH100" s="18">
        <f>IF(AND((IFERROR((AN100/sel_util)*(AO100/sel_rate),0))*AZ32-AY32&gt;=0,7&gt;=sel_start_m),7,9999)</f>
        <v>9999</v>
      </c>
      <c r="CI100" s="18">
        <f>IF(AND((IFERROR((AN100/sel_util)*(AO100/sel_rate),0))*AZ33-AY33&gt;=0,8&gt;=sel_start_m),8,9999)</f>
        <v>9999</v>
      </c>
      <c r="CJ100" s="18">
        <f>IF(AND((IFERROR((AN100/sel_util)*(AO100/sel_rate),0))*AZ34-AY34&gt;=0,9&gt;=sel_start_m),9,9999)</f>
        <v>9999</v>
      </c>
      <c r="CK100" s="18">
        <f>IF(AND((IFERROR((AN100/sel_util)*(AO100/sel_rate),0))*AZ35-AY35&gt;=0,10&gt;=sel_start_m),10,9999)</f>
        <v>9999</v>
      </c>
      <c r="CL100" s="18">
        <f>IF(AND((IFERROR((AN100/sel_util)*(AO100/sel_rate),0))*AZ36-AY36&gt;=0,11&gt;=sel_start_m),11,9999)</f>
        <v>9999</v>
      </c>
      <c r="CM100" s="18">
        <f>IF(AND((IFERROR((AN100/sel_util)*(AO100/sel_rate),0))*AZ37-AY37&gt;=0,12&gt;=sel_start_m),12,9999)</f>
        <v>9999</v>
      </c>
      <c r="CN100" s="18">
        <f>IF(AND((IFERROR((AN100/sel_util)*(AO100/sel_rate),0))*AZ38-AY38&gt;=0,13&gt;=sel_start_m),13,9999)</f>
        <v>9999</v>
      </c>
      <c r="CO100" s="18">
        <f>IF(AND((IFERROR((AN100/sel_util)*(AO100/sel_rate),0))*AZ39-AY39&gt;=0,14&gt;=sel_start_m),14,9999)</f>
        <v>9999</v>
      </c>
      <c r="CP100" s="18">
        <f>IF(AND((IFERROR((AN100/sel_util)*(AO100/sel_rate),0))*AZ40-AY40&gt;=0,15&gt;=sel_start_m),15,9999)</f>
        <v>9999</v>
      </c>
      <c r="CQ100" s="18">
        <f>IF(AND((IFERROR((AN100/sel_util)*(AO100/sel_rate),0))*AZ41-AY41&gt;=0,16&gt;=sel_start_m),16,9999)</f>
        <v>9999</v>
      </c>
      <c r="CR100" s="18">
        <f>IF(AND((IFERROR((AN100/sel_util)*(AO100/sel_rate),0))*AZ42-AY42&gt;=0,17&gt;=sel_start_m),17,9999)</f>
        <v>9999</v>
      </c>
      <c r="CS100" s="18">
        <f>IF(AND((IFERROR((AN100/sel_util)*(AO100/sel_rate),0))*AZ43-AY43&gt;=0,18&gt;=sel_start_m),18,9999)</f>
        <v>9999</v>
      </c>
      <c r="CT100" s="18">
        <f>IF(AND((IFERROR((AN100/sel_util)*(AO100/sel_rate),0))*AZ44-AY44&gt;=0,19&gt;=sel_start_m),19,9999)</f>
        <v>9999</v>
      </c>
      <c r="CU100" s="18">
        <f>IF(AND((IFERROR((AN100/sel_util)*(AO100/sel_rate),0))*AZ45-AY45&gt;=0,20&gt;=sel_start_m),20,9999)</f>
        <v>9999</v>
      </c>
      <c r="CV100" s="18">
        <f>IF(AND((IFERROR((AN100/sel_util)*(AO100/sel_rate),0))*AZ46-AY46&gt;=0,21&gt;=sel_start_m),21,9999)</f>
        <v>9999</v>
      </c>
      <c r="CW100" s="18">
        <f>IF(AND((IFERROR((AN100/sel_util)*(AO100/sel_rate),0))*AZ47-AY47&gt;=0,22&gt;=sel_start_m),22,9999)</f>
        <v>9999</v>
      </c>
      <c r="CX100" s="18">
        <f>IF(AND((IFERROR((AN100/sel_util)*(AO100/sel_rate),0))*AZ48-AY48&gt;=0,23&gt;=sel_start_m),23,9999)</f>
        <v>9999</v>
      </c>
      <c r="CY100" s="18">
        <f>IF(AND((IFERROR((AN100/sel_util)*(AO100/sel_rate),0))*AZ49-AY49&gt;=0,24&gt;=sel_start_m),24,9999)</f>
        <v>9999</v>
      </c>
      <c r="CZ100" s="2"/>
      <c r="DA100" s="2"/>
      <c r="DB100" s="2"/>
      <c r="DC100" s="2"/>
      <c r="DD100" s="2"/>
      <c r="DE100" s="2"/>
      <c r="DF100" s="2"/>
      <c r="DG100" s="2"/>
      <c r="DH100" s="2"/>
      <c r="DI100" s="2"/>
      <c r="DJ100" s="2"/>
      <c r="DK100" s="2"/>
      <c r="DL100" s="2"/>
      <c r="DM100" s="2"/>
    </row>
    <row r="101" spans="1:117" ht="20" customHeight="1" x14ac:dyDescent="0.2">
      <c r="A101" s="1"/>
      <c r="B101" s="1"/>
      <c r="C101" s="1"/>
      <c r="D101" s="1"/>
      <c r="E101" s="1"/>
      <c r="F101" s="1"/>
      <c r="G101" s="1"/>
      <c r="H101" s="1"/>
      <c r="I101" s="1"/>
      <c r="J101" s="1"/>
      <c r="K101" s="1"/>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9">
        <v>0.8</v>
      </c>
      <c r="AO101" s="10">
        <v>175</v>
      </c>
      <c r="AP101" s="18">
        <f t="shared" si="23"/>
        <v>999</v>
      </c>
      <c r="AQ101" s="10" t="str">
        <f t="shared" si="24"/>
        <v>-</v>
      </c>
      <c r="AR101" s="10" t="str">
        <f t="shared" si="25"/>
        <v>-</v>
      </c>
      <c r="AS101" s="2"/>
      <c r="AT101" s="2"/>
      <c r="AU101" s="2"/>
      <c r="AV101" s="2"/>
      <c r="AW101" s="2"/>
      <c r="AX101" s="2"/>
      <c r="AY101" s="2"/>
      <c r="AZ101" s="2"/>
      <c r="BA101" s="2"/>
      <c r="BB101" s="10">
        <f>AD26+(IFERROR((AN101/inp_c1_util)*(AO101/inp_c1_rate),0))*AZ26-AY26</f>
        <v>-100</v>
      </c>
      <c r="BC101" s="10">
        <f>AD27+(IFERROR((AN101/inp_c1_util)*(AO101/inp_c1_rate),0))*AZ27-AY27</f>
        <v>-200</v>
      </c>
      <c r="BD101" s="10">
        <f>AD28+(IFERROR((AN101/inp_c1_util)*(AO101/inp_c1_rate),0))*AZ28-AY28</f>
        <v>-300</v>
      </c>
      <c r="BE101" s="10">
        <f>AD29+(IFERROR((AN101/inp_c1_util)*(AO101/inp_c1_rate),0))*AZ29-AY29</f>
        <v>-400</v>
      </c>
      <c r="BF101" s="10">
        <f>AD30+(IFERROR((AN101/inp_c1_util)*(AO101/inp_c1_rate),0))*AZ30-AY30</f>
        <v>-500</v>
      </c>
      <c r="BG101" s="10">
        <f>AD31+(IFERROR((AN101/inp_c1_util)*(AO101/inp_c1_rate),0))*AZ31-AY31</f>
        <v>-600</v>
      </c>
      <c r="BH101" s="10">
        <f>AD32+(IFERROR((AN101/inp_c1_util)*(AO101/inp_c1_rate),0))*AZ32-AY32</f>
        <v>-700</v>
      </c>
      <c r="BI101" s="10">
        <f>AD33+(IFERROR((AN101/inp_c1_util)*(AO101/inp_c1_rate),0))*AZ33-AY33</f>
        <v>-800</v>
      </c>
      <c r="BJ101" s="10">
        <f>AD34+(IFERROR((AN101/inp_c1_util)*(AO101/inp_c1_rate),0))*AZ34-AY34</f>
        <v>-900</v>
      </c>
      <c r="BK101" s="10">
        <f>AD35+(IFERROR((AN101/inp_c1_util)*(AO101/inp_c1_rate),0))*AZ35-AY35</f>
        <v>-1000</v>
      </c>
      <c r="BL101" s="10">
        <f>AD36+(IFERROR((AN101/inp_c1_util)*(AO101/inp_c1_rate),0))*AZ36-AY36</f>
        <v>-1100</v>
      </c>
      <c r="BM101" s="10">
        <f>AD37+(IFERROR((AN101/inp_c1_util)*(AO101/inp_c1_rate),0))*AZ37-AY37</f>
        <v>-1200</v>
      </c>
      <c r="BN101" s="10">
        <f>AD38+(IFERROR((AN101/inp_c1_util)*(AO101/inp_c1_rate),0))*AZ38-AY38</f>
        <v>-1300</v>
      </c>
      <c r="BO101" s="10">
        <f>AD39+(IFERROR((AN101/inp_c1_util)*(AO101/inp_c1_rate),0))*AZ39-AY39</f>
        <v>-1400</v>
      </c>
      <c r="BP101" s="10">
        <f>AD40+(IFERROR((AN101/inp_c1_util)*(AO101/inp_c1_rate),0))*AZ40-AY40</f>
        <v>-1500</v>
      </c>
      <c r="BQ101" s="10">
        <f>AD41+(IFERROR((AN101/inp_c1_util)*(AO101/inp_c1_rate),0))*AZ41-AY41</f>
        <v>-1600</v>
      </c>
      <c r="BR101" s="10">
        <f>AD42+(IFERROR((AN101/inp_c1_util)*(AO101/inp_c1_rate),0))*AZ42-AY42</f>
        <v>-1700</v>
      </c>
      <c r="BS101" s="10">
        <f>AD43+(IFERROR((AN101/inp_c1_util)*(AO101/inp_c1_rate),0))*AZ43-AY43</f>
        <v>-1800</v>
      </c>
      <c r="BT101" s="10">
        <f>AD44+(IFERROR((AN101/inp_c1_util)*(AO101/inp_c1_rate),0))*AZ44-AY44</f>
        <v>-1900</v>
      </c>
      <c r="BU101" s="10">
        <f>AD45+(IFERROR((AN101/inp_c1_util)*(AO101/inp_c1_rate),0))*AZ45-AY45</f>
        <v>-2000</v>
      </c>
      <c r="BV101" s="10">
        <f>AD46+(IFERROR((AN101/inp_c1_util)*(AO101/inp_c1_rate),0))*AZ46-AY46</f>
        <v>-2100</v>
      </c>
      <c r="BW101" s="10">
        <f>AD47+(IFERROR((AN101/inp_c1_util)*(AO101/inp_c1_rate),0))*AZ47-AY47</f>
        <v>-2200</v>
      </c>
      <c r="BX101" s="10">
        <f>AD48+(IFERROR((AN101/inp_c1_util)*(AO101/inp_c1_rate),0))*AZ48-AY48</f>
        <v>-2300</v>
      </c>
      <c r="BY101" s="10">
        <f>AD49+(IFERROR((AN101/inp_c1_util)*(AO101/inp_c1_rate),0))*AZ49-AY49</f>
        <v>-2400</v>
      </c>
      <c r="BZ101" s="2"/>
      <c r="CA101" s="2"/>
      <c r="CB101" s="18">
        <f>IF(AND((IFERROR((AN101/sel_util)*(AO101/sel_rate),0))*AZ26-AY26&gt;=0,1&gt;=sel_start_m),1,9999)</f>
        <v>9999</v>
      </c>
      <c r="CC101" s="18">
        <f>IF(AND((IFERROR((AN101/sel_util)*(AO101/sel_rate),0))*AZ27-AY27&gt;=0,2&gt;=sel_start_m),2,9999)</f>
        <v>9999</v>
      </c>
      <c r="CD101" s="18">
        <f>IF(AND((IFERROR((AN101/sel_util)*(AO101/sel_rate),0))*AZ28-AY28&gt;=0,3&gt;=sel_start_m),3,9999)</f>
        <v>9999</v>
      </c>
      <c r="CE101" s="18">
        <f>IF(AND((IFERROR((AN101/sel_util)*(AO101/sel_rate),0))*AZ29-AY29&gt;=0,4&gt;=sel_start_m),4,9999)</f>
        <v>9999</v>
      </c>
      <c r="CF101" s="18">
        <f>IF(AND((IFERROR((AN101/sel_util)*(AO101/sel_rate),0))*AZ30-AY30&gt;=0,5&gt;=sel_start_m),5,9999)</f>
        <v>9999</v>
      </c>
      <c r="CG101" s="18">
        <f>IF(AND((IFERROR((AN101/sel_util)*(AO101/sel_rate),0))*AZ31-AY31&gt;=0,6&gt;=sel_start_m),6,9999)</f>
        <v>9999</v>
      </c>
      <c r="CH101" s="18">
        <f>IF(AND((IFERROR((AN101/sel_util)*(AO101/sel_rate),0))*AZ32-AY32&gt;=0,7&gt;=sel_start_m),7,9999)</f>
        <v>9999</v>
      </c>
      <c r="CI101" s="18">
        <f>IF(AND((IFERROR((AN101/sel_util)*(AO101/sel_rate),0))*AZ33-AY33&gt;=0,8&gt;=sel_start_m),8,9999)</f>
        <v>9999</v>
      </c>
      <c r="CJ101" s="18">
        <f>IF(AND((IFERROR((AN101/sel_util)*(AO101/sel_rate),0))*AZ34-AY34&gt;=0,9&gt;=sel_start_m),9,9999)</f>
        <v>9999</v>
      </c>
      <c r="CK101" s="18">
        <f>IF(AND((IFERROR((AN101/sel_util)*(AO101/sel_rate),0))*AZ35-AY35&gt;=0,10&gt;=sel_start_m),10,9999)</f>
        <v>9999</v>
      </c>
      <c r="CL101" s="18">
        <f>IF(AND((IFERROR((AN101/sel_util)*(AO101/sel_rate),0))*AZ36-AY36&gt;=0,11&gt;=sel_start_m),11,9999)</f>
        <v>9999</v>
      </c>
      <c r="CM101" s="18">
        <f>IF(AND((IFERROR((AN101/sel_util)*(AO101/sel_rate),0))*AZ37-AY37&gt;=0,12&gt;=sel_start_m),12,9999)</f>
        <v>9999</v>
      </c>
      <c r="CN101" s="18">
        <f>IF(AND((IFERROR((AN101/sel_util)*(AO101/sel_rate),0))*AZ38-AY38&gt;=0,13&gt;=sel_start_m),13,9999)</f>
        <v>9999</v>
      </c>
      <c r="CO101" s="18">
        <f>IF(AND((IFERROR((AN101/sel_util)*(AO101/sel_rate),0))*AZ39-AY39&gt;=0,14&gt;=sel_start_m),14,9999)</f>
        <v>9999</v>
      </c>
      <c r="CP101" s="18">
        <f>IF(AND((IFERROR((AN101/sel_util)*(AO101/sel_rate),0))*AZ40-AY40&gt;=0,15&gt;=sel_start_m),15,9999)</f>
        <v>9999</v>
      </c>
      <c r="CQ101" s="18">
        <f>IF(AND((IFERROR((AN101/sel_util)*(AO101/sel_rate),0))*AZ41-AY41&gt;=0,16&gt;=sel_start_m),16,9999)</f>
        <v>9999</v>
      </c>
      <c r="CR101" s="18">
        <f>IF(AND((IFERROR((AN101/sel_util)*(AO101/sel_rate),0))*AZ42-AY42&gt;=0,17&gt;=sel_start_m),17,9999)</f>
        <v>9999</v>
      </c>
      <c r="CS101" s="18">
        <f>IF(AND((IFERROR((AN101/sel_util)*(AO101/sel_rate),0))*AZ43-AY43&gt;=0,18&gt;=sel_start_m),18,9999)</f>
        <v>9999</v>
      </c>
      <c r="CT101" s="18">
        <f>IF(AND((IFERROR((AN101/sel_util)*(AO101/sel_rate),0))*AZ44-AY44&gt;=0,19&gt;=sel_start_m),19,9999)</f>
        <v>9999</v>
      </c>
      <c r="CU101" s="18">
        <f>IF(AND((IFERROR((AN101/sel_util)*(AO101/sel_rate),0))*AZ45-AY45&gt;=0,20&gt;=sel_start_m),20,9999)</f>
        <v>9999</v>
      </c>
      <c r="CV101" s="18">
        <f>IF(AND((IFERROR((AN101/sel_util)*(AO101/sel_rate),0))*AZ46-AY46&gt;=0,21&gt;=sel_start_m),21,9999)</f>
        <v>9999</v>
      </c>
      <c r="CW101" s="18">
        <f>IF(AND((IFERROR((AN101/sel_util)*(AO101/sel_rate),0))*AZ47-AY47&gt;=0,22&gt;=sel_start_m),22,9999)</f>
        <v>9999</v>
      </c>
      <c r="CX101" s="18">
        <f>IF(AND((IFERROR((AN101/sel_util)*(AO101/sel_rate),0))*AZ48-AY48&gt;=0,23&gt;=sel_start_m),23,9999)</f>
        <v>9999</v>
      </c>
      <c r="CY101" s="18">
        <f>IF(AND((IFERROR((AN101/sel_util)*(AO101/sel_rate),0))*AZ49-AY49&gt;=0,24&gt;=sel_start_m),24,9999)</f>
        <v>9999</v>
      </c>
      <c r="CZ101" s="2"/>
      <c r="DA101" s="2"/>
      <c r="DB101" s="2"/>
      <c r="DC101" s="2"/>
      <c r="DD101" s="2"/>
      <c r="DE101" s="2"/>
      <c r="DF101" s="2"/>
      <c r="DG101" s="2"/>
      <c r="DH101" s="2"/>
      <c r="DI101" s="2"/>
      <c r="DJ101" s="2"/>
      <c r="DK101" s="2"/>
      <c r="DL101" s="2"/>
      <c r="DM101" s="2"/>
    </row>
    <row r="102" spans="1:117" ht="20" customHeight="1" x14ac:dyDescent="0.2">
      <c r="A102" s="1"/>
      <c r="B102" s="5" t="s">
        <v>143</v>
      </c>
      <c r="C102" s="1"/>
      <c r="D102" s="1"/>
      <c r="E102" s="1"/>
      <c r="F102" s="1"/>
      <c r="G102" s="1"/>
      <c r="H102" s="1"/>
      <c r="I102" s="3" t="s">
        <v>144</v>
      </c>
      <c r="J102" s="34" t="str">
        <f>IF(COUNTIF(J104:J131,"FAIL")=0,"PASS","FAIL ("&amp;COUNTIF(J104:J131,"FAIL")&amp;")")</f>
        <v>PASS</v>
      </c>
      <c r="K102" s="1"/>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9">
        <v>0.8</v>
      </c>
      <c r="AO102" s="10">
        <v>200</v>
      </c>
      <c r="AP102" s="18">
        <f t="shared" si="23"/>
        <v>999</v>
      </c>
      <c r="AQ102" s="10" t="str">
        <f t="shared" si="24"/>
        <v>-</v>
      </c>
      <c r="AR102" s="10" t="str">
        <f t="shared" si="25"/>
        <v>-</v>
      </c>
      <c r="AS102" s="2"/>
      <c r="AT102" s="2"/>
      <c r="AU102" s="2"/>
      <c r="AV102" s="2"/>
      <c r="AW102" s="2"/>
      <c r="AX102" s="2"/>
      <c r="AY102" s="2"/>
      <c r="AZ102" s="2"/>
      <c r="BA102" s="2"/>
      <c r="BB102" s="10">
        <f>AD26+(IFERROR((AN102/inp_c1_util)*(AO102/inp_c1_rate),0))*AZ26-AY26</f>
        <v>-100</v>
      </c>
      <c r="BC102" s="10">
        <f>AD27+(IFERROR((AN102/inp_c1_util)*(AO102/inp_c1_rate),0))*AZ27-AY27</f>
        <v>-200</v>
      </c>
      <c r="BD102" s="10">
        <f>AD28+(IFERROR((AN102/inp_c1_util)*(AO102/inp_c1_rate),0))*AZ28-AY28</f>
        <v>-300</v>
      </c>
      <c r="BE102" s="10">
        <f>AD29+(IFERROR((AN102/inp_c1_util)*(AO102/inp_c1_rate),0))*AZ29-AY29</f>
        <v>-400</v>
      </c>
      <c r="BF102" s="10">
        <f>AD30+(IFERROR((AN102/inp_c1_util)*(AO102/inp_c1_rate),0))*AZ30-AY30</f>
        <v>-500</v>
      </c>
      <c r="BG102" s="10">
        <f>AD31+(IFERROR((AN102/inp_c1_util)*(AO102/inp_c1_rate),0))*AZ31-AY31</f>
        <v>-600</v>
      </c>
      <c r="BH102" s="10">
        <f>AD32+(IFERROR((AN102/inp_c1_util)*(AO102/inp_c1_rate),0))*AZ32-AY32</f>
        <v>-700</v>
      </c>
      <c r="BI102" s="10">
        <f>AD33+(IFERROR((AN102/inp_c1_util)*(AO102/inp_c1_rate),0))*AZ33-AY33</f>
        <v>-800</v>
      </c>
      <c r="BJ102" s="10">
        <f>AD34+(IFERROR((AN102/inp_c1_util)*(AO102/inp_c1_rate),0))*AZ34-AY34</f>
        <v>-900</v>
      </c>
      <c r="BK102" s="10">
        <f>AD35+(IFERROR((AN102/inp_c1_util)*(AO102/inp_c1_rate),0))*AZ35-AY35</f>
        <v>-1000</v>
      </c>
      <c r="BL102" s="10">
        <f>AD36+(IFERROR((AN102/inp_c1_util)*(AO102/inp_c1_rate),0))*AZ36-AY36</f>
        <v>-1100</v>
      </c>
      <c r="BM102" s="10">
        <f>AD37+(IFERROR((AN102/inp_c1_util)*(AO102/inp_c1_rate),0))*AZ37-AY37</f>
        <v>-1200</v>
      </c>
      <c r="BN102" s="10">
        <f>AD38+(IFERROR((AN102/inp_c1_util)*(AO102/inp_c1_rate),0))*AZ38-AY38</f>
        <v>-1300</v>
      </c>
      <c r="BO102" s="10">
        <f>AD39+(IFERROR((AN102/inp_c1_util)*(AO102/inp_c1_rate),0))*AZ39-AY39</f>
        <v>-1400</v>
      </c>
      <c r="BP102" s="10">
        <f>AD40+(IFERROR((AN102/inp_c1_util)*(AO102/inp_c1_rate),0))*AZ40-AY40</f>
        <v>-1500</v>
      </c>
      <c r="BQ102" s="10">
        <f>AD41+(IFERROR((AN102/inp_c1_util)*(AO102/inp_c1_rate),0))*AZ41-AY41</f>
        <v>-1600</v>
      </c>
      <c r="BR102" s="10">
        <f>AD42+(IFERROR((AN102/inp_c1_util)*(AO102/inp_c1_rate),0))*AZ42-AY42</f>
        <v>-1700</v>
      </c>
      <c r="BS102" s="10">
        <f>AD43+(IFERROR((AN102/inp_c1_util)*(AO102/inp_c1_rate),0))*AZ43-AY43</f>
        <v>-1800</v>
      </c>
      <c r="BT102" s="10">
        <f>AD44+(IFERROR((AN102/inp_c1_util)*(AO102/inp_c1_rate),0))*AZ44-AY44</f>
        <v>-1900</v>
      </c>
      <c r="BU102" s="10">
        <f>AD45+(IFERROR((AN102/inp_c1_util)*(AO102/inp_c1_rate),0))*AZ45-AY45</f>
        <v>-2000</v>
      </c>
      <c r="BV102" s="10">
        <f>AD46+(IFERROR((AN102/inp_c1_util)*(AO102/inp_c1_rate),0))*AZ46-AY46</f>
        <v>-2100</v>
      </c>
      <c r="BW102" s="10">
        <f>AD47+(IFERROR((AN102/inp_c1_util)*(AO102/inp_c1_rate),0))*AZ47-AY47</f>
        <v>-2200</v>
      </c>
      <c r="BX102" s="10">
        <f>AD48+(IFERROR((AN102/inp_c1_util)*(AO102/inp_c1_rate),0))*AZ48-AY48</f>
        <v>-2300</v>
      </c>
      <c r="BY102" s="10">
        <f>AD49+(IFERROR((AN102/inp_c1_util)*(AO102/inp_c1_rate),0))*AZ49-AY49</f>
        <v>-2400</v>
      </c>
      <c r="BZ102" s="2"/>
      <c r="CA102" s="2"/>
      <c r="CB102" s="18">
        <f>IF(AND((IFERROR((AN102/sel_util)*(AO102/sel_rate),0))*AZ26-AY26&gt;=0,1&gt;=sel_start_m),1,9999)</f>
        <v>9999</v>
      </c>
      <c r="CC102" s="18">
        <f>IF(AND((IFERROR((AN102/sel_util)*(AO102/sel_rate),0))*AZ27-AY27&gt;=0,2&gt;=sel_start_m),2,9999)</f>
        <v>9999</v>
      </c>
      <c r="CD102" s="18">
        <f>IF(AND((IFERROR((AN102/sel_util)*(AO102/sel_rate),0))*AZ28-AY28&gt;=0,3&gt;=sel_start_m),3,9999)</f>
        <v>9999</v>
      </c>
      <c r="CE102" s="18">
        <f>IF(AND((IFERROR((AN102/sel_util)*(AO102/sel_rate),0))*AZ29-AY29&gt;=0,4&gt;=sel_start_m),4,9999)</f>
        <v>9999</v>
      </c>
      <c r="CF102" s="18">
        <f>IF(AND((IFERROR((AN102/sel_util)*(AO102/sel_rate),0))*AZ30-AY30&gt;=0,5&gt;=sel_start_m),5,9999)</f>
        <v>9999</v>
      </c>
      <c r="CG102" s="18">
        <f>IF(AND((IFERROR((AN102/sel_util)*(AO102/sel_rate),0))*AZ31-AY31&gt;=0,6&gt;=sel_start_m),6,9999)</f>
        <v>9999</v>
      </c>
      <c r="CH102" s="18">
        <f>IF(AND((IFERROR((AN102/sel_util)*(AO102/sel_rate),0))*AZ32-AY32&gt;=0,7&gt;=sel_start_m),7,9999)</f>
        <v>9999</v>
      </c>
      <c r="CI102" s="18">
        <f>IF(AND((IFERROR((AN102/sel_util)*(AO102/sel_rate),0))*AZ33-AY33&gt;=0,8&gt;=sel_start_m),8,9999)</f>
        <v>9999</v>
      </c>
      <c r="CJ102" s="18">
        <f>IF(AND((IFERROR((AN102/sel_util)*(AO102/sel_rate),0))*AZ34-AY34&gt;=0,9&gt;=sel_start_m),9,9999)</f>
        <v>9999</v>
      </c>
      <c r="CK102" s="18">
        <f>IF(AND((IFERROR((AN102/sel_util)*(AO102/sel_rate),0))*AZ35-AY35&gt;=0,10&gt;=sel_start_m),10,9999)</f>
        <v>9999</v>
      </c>
      <c r="CL102" s="18">
        <f>IF(AND((IFERROR((AN102/sel_util)*(AO102/sel_rate),0))*AZ36-AY36&gt;=0,11&gt;=sel_start_m),11,9999)</f>
        <v>9999</v>
      </c>
      <c r="CM102" s="18">
        <f>IF(AND((IFERROR((AN102/sel_util)*(AO102/sel_rate),0))*AZ37-AY37&gt;=0,12&gt;=sel_start_m),12,9999)</f>
        <v>9999</v>
      </c>
      <c r="CN102" s="18">
        <f>IF(AND((IFERROR((AN102/sel_util)*(AO102/sel_rate),0))*AZ38-AY38&gt;=0,13&gt;=sel_start_m),13,9999)</f>
        <v>9999</v>
      </c>
      <c r="CO102" s="18">
        <f>IF(AND((IFERROR((AN102/sel_util)*(AO102/sel_rate),0))*AZ39-AY39&gt;=0,14&gt;=sel_start_m),14,9999)</f>
        <v>9999</v>
      </c>
      <c r="CP102" s="18">
        <f>IF(AND((IFERROR((AN102/sel_util)*(AO102/sel_rate),0))*AZ40-AY40&gt;=0,15&gt;=sel_start_m),15,9999)</f>
        <v>9999</v>
      </c>
      <c r="CQ102" s="18">
        <f>IF(AND((IFERROR((AN102/sel_util)*(AO102/sel_rate),0))*AZ41-AY41&gt;=0,16&gt;=sel_start_m),16,9999)</f>
        <v>9999</v>
      </c>
      <c r="CR102" s="18">
        <f>IF(AND((IFERROR((AN102/sel_util)*(AO102/sel_rate),0))*AZ42-AY42&gt;=0,17&gt;=sel_start_m),17,9999)</f>
        <v>9999</v>
      </c>
      <c r="CS102" s="18">
        <f>IF(AND((IFERROR((AN102/sel_util)*(AO102/sel_rate),0))*AZ43-AY43&gt;=0,18&gt;=sel_start_m),18,9999)</f>
        <v>9999</v>
      </c>
      <c r="CT102" s="18">
        <f>IF(AND((IFERROR((AN102/sel_util)*(AO102/sel_rate),0))*AZ44-AY44&gt;=0,19&gt;=sel_start_m),19,9999)</f>
        <v>9999</v>
      </c>
      <c r="CU102" s="18">
        <f>IF(AND((IFERROR((AN102/sel_util)*(AO102/sel_rate),0))*AZ45-AY45&gt;=0,20&gt;=sel_start_m),20,9999)</f>
        <v>9999</v>
      </c>
      <c r="CV102" s="18">
        <f>IF(AND((IFERROR((AN102/sel_util)*(AO102/sel_rate),0))*AZ46-AY46&gt;=0,21&gt;=sel_start_m),21,9999)</f>
        <v>9999</v>
      </c>
      <c r="CW102" s="18">
        <f>IF(AND((IFERROR((AN102/sel_util)*(AO102/sel_rate),0))*AZ47-AY47&gt;=0,22&gt;=sel_start_m),22,9999)</f>
        <v>9999</v>
      </c>
      <c r="CX102" s="18">
        <f>IF(AND((IFERROR((AN102/sel_util)*(AO102/sel_rate),0))*AZ48-AY48&gt;=0,23&gt;=sel_start_m),23,9999)</f>
        <v>9999</v>
      </c>
      <c r="CY102" s="18">
        <f>IF(AND((IFERROR((AN102/sel_util)*(AO102/sel_rate),0))*AZ49-AY49&gt;=0,24&gt;=sel_start_m),24,9999)</f>
        <v>9999</v>
      </c>
      <c r="CZ102" s="2"/>
      <c r="DA102" s="2"/>
      <c r="DB102" s="2"/>
      <c r="DC102" s="2"/>
      <c r="DD102" s="2"/>
      <c r="DE102" s="2"/>
      <c r="DF102" s="2"/>
      <c r="DG102" s="2"/>
      <c r="DH102" s="2"/>
      <c r="DI102" s="2"/>
      <c r="DJ102" s="2"/>
      <c r="DK102" s="2"/>
      <c r="DL102" s="2"/>
      <c r="DM102" s="2"/>
    </row>
    <row r="103" spans="1:117" ht="20" customHeight="1" x14ac:dyDescent="0.2">
      <c r="A103" s="1"/>
      <c r="B103" s="6" t="s">
        <v>145</v>
      </c>
      <c r="C103" s="93" t="s">
        <v>146</v>
      </c>
      <c r="D103" s="94"/>
      <c r="E103" s="94"/>
      <c r="F103" s="94"/>
      <c r="G103" s="94"/>
      <c r="H103" s="7" t="s">
        <v>147</v>
      </c>
      <c r="I103" s="7" t="s">
        <v>148</v>
      </c>
      <c r="J103" s="21" t="s">
        <v>149</v>
      </c>
      <c r="K103" s="1"/>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9">
        <v>0.8</v>
      </c>
      <c r="AO103" s="10">
        <v>225</v>
      </c>
      <c r="AP103" s="18">
        <f t="shared" si="23"/>
        <v>999</v>
      </c>
      <c r="AQ103" s="10" t="str">
        <f t="shared" si="24"/>
        <v>-</v>
      </c>
      <c r="AR103" s="10" t="str">
        <f t="shared" si="25"/>
        <v>-</v>
      </c>
      <c r="AS103" s="2"/>
      <c r="AT103" s="2"/>
      <c r="AU103" s="2"/>
      <c r="AV103" s="2"/>
      <c r="AW103" s="2"/>
      <c r="AX103" s="2"/>
      <c r="AY103" s="2"/>
      <c r="AZ103" s="2"/>
      <c r="BA103" s="2"/>
      <c r="BB103" s="10">
        <f>AD26+(IFERROR((AN103/inp_c1_util)*(AO103/inp_c1_rate),0))*AZ26-AY26</f>
        <v>-100</v>
      </c>
      <c r="BC103" s="10">
        <f>AD27+(IFERROR((AN103/inp_c1_util)*(AO103/inp_c1_rate),0))*AZ27-AY27</f>
        <v>-200</v>
      </c>
      <c r="BD103" s="10">
        <f>AD28+(IFERROR((AN103/inp_c1_util)*(AO103/inp_c1_rate),0))*AZ28-AY28</f>
        <v>-300</v>
      </c>
      <c r="BE103" s="10">
        <f>AD29+(IFERROR((AN103/inp_c1_util)*(AO103/inp_c1_rate),0))*AZ29-AY29</f>
        <v>-400</v>
      </c>
      <c r="BF103" s="10">
        <f>AD30+(IFERROR((AN103/inp_c1_util)*(AO103/inp_c1_rate),0))*AZ30-AY30</f>
        <v>-500</v>
      </c>
      <c r="BG103" s="10">
        <f>AD31+(IFERROR((AN103/inp_c1_util)*(AO103/inp_c1_rate),0))*AZ31-AY31</f>
        <v>-600</v>
      </c>
      <c r="BH103" s="10">
        <f>AD32+(IFERROR((AN103/inp_c1_util)*(AO103/inp_c1_rate),0))*AZ32-AY32</f>
        <v>-700</v>
      </c>
      <c r="BI103" s="10">
        <f>AD33+(IFERROR((AN103/inp_c1_util)*(AO103/inp_c1_rate),0))*AZ33-AY33</f>
        <v>-800</v>
      </c>
      <c r="BJ103" s="10">
        <f>AD34+(IFERROR((AN103/inp_c1_util)*(AO103/inp_c1_rate),0))*AZ34-AY34</f>
        <v>-900</v>
      </c>
      <c r="BK103" s="10">
        <f>AD35+(IFERROR((AN103/inp_c1_util)*(AO103/inp_c1_rate),0))*AZ35-AY35</f>
        <v>-1000</v>
      </c>
      <c r="BL103" s="10">
        <f>AD36+(IFERROR((AN103/inp_c1_util)*(AO103/inp_c1_rate),0))*AZ36-AY36</f>
        <v>-1100</v>
      </c>
      <c r="BM103" s="10">
        <f>AD37+(IFERROR((AN103/inp_c1_util)*(AO103/inp_c1_rate),0))*AZ37-AY37</f>
        <v>-1200</v>
      </c>
      <c r="BN103" s="10">
        <f>AD38+(IFERROR((AN103/inp_c1_util)*(AO103/inp_c1_rate),0))*AZ38-AY38</f>
        <v>-1300</v>
      </c>
      <c r="BO103" s="10">
        <f>AD39+(IFERROR((AN103/inp_c1_util)*(AO103/inp_c1_rate),0))*AZ39-AY39</f>
        <v>-1400</v>
      </c>
      <c r="BP103" s="10">
        <f>AD40+(IFERROR((AN103/inp_c1_util)*(AO103/inp_c1_rate),0))*AZ40-AY40</f>
        <v>-1500</v>
      </c>
      <c r="BQ103" s="10">
        <f>AD41+(IFERROR((AN103/inp_c1_util)*(AO103/inp_c1_rate),0))*AZ41-AY41</f>
        <v>-1600</v>
      </c>
      <c r="BR103" s="10">
        <f>AD42+(IFERROR((AN103/inp_c1_util)*(AO103/inp_c1_rate),0))*AZ42-AY42</f>
        <v>-1700</v>
      </c>
      <c r="BS103" s="10">
        <f>AD43+(IFERROR((AN103/inp_c1_util)*(AO103/inp_c1_rate),0))*AZ43-AY43</f>
        <v>-1800</v>
      </c>
      <c r="BT103" s="10">
        <f>AD44+(IFERROR((AN103/inp_c1_util)*(AO103/inp_c1_rate),0))*AZ44-AY44</f>
        <v>-1900</v>
      </c>
      <c r="BU103" s="10">
        <f>AD45+(IFERROR((AN103/inp_c1_util)*(AO103/inp_c1_rate),0))*AZ45-AY45</f>
        <v>-2000</v>
      </c>
      <c r="BV103" s="10">
        <f>AD46+(IFERROR((AN103/inp_c1_util)*(AO103/inp_c1_rate),0))*AZ46-AY46</f>
        <v>-2100</v>
      </c>
      <c r="BW103" s="10">
        <f>AD47+(IFERROR((AN103/inp_c1_util)*(AO103/inp_c1_rate),0))*AZ47-AY47</f>
        <v>-2200</v>
      </c>
      <c r="BX103" s="10">
        <f>AD48+(IFERROR((AN103/inp_c1_util)*(AO103/inp_c1_rate),0))*AZ48-AY48</f>
        <v>-2300</v>
      </c>
      <c r="BY103" s="10">
        <f>AD49+(IFERROR((AN103/inp_c1_util)*(AO103/inp_c1_rate),0))*AZ49-AY49</f>
        <v>-2400</v>
      </c>
      <c r="BZ103" s="2"/>
      <c r="CA103" s="2"/>
      <c r="CB103" s="18">
        <f>IF(AND((IFERROR((AN103/sel_util)*(AO103/sel_rate),0))*AZ26-AY26&gt;=0,1&gt;=sel_start_m),1,9999)</f>
        <v>9999</v>
      </c>
      <c r="CC103" s="18">
        <f>IF(AND((IFERROR((AN103/sel_util)*(AO103/sel_rate),0))*AZ27-AY27&gt;=0,2&gt;=sel_start_m),2,9999)</f>
        <v>9999</v>
      </c>
      <c r="CD103" s="18">
        <f>IF(AND((IFERROR((AN103/sel_util)*(AO103/sel_rate),0))*AZ28-AY28&gt;=0,3&gt;=sel_start_m),3,9999)</f>
        <v>9999</v>
      </c>
      <c r="CE103" s="18">
        <f>IF(AND((IFERROR((AN103/sel_util)*(AO103/sel_rate),0))*AZ29-AY29&gt;=0,4&gt;=sel_start_m),4,9999)</f>
        <v>9999</v>
      </c>
      <c r="CF103" s="18">
        <f>IF(AND((IFERROR((AN103/sel_util)*(AO103/sel_rate),0))*AZ30-AY30&gt;=0,5&gt;=sel_start_m),5,9999)</f>
        <v>9999</v>
      </c>
      <c r="CG103" s="18">
        <f>IF(AND((IFERROR((AN103/sel_util)*(AO103/sel_rate),0))*AZ31-AY31&gt;=0,6&gt;=sel_start_m),6,9999)</f>
        <v>9999</v>
      </c>
      <c r="CH103" s="18">
        <f>IF(AND((IFERROR((AN103/sel_util)*(AO103/sel_rate),0))*AZ32-AY32&gt;=0,7&gt;=sel_start_m),7,9999)</f>
        <v>9999</v>
      </c>
      <c r="CI103" s="18">
        <f>IF(AND((IFERROR((AN103/sel_util)*(AO103/sel_rate),0))*AZ33-AY33&gt;=0,8&gt;=sel_start_m),8,9999)</f>
        <v>9999</v>
      </c>
      <c r="CJ103" s="18">
        <f>IF(AND((IFERROR((AN103/sel_util)*(AO103/sel_rate),0))*AZ34-AY34&gt;=0,9&gt;=sel_start_m),9,9999)</f>
        <v>9999</v>
      </c>
      <c r="CK103" s="18">
        <f>IF(AND((IFERROR((AN103/sel_util)*(AO103/sel_rate),0))*AZ35-AY35&gt;=0,10&gt;=sel_start_m),10,9999)</f>
        <v>9999</v>
      </c>
      <c r="CL103" s="18">
        <f>IF(AND((IFERROR((AN103/sel_util)*(AO103/sel_rate),0))*AZ36-AY36&gt;=0,11&gt;=sel_start_m),11,9999)</f>
        <v>9999</v>
      </c>
      <c r="CM103" s="18">
        <f>IF(AND((IFERROR((AN103/sel_util)*(AO103/sel_rate),0))*AZ37-AY37&gt;=0,12&gt;=sel_start_m),12,9999)</f>
        <v>9999</v>
      </c>
      <c r="CN103" s="18">
        <f>IF(AND((IFERROR((AN103/sel_util)*(AO103/sel_rate),0))*AZ38-AY38&gt;=0,13&gt;=sel_start_m),13,9999)</f>
        <v>9999</v>
      </c>
      <c r="CO103" s="18">
        <f>IF(AND((IFERROR((AN103/sel_util)*(AO103/sel_rate),0))*AZ39-AY39&gt;=0,14&gt;=sel_start_m),14,9999)</f>
        <v>9999</v>
      </c>
      <c r="CP103" s="18">
        <f>IF(AND((IFERROR((AN103/sel_util)*(AO103/sel_rate),0))*AZ40-AY40&gt;=0,15&gt;=sel_start_m),15,9999)</f>
        <v>9999</v>
      </c>
      <c r="CQ103" s="18">
        <f>IF(AND((IFERROR((AN103/sel_util)*(AO103/sel_rate),0))*AZ41-AY41&gt;=0,16&gt;=sel_start_m),16,9999)</f>
        <v>9999</v>
      </c>
      <c r="CR103" s="18">
        <f>IF(AND((IFERROR((AN103/sel_util)*(AO103/sel_rate),0))*AZ42-AY42&gt;=0,17&gt;=sel_start_m),17,9999)</f>
        <v>9999</v>
      </c>
      <c r="CS103" s="18">
        <f>IF(AND((IFERROR((AN103/sel_util)*(AO103/sel_rate),0))*AZ43-AY43&gt;=0,18&gt;=sel_start_m),18,9999)</f>
        <v>9999</v>
      </c>
      <c r="CT103" s="18">
        <f>IF(AND((IFERROR((AN103/sel_util)*(AO103/sel_rate),0))*AZ44-AY44&gt;=0,19&gt;=sel_start_m),19,9999)</f>
        <v>9999</v>
      </c>
      <c r="CU103" s="18">
        <f>IF(AND((IFERROR((AN103/sel_util)*(AO103/sel_rate),0))*AZ45-AY45&gt;=0,20&gt;=sel_start_m),20,9999)</f>
        <v>9999</v>
      </c>
      <c r="CV103" s="18">
        <f>IF(AND((IFERROR((AN103/sel_util)*(AO103/sel_rate),0))*AZ46-AY46&gt;=0,21&gt;=sel_start_m),21,9999)</f>
        <v>9999</v>
      </c>
      <c r="CW103" s="18">
        <f>IF(AND((IFERROR((AN103/sel_util)*(AO103/sel_rate),0))*AZ47-AY47&gt;=0,22&gt;=sel_start_m),22,9999)</f>
        <v>9999</v>
      </c>
      <c r="CX103" s="18">
        <f>IF(AND((IFERROR((AN103/sel_util)*(AO103/sel_rate),0))*AZ48-AY48&gt;=0,23&gt;=sel_start_m),23,9999)</f>
        <v>9999</v>
      </c>
      <c r="CY103" s="18">
        <f>IF(AND((IFERROR((AN103/sel_util)*(AO103/sel_rate),0))*AZ49-AY49&gt;=0,24&gt;=sel_start_m),24,9999)</f>
        <v>9999</v>
      </c>
      <c r="CZ103" s="2"/>
      <c r="DA103" s="2"/>
      <c r="DB103" s="2"/>
      <c r="DC103" s="2"/>
      <c r="DD103" s="2"/>
      <c r="DE103" s="2"/>
      <c r="DF103" s="2"/>
      <c r="DG103" s="2"/>
      <c r="DH103" s="2"/>
      <c r="DI103" s="2"/>
      <c r="DJ103" s="2"/>
      <c r="DK103" s="2"/>
      <c r="DL103" s="2"/>
      <c r="DM103" s="2"/>
    </row>
    <row r="104" spans="1:117" ht="20" customHeight="1" x14ac:dyDescent="0.2">
      <c r="A104" s="1"/>
      <c r="B104" s="35" t="s">
        <v>150</v>
      </c>
      <c r="C104" s="89" t="s">
        <v>151</v>
      </c>
      <c r="D104" s="85"/>
      <c r="E104" s="85"/>
      <c r="F104" s="85"/>
      <c r="G104" s="85"/>
      <c r="H104" s="36">
        <f>SUM(BD26:BD49)</f>
        <v>0</v>
      </c>
      <c r="I104" s="37">
        <f>N54</f>
        <v>0</v>
      </c>
      <c r="J104" s="27" t="str">
        <f t="shared" ref="J104:J121" si="26">IF(ABS(I104-H104)&lt;=1,"PASS","FAIL")</f>
        <v>PASS</v>
      </c>
      <c r="K104" s="1"/>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9">
        <v>0.8</v>
      </c>
      <c r="AO104" s="10">
        <v>250</v>
      </c>
      <c r="AP104" s="18">
        <f t="shared" si="23"/>
        <v>999</v>
      </c>
      <c r="AQ104" s="10" t="str">
        <f t="shared" si="24"/>
        <v>-</v>
      </c>
      <c r="AR104" s="10" t="str">
        <f t="shared" si="25"/>
        <v>-</v>
      </c>
      <c r="AS104" s="2"/>
      <c r="AT104" s="2"/>
      <c r="AU104" s="2"/>
      <c r="AV104" s="2"/>
      <c r="AW104" s="2"/>
      <c r="AX104" s="2"/>
      <c r="AY104" s="2"/>
      <c r="AZ104" s="2"/>
      <c r="BA104" s="2"/>
      <c r="BB104" s="10">
        <f>AD26+(IFERROR((AN104/inp_c1_util)*(AO104/inp_c1_rate),0))*AZ26-AY26</f>
        <v>-100</v>
      </c>
      <c r="BC104" s="10">
        <f>AD27+(IFERROR((AN104/inp_c1_util)*(AO104/inp_c1_rate),0))*AZ27-AY27</f>
        <v>-200</v>
      </c>
      <c r="BD104" s="10">
        <f>AD28+(IFERROR((AN104/inp_c1_util)*(AO104/inp_c1_rate),0))*AZ28-AY28</f>
        <v>-300</v>
      </c>
      <c r="BE104" s="10">
        <f>AD29+(IFERROR((AN104/inp_c1_util)*(AO104/inp_c1_rate),0))*AZ29-AY29</f>
        <v>-400</v>
      </c>
      <c r="BF104" s="10">
        <f>AD30+(IFERROR((AN104/inp_c1_util)*(AO104/inp_c1_rate),0))*AZ30-AY30</f>
        <v>-500</v>
      </c>
      <c r="BG104" s="10">
        <f>AD31+(IFERROR((AN104/inp_c1_util)*(AO104/inp_c1_rate),0))*AZ31-AY31</f>
        <v>-600</v>
      </c>
      <c r="BH104" s="10">
        <f>AD32+(IFERROR((AN104/inp_c1_util)*(AO104/inp_c1_rate),0))*AZ32-AY32</f>
        <v>-700</v>
      </c>
      <c r="BI104" s="10">
        <f>AD33+(IFERROR((AN104/inp_c1_util)*(AO104/inp_c1_rate),0))*AZ33-AY33</f>
        <v>-800</v>
      </c>
      <c r="BJ104" s="10">
        <f>AD34+(IFERROR((AN104/inp_c1_util)*(AO104/inp_c1_rate),0))*AZ34-AY34</f>
        <v>-900</v>
      </c>
      <c r="BK104" s="10">
        <f>AD35+(IFERROR((AN104/inp_c1_util)*(AO104/inp_c1_rate),0))*AZ35-AY35</f>
        <v>-1000</v>
      </c>
      <c r="BL104" s="10">
        <f>AD36+(IFERROR((AN104/inp_c1_util)*(AO104/inp_c1_rate),0))*AZ36-AY36</f>
        <v>-1100</v>
      </c>
      <c r="BM104" s="10">
        <f>AD37+(IFERROR((AN104/inp_c1_util)*(AO104/inp_c1_rate),0))*AZ37-AY37</f>
        <v>-1200</v>
      </c>
      <c r="BN104" s="10">
        <f>AD38+(IFERROR((AN104/inp_c1_util)*(AO104/inp_c1_rate),0))*AZ38-AY38</f>
        <v>-1300</v>
      </c>
      <c r="BO104" s="10">
        <f>AD39+(IFERROR((AN104/inp_c1_util)*(AO104/inp_c1_rate),0))*AZ39-AY39</f>
        <v>-1400</v>
      </c>
      <c r="BP104" s="10">
        <f>AD40+(IFERROR((AN104/inp_c1_util)*(AO104/inp_c1_rate),0))*AZ40-AY40</f>
        <v>-1500</v>
      </c>
      <c r="BQ104" s="10">
        <f>AD41+(IFERROR((AN104/inp_c1_util)*(AO104/inp_c1_rate),0))*AZ41-AY41</f>
        <v>-1600</v>
      </c>
      <c r="BR104" s="10">
        <f>AD42+(IFERROR((AN104/inp_c1_util)*(AO104/inp_c1_rate),0))*AZ42-AY42</f>
        <v>-1700</v>
      </c>
      <c r="BS104" s="10">
        <f>AD43+(IFERROR((AN104/inp_c1_util)*(AO104/inp_c1_rate),0))*AZ43-AY43</f>
        <v>-1800</v>
      </c>
      <c r="BT104" s="10">
        <f>AD44+(IFERROR((AN104/inp_c1_util)*(AO104/inp_c1_rate),0))*AZ44-AY44</f>
        <v>-1900</v>
      </c>
      <c r="BU104" s="10">
        <f>AD45+(IFERROR((AN104/inp_c1_util)*(AO104/inp_c1_rate),0))*AZ45-AY45</f>
        <v>-2000</v>
      </c>
      <c r="BV104" s="10">
        <f>AD46+(IFERROR((AN104/inp_c1_util)*(AO104/inp_c1_rate),0))*AZ46-AY46</f>
        <v>-2100</v>
      </c>
      <c r="BW104" s="10">
        <f>AD47+(IFERROR((AN104/inp_c1_util)*(AO104/inp_c1_rate),0))*AZ47-AY47</f>
        <v>-2200</v>
      </c>
      <c r="BX104" s="10">
        <f>AD48+(IFERROR((AN104/inp_c1_util)*(AO104/inp_c1_rate),0))*AZ48-AY48</f>
        <v>-2300</v>
      </c>
      <c r="BY104" s="10">
        <f>AD49+(IFERROR((AN104/inp_c1_util)*(AO104/inp_c1_rate),0))*AZ49-AY49</f>
        <v>-2400</v>
      </c>
      <c r="BZ104" s="2"/>
      <c r="CA104" s="2"/>
      <c r="CB104" s="18">
        <f>IF(AND((IFERROR((AN104/sel_util)*(AO104/sel_rate),0))*AZ26-AY26&gt;=0,1&gt;=sel_start_m),1,9999)</f>
        <v>9999</v>
      </c>
      <c r="CC104" s="18">
        <f>IF(AND((IFERROR((AN104/sel_util)*(AO104/sel_rate),0))*AZ27-AY27&gt;=0,2&gt;=sel_start_m),2,9999)</f>
        <v>9999</v>
      </c>
      <c r="CD104" s="18">
        <f>IF(AND((IFERROR((AN104/sel_util)*(AO104/sel_rate),0))*AZ28-AY28&gt;=0,3&gt;=sel_start_m),3,9999)</f>
        <v>9999</v>
      </c>
      <c r="CE104" s="18">
        <f>IF(AND((IFERROR((AN104/sel_util)*(AO104/sel_rate),0))*AZ29-AY29&gt;=0,4&gt;=sel_start_m),4,9999)</f>
        <v>9999</v>
      </c>
      <c r="CF104" s="18">
        <f>IF(AND((IFERROR((AN104/sel_util)*(AO104/sel_rate),0))*AZ30-AY30&gt;=0,5&gt;=sel_start_m),5,9999)</f>
        <v>9999</v>
      </c>
      <c r="CG104" s="18">
        <f>IF(AND((IFERROR((AN104/sel_util)*(AO104/sel_rate),0))*AZ31-AY31&gt;=0,6&gt;=sel_start_m),6,9999)</f>
        <v>9999</v>
      </c>
      <c r="CH104" s="18">
        <f>IF(AND((IFERROR((AN104/sel_util)*(AO104/sel_rate),0))*AZ32-AY32&gt;=0,7&gt;=sel_start_m),7,9999)</f>
        <v>9999</v>
      </c>
      <c r="CI104" s="18">
        <f>IF(AND((IFERROR((AN104/sel_util)*(AO104/sel_rate),0))*AZ33-AY33&gt;=0,8&gt;=sel_start_m),8,9999)</f>
        <v>9999</v>
      </c>
      <c r="CJ104" s="18">
        <f>IF(AND((IFERROR((AN104/sel_util)*(AO104/sel_rate),0))*AZ34-AY34&gt;=0,9&gt;=sel_start_m),9,9999)</f>
        <v>9999</v>
      </c>
      <c r="CK104" s="18">
        <f>IF(AND((IFERROR((AN104/sel_util)*(AO104/sel_rate),0))*AZ35-AY35&gt;=0,10&gt;=sel_start_m),10,9999)</f>
        <v>9999</v>
      </c>
      <c r="CL104" s="18">
        <f>IF(AND((IFERROR((AN104/sel_util)*(AO104/sel_rate),0))*AZ36-AY36&gt;=0,11&gt;=sel_start_m),11,9999)</f>
        <v>9999</v>
      </c>
      <c r="CM104" s="18">
        <f>IF(AND((IFERROR((AN104/sel_util)*(AO104/sel_rate),0))*AZ37-AY37&gt;=0,12&gt;=sel_start_m),12,9999)</f>
        <v>9999</v>
      </c>
      <c r="CN104" s="18">
        <f>IF(AND((IFERROR((AN104/sel_util)*(AO104/sel_rate),0))*AZ38-AY38&gt;=0,13&gt;=sel_start_m),13,9999)</f>
        <v>9999</v>
      </c>
      <c r="CO104" s="18">
        <f>IF(AND((IFERROR((AN104/sel_util)*(AO104/sel_rate),0))*AZ39-AY39&gt;=0,14&gt;=sel_start_m),14,9999)</f>
        <v>9999</v>
      </c>
      <c r="CP104" s="18">
        <f>IF(AND((IFERROR((AN104/sel_util)*(AO104/sel_rate),0))*AZ40-AY40&gt;=0,15&gt;=sel_start_m),15,9999)</f>
        <v>9999</v>
      </c>
      <c r="CQ104" s="18">
        <f>IF(AND((IFERROR((AN104/sel_util)*(AO104/sel_rate),0))*AZ41-AY41&gt;=0,16&gt;=sel_start_m),16,9999)</f>
        <v>9999</v>
      </c>
      <c r="CR104" s="18">
        <f>IF(AND((IFERROR((AN104/sel_util)*(AO104/sel_rate),0))*AZ42-AY42&gt;=0,17&gt;=sel_start_m),17,9999)</f>
        <v>9999</v>
      </c>
      <c r="CS104" s="18">
        <f>IF(AND((IFERROR((AN104/sel_util)*(AO104/sel_rate),0))*AZ43-AY43&gt;=0,18&gt;=sel_start_m),18,9999)</f>
        <v>9999</v>
      </c>
      <c r="CT104" s="18">
        <f>IF(AND((IFERROR((AN104/sel_util)*(AO104/sel_rate),0))*AZ44-AY44&gt;=0,19&gt;=sel_start_m),19,9999)</f>
        <v>9999</v>
      </c>
      <c r="CU104" s="18">
        <f>IF(AND((IFERROR((AN104/sel_util)*(AO104/sel_rate),0))*AZ45-AY45&gt;=0,20&gt;=sel_start_m),20,9999)</f>
        <v>9999</v>
      </c>
      <c r="CV104" s="18">
        <f>IF(AND((IFERROR((AN104/sel_util)*(AO104/sel_rate),0))*AZ46-AY46&gt;=0,21&gt;=sel_start_m),21,9999)</f>
        <v>9999</v>
      </c>
      <c r="CW104" s="18">
        <f>IF(AND((IFERROR((AN104/sel_util)*(AO104/sel_rate),0))*AZ47-AY47&gt;=0,22&gt;=sel_start_m),22,9999)</f>
        <v>9999</v>
      </c>
      <c r="CX104" s="18">
        <f>IF(AND((IFERROR((AN104/sel_util)*(AO104/sel_rate),0))*AZ48-AY48&gt;=0,23&gt;=sel_start_m),23,9999)</f>
        <v>9999</v>
      </c>
      <c r="CY104" s="18">
        <f>IF(AND((IFERROR((AN104/sel_util)*(AO104/sel_rate),0))*AZ49-AY49&gt;=0,24&gt;=sel_start_m),24,9999)</f>
        <v>9999</v>
      </c>
      <c r="CZ104" s="2"/>
      <c r="DA104" s="2"/>
      <c r="DB104" s="2"/>
      <c r="DC104" s="2"/>
      <c r="DD104" s="2"/>
      <c r="DE104" s="2"/>
      <c r="DF104" s="2"/>
      <c r="DG104" s="2"/>
      <c r="DH104" s="2"/>
      <c r="DI104" s="2"/>
      <c r="DJ104" s="2"/>
      <c r="DK104" s="2"/>
      <c r="DL104" s="2"/>
      <c r="DM104" s="2"/>
    </row>
    <row r="105" spans="1:117" ht="20" customHeight="1" x14ac:dyDescent="0.2">
      <c r="A105" s="1"/>
      <c r="B105" s="35" t="s">
        <v>152</v>
      </c>
      <c r="C105" s="89" t="s">
        <v>153</v>
      </c>
      <c r="D105" s="85"/>
      <c r="E105" s="85"/>
      <c r="F105" s="85"/>
      <c r="G105" s="85"/>
      <c r="H105" s="36">
        <f>SUM(BF26:BF49)</f>
        <v>0</v>
      </c>
      <c r="I105" s="37">
        <f>N55</f>
        <v>0</v>
      </c>
      <c r="J105" s="27" t="str">
        <f t="shared" si="26"/>
        <v>PASS</v>
      </c>
      <c r="K105" s="1"/>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9">
        <v>0.8</v>
      </c>
      <c r="AO105" s="10">
        <v>275</v>
      </c>
      <c r="AP105" s="18">
        <f t="shared" si="23"/>
        <v>999</v>
      </c>
      <c r="AQ105" s="10" t="str">
        <f t="shared" si="24"/>
        <v>-</v>
      </c>
      <c r="AR105" s="10" t="str">
        <f t="shared" si="25"/>
        <v>-</v>
      </c>
      <c r="AS105" s="2"/>
      <c r="AT105" s="2"/>
      <c r="AU105" s="2"/>
      <c r="AV105" s="2"/>
      <c r="AW105" s="2"/>
      <c r="AX105" s="2"/>
      <c r="AY105" s="2"/>
      <c r="AZ105" s="2"/>
      <c r="BA105" s="2"/>
      <c r="BB105" s="10">
        <f>AD26+(IFERROR((AN105/inp_c1_util)*(AO105/inp_c1_rate),0))*AZ26-AY26</f>
        <v>-100</v>
      </c>
      <c r="BC105" s="10">
        <f>AD27+(IFERROR((AN105/inp_c1_util)*(AO105/inp_c1_rate),0))*AZ27-AY27</f>
        <v>-200</v>
      </c>
      <c r="BD105" s="10">
        <f>AD28+(IFERROR((AN105/inp_c1_util)*(AO105/inp_c1_rate),0))*AZ28-AY28</f>
        <v>-300</v>
      </c>
      <c r="BE105" s="10">
        <f>AD29+(IFERROR((AN105/inp_c1_util)*(AO105/inp_c1_rate),0))*AZ29-AY29</f>
        <v>-400</v>
      </c>
      <c r="BF105" s="10">
        <f>AD30+(IFERROR((AN105/inp_c1_util)*(AO105/inp_c1_rate),0))*AZ30-AY30</f>
        <v>-500</v>
      </c>
      <c r="BG105" s="10">
        <f>AD31+(IFERROR((AN105/inp_c1_util)*(AO105/inp_c1_rate),0))*AZ31-AY31</f>
        <v>-600</v>
      </c>
      <c r="BH105" s="10">
        <f>AD32+(IFERROR((AN105/inp_c1_util)*(AO105/inp_c1_rate),0))*AZ32-AY32</f>
        <v>-700</v>
      </c>
      <c r="BI105" s="10">
        <f>AD33+(IFERROR((AN105/inp_c1_util)*(AO105/inp_c1_rate),0))*AZ33-AY33</f>
        <v>-800</v>
      </c>
      <c r="BJ105" s="10">
        <f>AD34+(IFERROR((AN105/inp_c1_util)*(AO105/inp_c1_rate),0))*AZ34-AY34</f>
        <v>-900</v>
      </c>
      <c r="BK105" s="10">
        <f>AD35+(IFERROR((AN105/inp_c1_util)*(AO105/inp_c1_rate),0))*AZ35-AY35</f>
        <v>-1000</v>
      </c>
      <c r="BL105" s="10">
        <f>AD36+(IFERROR((AN105/inp_c1_util)*(AO105/inp_c1_rate),0))*AZ36-AY36</f>
        <v>-1100</v>
      </c>
      <c r="BM105" s="10">
        <f>AD37+(IFERROR((AN105/inp_c1_util)*(AO105/inp_c1_rate),0))*AZ37-AY37</f>
        <v>-1200</v>
      </c>
      <c r="BN105" s="10">
        <f>AD38+(IFERROR((AN105/inp_c1_util)*(AO105/inp_c1_rate),0))*AZ38-AY38</f>
        <v>-1300</v>
      </c>
      <c r="BO105" s="10">
        <f>AD39+(IFERROR((AN105/inp_c1_util)*(AO105/inp_c1_rate),0))*AZ39-AY39</f>
        <v>-1400</v>
      </c>
      <c r="BP105" s="10">
        <f>AD40+(IFERROR((AN105/inp_c1_util)*(AO105/inp_c1_rate),0))*AZ40-AY40</f>
        <v>-1500</v>
      </c>
      <c r="BQ105" s="10">
        <f>AD41+(IFERROR((AN105/inp_c1_util)*(AO105/inp_c1_rate),0))*AZ41-AY41</f>
        <v>-1600</v>
      </c>
      <c r="BR105" s="10">
        <f>AD42+(IFERROR((AN105/inp_c1_util)*(AO105/inp_c1_rate),0))*AZ42-AY42</f>
        <v>-1700</v>
      </c>
      <c r="BS105" s="10">
        <f>AD43+(IFERROR((AN105/inp_c1_util)*(AO105/inp_c1_rate),0))*AZ43-AY43</f>
        <v>-1800</v>
      </c>
      <c r="BT105" s="10">
        <f>AD44+(IFERROR((AN105/inp_c1_util)*(AO105/inp_c1_rate),0))*AZ44-AY44</f>
        <v>-1900</v>
      </c>
      <c r="BU105" s="10">
        <f>AD45+(IFERROR((AN105/inp_c1_util)*(AO105/inp_c1_rate),0))*AZ45-AY45</f>
        <v>-2000</v>
      </c>
      <c r="BV105" s="10">
        <f>AD46+(IFERROR((AN105/inp_c1_util)*(AO105/inp_c1_rate),0))*AZ46-AY46</f>
        <v>-2100</v>
      </c>
      <c r="BW105" s="10">
        <f>AD47+(IFERROR((AN105/inp_c1_util)*(AO105/inp_c1_rate),0))*AZ47-AY47</f>
        <v>-2200</v>
      </c>
      <c r="BX105" s="10">
        <f>AD48+(IFERROR((AN105/inp_c1_util)*(AO105/inp_c1_rate),0))*AZ48-AY48</f>
        <v>-2300</v>
      </c>
      <c r="BY105" s="10">
        <f>AD49+(IFERROR((AN105/inp_c1_util)*(AO105/inp_c1_rate),0))*AZ49-AY49</f>
        <v>-2400</v>
      </c>
      <c r="BZ105" s="2"/>
      <c r="CA105" s="2"/>
      <c r="CB105" s="18">
        <f>IF(AND((IFERROR((AN105/sel_util)*(AO105/sel_rate),0))*AZ26-AY26&gt;=0,1&gt;=sel_start_m),1,9999)</f>
        <v>9999</v>
      </c>
      <c r="CC105" s="18">
        <f>IF(AND((IFERROR((AN105/sel_util)*(AO105/sel_rate),0))*AZ27-AY27&gt;=0,2&gt;=sel_start_m),2,9999)</f>
        <v>9999</v>
      </c>
      <c r="CD105" s="18">
        <f>IF(AND((IFERROR((AN105/sel_util)*(AO105/sel_rate),0))*AZ28-AY28&gt;=0,3&gt;=sel_start_m),3,9999)</f>
        <v>9999</v>
      </c>
      <c r="CE105" s="18">
        <f>IF(AND((IFERROR((AN105/sel_util)*(AO105/sel_rate),0))*AZ29-AY29&gt;=0,4&gt;=sel_start_m),4,9999)</f>
        <v>9999</v>
      </c>
      <c r="CF105" s="18">
        <f>IF(AND((IFERROR((AN105/sel_util)*(AO105/sel_rate),0))*AZ30-AY30&gt;=0,5&gt;=sel_start_m),5,9999)</f>
        <v>9999</v>
      </c>
      <c r="CG105" s="18">
        <f>IF(AND((IFERROR((AN105/sel_util)*(AO105/sel_rate),0))*AZ31-AY31&gt;=0,6&gt;=sel_start_m),6,9999)</f>
        <v>9999</v>
      </c>
      <c r="CH105" s="18">
        <f>IF(AND((IFERROR((AN105/sel_util)*(AO105/sel_rate),0))*AZ32-AY32&gt;=0,7&gt;=sel_start_m),7,9999)</f>
        <v>9999</v>
      </c>
      <c r="CI105" s="18">
        <f>IF(AND((IFERROR((AN105/sel_util)*(AO105/sel_rate),0))*AZ33-AY33&gt;=0,8&gt;=sel_start_m),8,9999)</f>
        <v>9999</v>
      </c>
      <c r="CJ105" s="18">
        <f>IF(AND((IFERROR((AN105/sel_util)*(AO105/sel_rate),0))*AZ34-AY34&gt;=0,9&gt;=sel_start_m),9,9999)</f>
        <v>9999</v>
      </c>
      <c r="CK105" s="18">
        <f>IF(AND((IFERROR((AN105/sel_util)*(AO105/sel_rate),0))*AZ35-AY35&gt;=0,10&gt;=sel_start_m),10,9999)</f>
        <v>9999</v>
      </c>
      <c r="CL105" s="18">
        <f>IF(AND((IFERROR((AN105/sel_util)*(AO105/sel_rate),0))*AZ36-AY36&gt;=0,11&gt;=sel_start_m),11,9999)</f>
        <v>9999</v>
      </c>
      <c r="CM105" s="18">
        <f>IF(AND((IFERROR((AN105/sel_util)*(AO105/sel_rate),0))*AZ37-AY37&gt;=0,12&gt;=sel_start_m),12,9999)</f>
        <v>9999</v>
      </c>
      <c r="CN105" s="18">
        <f>IF(AND((IFERROR((AN105/sel_util)*(AO105/sel_rate),0))*AZ38-AY38&gt;=0,13&gt;=sel_start_m),13,9999)</f>
        <v>9999</v>
      </c>
      <c r="CO105" s="18">
        <f>IF(AND((IFERROR((AN105/sel_util)*(AO105/sel_rate),0))*AZ39-AY39&gt;=0,14&gt;=sel_start_m),14,9999)</f>
        <v>9999</v>
      </c>
      <c r="CP105" s="18">
        <f>IF(AND((IFERROR((AN105/sel_util)*(AO105/sel_rate),0))*AZ40-AY40&gt;=0,15&gt;=sel_start_m),15,9999)</f>
        <v>9999</v>
      </c>
      <c r="CQ105" s="18">
        <f>IF(AND((IFERROR((AN105/sel_util)*(AO105/sel_rate),0))*AZ41-AY41&gt;=0,16&gt;=sel_start_m),16,9999)</f>
        <v>9999</v>
      </c>
      <c r="CR105" s="18">
        <f>IF(AND((IFERROR((AN105/sel_util)*(AO105/sel_rate),0))*AZ42-AY42&gt;=0,17&gt;=sel_start_m),17,9999)</f>
        <v>9999</v>
      </c>
      <c r="CS105" s="18">
        <f>IF(AND((IFERROR((AN105/sel_util)*(AO105/sel_rate),0))*AZ43-AY43&gt;=0,18&gt;=sel_start_m),18,9999)</f>
        <v>9999</v>
      </c>
      <c r="CT105" s="18">
        <f>IF(AND((IFERROR((AN105/sel_util)*(AO105/sel_rate),0))*AZ44-AY44&gt;=0,19&gt;=sel_start_m),19,9999)</f>
        <v>9999</v>
      </c>
      <c r="CU105" s="18">
        <f>IF(AND((IFERROR((AN105/sel_util)*(AO105/sel_rate),0))*AZ45-AY45&gt;=0,20&gt;=sel_start_m),20,9999)</f>
        <v>9999</v>
      </c>
      <c r="CV105" s="18">
        <f>IF(AND((IFERROR((AN105/sel_util)*(AO105/sel_rate),0))*AZ46-AY46&gt;=0,21&gt;=sel_start_m),21,9999)</f>
        <v>9999</v>
      </c>
      <c r="CW105" s="18">
        <f>IF(AND((IFERROR((AN105/sel_util)*(AO105/sel_rate),0))*AZ47-AY47&gt;=0,22&gt;=sel_start_m),22,9999)</f>
        <v>9999</v>
      </c>
      <c r="CX105" s="18">
        <f>IF(AND((IFERROR((AN105/sel_util)*(AO105/sel_rate),0))*AZ48-AY48&gt;=0,23&gt;=sel_start_m),23,9999)</f>
        <v>9999</v>
      </c>
      <c r="CY105" s="18">
        <f>IF(AND((IFERROR((AN105/sel_util)*(AO105/sel_rate),0))*AZ49-AY49&gt;=0,24&gt;=sel_start_m),24,9999)</f>
        <v>9999</v>
      </c>
      <c r="CZ105" s="2"/>
      <c r="DA105" s="2"/>
      <c r="DB105" s="2"/>
      <c r="DC105" s="2"/>
      <c r="DD105" s="2"/>
      <c r="DE105" s="2"/>
      <c r="DF105" s="2"/>
      <c r="DG105" s="2"/>
      <c r="DH105" s="2"/>
      <c r="DI105" s="2"/>
      <c r="DJ105" s="2"/>
      <c r="DK105" s="2"/>
      <c r="DL105" s="2"/>
      <c r="DM105" s="2"/>
    </row>
    <row r="106" spans="1:117" ht="20" customHeight="1" x14ac:dyDescent="0.2">
      <c r="A106" s="1"/>
      <c r="B106" s="35" t="s">
        <v>154</v>
      </c>
      <c r="C106" s="89" t="s">
        <v>155</v>
      </c>
      <c r="D106" s="85"/>
      <c r="E106" s="85"/>
      <c r="F106" s="85"/>
      <c r="G106" s="85"/>
      <c r="H106" s="36">
        <f>SUM(BH26:BH49)</f>
        <v>0</v>
      </c>
      <c r="I106" s="37">
        <f>O54</f>
        <v>0</v>
      </c>
      <c r="J106" s="27" t="str">
        <f t="shared" si="26"/>
        <v>PASS</v>
      </c>
      <c r="K106" s="1"/>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9">
        <v>0.8</v>
      </c>
      <c r="AO106" s="10">
        <v>300</v>
      </c>
      <c r="AP106" s="18">
        <f t="shared" si="23"/>
        <v>999</v>
      </c>
      <c r="AQ106" s="10" t="str">
        <f t="shared" si="24"/>
        <v>-</v>
      </c>
      <c r="AR106" s="10" t="str">
        <f t="shared" si="25"/>
        <v>-</v>
      </c>
      <c r="AS106" s="2"/>
      <c r="AT106" s="2"/>
      <c r="AU106" s="2"/>
      <c r="AV106" s="2"/>
      <c r="AW106" s="2"/>
      <c r="AX106" s="2"/>
      <c r="AY106" s="2"/>
      <c r="AZ106" s="2"/>
      <c r="BA106" s="2"/>
      <c r="BB106" s="10">
        <f>AD26+(IFERROR((AN106/inp_c1_util)*(AO106/inp_c1_rate),0))*AZ26-AY26</f>
        <v>-100</v>
      </c>
      <c r="BC106" s="10">
        <f>AD27+(IFERROR((AN106/inp_c1_util)*(AO106/inp_c1_rate),0))*AZ27-AY27</f>
        <v>-200</v>
      </c>
      <c r="BD106" s="10">
        <f>AD28+(IFERROR((AN106/inp_c1_util)*(AO106/inp_c1_rate),0))*AZ28-AY28</f>
        <v>-300</v>
      </c>
      <c r="BE106" s="10">
        <f>AD29+(IFERROR((AN106/inp_c1_util)*(AO106/inp_c1_rate),0))*AZ29-AY29</f>
        <v>-400</v>
      </c>
      <c r="BF106" s="10">
        <f>AD30+(IFERROR((AN106/inp_c1_util)*(AO106/inp_c1_rate),0))*AZ30-AY30</f>
        <v>-500</v>
      </c>
      <c r="BG106" s="10">
        <f>AD31+(IFERROR((AN106/inp_c1_util)*(AO106/inp_c1_rate),0))*AZ31-AY31</f>
        <v>-600</v>
      </c>
      <c r="BH106" s="10">
        <f>AD32+(IFERROR((AN106/inp_c1_util)*(AO106/inp_c1_rate),0))*AZ32-AY32</f>
        <v>-700</v>
      </c>
      <c r="BI106" s="10">
        <f>AD33+(IFERROR((AN106/inp_c1_util)*(AO106/inp_c1_rate),0))*AZ33-AY33</f>
        <v>-800</v>
      </c>
      <c r="BJ106" s="10">
        <f>AD34+(IFERROR((AN106/inp_c1_util)*(AO106/inp_c1_rate),0))*AZ34-AY34</f>
        <v>-900</v>
      </c>
      <c r="BK106" s="10">
        <f>AD35+(IFERROR((AN106/inp_c1_util)*(AO106/inp_c1_rate),0))*AZ35-AY35</f>
        <v>-1000</v>
      </c>
      <c r="BL106" s="10">
        <f>AD36+(IFERROR((AN106/inp_c1_util)*(AO106/inp_c1_rate),0))*AZ36-AY36</f>
        <v>-1100</v>
      </c>
      <c r="BM106" s="10">
        <f>AD37+(IFERROR((AN106/inp_c1_util)*(AO106/inp_c1_rate),0))*AZ37-AY37</f>
        <v>-1200</v>
      </c>
      <c r="BN106" s="10">
        <f>AD38+(IFERROR((AN106/inp_c1_util)*(AO106/inp_c1_rate),0))*AZ38-AY38</f>
        <v>-1300</v>
      </c>
      <c r="BO106" s="10">
        <f>AD39+(IFERROR((AN106/inp_c1_util)*(AO106/inp_c1_rate),0))*AZ39-AY39</f>
        <v>-1400</v>
      </c>
      <c r="BP106" s="10">
        <f>AD40+(IFERROR((AN106/inp_c1_util)*(AO106/inp_c1_rate),0))*AZ40-AY40</f>
        <v>-1500</v>
      </c>
      <c r="BQ106" s="10">
        <f>AD41+(IFERROR((AN106/inp_c1_util)*(AO106/inp_c1_rate),0))*AZ41-AY41</f>
        <v>-1600</v>
      </c>
      <c r="BR106" s="10">
        <f>AD42+(IFERROR((AN106/inp_c1_util)*(AO106/inp_c1_rate),0))*AZ42-AY42</f>
        <v>-1700</v>
      </c>
      <c r="BS106" s="10">
        <f>AD43+(IFERROR((AN106/inp_c1_util)*(AO106/inp_c1_rate),0))*AZ43-AY43</f>
        <v>-1800</v>
      </c>
      <c r="BT106" s="10">
        <f>AD44+(IFERROR((AN106/inp_c1_util)*(AO106/inp_c1_rate),0))*AZ44-AY44</f>
        <v>-1900</v>
      </c>
      <c r="BU106" s="10">
        <f>AD45+(IFERROR((AN106/inp_c1_util)*(AO106/inp_c1_rate),0))*AZ45-AY45</f>
        <v>-2000</v>
      </c>
      <c r="BV106" s="10">
        <f>AD46+(IFERROR((AN106/inp_c1_util)*(AO106/inp_c1_rate),0))*AZ46-AY46</f>
        <v>-2100</v>
      </c>
      <c r="BW106" s="10">
        <f>AD47+(IFERROR((AN106/inp_c1_util)*(AO106/inp_c1_rate),0))*AZ47-AY47</f>
        <v>-2200</v>
      </c>
      <c r="BX106" s="10">
        <f>AD48+(IFERROR((AN106/inp_c1_util)*(AO106/inp_c1_rate),0))*AZ48-AY48</f>
        <v>-2300</v>
      </c>
      <c r="BY106" s="10">
        <f>AD49+(IFERROR((AN106/inp_c1_util)*(AO106/inp_c1_rate),0))*AZ49-AY49</f>
        <v>-2400</v>
      </c>
      <c r="BZ106" s="2"/>
      <c r="CA106" s="2"/>
      <c r="CB106" s="18">
        <f>IF(AND((IFERROR((AN106/sel_util)*(AO106/sel_rate),0))*AZ26-AY26&gt;=0,1&gt;=sel_start_m),1,9999)</f>
        <v>9999</v>
      </c>
      <c r="CC106" s="18">
        <f>IF(AND((IFERROR((AN106/sel_util)*(AO106/sel_rate),0))*AZ27-AY27&gt;=0,2&gt;=sel_start_m),2,9999)</f>
        <v>9999</v>
      </c>
      <c r="CD106" s="18">
        <f>IF(AND((IFERROR((AN106/sel_util)*(AO106/sel_rate),0))*AZ28-AY28&gt;=0,3&gt;=sel_start_m),3,9999)</f>
        <v>9999</v>
      </c>
      <c r="CE106" s="18">
        <f>IF(AND((IFERROR((AN106/sel_util)*(AO106/sel_rate),0))*AZ29-AY29&gt;=0,4&gt;=sel_start_m),4,9999)</f>
        <v>9999</v>
      </c>
      <c r="CF106" s="18">
        <f>IF(AND((IFERROR((AN106/sel_util)*(AO106/sel_rate),0))*AZ30-AY30&gt;=0,5&gt;=sel_start_m),5,9999)</f>
        <v>9999</v>
      </c>
      <c r="CG106" s="18">
        <f>IF(AND((IFERROR((AN106/sel_util)*(AO106/sel_rate),0))*AZ31-AY31&gt;=0,6&gt;=sel_start_m),6,9999)</f>
        <v>9999</v>
      </c>
      <c r="CH106" s="18">
        <f>IF(AND((IFERROR((AN106/sel_util)*(AO106/sel_rate),0))*AZ32-AY32&gt;=0,7&gt;=sel_start_m),7,9999)</f>
        <v>9999</v>
      </c>
      <c r="CI106" s="18">
        <f>IF(AND((IFERROR((AN106/sel_util)*(AO106/sel_rate),0))*AZ33-AY33&gt;=0,8&gt;=sel_start_m),8,9999)</f>
        <v>9999</v>
      </c>
      <c r="CJ106" s="18">
        <f>IF(AND((IFERROR((AN106/sel_util)*(AO106/sel_rate),0))*AZ34-AY34&gt;=0,9&gt;=sel_start_m),9,9999)</f>
        <v>9999</v>
      </c>
      <c r="CK106" s="18">
        <f>IF(AND((IFERROR((AN106/sel_util)*(AO106/sel_rate),0))*AZ35-AY35&gt;=0,10&gt;=sel_start_m),10,9999)</f>
        <v>9999</v>
      </c>
      <c r="CL106" s="18">
        <f>IF(AND((IFERROR((AN106/sel_util)*(AO106/sel_rate),0))*AZ36-AY36&gt;=0,11&gt;=sel_start_m),11,9999)</f>
        <v>9999</v>
      </c>
      <c r="CM106" s="18">
        <f>IF(AND((IFERROR((AN106/sel_util)*(AO106/sel_rate),0))*AZ37-AY37&gt;=0,12&gt;=sel_start_m),12,9999)</f>
        <v>9999</v>
      </c>
      <c r="CN106" s="18">
        <f>IF(AND((IFERROR((AN106/sel_util)*(AO106/sel_rate),0))*AZ38-AY38&gt;=0,13&gt;=sel_start_m),13,9999)</f>
        <v>9999</v>
      </c>
      <c r="CO106" s="18">
        <f>IF(AND((IFERROR((AN106/sel_util)*(AO106/sel_rate),0))*AZ39-AY39&gt;=0,14&gt;=sel_start_m),14,9999)</f>
        <v>9999</v>
      </c>
      <c r="CP106" s="18">
        <f>IF(AND((IFERROR((AN106/sel_util)*(AO106/sel_rate),0))*AZ40-AY40&gt;=0,15&gt;=sel_start_m),15,9999)</f>
        <v>9999</v>
      </c>
      <c r="CQ106" s="18">
        <f>IF(AND((IFERROR((AN106/sel_util)*(AO106/sel_rate),0))*AZ41-AY41&gt;=0,16&gt;=sel_start_m),16,9999)</f>
        <v>9999</v>
      </c>
      <c r="CR106" s="18">
        <f>IF(AND((IFERROR((AN106/sel_util)*(AO106/sel_rate),0))*AZ42-AY42&gt;=0,17&gt;=sel_start_m),17,9999)</f>
        <v>9999</v>
      </c>
      <c r="CS106" s="18">
        <f>IF(AND((IFERROR((AN106/sel_util)*(AO106/sel_rate),0))*AZ43-AY43&gt;=0,18&gt;=sel_start_m),18,9999)</f>
        <v>9999</v>
      </c>
      <c r="CT106" s="18">
        <f>IF(AND((IFERROR((AN106/sel_util)*(AO106/sel_rate),0))*AZ44-AY44&gt;=0,19&gt;=sel_start_m),19,9999)</f>
        <v>9999</v>
      </c>
      <c r="CU106" s="18">
        <f>IF(AND((IFERROR((AN106/sel_util)*(AO106/sel_rate),0))*AZ45-AY45&gt;=0,20&gt;=sel_start_m),20,9999)</f>
        <v>9999</v>
      </c>
      <c r="CV106" s="18">
        <f>IF(AND((IFERROR((AN106/sel_util)*(AO106/sel_rate),0))*AZ46-AY46&gt;=0,21&gt;=sel_start_m),21,9999)</f>
        <v>9999</v>
      </c>
      <c r="CW106" s="18">
        <f>IF(AND((IFERROR((AN106/sel_util)*(AO106/sel_rate),0))*AZ47-AY47&gt;=0,22&gt;=sel_start_m),22,9999)</f>
        <v>9999</v>
      </c>
      <c r="CX106" s="18">
        <f>IF(AND((IFERROR((AN106/sel_util)*(AO106/sel_rate),0))*AZ48-AY48&gt;=0,23&gt;=sel_start_m),23,9999)</f>
        <v>9999</v>
      </c>
      <c r="CY106" s="18">
        <f>IF(AND((IFERROR((AN106/sel_util)*(AO106/sel_rate),0))*AZ49-AY49&gt;=0,24&gt;=sel_start_m),24,9999)</f>
        <v>9999</v>
      </c>
      <c r="CZ106" s="2"/>
      <c r="DA106" s="2"/>
      <c r="DB106" s="2"/>
      <c r="DC106" s="2"/>
      <c r="DD106" s="2"/>
      <c r="DE106" s="2"/>
      <c r="DF106" s="2"/>
      <c r="DG106" s="2"/>
      <c r="DH106" s="2"/>
      <c r="DI106" s="2"/>
      <c r="DJ106" s="2"/>
      <c r="DK106" s="2"/>
      <c r="DL106" s="2"/>
      <c r="DM106" s="2"/>
    </row>
    <row r="107" spans="1:117" ht="20" customHeight="1" x14ac:dyDescent="0.2">
      <c r="A107" s="1"/>
      <c r="B107" s="35" t="s">
        <v>156</v>
      </c>
      <c r="C107" s="89" t="s">
        <v>157</v>
      </c>
      <c r="D107" s="85"/>
      <c r="E107" s="85"/>
      <c r="F107" s="85"/>
      <c r="G107" s="85"/>
      <c r="H107" s="36">
        <f>SUM(BJ26:BJ49)</f>
        <v>0</v>
      </c>
      <c r="I107" s="37">
        <f>O55</f>
        <v>0</v>
      </c>
      <c r="J107" s="27" t="str">
        <f t="shared" si="26"/>
        <v>PASS</v>
      </c>
      <c r="K107" s="1"/>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row>
    <row r="108" spans="1:117" ht="20" customHeight="1" x14ac:dyDescent="0.2">
      <c r="A108" s="1"/>
      <c r="B108" s="35" t="s">
        <v>158</v>
      </c>
      <c r="C108" s="89" t="s">
        <v>159</v>
      </c>
      <c r="D108" s="85"/>
      <c r="E108" s="85"/>
      <c r="F108" s="85"/>
      <c r="G108" s="85"/>
      <c r="H108" s="36">
        <f>SUM(BL26:BL49)</f>
        <v>0</v>
      </c>
      <c r="I108" s="37">
        <f>P54</f>
        <v>0</v>
      </c>
      <c r="J108" s="27" t="str">
        <f t="shared" si="26"/>
        <v>PASS</v>
      </c>
      <c r="K108" s="1"/>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row>
    <row r="109" spans="1:117" ht="20" customHeight="1" x14ac:dyDescent="0.2">
      <c r="A109" s="1"/>
      <c r="B109" s="35" t="s">
        <v>160</v>
      </c>
      <c r="C109" s="89" t="s">
        <v>161</v>
      </c>
      <c r="D109" s="85"/>
      <c r="E109" s="85"/>
      <c r="F109" s="85"/>
      <c r="G109" s="85"/>
      <c r="H109" s="36">
        <f>SUM(BN26:BN49)</f>
        <v>0</v>
      </c>
      <c r="I109" s="37">
        <f>P55</f>
        <v>0</v>
      </c>
      <c r="J109" s="27" t="str">
        <f t="shared" si="26"/>
        <v>PASS</v>
      </c>
      <c r="K109" s="1"/>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row>
    <row r="110" spans="1:117" ht="20" customHeight="1" x14ac:dyDescent="0.2">
      <c r="A110" s="1"/>
      <c r="B110" s="35" t="s">
        <v>162</v>
      </c>
      <c r="C110" s="89" t="s">
        <v>228</v>
      </c>
      <c r="D110" s="85"/>
      <c r="E110" s="85"/>
      <c r="F110" s="85"/>
      <c r="G110" s="85"/>
      <c r="H110" s="36">
        <f>SUM(BP26:BP49)</f>
        <v>0</v>
      </c>
      <c r="I110" s="37">
        <f>Q54</f>
        <v>0</v>
      </c>
      <c r="J110" s="27" t="str">
        <f t="shared" si="26"/>
        <v>PASS</v>
      </c>
      <c r="K110" s="1"/>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row>
    <row r="111" spans="1:117" ht="20" customHeight="1" x14ac:dyDescent="0.2">
      <c r="A111" s="1"/>
      <c r="B111" s="35" t="s">
        <v>164</v>
      </c>
      <c r="C111" s="89" t="s">
        <v>229</v>
      </c>
      <c r="D111" s="85"/>
      <c r="E111" s="85"/>
      <c r="F111" s="85"/>
      <c r="G111" s="85"/>
      <c r="H111" s="36">
        <f>SUM(BR26:BR49)</f>
        <v>0</v>
      </c>
      <c r="I111" s="37">
        <f>Q55</f>
        <v>0</v>
      </c>
      <c r="J111" s="27" t="str">
        <f t="shared" si="26"/>
        <v>PASS</v>
      </c>
      <c r="K111" s="1"/>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row>
    <row r="112" spans="1:117" ht="20" customHeight="1" x14ac:dyDescent="0.2">
      <c r="A112" s="1"/>
      <c r="B112" s="35" t="s">
        <v>166</v>
      </c>
      <c r="C112" s="89" t="s">
        <v>230</v>
      </c>
      <c r="D112" s="85"/>
      <c r="E112" s="85"/>
      <c r="F112" s="85"/>
      <c r="G112" s="85"/>
      <c r="H112" s="36">
        <f>SUM(BT26:BT49)</f>
        <v>0</v>
      </c>
      <c r="I112" s="37">
        <f>R54</f>
        <v>0</v>
      </c>
      <c r="J112" s="27" t="str">
        <f t="shared" si="26"/>
        <v>PASS</v>
      </c>
      <c r="K112" s="1"/>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row>
    <row r="113" spans="1:117" x14ac:dyDescent="0.2">
      <c r="A113" s="1"/>
      <c r="B113" s="35" t="s">
        <v>168</v>
      </c>
      <c r="C113" s="89" t="s">
        <v>231</v>
      </c>
      <c r="D113" s="85"/>
      <c r="E113" s="85"/>
      <c r="F113" s="85"/>
      <c r="G113" s="85"/>
      <c r="H113" s="36">
        <f>SUM(BV26:BV49)</f>
        <v>0</v>
      </c>
      <c r="I113" s="37">
        <f>R55</f>
        <v>0</v>
      </c>
      <c r="J113" s="27" t="str">
        <f t="shared" si="26"/>
        <v>PASS</v>
      </c>
      <c r="K113" s="1"/>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row>
    <row r="114" spans="1:117" x14ac:dyDescent="0.2">
      <c r="A114" s="1"/>
      <c r="B114" s="35" t="s">
        <v>170</v>
      </c>
      <c r="C114" s="89" t="s">
        <v>232</v>
      </c>
      <c r="D114" s="85"/>
      <c r="E114" s="85"/>
      <c r="F114" s="85"/>
      <c r="G114" s="85"/>
      <c r="H114" s="36">
        <f>SUM(BX26:BX49)</f>
        <v>0</v>
      </c>
      <c r="I114" s="37">
        <f>S54</f>
        <v>0</v>
      </c>
      <c r="J114" s="27" t="str">
        <f t="shared" si="26"/>
        <v>PASS</v>
      </c>
      <c r="K114" s="1"/>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row>
    <row r="115" spans="1:117" ht="22" customHeight="1" x14ac:dyDescent="0.2">
      <c r="A115" s="1"/>
      <c r="B115" s="35" t="s">
        <v>171</v>
      </c>
      <c r="C115" s="89" t="s">
        <v>233</v>
      </c>
      <c r="D115" s="85"/>
      <c r="E115" s="85"/>
      <c r="F115" s="85"/>
      <c r="G115" s="85"/>
      <c r="H115" s="36">
        <f>SUM(BZ26:BZ49)</f>
        <v>0</v>
      </c>
      <c r="I115" s="37">
        <f>S55</f>
        <v>0</v>
      </c>
      <c r="J115" s="27" t="str">
        <f t="shared" si="26"/>
        <v>PASS</v>
      </c>
      <c r="K115" s="1"/>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row>
    <row r="116" spans="1:117" x14ac:dyDescent="0.2">
      <c r="A116" s="1"/>
      <c r="B116" s="35" t="s">
        <v>172</v>
      </c>
      <c r="C116" s="89" t="s">
        <v>234</v>
      </c>
      <c r="D116" s="85"/>
      <c r="E116" s="85"/>
      <c r="F116" s="85"/>
      <c r="G116" s="85"/>
      <c r="H116" s="36">
        <f>SUM(CB26:CB49)</f>
        <v>0</v>
      </c>
      <c r="I116" s="37">
        <f>T54</f>
        <v>0</v>
      </c>
      <c r="J116" s="27" t="str">
        <f t="shared" si="26"/>
        <v>PASS</v>
      </c>
      <c r="K116" s="1"/>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row>
    <row r="117" spans="1:117" x14ac:dyDescent="0.2">
      <c r="A117" s="1"/>
      <c r="B117" s="35" t="s">
        <v>173</v>
      </c>
      <c r="C117" s="89" t="s">
        <v>235</v>
      </c>
      <c r="D117" s="85"/>
      <c r="E117" s="85"/>
      <c r="F117" s="85"/>
      <c r="G117" s="85"/>
      <c r="H117" s="36">
        <f>SUM(CD26:CD49)</f>
        <v>0</v>
      </c>
      <c r="I117" s="37">
        <f>T55</f>
        <v>0</v>
      </c>
      <c r="J117" s="27" t="str">
        <f t="shared" si="26"/>
        <v>PASS</v>
      </c>
      <c r="K117" s="1"/>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row>
    <row r="118" spans="1:117" x14ac:dyDescent="0.2">
      <c r="A118" s="1"/>
      <c r="B118" s="35" t="s">
        <v>174</v>
      </c>
      <c r="C118" s="89" t="s">
        <v>236</v>
      </c>
      <c r="D118" s="85"/>
      <c r="E118" s="85"/>
      <c r="F118" s="85"/>
      <c r="G118" s="85"/>
      <c r="H118" s="36">
        <f>SUM(CF26:CF49)</f>
        <v>0</v>
      </c>
      <c r="I118" s="37">
        <f>U54</f>
        <v>0</v>
      </c>
      <c r="J118" s="27" t="str">
        <f t="shared" si="26"/>
        <v>PASS</v>
      </c>
      <c r="K118" s="1"/>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row>
    <row r="119" spans="1:117" x14ac:dyDescent="0.2">
      <c r="A119" s="1"/>
      <c r="B119" s="35" t="s">
        <v>175</v>
      </c>
      <c r="C119" s="89" t="s">
        <v>237</v>
      </c>
      <c r="D119" s="85"/>
      <c r="E119" s="85"/>
      <c r="F119" s="85"/>
      <c r="G119" s="85"/>
      <c r="H119" s="36">
        <f>SUM(CH26:CH49)</f>
        <v>0</v>
      </c>
      <c r="I119" s="37">
        <f>U55</f>
        <v>0</v>
      </c>
      <c r="J119" s="27" t="str">
        <f t="shared" si="26"/>
        <v>PASS</v>
      </c>
      <c r="K119" s="1"/>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row>
    <row r="120" spans="1:117" x14ac:dyDescent="0.2">
      <c r="A120" s="1"/>
      <c r="B120" s="35" t="s">
        <v>176</v>
      </c>
      <c r="C120" s="89" t="s">
        <v>163</v>
      </c>
      <c r="D120" s="85"/>
      <c r="E120" s="85"/>
      <c r="F120" s="85"/>
      <c r="G120" s="85"/>
      <c r="H120" s="36">
        <f>inp_biz_cash_open+SUM(AC26:AC49)+SUM(AF26:AF49)-SUM(AE26:AE49)</f>
        <v>0</v>
      </c>
      <c r="I120" s="37">
        <f>AH49</f>
        <v>0</v>
      </c>
      <c r="J120" s="27" t="str">
        <f t="shared" si="26"/>
        <v>PASS</v>
      </c>
      <c r="K120" s="1"/>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row>
    <row r="121" spans="1:117" x14ac:dyDescent="0.2">
      <c r="A121" s="1"/>
      <c r="B121" s="35" t="s">
        <v>177</v>
      </c>
      <c r="C121" s="89" t="s">
        <v>165</v>
      </c>
      <c r="D121" s="85"/>
      <c r="E121" s="85"/>
      <c r="F121" s="85"/>
      <c r="G121" s="85"/>
      <c r="H121" s="38">
        <f>inp_biz_cash_open+SUM(AC26:AC49)</f>
        <v>0</v>
      </c>
      <c r="I121" s="39">
        <f>AD49</f>
        <v>0</v>
      </c>
      <c r="J121" s="27" t="str">
        <f t="shared" si="26"/>
        <v>PASS</v>
      </c>
      <c r="K121" s="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row>
    <row r="122" spans="1:117" x14ac:dyDescent="0.2">
      <c r="A122" s="1"/>
      <c r="B122" s="35" t="s">
        <v>178</v>
      </c>
      <c r="C122" s="89" t="s">
        <v>167</v>
      </c>
      <c r="D122" s="85"/>
      <c r="E122" s="85"/>
      <c r="F122" s="85"/>
      <c r="G122" s="85"/>
      <c r="H122" s="36">
        <f>INDEX(ref_scn_rev_all,MATCH(inp_scn_active,ref_scn_codes,0))</f>
        <v>1</v>
      </c>
      <c r="I122" s="37">
        <f>calc_scn_rev_mult</f>
        <v>1</v>
      </c>
      <c r="J122" s="27" t="str">
        <f>IF(ABS(I122-H122)&lt;=0.0001,"PASS","FAIL")</f>
        <v>PASS</v>
      </c>
      <c r="K122" s="1"/>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row>
    <row r="123" spans="1:117" x14ac:dyDescent="0.2">
      <c r="A123" s="1"/>
      <c r="B123" s="35" t="s">
        <v>179</v>
      </c>
      <c r="C123" s="89" t="s">
        <v>169</v>
      </c>
      <c r="D123" s="85"/>
      <c r="E123" s="85"/>
      <c r="F123" s="85"/>
      <c r="G123" s="85"/>
      <c r="H123" s="36">
        <f>INDEX(ref_scn_util_all,MATCH(inp_scn_active,ref_scn_codes,0))</f>
        <v>1</v>
      </c>
      <c r="I123" s="37">
        <f>calc_scn_util_mult</f>
        <v>1</v>
      </c>
      <c r="J123" s="27" t="str">
        <f>IF(ABS(I123-H123)&lt;=0.0001,"PASS","FAIL")</f>
        <v>PASS</v>
      </c>
      <c r="K123" s="1"/>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row>
    <row r="124" spans="1:117" x14ac:dyDescent="0.2">
      <c r="A124" s="1"/>
      <c r="B124" s="1"/>
      <c r="C124" s="1"/>
      <c r="D124" s="1"/>
      <c r="E124" s="1"/>
      <c r="F124" s="1"/>
      <c r="G124" s="1"/>
      <c r="H124" s="1"/>
      <c r="I124" s="1"/>
      <c r="J124" s="1"/>
      <c r="K124" s="1"/>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row>
    <row r="125" spans="1:117" x14ac:dyDescent="0.2">
      <c r="A125" s="1"/>
      <c r="B125" s="1"/>
      <c r="C125" s="1"/>
      <c r="D125" s="1"/>
      <c r="E125" s="1"/>
      <c r="F125" s="1"/>
      <c r="G125" s="1"/>
      <c r="H125" s="1"/>
      <c r="I125" s="1"/>
      <c r="J125" s="1"/>
      <c r="K125" s="1"/>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row>
    <row r="126" spans="1:117" x14ac:dyDescent="0.2">
      <c r="A126" s="1"/>
      <c r="B126" s="13" t="s">
        <v>180</v>
      </c>
      <c r="C126" s="1"/>
      <c r="D126" s="1"/>
      <c r="E126" s="1"/>
      <c r="F126" s="1"/>
      <c r="G126" s="1"/>
      <c r="H126" s="1"/>
      <c r="I126" s="1"/>
      <c r="J126" s="3" t="s">
        <v>181</v>
      </c>
      <c r="K126" s="1"/>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row>
    <row r="127" spans="1:117" x14ac:dyDescent="0.2">
      <c r="A127" s="1"/>
      <c r="B127" s="1"/>
      <c r="C127" s="1"/>
      <c r="D127" s="1"/>
      <c r="E127" s="1"/>
      <c r="F127" s="1"/>
      <c r="G127" s="1"/>
      <c r="H127" s="1"/>
      <c r="I127" s="1"/>
      <c r="J127" s="1"/>
      <c r="K127" s="1"/>
    </row>
    <row r="128" spans="1:117" x14ac:dyDescent="0.2">
      <c r="A128" s="61"/>
      <c r="B128" s="61"/>
      <c r="C128" s="61"/>
      <c r="D128" s="61"/>
      <c r="E128" s="61"/>
      <c r="F128" s="61"/>
      <c r="G128" s="61"/>
      <c r="H128" s="61"/>
      <c r="I128" s="61"/>
      <c r="J128" s="61"/>
      <c r="K128" s="61"/>
    </row>
    <row r="129" spans="1:11" x14ac:dyDescent="0.2">
      <c r="A129" s="61"/>
      <c r="B129" s="61"/>
      <c r="C129" s="61"/>
      <c r="D129" s="61"/>
      <c r="E129" s="61"/>
      <c r="F129" s="61"/>
      <c r="G129" s="61"/>
      <c r="H129" s="61"/>
      <c r="I129" s="61"/>
      <c r="J129" s="61"/>
      <c r="K129" s="61"/>
    </row>
    <row r="130" spans="1:11" x14ac:dyDescent="0.2">
      <c r="A130" s="61"/>
      <c r="B130" s="61"/>
      <c r="C130" s="61"/>
      <c r="D130" s="61"/>
      <c r="E130" s="61"/>
      <c r="F130" s="61"/>
      <c r="G130" s="61"/>
      <c r="H130" s="61"/>
      <c r="I130" s="61"/>
      <c r="J130" s="61"/>
      <c r="K130" s="61"/>
    </row>
    <row r="131" spans="1:11" x14ac:dyDescent="0.2">
      <c r="A131" s="61"/>
      <c r="B131" s="61"/>
      <c r="C131" s="61"/>
      <c r="D131" s="61"/>
      <c r="E131" s="61"/>
      <c r="F131" s="61"/>
      <c r="G131" s="61"/>
      <c r="H131" s="61"/>
      <c r="I131" s="61"/>
      <c r="J131" s="61"/>
      <c r="K131" s="61"/>
    </row>
  </sheetData>
  <mergeCells count="33">
    <mergeCell ref="C103:G103"/>
    <mergeCell ref="C119:G119"/>
    <mergeCell ref="B3:F3"/>
    <mergeCell ref="C109:G109"/>
    <mergeCell ref="C115:G115"/>
    <mergeCell ref="C118:G118"/>
    <mergeCell ref="C108:G108"/>
    <mergeCell ref="B74:J74"/>
    <mergeCell ref="C114:G114"/>
    <mergeCell ref="B75:J75"/>
    <mergeCell ref="C123:G123"/>
    <mergeCell ref="C105:G105"/>
    <mergeCell ref="C104:G104"/>
    <mergeCell ref="C110:G110"/>
    <mergeCell ref="C116:G116"/>
    <mergeCell ref="C106:G106"/>
    <mergeCell ref="C122:G122"/>
    <mergeCell ref="C2:F2"/>
    <mergeCell ref="C121:G121"/>
    <mergeCell ref="C117:G117"/>
    <mergeCell ref="G3:J3"/>
    <mergeCell ref="B76:J76"/>
    <mergeCell ref="C113:G113"/>
    <mergeCell ref="C107:G107"/>
    <mergeCell ref="C112:G112"/>
    <mergeCell ref="B77:J77"/>
    <mergeCell ref="B78:J78"/>
    <mergeCell ref="B79:J79"/>
    <mergeCell ref="B80:J80"/>
    <mergeCell ref="B81:J81"/>
    <mergeCell ref="B83:J83"/>
    <mergeCell ref="C120:G120"/>
    <mergeCell ref="C111:G111"/>
  </mergeCells>
  <conditionalFormatting sqref="B95:B99">
    <cfRule type="expression" dxfId="31" priority="39">
      <formula>ROUND($B95,2)=ROUND(sel_util,2)</formula>
    </cfRule>
  </conditionalFormatting>
  <conditionalFormatting sqref="C87:I91">
    <cfRule type="colorScale" priority="30">
      <colorScale>
        <cfvo type="num" val="6"/>
        <cfvo type="num" val="15"/>
        <cfvo type="num" val="24"/>
        <color rgb="FF10B981"/>
        <color rgb="FF8896B3"/>
        <color rgb="FFE5484D"/>
      </colorScale>
    </cfRule>
    <cfRule type="expression" dxfId="30" priority="31">
      <formula>C87&gt;=999</formula>
    </cfRule>
  </conditionalFormatting>
  <conditionalFormatting sqref="C95:I99">
    <cfRule type="colorScale" priority="38">
      <colorScale>
        <cfvo type="min"/>
        <cfvo type="num" val="0"/>
        <cfvo type="max"/>
        <color rgb="FFE5484D"/>
        <color rgb="FF8896B3"/>
        <color rgb="FF10B981"/>
      </colorScale>
    </cfRule>
  </conditionalFormatting>
  <conditionalFormatting sqref="C25:J26">
    <cfRule type="expression" dxfId="29" priority="40">
      <formula>NOT(_xlfn.ISFORMULA(C25))</formula>
    </cfRule>
  </conditionalFormatting>
  <conditionalFormatting sqref="C70:J70">
    <cfRule type="expression" dxfId="28" priority="24">
      <formula>C70&lt;0</formula>
    </cfRule>
    <cfRule type="expression" dxfId="27" priority="25">
      <formula>C70&gt;=0</formula>
    </cfRule>
  </conditionalFormatting>
  <conditionalFormatting sqref="C71:J71">
    <cfRule type="expression" dxfId="26" priority="9">
      <formula>EXACT(C71,"PASS-fast")</formula>
    </cfRule>
    <cfRule type="expression" dxfId="25" priority="10">
      <formula>EXACT(C71,"PASS-buffer")</formula>
    </cfRule>
    <cfRule type="expression" dxfId="24" priority="11">
      <formula>EXACT(C71,"CAUTION")</formula>
    </cfRule>
    <cfRule type="expression" dxfId="23" priority="12">
      <formula>EXACT(C71,"FAIL")</formula>
    </cfRule>
    <cfRule type="expression" dxfId="22" priority="13">
      <formula>EXACT(C71,"INACTIVE")</formula>
    </cfRule>
  </conditionalFormatting>
  <conditionalFormatting sqref="F38:F45">
    <cfRule type="cellIs" dxfId="21" priority="1" operator="equal">
      <formula>"YES"</formula>
    </cfRule>
    <cfRule type="cellIs" dxfId="20" priority="2" operator="equal">
      <formula>"NO"</formula>
    </cfRule>
  </conditionalFormatting>
  <conditionalFormatting sqref="J102">
    <cfRule type="expression" dxfId="19" priority="36">
      <formula>LEFT(J102,4)="PASS"</formula>
    </cfRule>
    <cfRule type="expression" dxfId="18" priority="37">
      <formula>LEFT(J102,4)="FAIL"</formula>
    </cfRule>
  </conditionalFormatting>
  <conditionalFormatting sqref="J104:J123">
    <cfRule type="expression" dxfId="17" priority="34">
      <formula>EXACT(J104,"PASS")</formula>
    </cfRule>
    <cfRule type="expression" dxfId="16" priority="35">
      <formula>EXACT(J104,"FAIL")</formula>
    </cfRule>
  </conditionalFormatting>
  <dataValidations count="22">
    <dataValidation type="list" allowBlank="1" showInputMessage="1" showErrorMessage="1" errorTitle="Invalid scenario" error="Pick Base, Downside, or Upside." promptTitle="Scenario" prompt="Choose: Base, Downside, or Upside." sqref="J2" xr:uid="{00000000-0002-0000-0000-000000000000}">
      <formula1>"Base,Downside,Upside"</formula1>
    </dataValidation>
    <dataValidation type="list" allowBlank="1" showInputMessage="1" showErrorMessage="1" errorTitle="Invalid region" error="Pick AU, NZ, or US." promptTitle="Region" prompt="Choose: AU, NZ, or US." sqref="H2" xr:uid="{00000000-0002-0000-0000-000001000000}">
      <formula1>"AU,NZ,US"</formula1>
    </dataValidation>
    <dataValidation type="decimal" operator="greaterThanOrEqual" allowBlank="1" showInputMessage="1" showErrorMessage="1" errorTitle="Invalid input" error="Enter a number ≥ 0 (no text or negatives)." sqref="C10:C14" xr:uid="{00000000-0002-0000-0000-000002000000}">
      <formula1>0</formula1>
    </dataValidation>
    <dataValidation type="decimal" allowBlank="1" showInputMessage="1" showErrorMessage="1" errorTitle="Invalid growth rate" error="Enter a monthly growth rate between -100% and +100%." sqref="C15" xr:uid="{00000000-0002-0000-0000-000003000000}">
      <formula1>-1</formula1>
      <formula2>1</formula2>
    </dataValidation>
    <dataValidation type="list" allowBlank="1" showInputMessage="1" showErrorMessage="1" errorTitle="Invalid" error="Pick TRUE or FALSE." sqref="C21:E21" xr:uid="{00000000-0002-0000-0000-000004000000}">
      <formula1>"TRUE,FALSE"</formula1>
    </dataValidation>
    <dataValidation type="whole" allowBlank="1" showInputMessage="1" showErrorMessage="1" errorTitle="Invalid start month" error="Start month must be a whole number from 1 to 24." sqref="C23:E23" xr:uid="{00000000-0002-0000-0000-000005000000}">
      <formula1>1</formula1>
      <formula2>24</formula2>
    </dataValidation>
    <dataValidation type="decimal" operator="greaterThanOrEqual" allowBlank="1" showInputMessage="1" showErrorMessage="1" errorTitle="Invalid salary" error="Salary must be a number ≥ 0." sqref="C24:E24" xr:uid="{00000000-0002-0000-0000-000006000000}">
      <formula1>0</formula1>
    </dataValidation>
    <dataValidation type="decimal" allowBlank="1" showInputMessage="1" showErrorMessage="1" errorTitle="Invalid on-cost" error="On-cost must be a percentage between 0% and 100%." sqref="C25:E25" xr:uid="{00000000-0002-0000-0000-000007000000}">
      <formula1>0</formula1>
      <formula2>1</formula2>
    </dataValidation>
    <dataValidation type="decimal" operator="greaterThanOrEqual" allowBlank="1" showInputMessage="1" showErrorMessage="1" errorTitle="Invalid benefits" error="Benefits must be a number ≥ 0." sqref="C26:D26" xr:uid="{00000000-0002-0000-0000-000008000000}">
      <formula1>0</formula1>
    </dataValidation>
    <dataValidation type="whole" allowBlank="1" showInputMessage="1" showErrorMessage="1" errorTitle="Invalid ramp" error="Ramp must be a whole number from 1 to 24 months." sqref="C27:E27" xr:uid="{00000000-0002-0000-0000-000009000000}">
      <formula1>1</formula1>
      <formula2>24</formula2>
    </dataValidation>
    <dataValidation type="decimal" allowBlank="1" showInputMessage="1" showErrorMessage="1" errorTitle="Invalid productivity" error="Month-1 productivity must be between 0% and 100%." sqref="C28:E28" xr:uid="{00000000-0002-0000-0000-00000A000000}">
      <formula1>0</formula1>
      <formula2>1</formula2>
    </dataValidation>
    <dataValidation type="decimal" allowBlank="1" showInputMessage="1" showErrorMessage="1" errorTitle="Invalid hours" error="Billable hours per month must be 0–300." sqref="C29:E29" xr:uid="{00000000-0002-0000-0000-00000B000000}">
      <formula1>0</formula1>
      <formula2>300</formula2>
    </dataValidation>
    <dataValidation type="decimal" allowBlank="1" showInputMessage="1" showErrorMessage="1" errorTitle="Invalid utilization" error="Utilization must be between 0% and 100%." sqref="C30:E30" xr:uid="{00000000-0002-0000-0000-00000C000000}">
      <formula1>0</formula1>
      <formula2>1</formula2>
    </dataValidation>
    <dataValidation type="decimal" operator="greaterThanOrEqual" allowBlank="1" showInputMessage="1" showErrorMessage="1" errorTitle="Invalid rate" error="Billable rate must be ≥ 0." sqref="C31:E31" xr:uid="{00000000-0002-0000-0000-00000D000000}">
      <formula1>0</formula1>
    </dataValidation>
    <dataValidation type="whole" allowBlank="1" showInputMessage="1" showErrorMessage="1" errorTitle="Invalid lag" error="Collection lag must be a whole number from 0 to 12 months." sqref="C32:E32" xr:uid="{00000000-0002-0000-0000-00000E000000}">
      <formula1>0</formula1>
      <formula2>12</formula2>
    </dataValidation>
    <dataValidation type="list" allowBlank="1" showInputMessage="1" showErrorMessage="1" sqref="J85" xr:uid="{FEC1D356-F7F3-4842-AC13-59300066FE28}">
      <formula1>$C$20:$J$20</formula1>
    </dataValidation>
    <dataValidation type="list" allowBlank="1" showInputMessage="1" showErrorMessage="1" sqref="F21:J21" xr:uid="{FFC17FB3-6217-3540-8286-EEE055B114E2}">
      <formula1>"TRUE,FALSE"</formula1>
    </dataValidation>
    <dataValidation type="whole" allowBlank="1" showInputMessage="1" showErrorMessage="1" sqref="F23:J23 F27:J27" xr:uid="{EAB1EB64-95EB-E845-B2B3-21ED0CEC13F8}">
      <formula1>1</formula1>
      <formula2>24</formula2>
    </dataValidation>
    <dataValidation type="decimal" operator="greaterThanOrEqual" allowBlank="1" showInputMessage="1" showErrorMessage="1" sqref="F24:J24 E26:J26 F31:J31 G13:I14" xr:uid="{5FE74864-2656-DA4E-B81A-88F2AD711A9C}">
      <formula1>0</formula1>
    </dataValidation>
    <dataValidation type="decimal" allowBlank="1" showInputMessage="1" showErrorMessage="1" sqref="F25:J25 F28:J28 F30:J30" xr:uid="{6CA8B967-8409-4E48-B5C1-C2FBB176E2B0}">
      <formula1>0</formula1>
      <formula2>1</formula2>
    </dataValidation>
    <dataValidation type="decimal" allowBlank="1" showInputMessage="1" showErrorMessage="1" sqref="F29:J29" xr:uid="{AE9ECD6E-C54E-2047-A79A-45050E3CEB77}">
      <formula1>0</formula1>
      <formula2>300</formula2>
    </dataValidation>
    <dataValidation type="whole" allowBlank="1" showInputMessage="1" showErrorMessage="1" sqref="F32:J32 J13:J14" xr:uid="{6A8FF26B-6903-5D47-8F50-06CDCB5BD514}">
      <formula1>0</formula1>
      <formula2>12</formula2>
    </dataValidation>
  </dataValidations>
  <hyperlinks>
    <hyperlink ref="B83" r:id="rId1" tooltip="Book a fit call · Infraxus" xr:uid="{D3C14096-2413-BE4F-A952-D2FAE7E3333F}"/>
  </hyperlinks>
  <printOptions horizontalCentered="1"/>
  <pageMargins left="0.4" right="0.4" top="0.5" bottom="0.5" header="0.3" footer="0.3"/>
  <pageSetup fitToHeight="0" orientation="landscape"/>
  <headerFooter>
    <oddHeader>&amp;L&amp;9 &amp;K8896B3Infraxus · Hire Impact Calculator&amp;R&amp;9 &amp;K8896B3&amp;D</oddHeader>
    <oddFooter>&amp;L&amp;9 &amp;K8896B3infraxus.com&amp;R&amp;9 &amp;K8896B3Page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4EFB-F730-734A-92A8-A8C3E3F07B6E}">
  <sheetPr>
    <tabColor rgb="FF8896B3"/>
    <pageSetUpPr fitToPage="1"/>
  </sheetPr>
  <dimension ref="A1:DO131"/>
  <sheetViews>
    <sheetView showGridLines="0" zoomScale="130" zoomScaleNormal="130" workbookViewId="0">
      <pane xSplit="1" ySplit="4" topLeftCell="B5" activePane="bottomRight" state="frozen"/>
      <selection pane="topRight"/>
      <selection pane="bottomLeft"/>
      <selection pane="bottomRight" activeCell="B83" sqref="B83:J83"/>
    </sheetView>
  </sheetViews>
  <sheetFormatPr baseColWidth="10" defaultColWidth="8.83203125" defaultRowHeight="15" x14ac:dyDescent="0.2"/>
  <cols>
    <col min="1" max="1" width="2" style="60" customWidth="1"/>
    <col min="2" max="2" width="30" style="60" customWidth="1"/>
    <col min="3" max="10" width="17" style="60" customWidth="1"/>
    <col min="11" max="11" width="2" style="60" customWidth="1"/>
    <col min="12" max="12" width="1.5" style="60" hidden="1" customWidth="1"/>
    <col min="13" max="110" width="14" style="60" hidden="1" customWidth="1"/>
    <col min="111" max="115" width="8.83203125" style="60"/>
    <col min="116" max="116" width="9.1640625" style="60" bestFit="1" customWidth="1"/>
    <col min="117" max="16384" width="8.83203125" style="60"/>
  </cols>
  <sheetData>
    <row r="1" spans="1:119" ht="8" customHeight="1" x14ac:dyDescent="0.2">
      <c r="A1" s="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row>
    <row r="2" spans="1:119" ht="30" customHeight="1" x14ac:dyDescent="0.2">
      <c r="A2" s="1"/>
      <c r="B2" s="1"/>
      <c r="C2" s="86" t="s">
        <v>0</v>
      </c>
      <c r="D2" s="85"/>
      <c r="E2" s="85"/>
      <c r="F2" s="85"/>
      <c r="G2" s="3" t="s">
        <v>1</v>
      </c>
      <c r="H2" s="4" t="s">
        <v>2</v>
      </c>
      <c r="I2" s="3" t="s">
        <v>3</v>
      </c>
      <c r="J2" s="4" t="s">
        <v>4</v>
      </c>
      <c r="K2" s="1"/>
      <c r="L2" s="2"/>
      <c r="M2" s="5" t="s">
        <v>5</v>
      </c>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row>
    <row r="3" spans="1:119" ht="22" customHeight="1" x14ac:dyDescent="0.2">
      <c r="A3" s="1"/>
      <c r="B3" s="88" t="s">
        <v>6</v>
      </c>
      <c r="C3" s="85"/>
      <c r="D3" s="85"/>
      <c r="E3" s="85"/>
      <c r="F3" s="85"/>
      <c r="G3" s="90" t="s">
        <v>7</v>
      </c>
      <c r="H3" s="85"/>
      <c r="I3" s="85"/>
      <c r="J3" s="85"/>
      <c r="K3" s="1"/>
      <c r="L3" s="2"/>
      <c r="M3" s="6" t="s">
        <v>8</v>
      </c>
      <c r="N3" s="7" t="s">
        <v>9</v>
      </c>
      <c r="O3" s="7" t="s">
        <v>10</v>
      </c>
      <c r="P3" s="6" t="s">
        <v>11</v>
      </c>
      <c r="Q3" s="6" t="s">
        <v>12</v>
      </c>
      <c r="R3" s="6" t="s">
        <v>13</v>
      </c>
      <c r="S3" s="6" t="s">
        <v>14</v>
      </c>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row>
    <row r="4" spans="1:119" ht="10" customHeight="1" x14ac:dyDescent="0.2">
      <c r="A4" s="1"/>
      <c r="B4" s="1"/>
      <c r="C4" s="1"/>
      <c r="D4" s="1"/>
      <c r="E4" s="1"/>
      <c r="F4" s="1"/>
      <c r="G4" s="1"/>
      <c r="H4" s="1"/>
      <c r="I4" s="1"/>
      <c r="J4" s="1"/>
      <c r="K4" s="1"/>
      <c r="L4" s="2"/>
      <c r="M4" s="8" t="s">
        <v>2</v>
      </c>
      <c r="N4" s="9">
        <v>0.185</v>
      </c>
      <c r="O4" s="10">
        <v>100</v>
      </c>
      <c r="P4" s="8" t="s">
        <v>15</v>
      </c>
      <c r="Q4" s="8" t="s">
        <v>16</v>
      </c>
      <c r="R4" s="8" t="s">
        <v>17</v>
      </c>
      <c r="S4" s="8" t="s">
        <v>18</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row>
    <row r="5" spans="1:119" x14ac:dyDescent="0.2">
      <c r="A5" s="1"/>
      <c r="B5" s="1"/>
      <c r="C5" s="1"/>
      <c r="D5" s="1"/>
      <c r="E5" s="1"/>
      <c r="F5" s="1"/>
      <c r="G5" s="1"/>
      <c r="H5" s="1"/>
      <c r="I5" s="1"/>
      <c r="J5" s="1"/>
      <c r="K5" s="1"/>
      <c r="L5" s="2"/>
      <c r="M5" s="8" t="s">
        <v>19</v>
      </c>
      <c r="N5" s="9">
        <v>4.4999999999999998E-2</v>
      </c>
      <c r="O5" s="10">
        <v>100</v>
      </c>
      <c r="P5" s="8" t="s">
        <v>20</v>
      </c>
      <c r="Q5" s="8" t="s">
        <v>21</v>
      </c>
      <c r="R5" s="8" t="s">
        <v>22</v>
      </c>
      <c r="S5" s="8" t="s">
        <v>23</v>
      </c>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row>
    <row r="6" spans="1:119" ht="22" customHeight="1" x14ac:dyDescent="0.2">
      <c r="A6" s="1"/>
      <c r="B6" s="11" t="s">
        <v>24</v>
      </c>
      <c r="C6" s="12" t="s">
        <v>25</v>
      </c>
      <c r="D6" s="13" t="s">
        <v>26</v>
      </c>
      <c r="E6" s="14" t="s">
        <v>25</v>
      </c>
      <c r="F6" s="13" t="s">
        <v>27</v>
      </c>
      <c r="G6" s="15" t="s">
        <v>25</v>
      </c>
      <c r="H6" s="13" t="s">
        <v>28</v>
      </c>
      <c r="I6" s="16" t="s">
        <v>25</v>
      </c>
      <c r="J6" s="13" t="s">
        <v>29</v>
      </c>
      <c r="K6" s="1"/>
      <c r="L6" s="2"/>
      <c r="M6" s="8" t="s">
        <v>30</v>
      </c>
      <c r="N6" s="9">
        <v>0.105</v>
      </c>
      <c r="O6" s="10">
        <v>700</v>
      </c>
      <c r="P6" s="8" t="s">
        <v>31</v>
      </c>
      <c r="Q6" s="8" t="s">
        <v>32</v>
      </c>
      <c r="R6" s="8" t="s">
        <v>33</v>
      </c>
      <c r="S6" s="8" t="s">
        <v>34</v>
      </c>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row>
    <row r="7" spans="1:119" ht="4" customHeight="1" x14ac:dyDescent="0.2">
      <c r="A7" s="1"/>
      <c r="B7" s="1"/>
      <c r="C7" s="1"/>
      <c r="D7" s="1"/>
      <c r="E7" s="1"/>
      <c r="F7" s="1"/>
      <c r="G7" s="1"/>
      <c r="H7" s="1"/>
      <c r="I7" s="1"/>
      <c r="J7" s="1"/>
      <c r="K7" s="1"/>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row>
    <row r="8" spans="1:119" x14ac:dyDescent="0.2">
      <c r="A8" s="1"/>
      <c r="B8" s="1"/>
      <c r="C8" s="1"/>
      <c r="D8" s="1"/>
      <c r="E8" s="1"/>
      <c r="F8" s="1"/>
      <c r="G8" s="1"/>
      <c r="H8" s="1"/>
      <c r="I8" s="1"/>
      <c r="J8" s="1"/>
      <c r="K8" s="1"/>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17"/>
      <c r="DK8" s="2"/>
      <c r="DL8" s="2"/>
      <c r="DM8" s="2"/>
    </row>
    <row r="9" spans="1:119" ht="22" customHeight="1" x14ac:dyDescent="0.2">
      <c r="A9" s="1"/>
      <c r="B9" s="5" t="s">
        <v>35</v>
      </c>
      <c r="C9" s="48" t="s">
        <v>36</v>
      </c>
      <c r="D9" s="48"/>
      <c r="E9" s="48"/>
      <c r="F9" s="45" t="s">
        <v>195</v>
      </c>
      <c r="G9" s="48"/>
      <c r="H9" s="48"/>
      <c r="I9" s="48"/>
      <c r="J9" s="48"/>
      <c r="K9" s="1"/>
      <c r="L9" s="2"/>
      <c r="M9" s="5" t="s">
        <v>37</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row>
    <row r="10" spans="1:119" ht="22" customHeight="1" x14ac:dyDescent="0.2">
      <c r="A10" s="1"/>
      <c r="B10" s="8" t="s">
        <v>38</v>
      </c>
      <c r="C10" s="67">
        <v>1000000</v>
      </c>
      <c r="D10" s="2"/>
      <c r="E10" s="2"/>
      <c r="F10" s="2"/>
      <c r="G10" s="2"/>
      <c r="H10" s="2" t="s">
        <v>197</v>
      </c>
      <c r="I10" s="2"/>
      <c r="J10" s="2"/>
      <c r="K10" s="1"/>
      <c r="L10" s="2"/>
      <c r="M10" s="6" t="s">
        <v>39</v>
      </c>
      <c r="N10" s="7" t="s">
        <v>40</v>
      </c>
      <c r="O10" s="7" t="s">
        <v>41</v>
      </c>
      <c r="P10" s="7" t="s">
        <v>42</v>
      </c>
      <c r="Q10" s="7" t="s">
        <v>43</v>
      </c>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17"/>
      <c r="DK10" s="17"/>
      <c r="DL10" s="17"/>
      <c r="DM10" s="17"/>
    </row>
    <row r="11" spans="1:119" ht="22" customHeight="1" x14ac:dyDescent="0.2">
      <c r="A11" s="1"/>
      <c r="B11" s="8" t="s">
        <v>45</v>
      </c>
      <c r="C11" s="67">
        <v>250000</v>
      </c>
      <c r="D11" s="2"/>
      <c r="E11" s="2"/>
      <c r="F11" s="46" t="s">
        <v>196</v>
      </c>
      <c r="G11" s="47" t="s">
        <v>40</v>
      </c>
      <c r="H11" s="47" t="s">
        <v>41</v>
      </c>
      <c r="I11" s="47" t="s">
        <v>42</v>
      </c>
      <c r="J11" s="47" t="s">
        <v>43</v>
      </c>
      <c r="K11" s="1"/>
      <c r="L11" s="2"/>
      <c r="M11" s="8" t="s">
        <v>4</v>
      </c>
      <c r="N11" s="9">
        <f t="shared" ref="N11:Q13" si="0">G12</f>
        <v>1</v>
      </c>
      <c r="O11" s="9">
        <f t="shared" si="0"/>
        <v>1</v>
      </c>
      <c r="P11" s="9">
        <f t="shared" si="0"/>
        <v>1</v>
      </c>
      <c r="Q11" s="18">
        <f t="shared" si="0"/>
        <v>0</v>
      </c>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19"/>
      <c r="DK11" s="20"/>
      <c r="DL11" s="20"/>
      <c r="DM11" s="20"/>
      <c r="DO11" s="66"/>
    </row>
    <row r="12" spans="1:119" ht="22" customHeight="1" x14ac:dyDescent="0.2">
      <c r="A12" s="1"/>
      <c r="B12" s="8" t="s">
        <v>46</v>
      </c>
      <c r="C12" s="67">
        <v>550000</v>
      </c>
      <c r="D12" s="2"/>
      <c r="E12" s="2"/>
      <c r="F12" s="64" t="s">
        <v>4</v>
      </c>
      <c r="G12" s="49">
        <v>1</v>
      </c>
      <c r="H12" s="49">
        <v>1</v>
      </c>
      <c r="I12" s="49">
        <v>1</v>
      </c>
      <c r="J12" s="50">
        <v>0</v>
      </c>
      <c r="K12" s="1"/>
      <c r="L12" s="2"/>
      <c r="M12" s="8" t="s">
        <v>47</v>
      </c>
      <c r="N12" s="9">
        <f t="shared" si="0"/>
        <v>0.9</v>
      </c>
      <c r="O12" s="9">
        <f t="shared" si="0"/>
        <v>0.9</v>
      </c>
      <c r="P12" s="9">
        <f t="shared" si="0"/>
        <v>1.05</v>
      </c>
      <c r="Q12" s="18">
        <f t="shared" si="0"/>
        <v>1</v>
      </c>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19"/>
      <c r="DK12" s="20"/>
      <c r="DL12" s="20"/>
      <c r="DM12" s="20"/>
      <c r="DO12" s="66"/>
    </row>
    <row r="13" spans="1:119" ht="22" customHeight="1" x14ac:dyDescent="0.2">
      <c r="A13" s="1"/>
      <c r="B13" s="8" t="s">
        <v>48</v>
      </c>
      <c r="C13" s="67">
        <v>800000</v>
      </c>
      <c r="D13" s="2"/>
      <c r="E13" s="2"/>
      <c r="F13" s="64" t="s">
        <v>47</v>
      </c>
      <c r="G13" s="69">
        <v>0.9</v>
      </c>
      <c r="H13" s="69">
        <v>0.9</v>
      </c>
      <c r="I13" s="69">
        <v>1.05</v>
      </c>
      <c r="J13" s="70">
        <v>1</v>
      </c>
      <c r="K13" s="1"/>
      <c r="L13" s="2"/>
      <c r="M13" s="8" t="s">
        <v>49</v>
      </c>
      <c r="N13" s="9">
        <f t="shared" si="0"/>
        <v>1.05</v>
      </c>
      <c r="O13" s="9">
        <f t="shared" si="0"/>
        <v>1.08</v>
      </c>
      <c r="P13" s="9">
        <f t="shared" si="0"/>
        <v>1</v>
      </c>
      <c r="Q13" s="18">
        <f t="shared" si="0"/>
        <v>0</v>
      </c>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19"/>
      <c r="DK13" s="20"/>
      <c r="DL13" s="20"/>
      <c r="DM13" s="20"/>
      <c r="DO13" s="66"/>
    </row>
    <row r="14" spans="1:119" ht="22" customHeight="1" x14ac:dyDescent="0.2">
      <c r="A14" s="1"/>
      <c r="B14" s="8" t="s">
        <v>50</v>
      </c>
      <c r="C14" s="67">
        <v>400000</v>
      </c>
      <c r="D14" s="2"/>
      <c r="E14" s="2"/>
      <c r="F14" s="64" t="s">
        <v>49</v>
      </c>
      <c r="G14" s="69">
        <v>1.05</v>
      </c>
      <c r="H14" s="69">
        <v>1.08</v>
      </c>
      <c r="I14" s="69">
        <v>1</v>
      </c>
      <c r="J14" s="70">
        <v>0</v>
      </c>
      <c r="K14" s="1"/>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19"/>
      <c r="DK14" s="20"/>
      <c r="DL14" s="20"/>
      <c r="DM14" s="20"/>
      <c r="DO14" s="66"/>
    </row>
    <row r="15" spans="1:119" ht="22" customHeight="1" x14ac:dyDescent="0.2">
      <c r="A15" s="1"/>
      <c r="B15" s="8" t="s">
        <v>51</v>
      </c>
      <c r="C15" s="68">
        <v>0.01</v>
      </c>
      <c r="D15" s="2"/>
      <c r="E15" s="2"/>
      <c r="F15" s="2"/>
      <c r="G15" s="2"/>
      <c r="H15" s="2"/>
      <c r="I15" s="2"/>
      <c r="J15" s="2"/>
      <c r="K15" s="1"/>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19"/>
      <c r="DK15" s="20"/>
      <c r="DL15" s="20"/>
      <c r="DM15" s="20"/>
      <c r="DO15" s="66"/>
    </row>
    <row r="16" spans="1:119" ht="4" customHeight="1" x14ac:dyDescent="0.2">
      <c r="A16" s="1"/>
      <c r="B16" s="1"/>
      <c r="C16" s="1"/>
      <c r="D16" s="1"/>
      <c r="E16" s="1"/>
      <c r="F16" s="1"/>
      <c r="G16" s="1"/>
      <c r="H16" s="1"/>
      <c r="I16" s="1"/>
      <c r="J16" s="1"/>
      <c r="K16" s="1"/>
      <c r="L16" s="2"/>
      <c r="M16" s="5" t="s">
        <v>52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19"/>
      <c r="DK16" s="20"/>
      <c r="DL16" s="20"/>
      <c r="DM16" s="20"/>
      <c r="DO16" s="66"/>
    </row>
    <row r="17" spans="1:119" x14ac:dyDescent="0.2">
      <c r="A17" s="1"/>
      <c r="B17" s="1"/>
      <c r="C17" s="1"/>
      <c r="D17" s="1"/>
      <c r="E17" s="1"/>
      <c r="F17" s="1"/>
      <c r="G17" s="1"/>
      <c r="H17" s="1"/>
      <c r="I17" s="1"/>
      <c r="J17" s="1"/>
      <c r="K17" s="1"/>
      <c r="L17" s="2"/>
      <c r="M17" s="6" t="s">
        <v>40</v>
      </c>
      <c r="N17" s="9">
        <f>INDEX(ref_scn_rev_all,MATCH(inp_scn_active,ref_scn_codes,0))</f>
        <v>1</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19"/>
      <c r="DK17" s="20"/>
      <c r="DL17" s="20"/>
      <c r="DM17" s="20"/>
      <c r="DO17" s="66"/>
    </row>
    <row r="18" spans="1:119" x14ac:dyDescent="0.2">
      <c r="A18" s="1"/>
      <c r="B18" s="1"/>
      <c r="C18" s="1"/>
      <c r="D18" s="1"/>
      <c r="E18" s="1"/>
      <c r="F18" s="1"/>
      <c r="G18" s="1"/>
      <c r="H18" s="1"/>
      <c r="I18" s="1"/>
      <c r="J18" s="1"/>
      <c r="K18" s="1"/>
      <c r="L18" s="2"/>
      <c r="M18" s="6" t="s">
        <v>41</v>
      </c>
      <c r="N18" s="9">
        <f>INDEX(ref_scn_util_all,MATCH(inp_scn_active,ref_scn_codes,0))</f>
        <v>1</v>
      </c>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19"/>
      <c r="DK18" s="20"/>
      <c r="DL18" s="20"/>
      <c r="DM18" s="20"/>
      <c r="DO18" s="66"/>
    </row>
    <row r="19" spans="1:119" ht="22" customHeight="1" x14ac:dyDescent="0.2">
      <c r="A19" s="1"/>
      <c r="B19" s="5" t="s">
        <v>53</v>
      </c>
      <c r="C19" s="1"/>
      <c r="D19" s="1"/>
      <c r="E19" s="1"/>
      <c r="F19" s="1"/>
      <c r="G19" s="1"/>
      <c r="H19" s="1"/>
      <c r="I19" s="1"/>
      <c r="J19" s="1"/>
      <c r="K19" s="1"/>
      <c r="L19" s="2"/>
      <c r="M19" s="6" t="s">
        <v>42</v>
      </c>
      <c r="N19" s="9">
        <f>INDEX(ref_scn_cost_all,MATCH(inp_scn_active,ref_scn_codes,0))</f>
        <v>1</v>
      </c>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19"/>
      <c r="DK19" s="20"/>
      <c r="DL19" s="20"/>
      <c r="DM19" s="20"/>
      <c r="DO19" s="66"/>
    </row>
    <row r="20" spans="1:119" ht="22" customHeight="1" x14ac:dyDescent="0.2">
      <c r="A20" s="1"/>
      <c r="B20" s="6" t="s">
        <v>54</v>
      </c>
      <c r="C20" s="21" t="s">
        <v>55</v>
      </c>
      <c r="D20" s="21" t="s">
        <v>56</v>
      </c>
      <c r="E20" s="21" t="s">
        <v>57</v>
      </c>
      <c r="F20" s="51" t="s">
        <v>198</v>
      </c>
      <c r="G20" s="51" t="s">
        <v>199</v>
      </c>
      <c r="H20" s="51" t="s">
        <v>200</v>
      </c>
      <c r="I20" s="51" t="s">
        <v>201</v>
      </c>
      <c r="J20" s="51" t="s">
        <v>202</v>
      </c>
      <c r="K20" s="1"/>
      <c r="L20" s="2"/>
      <c r="M20" s="6" t="s">
        <v>58</v>
      </c>
      <c r="N20" s="18">
        <f>INDEX(ref_scn_collect_all,MATCH(inp_scn_active,ref_scn_codes,0))</f>
        <v>0</v>
      </c>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19"/>
      <c r="DK20" s="20"/>
      <c r="DL20" s="20"/>
      <c r="DM20" s="20"/>
      <c r="DO20" s="66"/>
    </row>
    <row r="21" spans="1:119" ht="22" customHeight="1" x14ac:dyDescent="0.2">
      <c r="A21" s="1"/>
      <c r="B21" s="8" t="s">
        <v>59</v>
      </c>
      <c r="C21" s="71" t="b">
        <v>1</v>
      </c>
      <c r="D21" s="71" t="b">
        <v>1</v>
      </c>
      <c r="E21" s="71" t="b">
        <v>1</v>
      </c>
      <c r="F21" s="71" t="b">
        <v>1</v>
      </c>
      <c r="G21" s="71" t="b">
        <v>1</v>
      </c>
      <c r="H21" s="71" t="b">
        <v>1</v>
      </c>
      <c r="I21" s="71" t="b">
        <v>0</v>
      </c>
      <c r="J21" s="71" t="b">
        <v>0</v>
      </c>
      <c r="K21" s="1"/>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19"/>
      <c r="DK21" s="20"/>
      <c r="DL21" s="20"/>
      <c r="DM21" s="20"/>
      <c r="DO21" s="66"/>
    </row>
    <row r="22" spans="1:119" ht="44" customHeight="1" x14ac:dyDescent="0.2">
      <c r="A22" s="1"/>
      <c r="B22" s="8" t="s">
        <v>60</v>
      </c>
      <c r="C22" s="72" t="s">
        <v>61</v>
      </c>
      <c r="D22" s="73" t="s">
        <v>246</v>
      </c>
      <c r="E22" s="72" t="s">
        <v>247</v>
      </c>
      <c r="F22" s="74" t="s">
        <v>248</v>
      </c>
      <c r="G22" s="74" t="s">
        <v>249</v>
      </c>
      <c r="H22" s="74" t="s">
        <v>250</v>
      </c>
      <c r="I22" s="74"/>
      <c r="J22" s="74"/>
      <c r="K22" s="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19"/>
      <c r="DK22" s="20"/>
      <c r="DL22" s="20"/>
      <c r="DM22" s="20"/>
      <c r="DO22" s="66"/>
    </row>
    <row r="23" spans="1:119" ht="22" customHeight="1" x14ac:dyDescent="0.2">
      <c r="A23" s="1"/>
      <c r="B23" s="8" t="s">
        <v>62</v>
      </c>
      <c r="C23" s="75">
        <v>1</v>
      </c>
      <c r="D23" s="76">
        <v>2</v>
      </c>
      <c r="E23" s="75">
        <v>1</v>
      </c>
      <c r="F23" s="70">
        <v>3</v>
      </c>
      <c r="G23" s="70">
        <v>2</v>
      </c>
      <c r="H23" s="70">
        <v>1</v>
      </c>
      <c r="I23" s="70"/>
      <c r="J23" s="70"/>
      <c r="K23" s="1"/>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19"/>
      <c r="DK23" s="20"/>
      <c r="DL23" s="20"/>
      <c r="DM23" s="20"/>
      <c r="DO23" s="66"/>
    </row>
    <row r="24" spans="1:119" ht="22" customHeight="1" x14ac:dyDescent="0.2">
      <c r="A24" s="1"/>
      <c r="B24" s="8" t="s">
        <v>63</v>
      </c>
      <c r="C24" s="77">
        <v>160000</v>
      </c>
      <c r="D24" s="67">
        <v>195000</v>
      </c>
      <c r="E24" s="77">
        <v>110000</v>
      </c>
      <c r="F24" s="78">
        <v>240000</v>
      </c>
      <c r="G24" s="78">
        <v>75000</v>
      </c>
      <c r="H24" s="78">
        <v>130000</v>
      </c>
      <c r="I24" s="78"/>
      <c r="J24" s="78"/>
      <c r="K24" s="1"/>
      <c r="L24" s="2"/>
      <c r="M24" s="5" t="s">
        <v>64</v>
      </c>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19"/>
      <c r="DK24" s="20"/>
      <c r="DL24" s="20"/>
      <c r="DM24" s="20"/>
      <c r="DO24" s="66"/>
    </row>
    <row r="25" spans="1:119" ht="22" customHeight="1" x14ac:dyDescent="0.2">
      <c r="A25" s="1"/>
      <c r="B25" s="8" t="s">
        <v>65</v>
      </c>
      <c r="C25" s="52">
        <f t="shared" ref="C25:J25" si="1">IFERROR(INDEX(ref_region_oncost_all,MATCH(inp_biz_region,ref_region_codes,0)),0)</f>
        <v>0.185</v>
      </c>
      <c r="D25" s="52">
        <f t="shared" si="1"/>
        <v>0.185</v>
      </c>
      <c r="E25" s="52">
        <f t="shared" si="1"/>
        <v>0.185</v>
      </c>
      <c r="F25" s="52">
        <f t="shared" si="1"/>
        <v>0.185</v>
      </c>
      <c r="G25" s="52">
        <f t="shared" si="1"/>
        <v>0.185</v>
      </c>
      <c r="H25" s="52">
        <f t="shared" si="1"/>
        <v>0.185</v>
      </c>
      <c r="I25" s="52">
        <f t="shared" si="1"/>
        <v>0.185</v>
      </c>
      <c r="J25" s="52">
        <f t="shared" si="1"/>
        <v>0.185</v>
      </c>
      <c r="K25" s="1"/>
      <c r="L25" s="2"/>
      <c r="M25" s="6" t="s">
        <v>44</v>
      </c>
      <c r="N25"/>
      <c r="O25"/>
      <c r="P25"/>
      <c r="Q25"/>
      <c r="R25"/>
      <c r="S25"/>
      <c r="T25"/>
      <c r="U25"/>
      <c r="V25"/>
      <c r="W25"/>
      <c r="X25"/>
      <c r="Y25"/>
      <c r="Z25" s="7" t="s">
        <v>78</v>
      </c>
      <c r="AA25" s="7" t="s">
        <v>79</v>
      </c>
      <c r="AB25" s="7" t="s">
        <v>80</v>
      </c>
      <c r="AC25" s="7" t="s">
        <v>81</v>
      </c>
      <c r="AD25" s="7" t="s">
        <v>82</v>
      </c>
      <c r="AE25" s="7" t="s">
        <v>83</v>
      </c>
      <c r="AF25" s="7" t="s">
        <v>84</v>
      </c>
      <c r="AG25" s="7" t="s">
        <v>85</v>
      </c>
      <c r="AH25" s="7" t="s">
        <v>86</v>
      </c>
      <c r="AI25" s="7" t="s">
        <v>87</v>
      </c>
      <c r="AJ25"/>
      <c r="AK25"/>
      <c r="AL25"/>
      <c r="AM25" s="7" t="s">
        <v>88</v>
      </c>
      <c r="AN25" s="7" t="s">
        <v>89</v>
      </c>
      <c r="AO25" s="7" t="s">
        <v>90</v>
      </c>
      <c r="AP25" s="2"/>
      <c r="AQ25" s="2"/>
      <c r="AR25" s="2"/>
      <c r="AS25"/>
      <c r="AT25"/>
      <c r="AU25"/>
      <c r="AV25" s="7" t="s">
        <v>94</v>
      </c>
      <c r="AW25" s="7" t="s">
        <v>95</v>
      </c>
      <c r="AX25" s="7" t="s">
        <v>96</v>
      </c>
      <c r="AY25" s="7" t="s">
        <v>97</v>
      </c>
      <c r="AZ25" s="7" t="s">
        <v>98</v>
      </c>
      <c r="BA25" s="7" t="s">
        <v>99</v>
      </c>
      <c r="BB25" s="2"/>
      <c r="BC25" s="23" t="s">
        <v>44</v>
      </c>
      <c r="BD25" s="23" t="s">
        <v>66</v>
      </c>
      <c r="BE25" s="23" t="s">
        <v>67</v>
      </c>
      <c r="BF25" s="2" t="s">
        <v>68</v>
      </c>
      <c r="BG25" s="2" t="s">
        <v>69</v>
      </c>
      <c r="BH25" s="2" t="s">
        <v>70</v>
      </c>
      <c r="BI25" s="2" t="s">
        <v>71</v>
      </c>
      <c r="BJ25" s="2" t="s">
        <v>72</v>
      </c>
      <c r="BK25" s="2" t="s">
        <v>73</v>
      </c>
      <c r="BL25" s="2" t="s">
        <v>74</v>
      </c>
      <c r="BM25" s="2" t="s">
        <v>75</v>
      </c>
      <c r="BN25" s="2" t="s">
        <v>76</v>
      </c>
      <c r="BO25" s="2" t="s">
        <v>77</v>
      </c>
      <c r="BP25" s="2" t="s">
        <v>203</v>
      </c>
      <c r="BQ25" s="2" t="s">
        <v>204</v>
      </c>
      <c r="BR25" s="2" t="s">
        <v>205</v>
      </c>
      <c r="BS25" s="2" t="s">
        <v>206</v>
      </c>
      <c r="BT25" s="2" t="s">
        <v>207</v>
      </c>
      <c r="BU25" s="2" t="s">
        <v>208</v>
      </c>
      <c r="BV25" s="2" t="s">
        <v>209</v>
      </c>
      <c r="BW25" s="2" t="s">
        <v>210</v>
      </c>
      <c r="BX25" s="2" t="s">
        <v>211</v>
      </c>
      <c r="BY25" s="2" t="s">
        <v>212</v>
      </c>
      <c r="BZ25" s="2" t="s">
        <v>213</v>
      </c>
      <c r="CA25" s="2" t="s">
        <v>214</v>
      </c>
      <c r="CB25" s="2" t="s">
        <v>215</v>
      </c>
      <c r="CC25" s="2" t="s">
        <v>216</v>
      </c>
      <c r="CD25" s="2" t="s">
        <v>217</v>
      </c>
      <c r="CE25" s="2" t="s">
        <v>218</v>
      </c>
      <c r="CF25" s="2" t="s">
        <v>219</v>
      </c>
      <c r="CG25" s="2" t="s">
        <v>220</v>
      </c>
      <c r="CH25" s="2" t="s">
        <v>221</v>
      </c>
      <c r="CI25" s="2" t="s">
        <v>222</v>
      </c>
      <c r="CJ25" s="2"/>
      <c r="CK25" s="2"/>
      <c r="CL25" s="2"/>
      <c r="CM25" s="2" t="s">
        <v>91</v>
      </c>
      <c r="CN25" s="2" t="s">
        <v>92</v>
      </c>
      <c r="CO25" s="2" t="s">
        <v>93</v>
      </c>
      <c r="CP25" s="2" t="s">
        <v>223</v>
      </c>
      <c r="CQ25" s="2" t="s">
        <v>224</v>
      </c>
      <c r="CR25" s="2" t="s">
        <v>225</v>
      </c>
      <c r="CS25" s="2" t="s">
        <v>226</v>
      </c>
      <c r="CT25" s="2" t="s">
        <v>227</v>
      </c>
      <c r="CU25" s="2"/>
      <c r="CV25" s="2" t="s">
        <v>238</v>
      </c>
      <c r="CW25" s="2" t="s">
        <v>239</v>
      </c>
      <c r="CX25" s="2" t="s">
        <v>240</v>
      </c>
      <c r="CY25" s="2" t="s">
        <v>241</v>
      </c>
      <c r="CZ25" s="2" t="s">
        <v>242</v>
      </c>
      <c r="DA25" s="2" t="s">
        <v>243</v>
      </c>
      <c r="DB25" s="2" t="s">
        <v>244</v>
      </c>
      <c r="DC25" s="2" t="s">
        <v>245</v>
      </c>
      <c r="DD25" s="2"/>
      <c r="DE25" s="2"/>
      <c r="DF25" s="2"/>
      <c r="DG25" s="2"/>
      <c r="DH25" s="2"/>
      <c r="DI25" s="2"/>
      <c r="DJ25" s="19"/>
      <c r="DK25" s="20"/>
      <c r="DL25" s="20"/>
      <c r="DM25" s="20"/>
      <c r="DO25" s="66"/>
    </row>
    <row r="26" spans="1:119" ht="22" customHeight="1" x14ac:dyDescent="0.2">
      <c r="A26" s="1"/>
      <c r="B26" s="8" t="s">
        <v>100</v>
      </c>
      <c r="C26" s="53">
        <f t="shared" ref="C26:J26" si="2">IFERROR(INDEX(ref_region_benefits_all,MATCH(inp_biz_region,ref_region_codes,0)),0)</f>
        <v>100</v>
      </c>
      <c r="D26" s="53">
        <f t="shared" si="2"/>
        <v>100</v>
      </c>
      <c r="E26" s="53">
        <f t="shared" si="2"/>
        <v>100</v>
      </c>
      <c r="F26" s="53">
        <f t="shared" si="2"/>
        <v>100</v>
      </c>
      <c r="G26" s="53">
        <f t="shared" si="2"/>
        <v>100</v>
      </c>
      <c r="H26" s="53">
        <f t="shared" si="2"/>
        <v>100</v>
      </c>
      <c r="I26" s="53">
        <f t="shared" si="2"/>
        <v>100</v>
      </c>
      <c r="J26" s="53">
        <f t="shared" si="2"/>
        <v>100</v>
      </c>
      <c r="K26" s="1"/>
      <c r="L26" s="2"/>
      <c r="M26" s="18">
        <v>1</v>
      </c>
      <c r="N26"/>
      <c r="O26"/>
      <c r="P26"/>
      <c r="Q26"/>
      <c r="R26"/>
      <c r="S26"/>
      <c r="T26"/>
      <c r="U26"/>
      <c r="V26"/>
      <c r="W26"/>
      <c r="X26"/>
      <c r="Y26"/>
      <c r="Z26" s="10">
        <f>inp_biz_revenue_m0*(1+inp_biz_rev_growth)^(1-1)*calc_scn_rev_mult</f>
        <v>1000000</v>
      </c>
      <c r="AA26" s="10">
        <f t="shared" ref="AA26" si="3">inp_biz_opex_m0*calc_scn_cost_mult</f>
        <v>250000</v>
      </c>
      <c r="AB26" s="10">
        <f t="shared" ref="AB26" si="4">inp_biz_payroll_m0*calc_scn_cost_mult</f>
        <v>550000</v>
      </c>
      <c r="AC26" s="10">
        <f t="shared" ref="AC26:AC49" si="5">Z26-AA26-AB26</f>
        <v>200000</v>
      </c>
      <c r="AD26" s="10">
        <f>inp_biz_cash_open+SUM(AC$26:AC26)</f>
        <v>1000000</v>
      </c>
      <c r="AE26" s="10">
        <f t="shared" ref="AE26:AE49" si="6">BD26+BH26+BL26+BP26+BT26+BX26+CB26+CF26</f>
        <v>39800</v>
      </c>
      <c r="AF26" s="10">
        <f t="shared" ref="AF26:AF49" si="7">BF26+BJ26+BN26+BR26+BV26+BZ26+CD26+CH26</f>
        <v>0</v>
      </c>
      <c r="AG26" s="10">
        <f t="shared" ref="AG26:AG49" si="8">AC26+AF26-AE26</f>
        <v>160200</v>
      </c>
      <c r="AH26" s="10">
        <f>inp_biz_cash_open+SUM(AG$26:AG26)</f>
        <v>960200</v>
      </c>
      <c r="AI26" s="18">
        <f t="shared" ref="AI26" si="9">IF(AH26&lt;inp_biz_floor,1,0)</f>
        <v>0</v>
      </c>
      <c r="AJ26"/>
      <c r="AK26"/>
      <c r="AL26"/>
      <c r="AM26" s="10">
        <f t="shared" ref="AM26" si="10">inp_biz_floor</f>
        <v>400000</v>
      </c>
      <c r="AN26" s="10">
        <f t="shared" ref="AN26:AN49" si="11">AH26-AD26</f>
        <v>-39800</v>
      </c>
      <c r="AO26" s="10">
        <f>0</f>
        <v>0</v>
      </c>
      <c r="AP26" s="2"/>
      <c r="AQ26" s="2"/>
      <c r="AR26" s="2"/>
      <c r="AS26"/>
      <c r="AT26"/>
      <c r="AU26"/>
      <c r="AV26" s="10">
        <f t="shared" ref="AV26" si="12">IF(ROW()-25&lt;sel_start_m,0,(sel_salary/12*(1+sel_oncost)+sel_benefits)*calc_scn_cost_mult)</f>
        <v>15900.000000000002</v>
      </c>
      <c r="AW26" s="10">
        <f t="shared" ref="AW26" si="13">IF(ROW()-25&lt;sel_start_m,0,sel_bill_hours*sel_util*sel_rate*calc_scn_rev_mult*calc_scn_util_mult*MIN(1,sel_m1_prod+(ROW()-25-sel_start_m)*(1-sel_m1_prod)/MAX(sel_ramp_m-1,1)))</f>
        <v>13689</v>
      </c>
      <c r="AX26" s="10">
        <f t="array" ref="AX26">IF((ROW()-25)-(sel_collect_lag+calc_scn_collect_add)&gt;=1,INDEX(AW$26:AW$49,(ROW()-25)-(sel_collect_lag+calc_scn_collect_add)),0)</f>
        <v>0</v>
      </c>
      <c r="AY26" s="10">
        <f>SUM(AV$26:AV26)</f>
        <v>15900.000000000002</v>
      </c>
      <c r="AZ26" s="10">
        <f>SUM(AX$26:AX26)</f>
        <v>0</v>
      </c>
      <c r="BA26" s="10">
        <f t="shared" ref="BA26" si="14">AD26-inp_biz_cash_open</f>
        <v>200000</v>
      </c>
      <c r="BB26" s="2"/>
      <c r="BC26" s="19">
        <f t="shared" ref="BC26:BC49" si="15">M26</f>
        <v>1</v>
      </c>
      <c r="BD26" s="19">
        <f>IF(OR(NOT(inp_c1_active),1&lt;inp_c1_start_m),0,((inp_c1_salary/12)*(1+inp_c1_oncost)+inp_c1_benefits)*calc_scn_cost_mult)</f>
        <v>15900.000000000002</v>
      </c>
      <c r="BE26" s="19">
        <f>IF(OR(NOT(inp_c1_active),1&lt;inp_c1_start_m),0,inp_c1_bill_hours*inp_c1_rate*calc_scn_rev_mult*calc_scn_util_mult*(inp_c1_m1_prod+MAX(0,MIN(1-inp_c1_start_m,inp_c1_ramp_m-1))*(inp_c1_util-inp_c1_m1_prod)/MAX(inp_c1_ramp_m-1,1)))</f>
        <v>17550</v>
      </c>
      <c r="BF26" s="2">
        <f>IF((1-(inp_c1_collect_lag+calc_scn_collect_add))&gt;=1,INDEX(BE:BE,25+1-(inp_c1_collect_lag+calc_scn_collect_add)),0)</f>
        <v>0</v>
      </c>
      <c r="BG26" s="2">
        <f>SUM(BF$26:BF26)-SUM(BD$26:BD26)</f>
        <v>-15900.000000000002</v>
      </c>
      <c r="BH26" s="2">
        <f>IF(OR(NOT(inp_c2_active),1&lt;inp_c2_start_m),0,((inp_c2_salary/12)*(1+inp_c2_oncost)+inp_c2_benefits)*calc_scn_cost_mult)</f>
        <v>0</v>
      </c>
      <c r="BI26" s="2">
        <f>IF(OR(NOT(inp_c2_active),1&lt;inp_c2_start_m),0,inp_c2_bill_hours*inp_c2_rate*calc_scn_rev_mult*calc_scn_util_mult*(inp_c2_m1_prod+MAX(0,MIN(1-inp_c2_start_m,inp_c2_ramp_m-1))*(inp_c2_util-inp_c2_m1_prod)/MAX(inp_c2_ramp_m-1,1)))</f>
        <v>0</v>
      </c>
      <c r="BJ26" s="2">
        <f>IF((1-(inp_c2_collect_lag+calc_scn_collect_add))&gt;=1,INDEX(BI:BI,25+1-(inp_c2_collect_lag+calc_scn_collect_add)),0)</f>
        <v>0</v>
      </c>
      <c r="BK26" s="2">
        <f>SUM(BJ$26:BJ26)-SUM(BH$26:BH26)</f>
        <v>0</v>
      </c>
      <c r="BL26" s="2">
        <f>IF(OR(NOT(inp_c3_active),1&lt;inp_c3_start_m),0,((inp_c3_salary/12)*(1+inp_c3_oncost)+inp_c3_benefits)*calc_scn_cost_mult)</f>
        <v>10962.5</v>
      </c>
      <c r="BM26" s="2">
        <f>IF(OR(NOT(inp_c3_active),1&lt;inp_c3_start_m),0,inp_c3_bill_hours*inp_c3_rate*calc_scn_rev_mult*calc_scn_util_mult*(inp_c3_m1_prod+MAX(0,MIN(1-inp_c3_start_m,inp_c3_ramp_m-1))*(inp_c3_util-inp_c3_m1_prod)/MAX(inp_c3_ramp_m-1,1)))</f>
        <v>10010</v>
      </c>
      <c r="BN26" s="2">
        <f>IF((1-(inp_c3_collect_lag+calc_scn_collect_add))&gt;=1,INDEX(BM:BM,25+1-(inp_c3_collect_lag+calc_scn_collect_add)),0)</f>
        <v>0</v>
      </c>
      <c r="BO26" s="2">
        <f>SUM(BN$26:BN26)-SUM(BL$26:BL26)</f>
        <v>-10962.5</v>
      </c>
      <c r="BP26" s="2">
        <f>IF(OR(NOT(inp_c4_active),1&lt;inp_c4_start_m),0,((inp_c4_salary/12)*(1+inp_c4_oncost)+inp_c4_benefits)*calc_scn_cost_mult)</f>
        <v>0</v>
      </c>
      <c r="BQ26" s="2">
        <f>IF(OR(NOT(inp_c4_active),1&lt;inp_c4_start_m),0,inp_c4_bill_hours*inp_c4_rate*calc_scn_rev_mult*calc_scn_util_mult*(inp_c4_m1_prod+MAX(0,MIN(1-inp_c4_start_m,inp_c4_ramp_m-1))*(inp_c4_util-inp_c4_m1_prod)/MAX(inp_c4_ramp_m-1,1)))</f>
        <v>0</v>
      </c>
      <c r="BR26" s="2">
        <f>IF((1-(inp_c4_collect_lag+calc_scn_collect_add))&gt;=1,INDEX(BQ:BQ,25+1-(inp_c4_collect_lag+calc_scn_collect_add)),0)</f>
        <v>0</v>
      </c>
      <c r="BS26" s="2">
        <f>SUM(BR$26:BR26)-SUM(BP$26:BP26)</f>
        <v>0</v>
      </c>
      <c r="BT26" s="2">
        <f>IF(OR(NOT(inp_c5_active),1&lt;inp_c5_start_m),0,((inp_c5_salary/12)*(1+inp_c5_oncost)+inp_c5_benefits)*calc_scn_cost_mult)</f>
        <v>0</v>
      </c>
      <c r="BU26" s="2">
        <f>IF(OR(NOT(inp_c5_active),1&lt;inp_c5_start_m),0,inp_c5_bill_hours*inp_c5_rate*calc_scn_rev_mult*calc_scn_util_mult*(inp_c5_m1_prod+MAX(0,MIN(1-inp_c5_start_m,inp_c5_ramp_m-1))*(inp_c5_util-inp_c5_m1_prod)/MAX(inp_c5_ramp_m-1,1)))</f>
        <v>0</v>
      </c>
      <c r="BV26" s="2">
        <f>IF((1-(inp_c5_collect_lag+calc_scn_collect_add))&gt;=1,INDEX(BU:BU,25+1-(inp_c5_collect_lag+calc_scn_collect_add)),0)</f>
        <v>0</v>
      </c>
      <c r="BW26" s="2">
        <f>SUM(BV$26:BV26)-SUM(BT$26:BT26)</f>
        <v>0</v>
      </c>
      <c r="BX26" s="2">
        <f>IF(OR(NOT(inp_c6_active),1&lt;inp_c6_start_m),0,((inp_c6_salary/12)*(1+inp_c6_oncost)+inp_c6_benefits)*calc_scn_cost_mult)</f>
        <v>12937.500000000002</v>
      </c>
      <c r="BY26" s="2">
        <f>IF(OR(NOT(inp_c6_active),1&lt;inp_c6_start_m),0,inp_c6_bill_hours*inp_c6_rate*calc_scn_rev_mult*calc_scn_util_mult*(inp_c6_m1_prod+MAX(0,MIN(1-inp_c6_start_m,inp_c6_ramp_m-1))*(inp_c6_util-inp_c6_m1_prod)/MAX(inp_c6_ramp_m-1,1)))</f>
        <v>0</v>
      </c>
      <c r="BZ26" s="2">
        <f>IF((1-(inp_c6_collect_lag+calc_scn_collect_add))&gt;=1,INDEX(BY:BY,25+1-(inp_c6_collect_lag+calc_scn_collect_add)),0)</f>
        <v>0</v>
      </c>
      <c r="CA26" s="2">
        <f>SUM(BZ$26:BZ26)-SUM(BX$26:BX26)</f>
        <v>-12937.500000000002</v>
      </c>
      <c r="CB26" s="2">
        <f>IF(OR(NOT(inp_c7_active),1&lt;inp_c7_start_m),0,((inp_c7_salary/12)*(1+inp_c7_oncost)+inp_c7_benefits)*calc_scn_cost_mult)</f>
        <v>0</v>
      </c>
      <c r="CC26" s="2">
        <f>IF(OR(NOT(inp_c7_active),1&lt;inp_c7_start_m),0,inp_c7_bill_hours*inp_c7_rate*calc_scn_rev_mult*calc_scn_util_mult*(inp_c7_m1_prod+MAX(0,MIN(1-inp_c7_start_m,inp_c7_ramp_m-1))*(inp_c7_util-inp_c7_m1_prod)/MAX(inp_c7_ramp_m-1,1)))</f>
        <v>0</v>
      </c>
      <c r="CD26" s="2">
        <f>IF((1-(inp_c7_collect_lag+calc_scn_collect_add))&gt;=1,INDEX(CC:CC,25+1-(inp_c7_collect_lag+calc_scn_collect_add)),0)</f>
        <v>0</v>
      </c>
      <c r="CE26" s="2">
        <f>SUM(CD$26:CD26)-SUM(CB$26:CB26)</f>
        <v>0</v>
      </c>
      <c r="CF26" s="2">
        <f>IF(OR(NOT(inp_c8_active),1&lt;inp_c8_start_m),0,((inp_c8_salary/12)*(1+inp_c8_oncost)+inp_c8_benefits)*calc_scn_cost_mult)</f>
        <v>0</v>
      </c>
      <c r="CG26" s="2">
        <f>IF(OR(NOT(inp_c8_active),1&lt;inp_c8_start_m),0,inp_c8_bill_hours*inp_c8_rate*calc_scn_rev_mult*calc_scn_util_mult*(inp_c8_m1_prod+MAX(0,MIN(1-inp_c8_start_m,inp_c8_ramp_m-1))*(inp_c8_util-inp_c8_m1_prod)/MAX(inp_c8_ramp_m-1,1)))</f>
        <v>0</v>
      </c>
      <c r="CH26" s="2">
        <f>IF((1-(inp_c8_collect_lag+calc_scn_collect_add))&gt;=1,INDEX(CG:CG,25+1-(inp_c8_collect_lag+calc_scn_collect_add)),0)</f>
        <v>0</v>
      </c>
      <c r="CI26" s="2">
        <f>SUM(CH$26:CH26)-SUM(CF$26:CF26)</f>
        <v>0</v>
      </c>
      <c r="CJ26" s="2"/>
      <c r="CK26" s="2"/>
      <c r="CL26" s="2"/>
      <c r="CM26" s="2">
        <f>IF(AND(BG26&gt;=0,1&gt;=inp_c1_start_m),1,9999)</f>
        <v>9999</v>
      </c>
      <c r="CN26" s="2">
        <f>IF(AND(BK26&gt;=0,1&gt;=inp_c2_start_m),1,9999)</f>
        <v>9999</v>
      </c>
      <c r="CO26" s="2">
        <f>IF(AND(BO26&gt;=0,1&gt;=inp_c3_start_m),1,9999)</f>
        <v>9999</v>
      </c>
      <c r="CP26" s="2">
        <f>IF(AND(BS26&gt;=0,1&gt;=inp_c4_start_m),1,9999)</f>
        <v>9999</v>
      </c>
      <c r="CQ26" s="2">
        <f>IF(AND(BW26&gt;=0,1&gt;=inp_c5_start_m),1,9999)</f>
        <v>9999</v>
      </c>
      <c r="CR26" s="2">
        <f>IF(AND(CA26&gt;=0,1&gt;=inp_c6_start_m),1,9999)</f>
        <v>9999</v>
      </c>
      <c r="CS26" s="2">
        <f>IF(AND(CE26&gt;=0,1&gt;=inp_c7_start_m),1,9999)</f>
        <v>1</v>
      </c>
      <c r="CT26" s="2">
        <f>IF(AND(CI26&gt;=0,1&gt;=inp_c8_start_m),1,9999)</f>
        <v>1</v>
      </c>
      <c r="CU26" s="2"/>
      <c r="CV26" s="55">
        <f>inp_biz_cash_open+SUM(AC$26:AC26)+SUM(BF$26:BF26)-SUM(BD$26:BD26)</f>
        <v>984100</v>
      </c>
      <c r="CW26" s="55">
        <f>inp_biz_cash_open+SUM(AC$26:AC26)+SUM(BJ$26:BJ26)-SUM(BH$26:BH26)</f>
        <v>1000000</v>
      </c>
      <c r="CX26" s="55">
        <f>inp_biz_cash_open+SUM(AC$26:AC26)+SUM(BN$26:BN26)-SUM(BL$26:BL26)</f>
        <v>989037.5</v>
      </c>
      <c r="CY26" s="55">
        <f>inp_biz_cash_open+SUM(AC$26:AC26)+SUM(BR$26:BR26)-SUM(BP$26:BP26)</f>
        <v>1000000</v>
      </c>
      <c r="CZ26" s="55">
        <f>inp_biz_cash_open+SUM(AC$26:AC26)+SUM(BV$26:BV26)-SUM(BT$26:BT26)</f>
        <v>1000000</v>
      </c>
      <c r="DA26" s="55">
        <f>inp_biz_cash_open+SUM(AC$26:AC26)+SUM(BZ$26:BZ26)-SUM(BX$26:BX26)</f>
        <v>987062.5</v>
      </c>
      <c r="DB26" s="55">
        <f>inp_biz_cash_open+SUM(AC$26:AC26)+SUM(CD$26:CD26)-SUM(CB$26:CB26)</f>
        <v>1000000</v>
      </c>
      <c r="DC26" s="55">
        <f>inp_biz_cash_open+SUM(AC$26:AC26)+SUM(CH$26:CH26)-SUM(CF$26:CF26)</f>
        <v>1000000</v>
      </c>
      <c r="DD26" s="2"/>
      <c r="DE26" s="2"/>
      <c r="DF26" s="2"/>
      <c r="DG26" s="2"/>
      <c r="DH26" s="2"/>
      <c r="DI26" s="2"/>
      <c r="DJ26" s="19"/>
      <c r="DK26" s="20"/>
      <c r="DL26" s="20"/>
      <c r="DM26" s="20"/>
      <c r="DO26" s="66"/>
    </row>
    <row r="27" spans="1:119" ht="22" customHeight="1" x14ac:dyDescent="0.2">
      <c r="A27" s="1"/>
      <c r="B27" s="8" t="s">
        <v>101</v>
      </c>
      <c r="C27" s="75">
        <v>3</v>
      </c>
      <c r="D27" s="76">
        <v>2</v>
      </c>
      <c r="E27" s="75">
        <v>4</v>
      </c>
      <c r="F27" s="79">
        <v>2</v>
      </c>
      <c r="G27" s="79">
        <v>6</v>
      </c>
      <c r="H27" s="79">
        <v>2</v>
      </c>
      <c r="I27" s="79"/>
      <c r="J27" s="79"/>
      <c r="K27" s="1"/>
      <c r="L27" s="2"/>
      <c r="M27" s="18">
        <v>2</v>
      </c>
      <c r="N27"/>
      <c r="O27"/>
      <c r="P27"/>
      <c r="Q27"/>
      <c r="R27"/>
      <c r="S27"/>
      <c r="T27"/>
      <c r="U27"/>
      <c r="V27"/>
      <c r="W27"/>
      <c r="X27"/>
      <c r="Y27"/>
      <c r="Z27" s="10">
        <f>inp_biz_revenue_m0*(1+inp_biz_rev_growth)^(2-1)*calc_scn_rev_mult</f>
        <v>1010000</v>
      </c>
      <c r="AA27" s="10">
        <f t="shared" ref="AA27" si="16">inp_biz_opex_m0*calc_scn_cost_mult</f>
        <v>250000</v>
      </c>
      <c r="AB27" s="10">
        <f t="shared" ref="AB27" si="17">inp_biz_payroll_m0*calc_scn_cost_mult</f>
        <v>550000</v>
      </c>
      <c r="AC27" s="10">
        <f t="shared" si="5"/>
        <v>210000</v>
      </c>
      <c r="AD27" s="10">
        <f>inp_biz_cash_open+SUM(AC$26:AC27)</f>
        <v>1210000</v>
      </c>
      <c r="AE27" s="10">
        <f t="shared" si="6"/>
        <v>66662.5</v>
      </c>
      <c r="AF27" s="10">
        <f t="shared" si="7"/>
        <v>10010</v>
      </c>
      <c r="AG27" s="10">
        <f t="shared" si="8"/>
        <v>153347.5</v>
      </c>
      <c r="AH27" s="10">
        <f>inp_biz_cash_open+SUM(AG$26:AG27)</f>
        <v>1113547.5</v>
      </c>
      <c r="AI27" s="18">
        <f t="shared" ref="AI27" si="18">IF(AH27&lt;inp_biz_floor,1,0)</f>
        <v>0</v>
      </c>
      <c r="AJ27"/>
      <c r="AK27"/>
      <c r="AL27"/>
      <c r="AM27" s="10">
        <f t="shared" ref="AM27" si="19">inp_biz_floor</f>
        <v>400000</v>
      </c>
      <c r="AN27" s="10">
        <f t="shared" si="11"/>
        <v>-96452.5</v>
      </c>
      <c r="AO27" s="10">
        <f>0</f>
        <v>0</v>
      </c>
      <c r="AP27" s="2"/>
      <c r="AQ27" s="2"/>
      <c r="AR27" s="2"/>
      <c r="AS27"/>
      <c r="AT27"/>
      <c r="AU27"/>
      <c r="AV27" s="10">
        <f t="shared" ref="AV27" si="20">IF(ROW()-25&lt;sel_start_m,0,(sel_salary/12*(1+sel_oncost)+sel_benefits)*calc_scn_cost_mult)</f>
        <v>15900.000000000002</v>
      </c>
      <c r="AW27" s="10">
        <f t="shared" ref="AW27" si="21">IF(ROW()-25&lt;sel_start_m,0,sel_bill_hours*sel_util*sel_rate*calc_scn_rev_mult*calc_scn_util_mult*MIN(1,sel_m1_prod+(ROW()-25-sel_start_m)*(1-sel_m1_prod)/MAX(sel_ramp_m-1,1)))</f>
        <v>22054.500000000004</v>
      </c>
      <c r="AX27" s="10">
        <f t="array" ref="AX27">IF((ROW()-25)-(sel_collect_lag+calc_scn_collect_add)&gt;=1,INDEX(AW$26:AW$49,(ROW()-25)-(sel_collect_lag+calc_scn_collect_add)),0)</f>
        <v>0</v>
      </c>
      <c r="AY27" s="10">
        <f>SUM(AV$26:AV27)</f>
        <v>31800.000000000004</v>
      </c>
      <c r="AZ27" s="10">
        <f>SUM(AX$26:AX27)</f>
        <v>0</v>
      </c>
      <c r="BA27" s="10">
        <f t="shared" ref="BA27" si="22">AD27-inp_biz_cash_open</f>
        <v>410000</v>
      </c>
      <c r="BB27" s="2"/>
      <c r="BC27" s="19">
        <f t="shared" si="15"/>
        <v>2</v>
      </c>
      <c r="BD27" s="19">
        <f>IF(OR(NOT(inp_c1_active),2&lt;inp_c1_start_m),0,((inp_c1_salary/12)*(1+inp_c1_oncost)+inp_c1_benefits)*calc_scn_cost_mult)</f>
        <v>15900.000000000002</v>
      </c>
      <c r="BE27" s="19">
        <f>IF(OR(NOT(inp_c1_active),2&lt;inp_c1_start_m),0,inp_c1_bill_hours*inp_c1_rate*calc_scn_rev_mult*calc_scn_util_mult*(inp_c1_m1_prod+MAX(0,MIN(2-inp_c1_start_m,inp_c1_ramp_m-1))*(inp_c1_util-inp_c1_m1_prod)/MAX(inp_c1_ramp_m-1,1)))</f>
        <v>23985</v>
      </c>
      <c r="BF27" s="2">
        <f>IF((2-(inp_c1_collect_lag+calc_scn_collect_add))&gt;=1,INDEX(BE:BE,25+2-(inp_c1_collect_lag+calc_scn_collect_add)),0)</f>
        <v>0</v>
      </c>
      <c r="BG27" s="2">
        <f>SUM(BF$26:BF27)-SUM(BD$26:BD27)</f>
        <v>-31800.000000000004</v>
      </c>
      <c r="BH27" s="2">
        <f>IF(OR(NOT(inp_c2_active),2&lt;inp_c2_start_m),0,((inp_c2_salary/12)*(1+inp_c2_oncost)+inp_c2_benefits)*calc_scn_cost_mult)</f>
        <v>19356.25</v>
      </c>
      <c r="BI27" s="2">
        <f>IF(OR(NOT(inp_c2_active),2&lt;inp_c2_start_m),0,inp_c2_bill_hours*inp_c2_rate*calc_scn_rev_mult*calc_scn_util_mult*(inp_c2_m1_prod+MAX(0,MIN(2-inp_c2_start_m,inp_c2_ramp_m-1))*(inp_c2_util-inp_c2_m1_prod)/MAX(inp_c2_ramp_m-1,1)))</f>
        <v>24700</v>
      </c>
      <c r="BJ27" s="2">
        <f>IF((2-(inp_c2_collect_lag+calc_scn_collect_add))&gt;=1,INDEX(BI:BI,25+2-(inp_c2_collect_lag+calc_scn_collect_add)),0)</f>
        <v>0</v>
      </c>
      <c r="BK27" s="2">
        <f>SUM(BJ$26:BJ27)-SUM(BH$26:BH27)</f>
        <v>-19356.25</v>
      </c>
      <c r="BL27" s="2">
        <f>IF(OR(NOT(inp_c3_active),2&lt;inp_c3_start_m),0,((inp_c3_salary/12)*(1+inp_c3_oncost)+inp_c3_benefits)*calc_scn_cost_mult)</f>
        <v>10962.5</v>
      </c>
      <c r="BM27" s="2">
        <f>IF(OR(NOT(inp_c3_active),2&lt;inp_c3_start_m),0,inp_c3_bill_hours*inp_c3_rate*calc_scn_rev_mult*calc_scn_util_mult*(inp_c3_m1_prod+MAX(0,MIN(2-inp_c3_start_m,inp_c3_ramp_m-1))*(inp_c3_util-inp_c3_m1_prod)/MAX(inp_c3_ramp_m-1,1)))</f>
        <v>13346.666666666666</v>
      </c>
      <c r="BN27" s="2">
        <f>IF((2-(inp_c3_collect_lag+calc_scn_collect_add))&gt;=1,INDEX(BM:BM,25+2-(inp_c3_collect_lag+calc_scn_collect_add)),0)</f>
        <v>10010</v>
      </c>
      <c r="BO27" s="2">
        <f>SUM(BN$26:BN27)-SUM(BL$26:BL27)</f>
        <v>-11915</v>
      </c>
      <c r="BP27" s="2">
        <f>IF(OR(NOT(inp_c4_active),2&lt;inp_c4_start_m),0,((inp_c4_salary/12)*(1+inp_c4_oncost)+inp_c4_benefits)*calc_scn_cost_mult)</f>
        <v>0</v>
      </c>
      <c r="BQ27" s="2">
        <f>IF(OR(NOT(inp_c4_active),2&lt;inp_c4_start_m),0,inp_c4_bill_hours*inp_c4_rate*calc_scn_rev_mult*calc_scn_util_mult*(inp_c4_m1_prod+MAX(0,MIN(2-inp_c4_start_m,inp_c4_ramp_m-1))*(inp_c4_util-inp_c4_m1_prod)/MAX(inp_c4_ramp_m-1,1)))</f>
        <v>0</v>
      </c>
      <c r="BR27" s="2">
        <f>IF((2-(inp_c4_collect_lag+calc_scn_collect_add))&gt;=1,INDEX(BQ:BQ,25+2-(inp_c4_collect_lag+calc_scn_collect_add)),0)</f>
        <v>0</v>
      </c>
      <c r="BS27" s="2">
        <f>SUM(BR$26:BR27)-SUM(BP$26:BP27)</f>
        <v>0</v>
      </c>
      <c r="BT27" s="2">
        <f>IF(OR(NOT(inp_c5_active),2&lt;inp_c5_start_m),0,((inp_c5_salary/12)*(1+inp_c5_oncost)+inp_c5_benefits)*calc_scn_cost_mult)</f>
        <v>7506.25</v>
      </c>
      <c r="BU27" s="2">
        <f>IF(OR(NOT(inp_c5_active),2&lt;inp_c5_start_m),0,inp_c5_bill_hours*inp_c5_rate*calc_scn_rev_mult*calc_scn_util_mult*(inp_c5_m1_prod+MAX(0,MIN(2-inp_c5_start_m,inp_c5_ramp_m-1))*(inp_c5_util-inp_c5_m1_prod)/MAX(inp_c5_ramp_m-1,1)))</f>
        <v>4160</v>
      </c>
      <c r="BV27" s="2">
        <f>IF((2-(inp_c5_collect_lag+calc_scn_collect_add))&gt;=1,INDEX(BU:BU,25+2-(inp_c5_collect_lag+calc_scn_collect_add)),0)</f>
        <v>0</v>
      </c>
      <c r="BW27" s="2">
        <f>SUM(BV$26:BV27)-SUM(BT$26:BT27)</f>
        <v>-7506.25</v>
      </c>
      <c r="BX27" s="2">
        <f>IF(OR(NOT(inp_c6_active),2&lt;inp_c6_start_m),0,((inp_c6_salary/12)*(1+inp_c6_oncost)+inp_c6_benefits)*calc_scn_cost_mult)</f>
        <v>12937.500000000002</v>
      </c>
      <c r="BY27" s="2">
        <f>IF(OR(NOT(inp_c6_active),2&lt;inp_c6_start_m),0,inp_c6_bill_hours*inp_c6_rate*calc_scn_rev_mult*calc_scn_util_mult*(inp_c6_m1_prod+MAX(0,MIN(2-inp_c6_start_m,inp_c6_ramp_m-1))*(inp_c6_util-inp_c6_m1_prod)/MAX(inp_c6_ramp_m-1,1)))</f>
        <v>0</v>
      </c>
      <c r="BZ27" s="2">
        <f>IF((2-(inp_c6_collect_lag+calc_scn_collect_add))&gt;=1,INDEX(BY:BY,25+2-(inp_c6_collect_lag+calc_scn_collect_add)),0)</f>
        <v>0</v>
      </c>
      <c r="CA27" s="2">
        <f>SUM(BZ$26:BZ27)-SUM(BX$26:BX27)</f>
        <v>-25875.000000000004</v>
      </c>
      <c r="CB27" s="2">
        <f>IF(OR(NOT(inp_c7_active),2&lt;inp_c7_start_m),0,((inp_c7_salary/12)*(1+inp_c7_oncost)+inp_c7_benefits)*calc_scn_cost_mult)</f>
        <v>0</v>
      </c>
      <c r="CC27" s="2">
        <f>IF(OR(NOT(inp_c7_active),2&lt;inp_c7_start_m),0,inp_c7_bill_hours*inp_c7_rate*calc_scn_rev_mult*calc_scn_util_mult*(inp_c7_m1_prod+MAX(0,MIN(2-inp_c7_start_m,inp_c7_ramp_m-1))*(inp_c7_util-inp_c7_m1_prod)/MAX(inp_c7_ramp_m-1,1)))</f>
        <v>0</v>
      </c>
      <c r="CD27" s="2">
        <f>IF((2-(inp_c7_collect_lag+calc_scn_collect_add))&gt;=1,INDEX(CC:CC,25+2-(inp_c7_collect_lag+calc_scn_collect_add)),0)</f>
        <v>0</v>
      </c>
      <c r="CE27" s="2">
        <f>SUM(CD$26:CD27)-SUM(CB$26:CB27)</f>
        <v>0</v>
      </c>
      <c r="CF27" s="2">
        <f>IF(OR(NOT(inp_c8_active),2&lt;inp_c8_start_m),0,((inp_c8_salary/12)*(1+inp_c8_oncost)+inp_c8_benefits)*calc_scn_cost_mult)</f>
        <v>0</v>
      </c>
      <c r="CG27" s="2">
        <f>IF(OR(NOT(inp_c8_active),2&lt;inp_c8_start_m),0,inp_c8_bill_hours*inp_c8_rate*calc_scn_rev_mult*calc_scn_util_mult*(inp_c8_m1_prod+MAX(0,MIN(2-inp_c8_start_m,inp_c8_ramp_m-1))*(inp_c8_util-inp_c8_m1_prod)/MAX(inp_c8_ramp_m-1,1)))</f>
        <v>0</v>
      </c>
      <c r="CH27" s="2">
        <f>IF((2-(inp_c8_collect_lag+calc_scn_collect_add))&gt;=1,INDEX(CG:CG,25+2-(inp_c8_collect_lag+calc_scn_collect_add)),0)</f>
        <v>0</v>
      </c>
      <c r="CI27" s="2">
        <f>SUM(CH$26:CH27)-SUM(CF$26:CF27)</f>
        <v>0</v>
      </c>
      <c r="CJ27" s="2"/>
      <c r="CK27" s="2"/>
      <c r="CL27" s="2"/>
      <c r="CM27" s="2">
        <f>IF(AND(BG27&gt;=0,2&gt;=inp_c1_start_m),2,9999)</f>
        <v>9999</v>
      </c>
      <c r="CN27" s="2">
        <f>IF(AND(BK27&gt;=0,2&gt;=inp_c2_start_m),2,9999)</f>
        <v>9999</v>
      </c>
      <c r="CO27" s="2">
        <f>IF(AND(BO27&gt;=0,2&gt;=inp_c3_start_m),2,9999)</f>
        <v>9999</v>
      </c>
      <c r="CP27" s="2">
        <f>IF(AND(BS27&gt;=0,2&gt;=inp_c4_start_m),2,9999)</f>
        <v>9999</v>
      </c>
      <c r="CQ27" s="2">
        <f>IF(AND(BW27&gt;=0,2&gt;=inp_c5_start_m),2,9999)</f>
        <v>9999</v>
      </c>
      <c r="CR27" s="2">
        <f>IF(AND(CA27&gt;=0,2&gt;=inp_c6_start_m),2,9999)</f>
        <v>9999</v>
      </c>
      <c r="CS27" s="2">
        <f>IF(AND(CE27&gt;=0,2&gt;=inp_c7_start_m),2,9999)</f>
        <v>2</v>
      </c>
      <c r="CT27" s="2">
        <f>IF(AND(CI27&gt;=0,2&gt;=inp_c8_start_m),2,9999)</f>
        <v>2</v>
      </c>
      <c r="CU27" s="2"/>
      <c r="CV27" s="55">
        <f>inp_biz_cash_open+SUM(AC$26:AC27)+SUM(BF$26:BF27)-SUM(BD$26:BD27)</f>
        <v>1178200</v>
      </c>
      <c r="CW27" s="55">
        <f>inp_biz_cash_open+SUM(AC$26:AC27)+SUM(BJ$26:BJ27)-SUM(BH$26:BH27)</f>
        <v>1190643.75</v>
      </c>
      <c r="CX27" s="55">
        <f>inp_biz_cash_open+SUM(AC$26:AC27)+SUM(BN$26:BN27)-SUM(BL$26:BL27)</f>
        <v>1198085</v>
      </c>
      <c r="CY27" s="55">
        <f>inp_biz_cash_open+SUM(AC$26:AC27)+SUM(BR$26:BR27)-SUM(BP$26:BP27)</f>
        <v>1210000</v>
      </c>
      <c r="CZ27" s="55">
        <f>inp_biz_cash_open+SUM(AC$26:AC27)+SUM(BV$26:BV27)-SUM(BT$26:BT27)</f>
        <v>1202493.75</v>
      </c>
      <c r="DA27" s="55">
        <f>inp_biz_cash_open+SUM(AC$26:AC27)+SUM(BZ$26:BZ27)-SUM(BX$26:BX27)</f>
        <v>1184125</v>
      </c>
      <c r="DB27" s="55">
        <f>inp_biz_cash_open+SUM(AC$26:AC27)+SUM(CD$26:CD27)-SUM(CB$26:CB27)</f>
        <v>1210000</v>
      </c>
      <c r="DC27" s="55">
        <f>inp_biz_cash_open+SUM(AC$26:AC27)+SUM(CH$26:CH27)-SUM(CF$26:CF27)</f>
        <v>1210000</v>
      </c>
      <c r="DD27" s="2"/>
      <c r="DE27" s="2"/>
      <c r="DF27" s="2"/>
      <c r="DG27" s="2"/>
      <c r="DH27" s="2"/>
      <c r="DI27" s="2"/>
      <c r="DJ27" s="19"/>
      <c r="DK27" s="20"/>
      <c r="DL27" s="20"/>
      <c r="DM27" s="20"/>
      <c r="DO27" s="66"/>
    </row>
    <row r="28" spans="1:119" ht="22" customHeight="1" x14ac:dyDescent="0.2">
      <c r="A28" s="1"/>
      <c r="B28" s="8" t="s">
        <v>102</v>
      </c>
      <c r="C28" s="80">
        <v>0.45</v>
      </c>
      <c r="D28" s="68">
        <v>0.5</v>
      </c>
      <c r="E28" s="80">
        <v>0.35</v>
      </c>
      <c r="F28" s="69">
        <v>0.55000000000000004</v>
      </c>
      <c r="G28" s="69">
        <v>0.2</v>
      </c>
      <c r="H28" s="69">
        <v>0</v>
      </c>
      <c r="I28" s="69"/>
      <c r="J28" s="69"/>
      <c r="K28" s="1"/>
      <c r="L28" s="2"/>
      <c r="M28" s="18">
        <v>3</v>
      </c>
      <c r="N28"/>
      <c r="O28"/>
      <c r="P28"/>
      <c r="Q28"/>
      <c r="R28"/>
      <c r="S28"/>
      <c r="T28"/>
      <c r="U28"/>
      <c r="V28"/>
      <c r="W28"/>
      <c r="X28"/>
      <c r="Y28"/>
      <c r="Z28" s="10">
        <f>inp_biz_revenue_m0*(1+inp_biz_rev_growth)^(3-1)*calc_scn_rev_mult</f>
        <v>1020100</v>
      </c>
      <c r="AA28" s="10">
        <f t="shared" ref="AA28" si="23">inp_biz_opex_m0*calc_scn_cost_mult</f>
        <v>250000</v>
      </c>
      <c r="AB28" s="10">
        <f t="shared" ref="AB28" si="24">inp_biz_payroll_m0*calc_scn_cost_mult</f>
        <v>550000</v>
      </c>
      <c r="AC28" s="10">
        <f t="shared" si="5"/>
        <v>220100</v>
      </c>
      <c r="AD28" s="10">
        <f>inp_biz_cash_open+SUM(AC$26:AC28)</f>
        <v>1430100</v>
      </c>
      <c r="AE28" s="10">
        <f t="shared" si="6"/>
        <v>90462.5</v>
      </c>
      <c r="AF28" s="10">
        <f t="shared" si="7"/>
        <v>35056.666666666664</v>
      </c>
      <c r="AG28" s="10">
        <f t="shared" si="8"/>
        <v>164694.16666666666</v>
      </c>
      <c r="AH28" s="10">
        <f>inp_biz_cash_open+SUM(AG$26:AG28)</f>
        <v>1278241.6666666665</v>
      </c>
      <c r="AI28" s="18">
        <f t="shared" ref="AI28" si="25">IF(AH28&lt;inp_biz_floor,1,0)</f>
        <v>0</v>
      </c>
      <c r="AJ28"/>
      <c r="AK28"/>
      <c r="AL28"/>
      <c r="AM28" s="10">
        <f t="shared" ref="AM28" si="26">inp_biz_floor</f>
        <v>400000</v>
      </c>
      <c r="AN28" s="10">
        <f t="shared" si="11"/>
        <v>-151858.33333333349</v>
      </c>
      <c r="AO28" s="10">
        <f>0</f>
        <v>0</v>
      </c>
      <c r="AP28" s="2"/>
      <c r="AQ28" s="2"/>
      <c r="AR28" s="2"/>
      <c r="AS28"/>
      <c r="AT28"/>
      <c r="AU28"/>
      <c r="AV28" s="10">
        <f t="shared" ref="AV28" si="27">IF(ROW()-25&lt;sel_start_m,0,(sel_salary/12*(1+sel_oncost)+sel_benefits)*calc_scn_cost_mult)</f>
        <v>15900.000000000002</v>
      </c>
      <c r="AW28" s="10">
        <f t="shared" ref="AW28" si="28">IF(ROW()-25&lt;sel_start_m,0,sel_bill_hours*sel_util*sel_rate*calc_scn_rev_mult*calc_scn_util_mult*MIN(1,sel_m1_prod+(ROW()-25-sel_start_m)*(1-sel_m1_prod)/MAX(sel_ramp_m-1,1)))</f>
        <v>30420</v>
      </c>
      <c r="AX28" s="10">
        <f t="array" ref="AX28">IF((ROW()-25)-(sel_collect_lag+calc_scn_collect_add)&gt;=1,INDEX(AW$26:AW$49,(ROW()-25)-(sel_collect_lag+calc_scn_collect_add)),0)</f>
        <v>13689</v>
      </c>
      <c r="AY28" s="10">
        <f>SUM(AV$26:AV28)</f>
        <v>47700.000000000007</v>
      </c>
      <c r="AZ28" s="10">
        <f>SUM(AX$26:AX28)</f>
        <v>13689</v>
      </c>
      <c r="BA28" s="10">
        <f t="shared" ref="BA28" si="29">AD28-inp_biz_cash_open</f>
        <v>630100</v>
      </c>
      <c r="BB28" s="2"/>
      <c r="BC28" s="19">
        <f t="shared" si="15"/>
        <v>3</v>
      </c>
      <c r="BD28" s="19">
        <f>IF(OR(NOT(inp_c1_active),3&lt;inp_c1_start_m),0,((inp_c1_salary/12)*(1+inp_c1_oncost)+inp_c1_benefits)*calc_scn_cost_mult)</f>
        <v>15900.000000000002</v>
      </c>
      <c r="BE28" s="19">
        <f>IF(OR(NOT(inp_c1_active),3&lt;inp_c1_start_m),0,inp_c1_bill_hours*inp_c1_rate*calc_scn_rev_mult*calc_scn_util_mult*(inp_c1_m1_prod+MAX(0,MIN(3-inp_c1_start_m,inp_c1_ramp_m-1))*(inp_c1_util-inp_c1_m1_prod)/MAX(inp_c1_ramp_m-1,1)))</f>
        <v>30420</v>
      </c>
      <c r="BF28" s="2">
        <f>IF((3-(inp_c1_collect_lag+calc_scn_collect_add))&gt;=1,INDEX(BE:BE,25+3-(inp_c1_collect_lag+calc_scn_collect_add)),0)</f>
        <v>17550</v>
      </c>
      <c r="BG28" s="2">
        <f>SUM(BF$26:BF28)-SUM(BD$26:BD28)</f>
        <v>-30150.000000000007</v>
      </c>
      <c r="BH28" s="2">
        <f>IF(OR(NOT(inp_c2_active),3&lt;inp_c2_start_m),0,((inp_c2_salary/12)*(1+inp_c2_oncost)+inp_c2_benefits)*calc_scn_cost_mult)</f>
        <v>19356.25</v>
      </c>
      <c r="BI28" s="2">
        <f>IF(OR(NOT(inp_c2_active),3&lt;inp_c2_start_m),0,inp_c2_bill_hours*inp_c2_rate*calc_scn_rev_mult*calc_scn_util_mult*(inp_c2_m1_prod+MAX(0,MIN(3-inp_c2_start_m,inp_c2_ramp_m-1))*(inp_c2_util-inp_c2_m1_prod)/MAX(inp_c2_ramp_m-1,1)))</f>
        <v>35568</v>
      </c>
      <c r="BJ28" s="2">
        <f>IF((3-(inp_c2_collect_lag+calc_scn_collect_add))&gt;=1,INDEX(BI:BI,25+3-(inp_c2_collect_lag+calc_scn_collect_add)),0)</f>
        <v>0</v>
      </c>
      <c r="BK28" s="2">
        <f>SUM(BJ$26:BJ28)-SUM(BH$26:BH28)</f>
        <v>-38712.5</v>
      </c>
      <c r="BL28" s="2">
        <f>IF(OR(NOT(inp_c3_active),3&lt;inp_c3_start_m),0,((inp_c3_salary/12)*(1+inp_c3_oncost)+inp_c3_benefits)*calc_scn_cost_mult)</f>
        <v>10962.5</v>
      </c>
      <c r="BM28" s="2">
        <f>IF(OR(NOT(inp_c3_active),3&lt;inp_c3_start_m),0,inp_c3_bill_hours*inp_c3_rate*calc_scn_rev_mult*calc_scn_util_mult*(inp_c3_m1_prod+MAX(0,MIN(3-inp_c3_start_m,inp_c3_ramp_m-1))*(inp_c3_util-inp_c3_m1_prod)/MAX(inp_c3_ramp_m-1,1)))</f>
        <v>16683.333333333332</v>
      </c>
      <c r="BN28" s="2">
        <f>IF((3-(inp_c3_collect_lag+calc_scn_collect_add))&gt;=1,INDEX(BM:BM,25+3-(inp_c3_collect_lag+calc_scn_collect_add)),0)</f>
        <v>13346.666666666666</v>
      </c>
      <c r="BO28" s="2">
        <f>SUM(BN$26:BN28)-SUM(BL$26:BL28)</f>
        <v>-9530.8333333333358</v>
      </c>
      <c r="BP28" s="2">
        <f>IF(OR(NOT(inp_c4_active),3&lt;inp_c4_start_m),0,((inp_c4_salary/12)*(1+inp_c4_oncost)+inp_c4_benefits)*calc_scn_cost_mult)</f>
        <v>23800</v>
      </c>
      <c r="BQ28" s="2">
        <f>IF(OR(NOT(inp_c4_active),3&lt;inp_c4_start_m),0,inp_c4_bill_hours*inp_c4_rate*calc_scn_rev_mult*calc_scn_util_mult*(inp_c4_m1_prod+MAX(0,MIN(3-inp_c4_start_m,inp_c4_ramp_m-1))*(inp_c4_util-inp_c4_m1_prod)/MAX(inp_c4_ramp_m-1,1)))</f>
        <v>27720.000000000004</v>
      </c>
      <c r="BR28" s="2">
        <f>IF((3-(inp_c4_collect_lag+calc_scn_collect_add))&gt;=1,INDEX(BQ:BQ,25+3-(inp_c4_collect_lag+calc_scn_collect_add)),0)</f>
        <v>0</v>
      </c>
      <c r="BS28" s="2">
        <f>SUM(BR$26:BR28)-SUM(BP$26:BP28)</f>
        <v>-23800</v>
      </c>
      <c r="BT28" s="2">
        <f>IF(OR(NOT(inp_c5_active),3&lt;inp_c5_start_m),0,((inp_c5_salary/12)*(1+inp_c5_oncost)+inp_c5_benefits)*calc_scn_cost_mult)</f>
        <v>7506.25</v>
      </c>
      <c r="BU28" s="2">
        <f>IF(OR(NOT(inp_c5_active),3&lt;inp_c5_start_m),0,inp_c5_bill_hours*inp_c5_rate*calc_scn_rev_mult*calc_scn_util_mult*(inp_c5_m1_prod+MAX(0,MIN(3-inp_c5_start_m,inp_c5_ramp_m-1))*(inp_c5_util-inp_c5_m1_prod)/MAX(inp_c5_ramp_m-1,1)))</f>
        <v>6240</v>
      </c>
      <c r="BV28" s="2">
        <f>IF((3-(inp_c5_collect_lag+calc_scn_collect_add))&gt;=1,INDEX(BU:BU,25+3-(inp_c5_collect_lag+calc_scn_collect_add)),0)</f>
        <v>4160</v>
      </c>
      <c r="BW28" s="2">
        <f>SUM(BV$26:BV28)-SUM(BT$26:BT28)</f>
        <v>-10852.5</v>
      </c>
      <c r="BX28" s="2">
        <f>IF(OR(NOT(inp_c6_active),3&lt;inp_c6_start_m),0,((inp_c6_salary/12)*(1+inp_c6_oncost)+inp_c6_benefits)*calc_scn_cost_mult)</f>
        <v>12937.500000000002</v>
      </c>
      <c r="BY28" s="2">
        <f>IF(OR(NOT(inp_c6_active),3&lt;inp_c6_start_m),0,inp_c6_bill_hours*inp_c6_rate*calc_scn_rev_mult*calc_scn_util_mult*(inp_c6_m1_prod+MAX(0,MIN(3-inp_c6_start_m,inp_c6_ramp_m-1))*(inp_c6_util-inp_c6_m1_prod)/MAX(inp_c6_ramp_m-1,1)))</f>
        <v>0</v>
      </c>
      <c r="BZ28" s="2">
        <f>IF((3-(inp_c6_collect_lag+calc_scn_collect_add))&gt;=1,INDEX(BY:BY,25+3-(inp_c6_collect_lag+calc_scn_collect_add)),0)</f>
        <v>0</v>
      </c>
      <c r="CA28" s="2">
        <f>SUM(BZ$26:BZ28)-SUM(BX$26:BX28)</f>
        <v>-38812.500000000007</v>
      </c>
      <c r="CB28" s="2">
        <f>IF(OR(NOT(inp_c7_active),3&lt;inp_c7_start_m),0,((inp_c7_salary/12)*(1+inp_c7_oncost)+inp_c7_benefits)*calc_scn_cost_mult)</f>
        <v>0</v>
      </c>
      <c r="CC28" s="2">
        <f>IF(OR(NOT(inp_c7_active),3&lt;inp_c7_start_m),0,inp_c7_bill_hours*inp_c7_rate*calc_scn_rev_mult*calc_scn_util_mult*(inp_c7_m1_prod+MAX(0,MIN(3-inp_c7_start_m,inp_c7_ramp_m-1))*(inp_c7_util-inp_c7_m1_prod)/MAX(inp_c7_ramp_m-1,1)))</f>
        <v>0</v>
      </c>
      <c r="CD28" s="2">
        <f>IF((3-(inp_c7_collect_lag+calc_scn_collect_add))&gt;=1,INDEX(CC:CC,25+3-(inp_c7_collect_lag+calc_scn_collect_add)),0)</f>
        <v>0</v>
      </c>
      <c r="CE28" s="2">
        <f>SUM(CD$26:CD28)-SUM(CB$26:CB28)</f>
        <v>0</v>
      </c>
      <c r="CF28" s="2">
        <f>IF(OR(NOT(inp_c8_active),3&lt;inp_c8_start_m),0,((inp_c8_salary/12)*(1+inp_c8_oncost)+inp_c8_benefits)*calc_scn_cost_mult)</f>
        <v>0</v>
      </c>
      <c r="CG28" s="2">
        <f>IF(OR(NOT(inp_c8_active),3&lt;inp_c8_start_m),0,inp_c8_bill_hours*inp_c8_rate*calc_scn_rev_mult*calc_scn_util_mult*(inp_c8_m1_prod+MAX(0,MIN(3-inp_c8_start_m,inp_c8_ramp_m-1))*(inp_c8_util-inp_c8_m1_prod)/MAX(inp_c8_ramp_m-1,1)))</f>
        <v>0</v>
      </c>
      <c r="CH28" s="2">
        <f>IF((3-(inp_c8_collect_lag+calc_scn_collect_add))&gt;=1,INDEX(CG:CG,25+3-(inp_c8_collect_lag+calc_scn_collect_add)),0)</f>
        <v>0</v>
      </c>
      <c r="CI28" s="2">
        <f>SUM(CH$26:CH28)-SUM(CF$26:CF28)</f>
        <v>0</v>
      </c>
      <c r="CJ28" s="2"/>
      <c r="CK28" s="2"/>
      <c r="CL28" s="2"/>
      <c r="CM28" s="2">
        <f>IF(AND(BG28&gt;=0,3&gt;=inp_c1_start_m),3,9999)</f>
        <v>9999</v>
      </c>
      <c r="CN28" s="2">
        <f>IF(AND(BK28&gt;=0,3&gt;=inp_c2_start_m),3,9999)</f>
        <v>9999</v>
      </c>
      <c r="CO28" s="2">
        <f>IF(AND(BO28&gt;=0,3&gt;=inp_c3_start_m),3,9999)</f>
        <v>9999</v>
      </c>
      <c r="CP28" s="2">
        <f>IF(AND(BS28&gt;=0,3&gt;=inp_c4_start_m),3,9999)</f>
        <v>9999</v>
      </c>
      <c r="CQ28" s="2">
        <f>IF(AND(BW28&gt;=0,3&gt;=inp_c5_start_m),3,9999)</f>
        <v>9999</v>
      </c>
      <c r="CR28" s="2">
        <f>IF(AND(CA28&gt;=0,3&gt;=inp_c6_start_m),3,9999)</f>
        <v>9999</v>
      </c>
      <c r="CS28" s="2">
        <f>IF(AND(CE28&gt;=0,3&gt;=inp_c7_start_m),3,9999)</f>
        <v>3</v>
      </c>
      <c r="CT28" s="2">
        <f>IF(AND(CI28&gt;=0,3&gt;=inp_c8_start_m),3,9999)</f>
        <v>3</v>
      </c>
      <c r="CU28" s="2"/>
      <c r="CV28" s="55">
        <f>inp_biz_cash_open+SUM(AC$26:AC28)+SUM(BF$26:BF28)-SUM(BD$26:BD28)</f>
        <v>1399950</v>
      </c>
      <c r="CW28" s="55">
        <f>inp_biz_cash_open+SUM(AC$26:AC28)+SUM(BJ$26:BJ28)-SUM(BH$26:BH28)</f>
        <v>1391387.5</v>
      </c>
      <c r="CX28" s="55">
        <f>inp_biz_cash_open+SUM(AC$26:AC28)+SUM(BN$26:BN28)-SUM(BL$26:BL28)</f>
        <v>1420569.1666666667</v>
      </c>
      <c r="CY28" s="55">
        <f>inp_biz_cash_open+SUM(AC$26:AC28)+SUM(BR$26:BR28)-SUM(BP$26:BP28)</f>
        <v>1406300</v>
      </c>
      <c r="CZ28" s="55">
        <f>inp_biz_cash_open+SUM(AC$26:AC28)+SUM(BV$26:BV28)-SUM(BT$26:BT28)</f>
        <v>1419247.5</v>
      </c>
      <c r="DA28" s="55">
        <f>inp_biz_cash_open+SUM(AC$26:AC28)+SUM(BZ$26:BZ28)-SUM(BX$26:BX28)</f>
        <v>1391287.5</v>
      </c>
      <c r="DB28" s="55">
        <f>inp_biz_cash_open+SUM(AC$26:AC28)+SUM(CD$26:CD28)-SUM(CB$26:CB28)</f>
        <v>1430100</v>
      </c>
      <c r="DC28" s="55">
        <f>inp_biz_cash_open+SUM(AC$26:AC28)+SUM(CH$26:CH28)-SUM(CF$26:CF28)</f>
        <v>1430100</v>
      </c>
      <c r="DD28" s="2"/>
      <c r="DE28" s="2"/>
      <c r="DF28" s="2"/>
      <c r="DG28" s="2"/>
      <c r="DH28" s="2"/>
      <c r="DI28" s="2"/>
      <c r="DJ28" s="19"/>
      <c r="DK28" s="20"/>
      <c r="DL28" s="20"/>
      <c r="DM28" s="20"/>
      <c r="DO28" s="66"/>
    </row>
    <row r="29" spans="1:119" ht="22" customHeight="1" x14ac:dyDescent="0.2">
      <c r="A29" s="1"/>
      <c r="B29" s="8" t="s">
        <v>103</v>
      </c>
      <c r="C29" s="75">
        <v>130</v>
      </c>
      <c r="D29" s="76">
        <v>130</v>
      </c>
      <c r="E29" s="75">
        <v>130</v>
      </c>
      <c r="F29" s="70">
        <v>120</v>
      </c>
      <c r="G29" s="70">
        <v>130</v>
      </c>
      <c r="H29" s="70">
        <v>0</v>
      </c>
      <c r="I29" s="70"/>
      <c r="J29" s="70"/>
      <c r="K29" s="1"/>
      <c r="L29" s="2"/>
      <c r="M29" s="18">
        <v>4</v>
      </c>
      <c r="N29"/>
      <c r="O29"/>
      <c r="P29"/>
      <c r="Q29"/>
      <c r="R29"/>
      <c r="S29"/>
      <c r="T29"/>
      <c r="U29"/>
      <c r="V29"/>
      <c r="W29"/>
      <c r="X29"/>
      <c r="Y29"/>
      <c r="Z29" s="10">
        <f>inp_biz_revenue_m0*(1+inp_biz_rev_growth)^(4-1)*calc_scn_rev_mult</f>
        <v>1030300.9999999999</v>
      </c>
      <c r="AA29" s="10">
        <f t="shared" ref="AA29" si="30">inp_biz_opex_m0*calc_scn_cost_mult</f>
        <v>250000</v>
      </c>
      <c r="AB29" s="10">
        <f t="shared" ref="AB29" si="31">inp_biz_payroll_m0*calc_scn_cost_mult</f>
        <v>550000</v>
      </c>
      <c r="AC29" s="10">
        <f t="shared" si="5"/>
        <v>230300.99999999988</v>
      </c>
      <c r="AD29" s="10">
        <f>inp_biz_cash_open+SUM(AC$26:AC29)</f>
        <v>1660401</v>
      </c>
      <c r="AE29" s="10">
        <f t="shared" si="6"/>
        <v>90462.5</v>
      </c>
      <c r="AF29" s="10">
        <f t="shared" si="7"/>
        <v>71608.333333333328</v>
      </c>
      <c r="AG29" s="10">
        <f t="shared" si="8"/>
        <v>211446.8333333332</v>
      </c>
      <c r="AH29" s="10">
        <f>inp_biz_cash_open+SUM(AG$26:AG29)</f>
        <v>1489688.4999999998</v>
      </c>
      <c r="AI29" s="18">
        <f t="shared" ref="AI29" si="32">IF(AH29&lt;inp_biz_floor,1,0)</f>
        <v>0</v>
      </c>
      <c r="AJ29"/>
      <c r="AK29"/>
      <c r="AL29"/>
      <c r="AM29" s="10">
        <f t="shared" ref="AM29" si="33">inp_biz_floor</f>
        <v>400000</v>
      </c>
      <c r="AN29" s="10">
        <f t="shared" si="11"/>
        <v>-170712.50000000023</v>
      </c>
      <c r="AO29" s="10">
        <f>0</f>
        <v>0</v>
      </c>
      <c r="AP29" s="2"/>
      <c r="AQ29" s="2"/>
      <c r="AR29" s="2"/>
      <c r="AS29"/>
      <c r="AT29"/>
      <c r="AU29"/>
      <c r="AV29" s="10">
        <f t="shared" ref="AV29" si="34">IF(ROW()-25&lt;sel_start_m,0,(sel_salary/12*(1+sel_oncost)+sel_benefits)*calc_scn_cost_mult)</f>
        <v>15900.000000000002</v>
      </c>
      <c r="AW29" s="10">
        <f t="shared" ref="AW29" si="35">IF(ROW()-25&lt;sel_start_m,0,sel_bill_hours*sel_util*sel_rate*calc_scn_rev_mult*calc_scn_util_mult*MIN(1,sel_m1_prod+(ROW()-25-sel_start_m)*(1-sel_m1_prod)/MAX(sel_ramp_m-1,1)))</f>
        <v>30420</v>
      </c>
      <c r="AX29" s="10">
        <f t="array" ref="AX29">IF((ROW()-25)-(sel_collect_lag+calc_scn_collect_add)&gt;=1,INDEX(AW$26:AW$49,(ROW()-25)-(sel_collect_lag+calc_scn_collect_add)),0)</f>
        <v>22054.500000000004</v>
      </c>
      <c r="AY29" s="10">
        <f>SUM(AV$26:AV29)</f>
        <v>63600.000000000007</v>
      </c>
      <c r="AZ29" s="10">
        <f>SUM(AX$26:AX29)</f>
        <v>35743.5</v>
      </c>
      <c r="BA29" s="10">
        <f t="shared" ref="BA29" si="36">AD29-inp_biz_cash_open</f>
        <v>860401</v>
      </c>
      <c r="BB29" s="2"/>
      <c r="BC29" s="19">
        <f t="shared" si="15"/>
        <v>4</v>
      </c>
      <c r="BD29" s="19">
        <f>IF(OR(NOT(inp_c1_active),4&lt;inp_c1_start_m),0,((inp_c1_salary/12)*(1+inp_c1_oncost)+inp_c1_benefits)*calc_scn_cost_mult)</f>
        <v>15900.000000000002</v>
      </c>
      <c r="BE29" s="19">
        <f>IF(OR(NOT(inp_c1_active),4&lt;inp_c1_start_m),0,inp_c1_bill_hours*inp_c1_rate*calc_scn_rev_mult*calc_scn_util_mult*(inp_c1_m1_prod+MAX(0,MIN(4-inp_c1_start_m,inp_c1_ramp_m-1))*(inp_c1_util-inp_c1_m1_prod)/MAX(inp_c1_ramp_m-1,1)))</f>
        <v>30420</v>
      </c>
      <c r="BF29" s="2">
        <f>IF((4-(inp_c1_collect_lag+calc_scn_collect_add))&gt;=1,INDEX(BE:BE,25+4-(inp_c1_collect_lag+calc_scn_collect_add)),0)</f>
        <v>23985</v>
      </c>
      <c r="BG29" s="2">
        <f>SUM(BF$26:BF29)-SUM(BD$26:BD29)</f>
        <v>-22065.000000000007</v>
      </c>
      <c r="BH29" s="2">
        <f>IF(OR(NOT(inp_c2_active),4&lt;inp_c2_start_m),0,((inp_c2_salary/12)*(1+inp_c2_oncost)+inp_c2_benefits)*calc_scn_cost_mult)</f>
        <v>19356.25</v>
      </c>
      <c r="BI29" s="2">
        <f>IF(OR(NOT(inp_c2_active),4&lt;inp_c2_start_m),0,inp_c2_bill_hours*inp_c2_rate*calc_scn_rev_mult*calc_scn_util_mult*(inp_c2_m1_prod+MAX(0,MIN(4-inp_c2_start_m,inp_c2_ramp_m-1))*(inp_c2_util-inp_c2_m1_prod)/MAX(inp_c2_ramp_m-1,1)))</f>
        <v>35568</v>
      </c>
      <c r="BJ29" s="2">
        <f>IF((4-(inp_c2_collect_lag+calc_scn_collect_add))&gt;=1,INDEX(BI:BI,25+4-(inp_c2_collect_lag+calc_scn_collect_add)),0)</f>
        <v>24700</v>
      </c>
      <c r="BK29" s="2">
        <f>SUM(BJ$26:BJ29)-SUM(BH$26:BH29)</f>
        <v>-33368.75</v>
      </c>
      <c r="BL29" s="2">
        <f>IF(OR(NOT(inp_c3_active),4&lt;inp_c3_start_m),0,((inp_c3_salary/12)*(1+inp_c3_oncost)+inp_c3_benefits)*calc_scn_cost_mult)</f>
        <v>10962.5</v>
      </c>
      <c r="BM29" s="2">
        <f>IF(OR(NOT(inp_c3_active),4&lt;inp_c3_start_m),0,inp_c3_bill_hours*inp_c3_rate*calc_scn_rev_mult*calc_scn_util_mult*(inp_c3_m1_prod+MAX(0,MIN(4-inp_c3_start_m,inp_c3_ramp_m-1))*(inp_c3_util-inp_c3_m1_prod)/MAX(inp_c3_ramp_m-1,1)))</f>
        <v>20020</v>
      </c>
      <c r="BN29" s="2">
        <f>IF((4-(inp_c3_collect_lag+calc_scn_collect_add))&gt;=1,INDEX(BM:BM,25+4-(inp_c3_collect_lag+calc_scn_collect_add)),0)</f>
        <v>16683.333333333332</v>
      </c>
      <c r="BO29" s="2">
        <f>SUM(BN$26:BN29)-SUM(BL$26:BL29)</f>
        <v>-3810</v>
      </c>
      <c r="BP29" s="2">
        <f>IF(OR(NOT(inp_c4_active),4&lt;inp_c4_start_m),0,((inp_c4_salary/12)*(1+inp_c4_oncost)+inp_c4_benefits)*calc_scn_cost_mult)</f>
        <v>23800</v>
      </c>
      <c r="BQ29" s="2">
        <f>IF(OR(NOT(inp_c4_active),4&lt;inp_c4_start_m),0,inp_c4_bill_hours*inp_c4_rate*calc_scn_rev_mult*calc_scn_util_mult*(inp_c4_m1_prod+MAX(0,MIN(4-inp_c4_start_m,inp_c4_ramp_m-1))*(inp_c4_util-inp_c4_m1_prod)/MAX(inp_c4_ramp_m-1,1)))</f>
        <v>32760</v>
      </c>
      <c r="BR29" s="2">
        <f>IF((4-(inp_c4_collect_lag+calc_scn_collect_add))&gt;=1,INDEX(BQ:BQ,25+4-(inp_c4_collect_lag+calc_scn_collect_add)),0)</f>
        <v>0</v>
      </c>
      <c r="BS29" s="2">
        <f>SUM(BR$26:BR29)-SUM(BP$26:BP29)</f>
        <v>-47600</v>
      </c>
      <c r="BT29" s="2">
        <f>IF(OR(NOT(inp_c5_active),4&lt;inp_c5_start_m),0,((inp_c5_salary/12)*(1+inp_c5_oncost)+inp_c5_benefits)*calc_scn_cost_mult)</f>
        <v>7506.25</v>
      </c>
      <c r="BU29" s="2">
        <f>IF(OR(NOT(inp_c5_active),4&lt;inp_c5_start_m),0,inp_c5_bill_hours*inp_c5_rate*calc_scn_rev_mult*calc_scn_util_mult*(inp_c5_m1_prod+MAX(0,MIN(4-inp_c5_start_m,inp_c5_ramp_m-1))*(inp_c5_util-inp_c5_m1_prod)/MAX(inp_c5_ramp_m-1,1)))</f>
        <v>8320</v>
      </c>
      <c r="BV29" s="2">
        <f>IF((4-(inp_c5_collect_lag+calc_scn_collect_add))&gt;=1,INDEX(BU:BU,25+4-(inp_c5_collect_lag+calc_scn_collect_add)),0)</f>
        <v>6240</v>
      </c>
      <c r="BW29" s="2">
        <f>SUM(BV$26:BV29)-SUM(BT$26:BT29)</f>
        <v>-12118.75</v>
      </c>
      <c r="BX29" s="2">
        <f>IF(OR(NOT(inp_c6_active),4&lt;inp_c6_start_m),0,((inp_c6_salary/12)*(1+inp_c6_oncost)+inp_c6_benefits)*calc_scn_cost_mult)</f>
        <v>12937.500000000002</v>
      </c>
      <c r="BY29" s="2">
        <f>IF(OR(NOT(inp_c6_active),4&lt;inp_c6_start_m),0,inp_c6_bill_hours*inp_c6_rate*calc_scn_rev_mult*calc_scn_util_mult*(inp_c6_m1_prod+MAX(0,MIN(4-inp_c6_start_m,inp_c6_ramp_m-1))*(inp_c6_util-inp_c6_m1_prod)/MAX(inp_c6_ramp_m-1,1)))</f>
        <v>0</v>
      </c>
      <c r="BZ29" s="2">
        <f>IF((4-(inp_c6_collect_lag+calc_scn_collect_add))&gt;=1,INDEX(BY:BY,25+4-(inp_c6_collect_lag+calc_scn_collect_add)),0)</f>
        <v>0</v>
      </c>
      <c r="CA29" s="2">
        <f>SUM(BZ$26:BZ29)-SUM(BX$26:BX29)</f>
        <v>-51750.000000000007</v>
      </c>
      <c r="CB29" s="2">
        <f>IF(OR(NOT(inp_c7_active),4&lt;inp_c7_start_m),0,((inp_c7_salary/12)*(1+inp_c7_oncost)+inp_c7_benefits)*calc_scn_cost_mult)</f>
        <v>0</v>
      </c>
      <c r="CC29" s="2">
        <f>IF(OR(NOT(inp_c7_active),4&lt;inp_c7_start_m),0,inp_c7_bill_hours*inp_c7_rate*calc_scn_rev_mult*calc_scn_util_mult*(inp_c7_m1_prod+MAX(0,MIN(4-inp_c7_start_m,inp_c7_ramp_m-1))*(inp_c7_util-inp_c7_m1_prod)/MAX(inp_c7_ramp_m-1,1)))</f>
        <v>0</v>
      </c>
      <c r="CD29" s="2">
        <f>IF((4-(inp_c7_collect_lag+calc_scn_collect_add))&gt;=1,INDEX(CC:CC,25+4-(inp_c7_collect_lag+calc_scn_collect_add)),0)</f>
        <v>0</v>
      </c>
      <c r="CE29" s="2">
        <f>SUM(CD$26:CD29)-SUM(CB$26:CB29)</f>
        <v>0</v>
      </c>
      <c r="CF29" s="2">
        <f>IF(OR(NOT(inp_c8_active),4&lt;inp_c8_start_m),0,((inp_c8_salary/12)*(1+inp_c8_oncost)+inp_c8_benefits)*calc_scn_cost_mult)</f>
        <v>0</v>
      </c>
      <c r="CG29" s="2">
        <f>IF(OR(NOT(inp_c8_active),4&lt;inp_c8_start_m),0,inp_c8_bill_hours*inp_c8_rate*calc_scn_rev_mult*calc_scn_util_mult*(inp_c8_m1_prod+MAX(0,MIN(4-inp_c8_start_m,inp_c8_ramp_m-1))*(inp_c8_util-inp_c8_m1_prod)/MAX(inp_c8_ramp_m-1,1)))</f>
        <v>0</v>
      </c>
      <c r="CH29" s="2">
        <f>IF((4-(inp_c8_collect_lag+calc_scn_collect_add))&gt;=1,INDEX(CG:CG,25+4-(inp_c8_collect_lag+calc_scn_collect_add)),0)</f>
        <v>0</v>
      </c>
      <c r="CI29" s="2">
        <f>SUM(CH$26:CH29)-SUM(CF$26:CF29)</f>
        <v>0</v>
      </c>
      <c r="CJ29" s="2"/>
      <c r="CK29" s="2"/>
      <c r="CL29" s="2"/>
      <c r="CM29" s="2">
        <f>IF(AND(BG29&gt;=0,4&gt;=inp_c1_start_m),4,9999)</f>
        <v>9999</v>
      </c>
      <c r="CN29" s="2">
        <f>IF(AND(BK29&gt;=0,4&gt;=inp_c2_start_m),4,9999)</f>
        <v>9999</v>
      </c>
      <c r="CO29" s="2">
        <f>IF(AND(BO29&gt;=0,4&gt;=inp_c3_start_m),4,9999)</f>
        <v>9999</v>
      </c>
      <c r="CP29" s="2">
        <f>IF(AND(BS29&gt;=0,4&gt;=inp_c4_start_m),4,9999)</f>
        <v>9999</v>
      </c>
      <c r="CQ29" s="2">
        <f>IF(AND(BW29&gt;=0,4&gt;=inp_c5_start_m),4,9999)</f>
        <v>9999</v>
      </c>
      <c r="CR29" s="2">
        <f>IF(AND(CA29&gt;=0,4&gt;=inp_c6_start_m),4,9999)</f>
        <v>9999</v>
      </c>
      <c r="CS29" s="2">
        <f>IF(AND(CE29&gt;=0,4&gt;=inp_c7_start_m),4,9999)</f>
        <v>4</v>
      </c>
      <c r="CT29" s="2">
        <f>IF(AND(CI29&gt;=0,4&gt;=inp_c8_start_m),4,9999)</f>
        <v>4</v>
      </c>
      <c r="CU29" s="2"/>
      <c r="CV29" s="55">
        <f>inp_biz_cash_open+SUM(AC$26:AC29)+SUM(BF$26:BF29)-SUM(BD$26:BD29)</f>
        <v>1638336</v>
      </c>
      <c r="CW29" s="55">
        <f>inp_biz_cash_open+SUM(AC$26:AC29)+SUM(BJ$26:BJ29)-SUM(BH$26:BH29)</f>
        <v>1627032.25</v>
      </c>
      <c r="CX29" s="55">
        <f>inp_biz_cash_open+SUM(AC$26:AC29)+SUM(BN$26:BN29)-SUM(BL$26:BL29)</f>
        <v>1656591</v>
      </c>
      <c r="CY29" s="55">
        <f>inp_biz_cash_open+SUM(AC$26:AC29)+SUM(BR$26:BR29)-SUM(BP$26:BP29)</f>
        <v>1612801</v>
      </c>
      <c r="CZ29" s="55">
        <f>inp_biz_cash_open+SUM(AC$26:AC29)+SUM(BV$26:BV29)-SUM(BT$26:BT29)</f>
        <v>1648282.25</v>
      </c>
      <c r="DA29" s="55">
        <f>inp_biz_cash_open+SUM(AC$26:AC29)+SUM(BZ$26:BZ29)-SUM(BX$26:BX29)</f>
        <v>1608651</v>
      </c>
      <c r="DB29" s="55">
        <f>inp_biz_cash_open+SUM(AC$26:AC29)+SUM(CD$26:CD29)-SUM(CB$26:CB29)</f>
        <v>1660401</v>
      </c>
      <c r="DC29" s="55">
        <f>inp_biz_cash_open+SUM(AC$26:AC29)+SUM(CH$26:CH29)-SUM(CF$26:CF29)</f>
        <v>1660401</v>
      </c>
      <c r="DD29" s="2"/>
      <c r="DE29" s="2"/>
      <c r="DF29" s="2"/>
      <c r="DG29" s="2"/>
      <c r="DH29" s="2"/>
      <c r="DI29" s="2"/>
      <c r="DJ29" s="19"/>
      <c r="DK29" s="20"/>
      <c r="DL29" s="20"/>
      <c r="DM29" s="20"/>
      <c r="DO29" s="66"/>
    </row>
    <row r="30" spans="1:119" ht="22" customHeight="1" x14ac:dyDescent="0.2">
      <c r="A30" s="1"/>
      <c r="B30" s="8" t="s">
        <v>104</v>
      </c>
      <c r="C30" s="80">
        <v>0.78</v>
      </c>
      <c r="D30" s="68">
        <v>0.72</v>
      </c>
      <c r="E30" s="80">
        <v>0.7</v>
      </c>
      <c r="F30" s="69">
        <v>0.65</v>
      </c>
      <c r="G30" s="69">
        <v>0.7</v>
      </c>
      <c r="H30" s="69">
        <v>0</v>
      </c>
      <c r="I30" s="69"/>
      <c r="J30" s="69"/>
      <c r="K30" s="1"/>
      <c r="L30" s="2"/>
      <c r="M30" s="18">
        <v>5</v>
      </c>
      <c r="N30"/>
      <c r="O30"/>
      <c r="P30"/>
      <c r="Q30"/>
      <c r="R30"/>
      <c r="S30"/>
      <c r="T30"/>
      <c r="U30"/>
      <c r="V30"/>
      <c r="W30"/>
      <c r="X30"/>
      <c r="Y30"/>
      <c r="Z30" s="10">
        <f>inp_biz_revenue_m0*(1+inp_biz_rev_growth)^(5-1)*calc_scn_rev_mult</f>
        <v>1040604.01</v>
      </c>
      <c r="AA30" s="10">
        <f t="shared" ref="AA30" si="37">inp_biz_opex_m0*calc_scn_cost_mult</f>
        <v>250000</v>
      </c>
      <c r="AB30" s="10">
        <f t="shared" ref="AB30" si="38">inp_biz_payroll_m0*calc_scn_cost_mult</f>
        <v>550000</v>
      </c>
      <c r="AC30" s="10">
        <f t="shared" si="5"/>
        <v>240604.01</v>
      </c>
      <c r="AD30" s="10">
        <f>inp_biz_cash_open+SUM(AC$26:AC30)</f>
        <v>1901005.0099999998</v>
      </c>
      <c r="AE30" s="10">
        <f t="shared" si="6"/>
        <v>90462.5</v>
      </c>
      <c r="AF30" s="10">
        <f t="shared" si="7"/>
        <v>122048</v>
      </c>
      <c r="AG30" s="10">
        <f t="shared" si="8"/>
        <v>272189.51</v>
      </c>
      <c r="AH30" s="10">
        <f>inp_biz_cash_open+SUM(AG$26:AG30)</f>
        <v>1761878.0099999998</v>
      </c>
      <c r="AI30" s="18">
        <f t="shared" ref="AI30" si="39">IF(AH30&lt;inp_biz_floor,1,0)</f>
        <v>0</v>
      </c>
      <c r="AJ30"/>
      <c r="AK30"/>
      <c r="AL30"/>
      <c r="AM30" s="10">
        <f t="shared" ref="AM30" si="40">inp_biz_floor</f>
        <v>400000</v>
      </c>
      <c r="AN30" s="10">
        <f t="shared" si="11"/>
        <v>-139127</v>
      </c>
      <c r="AO30" s="10">
        <f>0</f>
        <v>0</v>
      </c>
      <c r="AP30" s="2"/>
      <c r="AQ30" s="2"/>
      <c r="AR30" s="2"/>
      <c r="AS30"/>
      <c r="AT30"/>
      <c r="AU30"/>
      <c r="AV30" s="10">
        <f t="shared" ref="AV30" si="41">IF(ROW()-25&lt;sel_start_m,0,(sel_salary/12*(1+sel_oncost)+sel_benefits)*calc_scn_cost_mult)</f>
        <v>15900.000000000002</v>
      </c>
      <c r="AW30" s="10">
        <f t="shared" ref="AW30" si="42">IF(ROW()-25&lt;sel_start_m,0,sel_bill_hours*sel_util*sel_rate*calc_scn_rev_mult*calc_scn_util_mult*MIN(1,sel_m1_prod+(ROW()-25-sel_start_m)*(1-sel_m1_prod)/MAX(sel_ramp_m-1,1)))</f>
        <v>30420</v>
      </c>
      <c r="AX30" s="10">
        <f t="array" ref="AX30">IF((ROW()-25)-(sel_collect_lag+calc_scn_collect_add)&gt;=1,INDEX(AW$26:AW$49,(ROW()-25)-(sel_collect_lag+calc_scn_collect_add)),0)</f>
        <v>30420</v>
      </c>
      <c r="AY30" s="10">
        <f>SUM(AV$26:AV30)</f>
        <v>79500.000000000015</v>
      </c>
      <c r="AZ30" s="10">
        <f>SUM(AX$26:AX30)</f>
        <v>66163.5</v>
      </c>
      <c r="BA30" s="10">
        <f t="shared" ref="BA30" si="43">AD30-inp_biz_cash_open</f>
        <v>1101005.0099999998</v>
      </c>
      <c r="BB30" s="2"/>
      <c r="BC30" s="19">
        <f t="shared" si="15"/>
        <v>5</v>
      </c>
      <c r="BD30" s="19">
        <f>IF(OR(NOT(inp_c1_active),5&lt;inp_c1_start_m),0,((inp_c1_salary/12)*(1+inp_c1_oncost)+inp_c1_benefits)*calc_scn_cost_mult)</f>
        <v>15900.000000000002</v>
      </c>
      <c r="BE30" s="19">
        <f>IF(OR(NOT(inp_c1_active),5&lt;inp_c1_start_m),0,inp_c1_bill_hours*inp_c1_rate*calc_scn_rev_mult*calc_scn_util_mult*(inp_c1_m1_prod+MAX(0,MIN(5-inp_c1_start_m,inp_c1_ramp_m-1))*(inp_c1_util-inp_c1_m1_prod)/MAX(inp_c1_ramp_m-1,1)))</f>
        <v>30420</v>
      </c>
      <c r="BF30" s="2">
        <f>IF((5-(inp_c1_collect_lag+calc_scn_collect_add))&gt;=1,INDEX(BE:BE,25+5-(inp_c1_collect_lag+calc_scn_collect_add)),0)</f>
        <v>30420</v>
      </c>
      <c r="BG30" s="2">
        <f>SUM(BF$26:BF30)-SUM(BD$26:BD30)</f>
        <v>-7545.0000000000146</v>
      </c>
      <c r="BH30" s="2">
        <f>IF(OR(NOT(inp_c2_active),5&lt;inp_c2_start_m),0,((inp_c2_salary/12)*(1+inp_c2_oncost)+inp_c2_benefits)*calc_scn_cost_mult)</f>
        <v>19356.25</v>
      </c>
      <c r="BI30" s="2">
        <f>IF(OR(NOT(inp_c2_active),5&lt;inp_c2_start_m),0,inp_c2_bill_hours*inp_c2_rate*calc_scn_rev_mult*calc_scn_util_mult*(inp_c2_m1_prod+MAX(0,MIN(5-inp_c2_start_m,inp_c2_ramp_m-1))*(inp_c2_util-inp_c2_m1_prod)/MAX(inp_c2_ramp_m-1,1)))</f>
        <v>35568</v>
      </c>
      <c r="BJ30" s="2">
        <f>IF((5-(inp_c2_collect_lag+calc_scn_collect_add))&gt;=1,INDEX(BI:BI,25+5-(inp_c2_collect_lag+calc_scn_collect_add)),0)</f>
        <v>35568</v>
      </c>
      <c r="BK30" s="2">
        <f>SUM(BJ$26:BJ30)-SUM(BH$26:BH30)</f>
        <v>-17157</v>
      </c>
      <c r="BL30" s="2">
        <f>IF(OR(NOT(inp_c3_active),5&lt;inp_c3_start_m),0,((inp_c3_salary/12)*(1+inp_c3_oncost)+inp_c3_benefits)*calc_scn_cost_mult)</f>
        <v>10962.5</v>
      </c>
      <c r="BM30" s="2">
        <f>IF(OR(NOT(inp_c3_active),5&lt;inp_c3_start_m),0,inp_c3_bill_hours*inp_c3_rate*calc_scn_rev_mult*calc_scn_util_mult*(inp_c3_m1_prod+MAX(0,MIN(5-inp_c3_start_m,inp_c3_ramp_m-1))*(inp_c3_util-inp_c3_m1_prod)/MAX(inp_c3_ramp_m-1,1)))</f>
        <v>20020</v>
      </c>
      <c r="BN30" s="2">
        <f>IF((5-(inp_c3_collect_lag+calc_scn_collect_add))&gt;=1,INDEX(BM:BM,25+5-(inp_c3_collect_lag+calc_scn_collect_add)),0)</f>
        <v>20020</v>
      </c>
      <c r="BO30" s="2">
        <f>SUM(BN$26:BN30)-SUM(BL$26:BL30)</f>
        <v>5247.5</v>
      </c>
      <c r="BP30" s="2">
        <f>IF(OR(NOT(inp_c4_active),5&lt;inp_c4_start_m),0,((inp_c4_salary/12)*(1+inp_c4_oncost)+inp_c4_benefits)*calc_scn_cost_mult)</f>
        <v>23800</v>
      </c>
      <c r="BQ30" s="2">
        <f>IF(OR(NOT(inp_c4_active),5&lt;inp_c4_start_m),0,inp_c4_bill_hours*inp_c4_rate*calc_scn_rev_mult*calc_scn_util_mult*(inp_c4_m1_prod+MAX(0,MIN(5-inp_c4_start_m,inp_c4_ramp_m-1))*(inp_c4_util-inp_c4_m1_prod)/MAX(inp_c4_ramp_m-1,1)))</f>
        <v>32760</v>
      </c>
      <c r="BR30" s="2">
        <f>IF((5-(inp_c4_collect_lag+calc_scn_collect_add))&gt;=1,INDEX(BQ:BQ,25+5-(inp_c4_collect_lag+calc_scn_collect_add)),0)</f>
        <v>27720.000000000004</v>
      </c>
      <c r="BS30" s="2">
        <f>SUM(BR$26:BR30)-SUM(BP$26:BP30)</f>
        <v>-43680</v>
      </c>
      <c r="BT30" s="2">
        <f>IF(OR(NOT(inp_c5_active),5&lt;inp_c5_start_m),0,((inp_c5_salary/12)*(1+inp_c5_oncost)+inp_c5_benefits)*calc_scn_cost_mult)</f>
        <v>7506.25</v>
      </c>
      <c r="BU30" s="2">
        <f>IF(OR(NOT(inp_c5_active),5&lt;inp_c5_start_m),0,inp_c5_bill_hours*inp_c5_rate*calc_scn_rev_mult*calc_scn_util_mult*(inp_c5_m1_prod+MAX(0,MIN(5-inp_c5_start_m,inp_c5_ramp_m-1))*(inp_c5_util-inp_c5_m1_prod)/MAX(inp_c5_ramp_m-1,1)))</f>
        <v>10399.999999999998</v>
      </c>
      <c r="BV30" s="2">
        <f>IF((5-(inp_c5_collect_lag+calc_scn_collect_add))&gt;=1,INDEX(BU:BU,25+5-(inp_c5_collect_lag+calc_scn_collect_add)),0)</f>
        <v>8320</v>
      </c>
      <c r="BW30" s="2">
        <f>SUM(BV$26:BV30)-SUM(BT$26:BT30)</f>
        <v>-11305</v>
      </c>
      <c r="BX30" s="2">
        <f>IF(OR(NOT(inp_c6_active),5&lt;inp_c6_start_m),0,((inp_c6_salary/12)*(1+inp_c6_oncost)+inp_c6_benefits)*calc_scn_cost_mult)</f>
        <v>12937.500000000002</v>
      </c>
      <c r="BY30" s="2">
        <f>IF(OR(NOT(inp_c6_active),5&lt;inp_c6_start_m),0,inp_c6_bill_hours*inp_c6_rate*calc_scn_rev_mult*calc_scn_util_mult*(inp_c6_m1_prod+MAX(0,MIN(5-inp_c6_start_m,inp_c6_ramp_m-1))*(inp_c6_util-inp_c6_m1_prod)/MAX(inp_c6_ramp_m-1,1)))</f>
        <v>0</v>
      </c>
      <c r="BZ30" s="2">
        <f>IF((5-(inp_c6_collect_lag+calc_scn_collect_add))&gt;=1,INDEX(BY:BY,25+5-(inp_c6_collect_lag+calc_scn_collect_add)),0)</f>
        <v>0</v>
      </c>
      <c r="CA30" s="2">
        <f>SUM(BZ$26:BZ30)-SUM(BX$26:BX30)</f>
        <v>-64687.500000000007</v>
      </c>
      <c r="CB30" s="2">
        <f>IF(OR(NOT(inp_c7_active),5&lt;inp_c7_start_m),0,((inp_c7_salary/12)*(1+inp_c7_oncost)+inp_c7_benefits)*calc_scn_cost_mult)</f>
        <v>0</v>
      </c>
      <c r="CC30" s="2">
        <f>IF(OR(NOT(inp_c7_active),5&lt;inp_c7_start_m),0,inp_c7_bill_hours*inp_c7_rate*calc_scn_rev_mult*calc_scn_util_mult*(inp_c7_m1_prod+MAX(0,MIN(5-inp_c7_start_m,inp_c7_ramp_m-1))*(inp_c7_util-inp_c7_m1_prod)/MAX(inp_c7_ramp_m-1,1)))</f>
        <v>0</v>
      </c>
      <c r="CD30" s="2">
        <f>IF((5-(inp_c7_collect_lag+calc_scn_collect_add))&gt;=1,INDEX(CC:CC,25+5-(inp_c7_collect_lag+calc_scn_collect_add)),0)</f>
        <v>0</v>
      </c>
      <c r="CE30" s="2">
        <f>SUM(CD$26:CD30)-SUM(CB$26:CB30)</f>
        <v>0</v>
      </c>
      <c r="CF30" s="2">
        <f>IF(OR(NOT(inp_c8_active),5&lt;inp_c8_start_m),0,((inp_c8_salary/12)*(1+inp_c8_oncost)+inp_c8_benefits)*calc_scn_cost_mult)</f>
        <v>0</v>
      </c>
      <c r="CG30" s="2">
        <f>IF(OR(NOT(inp_c8_active),5&lt;inp_c8_start_m),0,inp_c8_bill_hours*inp_c8_rate*calc_scn_rev_mult*calc_scn_util_mult*(inp_c8_m1_prod+MAX(0,MIN(5-inp_c8_start_m,inp_c8_ramp_m-1))*(inp_c8_util-inp_c8_m1_prod)/MAX(inp_c8_ramp_m-1,1)))</f>
        <v>0</v>
      </c>
      <c r="CH30" s="2">
        <f>IF((5-(inp_c8_collect_lag+calc_scn_collect_add))&gt;=1,INDEX(CG:CG,25+5-(inp_c8_collect_lag+calc_scn_collect_add)),0)</f>
        <v>0</v>
      </c>
      <c r="CI30" s="2">
        <f>SUM(CH$26:CH30)-SUM(CF$26:CF30)</f>
        <v>0</v>
      </c>
      <c r="CJ30" s="2"/>
      <c r="CK30" s="2"/>
      <c r="CL30" s="2"/>
      <c r="CM30" s="2">
        <f>IF(AND(BG30&gt;=0,5&gt;=inp_c1_start_m),5,9999)</f>
        <v>9999</v>
      </c>
      <c r="CN30" s="2">
        <f>IF(AND(BK30&gt;=0,5&gt;=inp_c2_start_m),5,9999)</f>
        <v>9999</v>
      </c>
      <c r="CO30" s="2">
        <f>IF(AND(BO30&gt;=0,5&gt;=inp_c3_start_m),5,9999)</f>
        <v>5</v>
      </c>
      <c r="CP30" s="2">
        <f>IF(AND(BS30&gt;=0,5&gt;=inp_c4_start_m),5,9999)</f>
        <v>9999</v>
      </c>
      <c r="CQ30" s="2">
        <f>IF(AND(BW30&gt;=0,5&gt;=inp_c5_start_m),5,9999)</f>
        <v>9999</v>
      </c>
      <c r="CR30" s="2">
        <f>IF(AND(CA30&gt;=0,5&gt;=inp_c6_start_m),5,9999)</f>
        <v>9999</v>
      </c>
      <c r="CS30" s="2">
        <f>IF(AND(CE30&gt;=0,5&gt;=inp_c7_start_m),5,9999)</f>
        <v>5</v>
      </c>
      <c r="CT30" s="2">
        <f>IF(AND(CI30&gt;=0,5&gt;=inp_c8_start_m),5,9999)</f>
        <v>5</v>
      </c>
      <c r="CU30" s="2"/>
      <c r="CV30" s="55">
        <f>inp_biz_cash_open+SUM(AC$26:AC30)+SUM(BF$26:BF30)-SUM(BD$26:BD30)</f>
        <v>1893460.0099999998</v>
      </c>
      <c r="CW30" s="55">
        <f>inp_biz_cash_open+SUM(AC$26:AC30)+SUM(BJ$26:BJ30)-SUM(BH$26:BH30)</f>
        <v>1883848.0099999998</v>
      </c>
      <c r="CX30" s="55">
        <f>inp_biz_cash_open+SUM(AC$26:AC30)+SUM(BN$26:BN30)-SUM(BL$26:BL30)</f>
        <v>1906252.5099999998</v>
      </c>
      <c r="CY30" s="55">
        <f>inp_biz_cash_open+SUM(AC$26:AC30)+SUM(BR$26:BR30)-SUM(BP$26:BP30)</f>
        <v>1857325.0099999998</v>
      </c>
      <c r="CZ30" s="55">
        <f>inp_biz_cash_open+SUM(AC$26:AC30)+SUM(BV$26:BV30)-SUM(BT$26:BT30)</f>
        <v>1889700.0099999998</v>
      </c>
      <c r="DA30" s="55">
        <f>inp_biz_cash_open+SUM(AC$26:AC30)+SUM(BZ$26:BZ30)-SUM(BX$26:BX30)</f>
        <v>1836317.5099999998</v>
      </c>
      <c r="DB30" s="55">
        <f>inp_biz_cash_open+SUM(AC$26:AC30)+SUM(CD$26:CD30)-SUM(CB$26:CB30)</f>
        <v>1901005.0099999998</v>
      </c>
      <c r="DC30" s="55">
        <f>inp_biz_cash_open+SUM(AC$26:AC30)+SUM(CH$26:CH30)-SUM(CF$26:CF30)</f>
        <v>1901005.0099999998</v>
      </c>
      <c r="DD30" s="2"/>
      <c r="DE30" s="2"/>
      <c r="DF30" s="2"/>
      <c r="DG30" s="2"/>
      <c r="DH30" s="2"/>
      <c r="DI30" s="2"/>
      <c r="DJ30" s="19"/>
      <c r="DK30" s="20"/>
      <c r="DL30" s="20"/>
      <c r="DM30" s="20"/>
      <c r="DO30" s="66"/>
    </row>
    <row r="31" spans="1:119" ht="22" customHeight="1" x14ac:dyDescent="0.2">
      <c r="A31" s="1"/>
      <c r="B31" s="8" t="s">
        <v>105</v>
      </c>
      <c r="C31" s="77">
        <v>300</v>
      </c>
      <c r="D31" s="67">
        <v>380</v>
      </c>
      <c r="E31" s="77">
        <v>220</v>
      </c>
      <c r="F31" s="81">
        <v>420</v>
      </c>
      <c r="G31" s="81">
        <v>160</v>
      </c>
      <c r="H31" s="81">
        <v>0</v>
      </c>
      <c r="I31" s="81"/>
      <c r="J31" s="81"/>
      <c r="K31" s="1"/>
      <c r="L31" s="2"/>
      <c r="M31" s="18">
        <v>6</v>
      </c>
      <c r="N31"/>
      <c r="O31"/>
      <c r="P31"/>
      <c r="Q31"/>
      <c r="R31"/>
      <c r="S31"/>
      <c r="T31"/>
      <c r="U31"/>
      <c r="V31"/>
      <c r="W31"/>
      <c r="X31"/>
      <c r="Y31"/>
      <c r="Z31" s="10">
        <f>inp_biz_revenue_m0*(1+inp_biz_rev_growth)^(6-1)*calc_scn_rev_mult</f>
        <v>1051010.0500999999</v>
      </c>
      <c r="AA31" s="10">
        <f t="shared" ref="AA31" si="44">inp_biz_opex_m0*calc_scn_cost_mult</f>
        <v>250000</v>
      </c>
      <c r="AB31" s="10">
        <f t="shared" ref="AB31" si="45">inp_biz_payroll_m0*calc_scn_cost_mult</f>
        <v>550000</v>
      </c>
      <c r="AC31" s="10">
        <f t="shared" si="5"/>
        <v>251010.05009999988</v>
      </c>
      <c r="AD31" s="10">
        <f>inp_biz_cash_open+SUM(AC$26:AC31)</f>
        <v>2152015.0600999994</v>
      </c>
      <c r="AE31" s="10">
        <f t="shared" si="6"/>
        <v>90462.5</v>
      </c>
      <c r="AF31" s="10">
        <f t="shared" si="7"/>
        <v>129168</v>
      </c>
      <c r="AG31" s="10">
        <f t="shared" si="8"/>
        <v>289715.55009999988</v>
      </c>
      <c r="AH31" s="10">
        <f>inp_biz_cash_open+SUM(AG$26:AG31)</f>
        <v>2051593.5600999997</v>
      </c>
      <c r="AI31" s="18">
        <f t="shared" ref="AI31" si="46">IF(AH31&lt;inp_biz_floor,1,0)</f>
        <v>0</v>
      </c>
      <c r="AJ31"/>
      <c r="AK31"/>
      <c r="AL31"/>
      <c r="AM31" s="10">
        <f t="shared" ref="AM31" si="47">inp_biz_floor</f>
        <v>400000</v>
      </c>
      <c r="AN31" s="10">
        <f t="shared" si="11"/>
        <v>-100421.49999999977</v>
      </c>
      <c r="AO31" s="10">
        <f>0</f>
        <v>0</v>
      </c>
      <c r="AP31" s="2"/>
      <c r="AQ31" s="2"/>
      <c r="AR31" s="2"/>
      <c r="AS31"/>
      <c r="AT31"/>
      <c r="AU31"/>
      <c r="AV31" s="10">
        <f t="shared" ref="AV31" si="48">IF(ROW()-25&lt;sel_start_m,0,(sel_salary/12*(1+sel_oncost)+sel_benefits)*calc_scn_cost_mult)</f>
        <v>15900.000000000002</v>
      </c>
      <c r="AW31" s="10">
        <f t="shared" ref="AW31" si="49">IF(ROW()-25&lt;sel_start_m,0,sel_bill_hours*sel_util*sel_rate*calc_scn_rev_mult*calc_scn_util_mult*MIN(1,sel_m1_prod+(ROW()-25-sel_start_m)*(1-sel_m1_prod)/MAX(sel_ramp_m-1,1)))</f>
        <v>30420</v>
      </c>
      <c r="AX31" s="10">
        <f t="array" ref="AX31">IF((ROW()-25)-(sel_collect_lag+calc_scn_collect_add)&gt;=1,INDEX(AW$26:AW$49,(ROW()-25)-(sel_collect_lag+calc_scn_collect_add)),0)</f>
        <v>30420</v>
      </c>
      <c r="AY31" s="10">
        <f>SUM(AV$26:AV31)</f>
        <v>95400.000000000015</v>
      </c>
      <c r="AZ31" s="10">
        <f>SUM(AX$26:AX31)</f>
        <v>96583.5</v>
      </c>
      <c r="BA31" s="10">
        <f t="shared" ref="BA31" si="50">AD31-inp_biz_cash_open</f>
        <v>1352015.0600999994</v>
      </c>
      <c r="BB31" s="2"/>
      <c r="BC31" s="19">
        <f t="shared" si="15"/>
        <v>6</v>
      </c>
      <c r="BD31" s="19">
        <f>IF(OR(NOT(inp_c1_active),6&lt;inp_c1_start_m),0,((inp_c1_salary/12)*(1+inp_c1_oncost)+inp_c1_benefits)*calc_scn_cost_mult)</f>
        <v>15900.000000000002</v>
      </c>
      <c r="BE31" s="19">
        <f>IF(OR(NOT(inp_c1_active),6&lt;inp_c1_start_m),0,inp_c1_bill_hours*inp_c1_rate*calc_scn_rev_mult*calc_scn_util_mult*(inp_c1_m1_prod+MAX(0,MIN(6-inp_c1_start_m,inp_c1_ramp_m-1))*(inp_c1_util-inp_c1_m1_prod)/MAX(inp_c1_ramp_m-1,1)))</f>
        <v>30420</v>
      </c>
      <c r="BF31" s="2">
        <f>IF((6-(inp_c1_collect_lag+calc_scn_collect_add))&gt;=1,INDEX(BE:BE,25+6-(inp_c1_collect_lag+calc_scn_collect_add)),0)</f>
        <v>30420</v>
      </c>
      <c r="BG31" s="2">
        <f>SUM(BF$26:BF31)-SUM(BD$26:BD31)</f>
        <v>6974.9999999999854</v>
      </c>
      <c r="BH31" s="2">
        <f>IF(OR(NOT(inp_c2_active),6&lt;inp_c2_start_m),0,((inp_c2_salary/12)*(1+inp_c2_oncost)+inp_c2_benefits)*calc_scn_cost_mult)</f>
        <v>19356.25</v>
      </c>
      <c r="BI31" s="2">
        <f>IF(OR(NOT(inp_c2_active),6&lt;inp_c2_start_m),0,inp_c2_bill_hours*inp_c2_rate*calc_scn_rev_mult*calc_scn_util_mult*(inp_c2_m1_prod+MAX(0,MIN(6-inp_c2_start_m,inp_c2_ramp_m-1))*(inp_c2_util-inp_c2_m1_prod)/MAX(inp_c2_ramp_m-1,1)))</f>
        <v>35568</v>
      </c>
      <c r="BJ31" s="2">
        <f>IF((6-(inp_c2_collect_lag+calc_scn_collect_add))&gt;=1,INDEX(BI:BI,25+6-(inp_c2_collect_lag+calc_scn_collect_add)),0)</f>
        <v>35568</v>
      </c>
      <c r="BK31" s="2">
        <f>SUM(BJ$26:BJ31)-SUM(BH$26:BH31)</f>
        <v>-945.25</v>
      </c>
      <c r="BL31" s="2">
        <f>IF(OR(NOT(inp_c3_active),6&lt;inp_c3_start_m),0,((inp_c3_salary/12)*(1+inp_c3_oncost)+inp_c3_benefits)*calc_scn_cost_mult)</f>
        <v>10962.5</v>
      </c>
      <c r="BM31" s="2">
        <f>IF(OR(NOT(inp_c3_active),6&lt;inp_c3_start_m),0,inp_c3_bill_hours*inp_c3_rate*calc_scn_rev_mult*calc_scn_util_mult*(inp_c3_m1_prod+MAX(0,MIN(6-inp_c3_start_m,inp_c3_ramp_m-1))*(inp_c3_util-inp_c3_m1_prod)/MAX(inp_c3_ramp_m-1,1)))</f>
        <v>20020</v>
      </c>
      <c r="BN31" s="2">
        <f>IF((6-(inp_c3_collect_lag+calc_scn_collect_add))&gt;=1,INDEX(BM:BM,25+6-(inp_c3_collect_lag+calc_scn_collect_add)),0)</f>
        <v>20020</v>
      </c>
      <c r="BO31" s="2">
        <f>SUM(BN$26:BN31)-SUM(BL$26:BL31)</f>
        <v>14305</v>
      </c>
      <c r="BP31" s="2">
        <f>IF(OR(NOT(inp_c4_active),6&lt;inp_c4_start_m),0,((inp_c4_salary/12)*(1+inp_c4_oncost)+inp_c4_benefits)*calc_scn_cost_mult)</f>
        <v>23800</v>
      </c>
      <c r="BQ31" s="2">
        <f>IF(OR(NOT(inp_c4_active),6&lt;inp_c4_start_m),0,inp_c4_bill_hours*inp_c4_rate*calc_scn_rev_mult*calc_scn_util_mult*(inp_c4_m1_prod+MAX(0,MIN(6-inp_c4_start_m,inp_c4_ramp_m-1))*(inp_c4_util-inp_c4_m1_prod)/MAX(inp_c4_ramp_m-1,1)))</f>
        <v>32760</v>
      </c>
      <c r="BR31" s="2">
        <f>IF((6-(inp_c4_collect_lag+calc_scn_collect_add))&gt;=1,INDEX(BQ:BQ,25+6-(inp_c4_collect_lag+calc_scn_collect_add)),0)</f>
        <v>32760</v>
      </c>
      <c r="BS31" s="2">
        <f>SUM(BR$26:BR31)-SUM(BP$26:BP31)</f>
        <v>-34720</v>
      </c>
      <c r="BT31" s="2">
        <f>IF(OR(NOT(inp_c5_active),6&lt;inp_c5_start_m),0,((inp_c5_salary/12)*(1+inp_c5_oncost)+inp_c5_benefits)*calc_scn_cost_mult)</f>
        <v>7506.25</v>
      </c>
      <c r="BU31" s="2">
        <f>IF(OR(NOT(inp_c5_active),6&lt;inp_c5_start_m),0,inp_c5_bill_hours*inp_c5_rate*calc_scn_rev_mult*calc_scn_util_mult*(inp_c5_m1_prod+MAX(0,MIN(6-inp_c5_start_m,inp_c5_ramp_m-1))*(inp_c5_util-inp_c5_m1_prod)/MAX(inp_c5_ramp_m-1,1)))</f>
        <v>12480</v>
      </c>
      <c r="BV31" s="2">
        <f>IF((6-(inp_c5_collect_lag+calc_scn_collect_add))&gt;=1,INDEX(BU:BU,25+6-(inp_c5_collect_lag+calc_scn_collect_add)),0)</f>
        <v>10399.999999999998</v>
      </c>
      <c r="BW31" s="2">
        <f>SUM(BV$26:BV31)-SUM(BT$26:BT31)</f>
        <v>-8411.25</v>
      </c>
      <c r="BX31" s="2">
        <f>IF(OR(NOT(inp_c6_active),6&lt;inp_c6_start_m),0,((inp_c6_salary/12)*(1+inp_c6_oncost)+inp_c6_benefits)*calc_scn_cost_mult)</f>
        <v>12937.500000000002</v>
      </c>
      <c r="BY31" s="2">
        <f>IF(OR(NOT(inp_c6_active),6&lt;inp_c6_start_m),0,inp_c6_bill_hours*inp_c6_rate*calc_scn_rev_mult*calc_scn_util_mult*(inp_c6_m1_prod+MAX(0,MIN(6-inp_c6_start_m,inp_c6_ramp_m-1))*(inp_c6_util-inp_c6_m1_prod)/MAX(inp_c6_ramp_m-1,1)))</f>
        <v>0</v>
      </c>
      <c r="BZ31" s="2">
        <f>IF((6-(inp_c6_collect_lag+calc_scn_collect_add))&gt;=1,INDEX(BY:BY,25+6-(inp_c6_collect_lag+calc_scn_collect_add)),0)</f>
        <v>0</v>
      </c>
      <c r="CA31" s="2">
        <f>SUM(BZ$26:BZ31)-SUM(BX$26:BX31)</f>
        <v>-77625.000000000015</v>
      </c>
      <c r="CB31" s="2">
        <f>IF(OR(NOT(inp_c7_active),6&lt;inp_c7_start_m),0,((inp_c7_salary/12)*(1+inp_c7_oncost)+inp_c7_benefits)*calc_scn_cost_mult)</f>
        <v>0</v>
      </c>
      <c r="CC31" s="2">
        <f>IF(OR(NOT(inp_c7_active),6&lt;inp_c7_start_m),0,inp_c7_bill_hours*inp_c7_rate*calc_scn_rev_mult*calc_scn_util_mult*(inp_c7_m1_prod+MAX(0,MIN(6-inp_c7_start_m,inp_c7_ramp_m-1))*(inp_c7_util-inp_c7_m1_prod)/MAX(inp_c7_ramp_m-1,1)))</f>
        <v>0</v>
      </c>
      <c r="CD31" s="2">
        <f>IF((6-(inp_c7_collect_lag+calc_scn_collect_add))&gt;=1,INDEX(CC:CC,25+6-(inp_c7_collect_lag+calc_scn_collect_add)),0)</f>
        <v>0</v>
      </c>
      <c r="CE31" s="2">
        <f>SUM(CD$26:CD31)-SUM(CB$26:CB31)</f>
        <v>0</v>
      </c>
      <c r="CF31" s="2">
        <f>IF(OR(NOT(inp_c8_active),6&lt;inp_c8_start_m),0,((inp_c8_salary/12)*(1+inp_c8_oncost)+inp_c8_benefits)*calc_scn_cost_mult)</f>
        <v>0</v>
      </c>
      <c r="CG31" s="2">
        <f>IF(OR(NOT(inp_c8_active),6&lt;inp_c8_start_m),0,inp_c8_bill_hours*inp_c8_rate*calc_scn_rev_mult*calc_scn_util_mult*(inp_c8_m1_prod+MAX(0,MIN(6-inp_c8_start_m,inp_c8_ramp_m-1))*(inp_c8_util-inp_c8_m1_prod)/MAX(inp_c8_ramp_m-1,1)))</f>
        <v>0</v>
      </c>
      <c r="CH31" s="2">
        <f>IF((6-(inp_c8_collect_lag+calc_scn_collect_add))&gt;=1,INDEX(CG:CG,25+6-(inp_c8_collect_lag+calc_scn_collect_add)),0)</f>
        <v>0</v>
      </c>
      <c r="CI31" s="2">
        <f>SUM(CH$26:CH31)-SUM(CF$26:CF31)</f>
        <v>0</v>
      </c>
      <c r="CJ31" s="2"/>
      <c r="CK31" s="2"/>
      <c r="CL31" s="2"/>
      <c r="CM31" s="2">
        <f>IF(AND(BG31&gt;=0,6&gt;=inp_c1_start_m),6,9999)</f>
        <v>6</v>
      </c>
      <c r="CN31" s="2">
        <f>IF(AND(BK31&gt;=0,6&gt;=inp_c2_start_m),6,9999)</f>
        <v>9999</v>
      </c>
      <c r="CO31" s="2">
        <f>IF(AND(BO31&gt;=0,6&gt;=inp_c3_start_m),6,9999)</f>
        <v>6</v>
      </c>
      <c r="CP31" s="2">
        <f>IF(AND(BS31&gt;=0,6&gt;=inp_c4_start_m),6,9999)</f>
        <v>9999</v>
      </c>
      <c r="CQ31" s="2">
        <f>IF(AND(BW31&gt;=0,6&gt;=inp_c5_start_m),6,9999)</f>
        <v>9999</v>
      </c>
      <c r="CR31" s="2">
        <f>IF(AND(CA31&gt;=0,6&gt;=inp_c6_start_m),6,9999)</f>
        <v>9999</v>
      </c>
      <c r="CS31" s="2">
        <f>IF(AND(CE31&gt;=0,6&gt;=inp_c7_start_m),6,9999)</f>
        <v>6</v>
      </c>
      <c r="CT31" s="2">
        <f>IF(AND(CI31&gt;=0,6&gt;=inp_c8_start_m),6,9999)</f>
        <v>6</v>
      </c>
      <c r="CU31" s="2"/>
      <c r="CV31" s="55">
        <f>inp_biz_cash_open+SUM(AC$26:AC31)+SUM(BF$26:BF31)-SUM(BD$26:BD31)</f>
        <v>2158990.0600999994</v>
      </c>
      <c r="CW31" s="55">
        <f>inp_biz_cash_open+SUM(AC$26:AC31)+SUM(BJ$26:BJ31)-SUM(BH$26:BH31)</f>
        <v>2151069.8100999994</v>
      </c>
      <c r="CX31" s="55">
        <f>inp_biz_cash_open+SUM(AC$26:AC31)+SUM(BN$26:BN31)-SUM(BL$26:BL31)</f>
        <v>2166320.0600999994</v>
      </c>
      <c r="CY31" s="55">
        <f>inp_biz_cash_open+SUM(AC$26:AC31)+SUM(BR$26:BR31)-SUM(BP$26:BP31)</f>
        <v>2117295.0600999994</v>
      </c>
      <c r="CZ31" s="55">
        <f>inp_biz_cash_open+SUM(AC$26:AC31)+SUM(BV$26:BV31)-SUM(BT$26:BT31)</f>
        <v>2143603.8100999994</v>
      </c>
      <c r="DA31" s="55">
        <f>inp_biz_cash_open+SUM(AC$26:AC31)+SUM(BZ$26:BZ31)-SUM(BX$26:BX31)</f>
        <v>2074390.0600999994</v>
      </c>
      <c r="DB31" s="55">
        <f>inp_biz_cash_open+SUM(AC$26:AC31)+SUM(CD$26:CD31)-SUM(CB$26:CB31)</f>
        <v>2152015.0600999994</v>
      </c>
      <c r="DC31" s="55">
        <f>inp_biz_cash_open+SUM(AC$26:AC31)+SUM(CH$26:CH31)-SUM(CF$26:CF31)</f>
        <v>2152015.0600999994</v>
      </c>
      <c r="DD31" s="2"/>
      <c r="DE31" s="2"/>
      <c r="DF31" s="2"/>
      <c r="DG31" s="2"/>
      <c r="DH31" s="2"/>
      <c r="DI31" s="2"/>
      <c r="DJ31" s="19"/>
      <c r="DK31" s="20"/>
      <c r="DL31" s="20"/>
      <c r="DM31" s="20"/>
      <c r="DO31" s="66"/>
    </row>
    <row r="32" spans="1:119" ht="22" customHeight="1" x14ac:dyDescent="0.2">
      <c r="A32" s="1"/>
      <c r="B32" s="8" t="s">
        <v>106</v>
      </c>
      <c r="C32" s="75">
        <v>2</v>
      </c>
      <c r="D32" s="76">
        <v>2</v>
      </c>
      <c r="E32" s="75">
        <v>1</v>
      </c>
      <c r="F32" s="70">
        <v>2</v>
      </c>
      <c r="G32" s="70">
        <v>1</v>
      </c>
      <c r="H32" s="70">
        <v>0</v>
      </c>
      <c r="I32" s="70"/>
      <c r="J32" s="70"/>
      <c r="K32" s="1"/>
      <c r="L32" s="2"/>
      <c r="M32" s="18">
        <v>7</v>
      </c>
      <c r="N32"/>
      <c r="O32"/>
      <c r="P32"/>
      <c r="Q32"/>
      <c r="R32"/>
      <c r="S32"/>
      <c r="T32"/>
      <c r="U32"/>
      <c r="V32"/>
      <c r="W32"/>
      <c r="X32"/>
      <c r="Y32"/>
      <c r="Z32" s="10">
        <f>inp_biz_revenue_m0*(1+inp_biz_rev_growth)^(7-1)*calc_scn_rev_mult</f>
        <v>1061520.1506010001</v>
      </c>
      <c r="AA32" s="10">
        <f t="shared" ref="AA32" si="51">inp_biz_opex_m0*calc_scn_cost_mult</f>
        <v>250000</v>
      </c>
      <c r="AB32" s="10">
        <f t="shared" ref="AB32" si="52">inp_biz_payroll_m0*calc_scn_cost_mult</f>
        <v>550000</v>
      </c>
      <c r="AC32" s="10">
        <f t="shared" si="5"/>
        <v>261520.15060100006</v>
      </c>
      <c r="AD32" s="10">
        <f>inp_biz_cash_open+SUM(AC$26:AC32)</f>
        <v>2413535.2107009999</v>
      </c>
      <c r="AE32" s="10">
        <f t="shared" si="6"/>
        <v>90462.5</v>
      </c>
      <c r="AF32" s="10">
        <f t="shared" si="7"/>
        <v>131248</v>
      </c>
      <c r="AG32" s="10">
        <f t="shared" si="8"/>
        <v>302305.65060100006</v>
      </c>
      <c r="AH32" s="10">
        <f>inp_biz_cash_open+SUM(AG$26:AG32)</f>
        <v>2353899.2107009999</v>
      </c>
      <c r="AI32" s="18">
        <f t="shared" ref="AI32" si="53">IF(AH32&lt;inp_biz_floor,1,0)</f>
        <v>0</v>
      </c>
      <c r="AJ32"/>
      <c r="AK32"/>
      <c r="AL32"/>
      <c r="AM32" s="10">
        <f t="shared" ref="AM32" si="54">inp_biz_floor</f>
        <v>400000</v>
      </c>
      <c r="AN32" s="10">
        <f t="shared" si="11"/>
        <v>-59636</v>
      </c>
      <c r="AO32" s="10">
        <f>0</f>
        <v>0</v>
      </c>
      <c r="AP32" s="2"/>
      <c r="AQ32" s="2"/>
      <c r="AR32" s="2"/>
      <c r="AS32"/>
      <c r="AT32"/>
      <c r="AU32"/>
      <c r="AV32" s="10">
        <f t="shared" ref="AV32" si="55">IF(ROW()-25&lt;sel_start_m,0,(sel_salary/12*(1+sel_oncost)+sel_benefits)*calc_scn_cost_mult)</f>
        <v>15900.000000000002</v>
      </c>
      <c r="AW32" s="10">
        <f t="shared" ref="AW32" si="56">IF(ROW()-25&lt;sel_start_m,0,sel_bill_hours*sel_util*sel_rate*calc_scn_rev_mult*calc_scn_util_mult*MIN(1,sel_m1_prod+(ROW()-25-sel_start_m)*(1-sel_m1_prod)/MAX(sel_ramp_m-1,1)))</f>
        <v>30420</v>
      </c>
      <c r="AX32" s="10">
        <f t="array" ref="AX32">IF((ROW()-25)-(sel_collect_lag+calc_scn_collect_add)&gt;=1,INDEX(AW$26:AW$49,(ROW()-25)-(sel_collect_lag+calc_scn_collect_add)),0)</f>
        <v>30420</v>
      </c>
      <c r="AY32" s="10">
        <f>SUM(AV$26:AV32)</f>
        <v>111300.00000000001</v>
      </c>
      <c r="AZ32" s="10">
        <f>SUM(AX$26:AX32)</f>
        <v>127003.5</v>
      </c>
      <c r="BA32" s="10">
        <f t="shared" ref="BA32" si="57">AD32-inp_biz_cash_open</f>
        <v>1613535.2107009999</v>
      </c>
      <c r="BB32" s="2"/>
      <c r="BC32" s="19">
        <f t="shared" si="15"/>
        <v>7</v>
      </c>
      <c r="BD32" s="19">
        <f>IF(OR(NOT(inp_c1_active),7&lt;inp_c1_start_m),0,((inp_c1_salary/12)*(1+inp_c1_oncost)+inp_c1_benefits)*calc_scn_cost_mult)</f>
        <v>15900.000000000002</v>
      </c>
      <c r="BE32" s="19">
        <f>IF(OR(NOT(inp_c1_active),7&lt;inp_c1_start_m),0,inp_c1_bill_hours*inp_c1_rate*calc_scn_rev_mult*calc_scn_util_mult*(inp_c1_m1_prod+MAX(0,MIN(7-inp_c1_start_m,inp_c1_ramp_m-1))*(inp_c1_util-inp_c1_m1_prod)/MAX(inp_c1_ramp_m-1,1)))</f>
        <v>30420</v>
      </c>
      <c r="BF32" s="2">
        <f>IF((7-(inp_c1_collect_lag+calc_scn_collect_add))&gt;=1,INDEX(BE:BE,25+7-(inp_c1_collect_lag+calc_scn_collect_add)),0)</f>
        <v>30420</v>
      </c>
      <c r="BG32" s="2">
        <f>SUM(BF$26:BF32)-SUM(BD$26:BD32)</f>
        <v>21494.999999999985</v>
      </c>
      <c r="BH32" s="2">
        <f>IF(OR(NOT(inp_c2_active),7&lt;inp_c2_start_m),0,((inp_c2_salary/12)*(1+inp_c2_oncost)+inp_c2_benefits)*calc_scn_cost_mult)</f>
        <v>19356.25</v>
      </c>
      <c r="BI32" s="2">
        <f>IF(OR(NOT(inp_c2_active),7&lt;inp_c2_start_m),0,inp_c2_bill_hours*inp_c2_rate*calc_scn_rev_mult*calc_scn_util_mult*(inp_c2_m1_prod+MAX(0,MIN(7-inp_c2_start_m,inp_c2_ramp_m-1))*(inp_c2_util-inp_c2_m1_prod)/MAX(inp_c2_ramp_m-1,1)))</f>
        <v>35568</v>
      </c>
      <c r="BJ32" s="2">
        <f>IF((7-(inp_c2_collect_lag+calc_scn_collect_add))&gt;=1,INDEX(BI:BI,25+7-(inp_c2_collect_lag+calc_scn_collect_add)),0)</f>
        <v>35568</v>
      </c>
      <c r="BK32" s="2">
        <f>SUM(BJ$26:BJ32)-SUM(BH$26:BH32)</f>
        <v>15266.5</v>
      </c>
      <c r="BL32" s="2">
        <f>IF(OR(NOT(inp_c3_active),7&lt;inp_c3_start_m),0,((inp_c3_salary/12)*(1+inp_c3_oncost)+inp_c3_benefits)*calc_scn_cost_mult)</f>
        <v>10962.5</v>
      </c>
      <c r="BM32" s="2">
        <f>IF(OR(NOT(inp_c3_active),7&lt;inp_c3_start_m),0,inp_c3_bill_hours*inp_c3_rate*calc_scn_rev_mult*calc_scn_util_mult*(inp_c3_m1_prod+MAX(0,MIN(7-inp_c3_start_m,inp_c3_ramp_m-1))*(inp_c3_util-inp_c3_m1_prod)/MAX(inp_c3_ramp_m-1,1)))</f>
        <v>20020</v>
      </c>
      <c r="BN32" s="2">
        <f>IF((7-(inp_c3_collect_lag+calc_scn_collect_add))&gt;=1,INDEX(BM:BM,25+7-(inp_c3_collect_lag+calc_scn_collect_add)),0)</f>
        <v>20020</v>
      </c>
      <c r="BO32" s="2">
        <f>SUM(BN$26:BN32)-SUM(BL$26:BL32)</f>
        <v>23362.5</v>
      </c>
      <c r="BP32" s="2">
        <f>IF(OR(NOT(inp_c4_active),7&lt;inp_c4_start_m),0,((inp_c4_salary/12)*(1+inp_c4_oncost)+inp_c4_benefits)*calc_scn_cost_mult)</f>
        <v>23800</v>
      </c>
      <c r="BQ32" s="2">
        <f>IF(OR(NOT(inp_c4_active),7&lt;inp_c4_start_m),0,inp_c4_bill_hours*inp_c4_rate*calc_scn_rev_mult*calc_scn_util_mult*(inp_c4_m1_prod+MAX(0,MIN(7-inp_c4_start_m,inp_c4_ramp_m-1))*(inp_c4_util-inp_c4_m1_prod)/MAX(inp_c4_ramp_m-1,1)))</f>
        <v>32760</v>
      </c>
      <c r="BR32" s="2">
        <f>IF((7-(inp_c4_collect_lag+calc_scn_collect_add))&gt;=1,INDEX(BQ:BQ,25+7-(inp_c4_collect_lag+calc_scn_collect_add)),0)</f>
        <v>32760</v>
      </c>
      <c r="BS32" s="2">
        <f>SUM(BR$26:BR32)-SUM(BP$26:BP32)</f>
        <v>-25760</v>
      </c>
      <c r="BT32" s="2">
        <f>IF(OR(NOT(inp_c5_active),7&lt;inp_c5_start_m),0,((inp_c5_salary/12)*(1+inp_c5_oncost)+inp_c5_benefits)*calc_scn_cost_mult)</f>
        <v>7506.25</v>
      </c>
      <c r="BU32" s="2">
        <f>IF(OR(NOT(inp_c5_active),7&lt;inp_c5_start_m),0,inp_c5_bill_hours*inp_c5_rate*calc_scn_rev_mult*calc_scn_util_mult*(inp_c5_m1_prod+MAX(0,MIN(7-inp_c5_start_m,inp_c5_ramp_m-1))*(inp_c5_util-inp_c5_m1_prod)/MAX(inp_c5_ramp_m-1,1)))</f>
        <v>14559.999999999998</v>
      </c>
      <c r="BV32" s="2">
        <f>IF((7-(inp_c5_collect_lag+calc_scn_collect_add))&gt;=1,INDEX(BU:BU,25+7-(inp_c5_collect_lag+calc_scn_collect_add)),0)</f>
        <v>12480</v>
      </c>
      <c r="BW32" s="2">
        <f>SUM(BV$26:BV32)-SUM(BT$26:BT32)</f>
        <v>-3437.5</v>
      </c>
      <c r="BX32" s="2">
        <f>IF(OR(NOT(inp_c6_active),7&lt;inp_c6_start_m),0,((inp_c6_salary/12)*(1+inp_c6_oncost)+inp_c6_benefits)*calc_scn_cost_mult)</f>
        <v>12937.500000000002</v>
      </c>
      <c r="BY32" s="2">
        <f>IF(OR(NOT(inp_c6_active),7&lt;inp_c6_start_m),0,inp_c6_bill_hours*inp_c6_rate*calc_scn_rev_mult*calc_scn_util_mult*(inp_c6_m1_prod+MAX(0,MIN(7-inp_c6_start_m,inp_c6_ramp_m-1))*(inp_c6_util-inp_c6_m1_prod)/MAX(inp_c6_ramp_m-1,1)))</f>
        <v>0</v>
      </c>
      <c r="BZ32" s="2">
        <f>IF((7-(inp_c6_collect_lag+calc_scn_collect_add))&gt;=1,INDEX(BY:BY,25+7-(inp_c6_collect_lag+calc_scn_collect_add)),0)</f>
        <v>0</v>
      </c>
      <c r="CA32" s="2">
        <f>SUM(BZ$26:BZ32)-SUM(BX$26:BX32)</f>
        <v>-90562.500000000015</v>
      </c>
      <c r="CB32" s="2">
        <f>IF(OR(NOT(inp_c7_active),7&lt;inp_c7_start_m),0,((inp_c7_salary/12)*(1+inp_c7_oncost)+inp_c7_benefits)*calc_scn_cost_mult)</f>
        <v>0</v>
      </c>
      <c r="CC32" s="2">
        <f>IF(OR(NOT(inp_c7_active),7&lt;inp_c7_start_m),0,inp_c7_bill_hours*inp_c7_rate*calc_scn_rev_mult*calc_scn_util_mult*(inp_c7_m1_prod+MAX(0,MIN(7-inp_c7_start_m,inp_c7_ramp_m-1))*(inp_c7_util-inp_c7_m1_prod)/MAX(inp_c7_ramp_m-1,1)))</f>
        <v>0</v>
      </c>
      <c r="CD32" s="2">
        <f>IF((7-(inp_c7_collect_lag+calc_scn_collect_add))&gt;=1,INDEX(CC:CC,25+7-(inp_c7_collect_lag+calc_scn_collect_add)),0)</f>
        <v>0</v>
      </c>
      <c r="CE32" s="2">
        <f>SUM(CD$26:CD32)-SUM(CB$26:CB32)</f>
        <v>0</v>
      </c>
      <c r="CF32" s="2">
        <f>IF(OR(NOT(inp_c8_active),7&lt;inp_c8_start_m),0,((inp_c8_salary/12)*(1+inp_c8_oncost)+inp_c8_benefits)*calc_scn_cost_mult)</f>
        <v>0</v>
      </c>
      <c r="CG32" s="2">
        <f>IF(OR(NOT(inp_c8_active),7&lt;inp_c8_start_m),0,inp_c8_bill_hours*inp_c8_rate*calc_scn_rev_mult*calc_scn_util_mult*(inp_c8_m1_prod+MAX(0,MIN(7-inp_c8_start_m,inp_c8_ramp_m-1))*(inp_c8_util-inp_c8_m1_prod)/MAX(inp_c8_ramp_m-1,1)))</f>
        <v>0</v>
      </c>
      <c r="CH32" s="2">
        <f>IF((7-(inp_c8_collect_lag+calc_scn_collect_add))&gt;=1,INDEX(CG:CG,25+7-(inp_c8_collect_lag+calc_scn_collect_add)),0)</f>
        <v>0</v>
      </c>
      <c r="CI32" s="2">
        <f>SUM(CH$26:CH32)-SUM(CF$26:CF32)</f>
        <v>0</v>
      </c>
      <c r="CJ32" s="2"/>
      <c r="CK32" s="2"/>
      <c r="CL32" s="2"/>
      <c r="CM32" s="2">
        <f>IF(AND(BG32&gt;=0,7&gt;=inp_c1_start_m),7,9999)</f>
        <v>7</v>
      </c>
      <c r="CN32" s="2">
        <f>IF(AND(BK32&gt;=0,7&gt;=inp_c2_start_m),7,9999)</f>
        <v>7</v>
      </c>
      <c r="CO32" s="2">
        <f>IF(AND(BO32&gt;=0,7&gt;=inp_c3_start_m),7,9999)</f>
        <v>7</v>
      </c>
      <c r="CP32" s="2">
        <f>IF(AND(BS32&gt;=0,7&gt;=inp_c4_start_m),7,9999)</f>
        <v>9999</v>
      </c>
      <c r="CQ32" s="2">
        <f>IF(AND(BW32&gt;=0,7&gt;=inp_c5_start_m),7,9999)</f>
        <v>9999</v>
      </c>
      <c r="CR32" s="2">
        <f>IF(AND(CA32&gt;=0,7&gt;=inp_c6_start_m),7,9999)</f>
        <v>9999</v>
      </c>
      <c r="CS32" s="2">
        <f>IF(AND(CE32&gt;=0,7&gt;=inp_c7_start_m),7,9999)</f>
        <v>7</v>
      </c>
      <c r="CT32" s="2">
        <f>IF(AND(CI32&gt;=0,7&gt;=inp_c8_start_m),7,9999)</f>
        <v>7</v>
      </c>
      <c r="CU32" s="2"/>
      <c r="CV32" s="55">
        <f>inp_biz_cash_open+SUM(AC$26:AC32)+SUM(BF$26:BF32)-SUM(BD$26:BD32)</f>
        <v>2435030.2107009999</v>
      </c>
      <c r="CW32" s="55">
        <f>inp_biz_cash_open+SUM(AC$26:AC32)+SUM(BJ$26:BJ32)-SUM(BH$26:BH32)</f>
        <v>2428801.7107009999</v>
      </c>
      <c r="CX32" s="55">
        <f>inp_biz_cash_open+SUM(AC$26:AC32)+SUM(BN$26:BN32)-SUM(BL$26:BL32)</f>
        <v>2436897.7107009999</v>
      </c>
      <c r="CY32" s="55">
        <f>inp_biz_cash_open+SUM(AC$26:AC32)+SUM(BR$26:BR32)-SUM(BP$26:BP32)</f>
        <v>2387775.2107009999</v>
      </c>
      <c r="CZ32" s="55">
        <f>inp_biz_cash_open+SUM(AC$26:AC32)+SUM(BV$26:BV32)-SUM(BT$26:BT32)</f>
        <v>2410097.7107009999</v>
      </c>
      <c r="DA32" s="55">
        <f>inp_biz_cash_open+SUM(AC$26:AC32)+SUM(BZ$26:BZ32)-SUM(BX$26:BX32)</f>
        <v>2322972.7107009999</v>
      </c>
      <c r="DB32" s="55">
        <f>inp_biz_cash_open+SUM(AC$26:AC32)+SUM(CD$26:CD32)-SUM(CB$26:CB32)</f>
        <v>2413535.2107009999</v>
      </c>
      <c r="DC32" s="55">
        <f>inp_biz_cash_open+SUM(AC$26:AC32)+SUM(CH$26:CH32)-SUM(CF$26:CF32)</f>
        <v>2413535.2107009999</v>
      </c>
      <c r="DD32" s="2"/>
      <c r="DE32" s="2"/>
      <c r="DF32" s="2"/>
      <c r="DG32" s="2"/>
      <c r="DH32" s="2"/>
      <c r="DI32" s="2"/>
      <c r="DJ32" s="19"/>
      <c r="DK32" s="20"/>
      <c r="DL32" s="20"/>
      <c r="DM32" s="20"/>
      <c r="DO32" s="66"/>
    </row>
    <row r="33" spans="1:119" ht="6" customHeight="1" x14ac:dyDescent="0.2">
      <c r="A33" s="1"/>
      <c r="B33" s="1"/>
      <c r="C33" s="1"/>
      <c r="D33" s="1"/>
      <c r="E33" s="1"/>
      <c r="F33" s="1"/>
      <c r="G33" s="1"/>
      <c r="H33" s="1"/>
      <c r="I33" s="1"/>
      <c r="J33" s="1"/>
      <c r="K33" s="1"/>
      <c r="L33" s="2"/>
      <c r="M33" s="18">
        <v>8</v>
      </c>
      <c r="N33"/>
      <c r="O33"/>
      <c r="P33"/>
      <c r="Q33"/>
      <c r="R33"/>
      <c r="S33"/>
      <c r="T33"/>
      <c r="U33"/>
      <c r="V33"/>
      <c r="W33"/>
      <c r="X33"/>
      <c r="Y33"/>
      <c r="Z33" s="10">
        <f>inp_biz_revenue_m0*(1+inp_biz_rev_growth)^(8-1)*calc_scn_rev_mult</f>
        <v>1072135.3521070099</v>
      </c>
      <c r="AA33" s="10">
        <f t="shared" ref="AA33" si="58">inp_biz_opex_m0*calc_scn_cost_mult</f>
        <v>250000</v>
      </c>
      <c r="AB33" s="10">
        <f t="shared" ref="AB33" si="59">inp_biz_payroll_m0*calc_scn_cost_mult</f>
        <v>550000</v>
      </c>
      <c r="AC33" s="10">
        <f t="shared" si="5"/>
        <v>272135.35210700985</v>
      </c>
      <c r="AD33" s="10">
        <f>inp_biz_cash_open+SUM(AC$26:AC33)</f>
        <v>2685670.5628080098</v>
      </c>
      <c r="AE33" s="10">
        <f t="shared" si="6"/>
        <v>90462.5</v>
      </c>
      <c r="AF33" s="10">
        <f t="shared" si="7"/>
        <v>133328</v>
      </c>
      <c r="AG33" s="10">
        <f t="shared" si="8"/>
        <v>315000.85210700985</v>
      </c>
      <c r="AH33" s="10">
        <f>inp_biz_cash_open+SUM(AG$26:AG33)</f>
        <v>2668900.0628080098</v>
      </c>
      <c r="AI33" s="18">
        <f t="shared" ref="AI33" si="60">IF(AH33&lt;inp_biz_floor,1,0)</f>
        <v>0</v>
      </c>
      <c r="AJ33"/>
      <c r="AK33"/>
      <c r="AL33"/>
      <c r="AM33" s="10">
        <f t="shared" ref="AM33" si="61">inp_biz_floor</f>
        <v>400000</v>
      </c>
      <c r="AN33" s="10">
        <f t="shared" si="11"/>
        <v>-16770.5</v>
      </c>
      <c r="AO33" s="10">
        <f>0</f>
        <v>0</v>
      </c>
      <c r="AP33" s="2"/>
      <c r="AQ33" s="2"/>
      <c r="AR33" s="2"/>
      <c r="AS33"/>
      <c r="AT33"/>
      <c r="AU33"/>
      <c r="AV33" s="10">
        <f t="shared" ref="AV33" si="62">IF(ROW()-25&lt;sel_start_m,0,(sel_salary/12*(1+sel_oncost)+sel_benefits)*calc_scn_cost_mult)</f>
        <v>15900.000000000002</v>
      </c>
      <c r="AW33" s="10">
        <f t="shared" ref="AW33" si="63">IF(ROW()-25&lt;sel_start_m,0,sel_bill_hours*sel_util*sel_rate*calc_scn_rev_mult*calc_scn_util_mult*MIN(1,sel_m1_prod+(ROW()-25-sel_start_m)*(1-sel_m1_prod)/MAX(sel_ramp_m-1,1)))</f>
        <v>30420</v>
      </c>
      <c r="AX33" s="10">
        <f t="array" ref="AX33">IF((ROW()-25)-(sel_collect_lag+calc_scn_collect_add)&gt;=1,INDEX(AW$26:AW$49,(ROW()-25)-(sel_collect_lag+calc_scn_collect_add)),0)</f>
        <v>30420</v>
      </c>
      <c r="AY33" s="10">
        <f>SUM(AV$26:AV33)</f>
        <v>127200.00000000001</v>
      </c>
      <c r="AZ33" s="10">
        <f>SUM(AX$26:AX33)</f>
        <v>157423.5</v>
      </c>
      <c r="BA33" s="10">
        <f t="shared" ref="BA33" si="64">AD33-inp_biz_cash_open</f>
        <v>1885670.5628080098</v>
      </c>
      <c r="BB33" s="2"/>
      <c r="BC33" s="19">
        <f t="shared" si="15"/>
        <v>8</v>
      </c>
      <c r="BD33" s="19">
        <f>IF(OR(NOT(inp_c1_active),8&lt;inp_c1_start_m),0,((inp_c1_salary/12)*(1+inp_c1_oncost)+inp_c1_benefits)*calc_scn_cost_mult)</f>
        <v>15900.000000000002</v>
      </c>
      <c r="BE33" s="19">
        <f>IF(OR(NOT(inp_c1_active),8&lt;inp_c1_start_m),0,inp_c1_bill_hours*inp_c1_rate*calc_scn_rev_mult*calc_scn_util_mult*(inp_c1_m1_prod+MAX(0,MIN(8-inp_c1_start_m,inp_c1_ramp_m-1))*(inp_c1_util-inp_c1_m1_prod)/MAX(inp_c1_ramp_m-1,1)))</f>
        <v>30420</v>
      </c>
      <c r="BF33" s="2">
        <f>IF((8-(inp_c1_collect_lag+calc_scn_collect_add))&gt;=1,INDEX(BE:BE,25+8-(inp_c1_collect_lag+calc_scn_collect_add)),0)</f>
        <v>30420</v>
      </c>
      <c r="BG33" s="2">
        <f>SUM(BF$26:BF33)-SUM(BD$26:BD33)</f>
        <v>36014.999999999985</v>
      </c>
      <c r="BH33" s="2">
        <f>IF(OR(NOT(inp_c2_active),8&lt;inp_c2_start_m),0,((inp_c2_salary/12)*(1+inp_c2_oncost)+inp_c2_benefits)*calc_scn_cost_mult)</f>
        <v>19356.25</v>
      </c>
      <c r="BI33" s="2">
        <f>IF(OR(NOT(inp_c2_active),8&lt;inp_c2_start_m),0,inp_c2_bill_hours*inp_c2_rate*calc_scn_rev_mult*calc_scn_util_mult*(inp_c2_m1_prod+MAX(0,MIN(8-inp_c2_start_m,inp_c2_ramp_m-1))*(inp_c2_util-inp_c2_m1_prod)/MAX(inp_c2_ramp_m-1,1)))</f>
        <v>35568</v>
      </c>
      <c r="BJ33" s="2">
        <f>IF((8-(inp_c2_collect_lag+calc_scn_collect_add))&gt;=1,INDEX(BI:BI,25+8-(inp_c2_collect_lag+calc_scn_collect_add)),0)</f>
        <v>35568</v>
      </c>
      <c r="BK33" s="2">
        <f>SUM(BJ$26:BJ33)-SUM(BH$26:BH33)</f>
        <v>31478.25</v>
      </c>
      <c r="BL33" s="2">
        <f>IF(OR(NOT(inp_c3_active),8&lt;inp_c3_start_m),0,((inp_c3_salary/12)*(1+inp_c3_oncost)+inp_c3_benefits)*calc_scn_cost_mult)</f>
        <v>10962.5</v>
      </c>
      <c r="BM33" s="2">
        <f>IF(OR(NOT(inp_c3_active),8&lt;inp_c3_start_m),0,inp_c3_bill_hours*inp_c3_rate*calc_scn_rev_mult*calc_scn_util_mult*(inp_c3_m1_prod+MAX(0,MIN(8-inp_c3_start_m,inp_c3_ramp_m-1))*(inp_c3_util-inp_c3_m1_prod)/MAX(inp_c3_ramp_m-1,1)))</f>
        <v>20020</v>
      </c>
      <c r="BN33" s="2">
        <f>IF((8-(inp_c3_collect_lag+calc_scn_collect_add))&gt;=1,INDEX(BM:BM,25+8-(inp_c3_collect_lag+calc_scn_collect_add)),0)</f>
        <v>20020</v>
      </c>
      <c r="BO33" s="2">
        <f>SUM(BN$26:BN33)-SUM(BL$26:BL33)</f>
        <v>32420</v>
      </c>
      <c r="BP33" s="2">
        <f>IF(OR(NOT(inp_c4_active),8&lt;inp_c4_start_m),0,((inp_c4_salary/12)*(1+inp_c4_oncost)+inp_c4_benefits)*calc_scn_cost_mult)</f>
        <v>23800</v>
      </c>
      <c r="BQ33" s="2">
        <f>IF(OR(NOT(inp_c4_active),8&lt;inp_c4_start_m),0,inp_c4_bill_hours*inp_c4_rate*calc_scn_rev_mult*calc_scn_util_mult*(inp_c4_m1_prod+MAX(0,MIN(8-inp_c4_start_m,inp_c4_ramp_m-1))*(inp_c4_util-inp_c4_m1_prod)/MAX(inp_c4_ramp_m-1,1)))</f>
        <v>32760</v>
      </c>
      <c r="BR33" s="2">
        <f>IF((8-(inp_c4_collect_lag+calc_scn_collect_add))&gt;=1,INDEX(BQ:BQ,25+8-(inp_c4_collect_lag+calc_scn_collect_add)),0)</f>
        <v>32760</v>
      </c>
      <c r="BS33" s="2">
        <f>SUM(BR$26:BR33)-SUM(BP$26:BP33)</f>
        <v>-16800</v>
      </c>
      <c r="BT33" s="2">
        <f>IF(OR(NOT(inp_c5_active),8&lt;inp_c5_start_m),0,((inp_c5_salary/12)*(1+inp_c5_oncost)+inp_c5_benefits)*calc_scn_cost_mult)</f>
        <v>7506.25</v>
      </c>
      <c r="BU33" s="2">
        <f>IF(OR(NOT(inp_c5_active),8&lt;inp_c5_start_m),0,inp_c5_bill_hours*inp_c5_rate*calc_scn_rev_mult*calc_scn_util_mult*(inp_c5_m1_prod+MAX(0,MIN(8-inp_c5_start_m,inp_c5_ramp_m-1))*(inp_c5_util-inp_c5_m1_prod)/MAX(inp_c5_ramp_m-1,1)))</f>
        <v>14559.999999999998</v>
      </c>
      <c r="BV33" s="2">
        <f>IF((8-(inp_c5_collect_lag+calc_scn_collect_add))&gt;=1,INDEX(BU:BU,25+8-(inp_c5_collect_lag+calc_scn_collect_add)),0)</f>
        <v>14559.999999999998</v>
      </c>
      <c r="BW33" s="2">
        <f>SUM(BV$26:BV33)-SUM(BT$26:BT33)</f>
        <v>3616.25</v>
      </c>
      <c r="BX33" s="2">
        <f>IF(OR(NOT(inp_c6_active),8&lt;inp_c6_start_m),0,((inp_c6_salary/12)*(1+inp_c6_oncost)+inp_c6_benefits)*calc_scn_cost_mult)</f>
        <v>12937.500000000002</v>
      </c>
      <c r="BY33" s="2">
        <f>IF(OR(NOT(inp_c6_active),8&lt;inp_c6_start_m),0,inp_c6_bill_hours*inp_c6_rate*calc_scn_rev_mult*calc_scn_util_mult*(inp_c6_m1_prod+MAX(0,MIN(8-inp_c6_start_m,inp_c6_ramp_m-1))*(inp_c6_util-inp_c6_m1_prod)/MAX(inp_c6_ramp_m-1,1)))</f>
        <v>0</v>
      </c>
      <c r="BZ33" s="2">
        <f>IF((8-(inp_c6_collect_lag+calc_scn_collect_add))&gt;=1,INDEX(BY:BY,25+8-(inp_c6_collect_lag+calc_scn_collect_add)),0)</f>
        <v>0</v>
      </c>
      <c r="CA33" s="2">
        <f>SUM(BZ$26:BZ33)-SUM(BX$26:BX33)</f>
        <v>-103500.00000000001</v>
      </c>
      <c r="CB33" s="2">
        <f>IF(OR(NOT(inp_c7_active),8&lt;inp_c7_start_m),0,((inp_c7_salary/12)*(1+inp_c7_oncost)+inp_c7_benefits)*calc_scn_cost_mult)</f>
        <v>0</v>
      </c>
      <c r="CC33" s="2">
        <f>IF(OR(NOT(inp_c7_active),8&lt;inp_c7_start_m),0,inp_c7_bill_hours*inp_c7_rate*calc_scn_rev_mult*calc_scn_util_mult*(inp_c7_m1_prod+MAX(0,MIN(8-inp_c7_start_m,inp_c7_ramp_m-1))*(inp_c7_util-inp_c7_m1_prod)/MAX(inp_c7_ramp_m-1,1)))</f>
        <v>0</v>
      </c>
      <c r="CD33" s="2">
        <f>IF((8-(inp_c7_collect_lag+calc_scn_collect_add))&gt;=1,INDEX(CC:CC,25+8-(inp_c7_collect_lag+calc_scn_collect_add)),0)</f>
        <v>0</v>
      </c>
      <c r="CE33" s="2">
        <f>SUM(CD$26:CD33)-SUM(CB$26:CB33)</f>
        <v>0</v>
      </c>
      <c r="CF33" s="2">
        <f>IF(OR(NOT(inp_c8_active),8&lt;inp_c8_start_m),0,((inp_c8_salary/12)*(1+inp_c8_oncost)+inp_c8_benefits)*calc_scn_cost_mult)</f>
        <v>0</v>
      </c>
      <c r="CG33" s="2">
        <f>IF(OR(NOT(inp_c8_active),8&lt;inp_c8_start_m),0,inp_c8_bill_hours*inp_c8_rate*calc_scn_rev_mult*calc_scn_util_mult*(inp_c8_m1_prod+MAX(0,MIN(8-inp_c8_start_m,inp_c8_ramp_m-1))*(inp_c8_util-inp_c8_m1_prod)/MAX(inp_c8_ramp_m-1,1)))</f>
        <v>0</v>
      </c>
      <c r="CH33" s="2">
        <f>IF((8-(inp_c8_collect_lag+calc_scn_collect_add))&gt;=1,INDEX(CG:CG,25+8-(inp_c8_collect_lag+calc_scn_collect_add)),0)</f>
        <v>0</v>
      </c>
      <c r="CI33" s="2">
        <f>SUM(CH$26:CH33)-SUM(CF$26:CF33)</f>
        <v>0</v>
      </c>
      <c r="CJ33" s="2"/>
      <c r="CK33" s="2"/>
      <c r="CL33" s="2"/>
      <c r="CM33" s="2">
        <f>IF(AND(BG33&gt;=0,8&gt;=inp_c1_start_m),8,9999)</f>
        <v>8</v>
      </c>
      <c r="CN33" s="2">
        <f>IF(AND(BK33&gt;=0,8&gt;=inp_c2_start_m),8,9999)</f>
        <v>8</v>
      </c>
      <c r="CO33" s="2">
        <f>IF(AND(BO33&gt;=0,8&gt;=inp_c3_start_m),8,9999)</f>
        <v>8</v>
      </c>
      <c r="CP33" s="2">
        <f>IF(AND(BS33&gt;=0,8&gt;=inp_c4_start_m),8,9999)</f>
        <v>9999</v>
      </c>
      <c r="CQ33" s="2">
        <f>IF(AND(BW33&gt;=0,8&gt;=inp_c5_start_m),8,9999)</f>
        <v>8</v>
      </c>
      <c r="CR33" s="2">
        <f>IF(AND(CA33&gt;=0,8&gt;=inp_c6_start_m),8,9999)</f>
        <v>9999</v>
      </c>
      <c r="CS33" s="2">
        <f>IF(AND(CE33&gt;=0,8&gt;=inp_c7_start_m),8,9999)</f>
        <v>8</v>
      </c>
      <c r="CT33" s="2">
        <f>IF(AND(CI33&gt;=0,8&gt;=inp_c8_start_m),8,9999)</f>
        <v>8</v>
      </c>
      <c r="CU33" s="2"/>
      <c r="CV33" s="55">
        <f>inp_biz_cash_open+SUM(AC$26:AC33)+SUM(BF$26:BF33)-SUM(BD$26:BD33)</f>
        <v>2721685.5628080098</v>
      </c>
      <c r="CW33" s="55">
        <f>inp_biz_cash_open+SUM(AC$26:AC33)+SUM(BJ$26:BJ33)-SUM(BH$26:BH33)</f>
        <v>2717148.8128080098</v>
      </c>
      <c r="CX33" s="55">
        <f>inp_biz_cash_open+SUM(AC$26:AC33)+SUM(BN$26:BN33)-SUM(BL$26:BL33)</f>
        <v>2718090.5628080098</v>
      </c>
      <c r="CY33" s="55">
        <f>inp_biz_cash_open+SUM(AC$26:AC33)+SUM(BR$26:BR33)-SUM(BP$26:BP33)</f>
        <v>2668870.5628080098</v>
      </c>
      <c r="CZ33" s="55">
        <f>inp_biz_cash_open+SUM(AC$26:AC33)+SUM(BV$26:BV33)-SUM(BT$26:BT33)</f>
        <v>2689286.8128080098</v>
      </c>
      <c r="DA33" s="55">
        <f>inp_biz_cash_open+SUM(AC$26:AC33)+SUM(BZ$26:BZ33)-SUM(BX$26:BX33)</f>
        <v>2582170.5628080098</v>
      </c>
      <c r="DB33" s="55">
        <f>inp_biz_cash_open+SUM(AC$26:AC33)+SUM(CD$26:CD33)-SUM(CB$26:CB33)</f>
        <v>2685670.5628080098</v>
      </c>
      <c r="DC33" s="55">
        <f>inp_biz_cash_open+SUM(AC$26:AC33)+SUM(CH$26:CH33)-SUM(CF$26:CF33)</f>
        <v>2685670.5628080098</v>
      </c>
      <c r="DD33" s="2"/>
      <c r="DE33" s="2"/>
      <c r="DF33" s="2"/>
      <c r="DG33" s="2"/>
      <c r="DH33" s="2"/>
      <c r="DI33" s="2"/>
      <c r="DJ33" s="19"/>
      <c r="DK33" s="20"/>
      <c r="DL33" s="20"/>
      <c r="DM33" s="20"/>
      <c r="DO33" s="66"/>
    </row>
    <row r="34" spans="1:119" x14ac:dyDescent="0.2">
      <c r="A34" s="1"/>
      <c r="B34" s="1"/>
      <c r="C34" s="1"/>
      <c r="D34" s="1"/>
      <c r="E34" s="1"/>
      <c r="F34" s="1"/>
      <c r="G34" s="24"/>
      <c r="H34" s="1"/>
      <c r="I34" s="1"/>
      <c r="J34" s="1"/>
      <c r="K34" s="1"/>
      <c r="L34" s="2"/>
      <c r="M34" s="18">
        <v>9</v>
      </c>
      <c r="N34"/>
      <c r="O34"/>
      <c r="P34"/>
      <c r="Q34"/>
      <c r="R34"/>
      <c r="S34"/>
      <c r="T34"/>
      <c r="U34"/>
      <c r="V34"/>
      <c r="W34"/>
      <c r="X34"/>
      <c r="Y34"/>
      <c r="Z34" s="10">
        <f>inp_biz_revenue_m0*(1+inp_biz_rev_growth)^(9-1)*calc_scn_rev_mult</f>
        <v>1082856.7056280803</v>
      </c>
      <c r="AA34" s="10">
        <f t="shared" ref="AA34" si="65">inp_biz_opex_m0*calc_scn_cost_mult</f>
        <v>250000</v>
      </c>
      <c r="AB34" s="10">
        <f t="shared" ref="AB34" si="66">inp_biz_payroll_m0*calc_scn_cost_mult</f>
        <v>550000</v>
      </c>
      <c r="AC34" s="10">
        <f t="shared" si="5"/>
        <v>282856.70562808029</v>
      </c>
      <c r="AD34" s="10">
        <f>inp_biz_cash_open+SUM(AC$26:AC34)</f>
        <v>2968527.2684360901</v>
      </c>
      <c r="AE34" s="10">
        <f t="shared" si="6"/>
        <v>90462.5</v>
      </c>
      <c r="AF34" s="10">
        <f t="shared" si="7"/>
        <v>133328</v>
      </c>
      <c r="AG34" s="10">
        <f t="shared" si="8"/>
        <v>325722.20562808029</v>
      </c>
      <c r="AH34" s="10">
        <f>inp_biz_cash_open+SUM(AG$26:AG34)</f>
        <v>2994622.2684360901</v>
      </c>
      <c r="AI34" s="18">
        <f t="shared" ref="AI34" si="67">IF(AH34&lt;inp_biz_floor,1,0)</f>
        <v>0</v>
      </c>
      <c r="AJ34"/>
      <c r="AK34"/>
      <c r="AL34"/>
      <c r="AM34" s="10">
        <f t="shared" ref="AM34" si="68">inp_biz_floor</f>
        <v>400000</v>
      </c>
      <c r="AN34" s="10">
        <f t="shared" si="11"/>
        <v>26095</v>
      </c>
      <c r="AO34" s="10">
        <f>0</f>
        <v>0</v>
      </c>
      <c r="AP34" s="2"/>
      <c r="AQ34" s="2"/>
      <c r="AR34" s="2"/>
      <c r="AS34"/>
      <c r="AT34"/>
      <c r="AU34"/>
      <c r="AV34" s="10">
        <f t="shared" ref="AV34" si="69">IF(ROW()-25&lt;sel_start_m,0,(sel_salary/12*(1+sel_oncost)+sel_benefits)*calc_scn_cost_mult)</f>
        <v>15900.000000000002</v>
      </c>
      <c r="AW34" s="10">
        <f t="shared" ref="AW34" si="70">IF(ROW()-25&lt;sel_start_m,0,sel_bill_hours*sel_util*sel_rate*calc_scn_rev_mult*calc_scn_util_mult*MIN(1,sel_m1_prod+(ROW()-25-sel_start_m)*(1-sel_m1_prod)/MAX(sel_ramp_m-1,1)))</f>
        <v>30420</v>
      </c>
      <c r="AX34" s="10">
        <f t="array" ref="AX34">IF((ROW()-25)-(sel_collect_lag+calc_scn_collect_add)&gt;=1,INDEX(AW$26:AW$49,(ROW()-25)-(sel_collect_lag+calc_scn_collect_add)),0)</f>
        <v>30420</v>
      </c>
      <c r="AY34" s="10">
        <f>SUM(AV$26:AV34)</f>
        <v>143100.00000000003</v>
      </c>
      <c r="AZ34" s="10">
        <f>SUM(AX$26:AX34)</f>
        <v>187843.5</v>
      </c>
      <c r="BA34" s="10">
        <f t="shared" ref="BA34" si="71">AD34-inp_biz_cash_open</f>
        <v>2168527.2684360901</v>
      </c>
      <c r="BB34" s="2"/>
      <c r="BC34" s="19">
        <f t="shared" si="15"/>
        <v>9</v>
      </c>
      <c r="BD34" s="19">
        <f>IF(OR(NOT(inp_c1_active),9&lt;inp_c1_start_m),0,((inp_c1_salary/12)*(1+inp_c1_oncost)+inp_c1_benefits)*calc_scn_cost_mult)</f>
        <v>15900.000000000002</v>
      </c>
      <c r="BE34" s="19">
        <f>IF(OR(NOT(inp_c1_active),9&lt;inp_c1_start_m),0,inp_c1_bill_hours*inp_c1_rate*calc_scn_rev_mult*calc_scn_util_mult*(inp_c1_m1_prod+MAX(0,MIN(9-inp_c1_start_m,inp_c1_ramp_m-1))*(inp_c1_util-inp_c1_m1_prod)/MAX(inp_c1_ramp_m-1,1)))</f>
        <v>30420</v>
      </c>
      <c r="BF34" s="2">
        <f>IF((9-(inp_c1_collect_lag+calc_scn_collect_add))&gt;=1,INDEX(BE:BE,25+9-(inp_c1_collect_lag+calc_scn_collect_add)),0)</f>
        <v>30420</v>
      </c>
      <c r="BG34" s="2">
        <f>SUM(BF$26:BF34)-SUM(BD$26:BD34)</f>
        <v>50534.999999999971</v>
      </c>
      <c r="BH34" s="2">
        <f>IF(OR(NOT(inp_c2_active),9&lt;inp_c2_start_m),0,((inp_c2_salary/12)*(1+inp_c2_oncost)+inp_c2_benefits)*calc_scn_cost_mult)</f>
        <v>19356.25</v>
      </c>
      <c r="BI34" s="2">
        <f>IF(OR(NOT(inp_c2_active),9&lt;inp_c2_start_m),0,inp_c2_bill_hours*inp_c2_rate*calc_scn_rev_mult*calc_scn_util_mult*(inp_c2_m1_prod+MAX(0,MIN(9-inp_c2_start_m,inp_c2_ramp_m-1))*(inp_c2_util-inp_c2_m1_prod)/MAX(inp_c2_ramp_m-1,1)))</f>
        <v>35568</v>
      </c>
      <c r="BJ34" s="2">
        <f>IF((9-(inp_c2_collect_lag+calc_scn_collect_add))&gt;=1,INDEX(BI:BI,25+9-(inp_c2_collect_lag+calc_scn_collect_add)),0)</f>
        <v>35568</v>
      </c>
      <c r="BK34" s="2">
        <f>SUM(BJ$26:BJ34)-SUM(BH$26:BH34)</f>
        <v>47690</v>
      </c>
      <c r="BL34" s="2">
        <f>IF(OR(NOT(inp_c3_active),9&lt;inp_c3_start_m),0,((inp_c3_salary/12)*(1+inp_c3_oncost)+inp_c3_benefits)*calc_scn_cost_mult)</f>
        <v>10962.5</v>
      </c>
      <c r="BM34" s="2">
        <f>IF(OR(NOT(inp_c3_active),9&lt;inp_c3_start_m),0,inp_c3_bill_hours*inp_c3_rate*calc_scn_rev_mult*calc_scn_util_mult*(inp_c3_m1_prod+MAX(0,MIN(9-inp_c3_start_m,inp_c3_ramp_m-1))*(inp_c3_util-inp_c3_m1_prod)/MAX(inp_c3_ramp_m-1,1)))</f>
        <v>20020</v>
      </c>
      <c r="BN34" s="2">
        <f>IF((9-(inp_c3_collect_lag+calc_scn_collect_add))&gt;=1,INDEX(BM:BM,25+9-(inp_c3_collect_lag+calc_scn_collect_add)),0)</f>
        <v>20020</v>
      </c>
      <c r="BO34" s="2">
        <f>SUM(BN$26:BN34)-SUM(BL$26:BL34)</f>
        <v>41477.5</v>
      </c>
      <c r="BP34" s="2">
        <f>IF(OR(NOT(inp_c4_active),9&lt;inp_c4_start_m),0,((inp_c4_salary/12)*(1+inp_c4_oncost)+inp_c4_benefits)*calc_scn_cost_mult)</f>
        <v>23800</v>
      </c>
      <c r="BQ34" s="2">
        <f>IF(OR(NOT(inp_c4_active),9&lt;inp_c4_start_m),0,inp_c4_bill_hours*inp_c4_rate*calc_scn_rev_mult*calc_scn_util_mult*(inp_c4_m1_prod+MAX(0,MIN(9-inp_c4_start_m,inp_c4_ramp_m-1))*(inp_c4_util-inp_c4_m1_prod)/MAX(inp_c4_ramp_m-1,1)))</f>
        <v>32760</v>
      </c>
      <c r="BR34" s="2">
        <f>IF((9-(inp_c4_collect_lag+calc_scn_collect_add))&gt;=1,INDEX(BQ:BQ,25+9-(inp_c4_collect_lag+calc_scn_collect_add)),0)</f>
        <v>32760</v>
      </c>
      <c r="BS34" s="2">
        <f>SUM(BR$26:BR34)-SUM(BP$26:BP34)</f>
        <v>-7840</v>
      </c>
      <c r="BT34" s="2">
        <f>IF(OR(NOT(inp_c5_active),9&lt;inp_c5_start_m),0,((inp_c5_salary/12)*(1+inp_c5_oncost)+inp_c5_benefits)*calc_scn_cost_mult)</f>
        <v>7506.25</v>
      </c>
      <c r="BU34" s="2">
        <f>IF(OR(NOT(inp_c5_active),9&lt;inp_c5_start_m),0,inp_c5_bill_hours*inp_c5_rate*calc_scn_rev_mult*calc_scn_util_mult*(inp_c5_m1_prod+MAX(0,MIN(9-inp_c5_start_m,inp_c5_ramp_m-1))*(inp_c5_util-inp_c5_m1_prod)/MAX(inp_c5_ramp_m-1,1)))</f>
        <v>14559.999999999998</v>
      </c>
      <c r="BV34" s="2">
        <f>IF((9-(inp_c5_collect_lag+calc_scn_collect_add))&gt;=1,INDEX(BU:BU,25+9-(inp_c5_collect_lag+calc_scn_collect_add)),0)</f>
        <v>14559.999999999998</v>
      </c>
      <c r="BW34" s="2">
        <f>SUM(BV$26:BV34)-SUM(BT$26:BT34)</f>
        <v>10670</v>
      </c>
      <c r="BX34" s="2">
        <f>IF(OR(NOT(inp_c6_active),9&lt;inp_c6_start_m),0,((inp_c6_salary/12)*(1+inp_c6_oncost)+inp_c6_benefits)*calc_scn_cost_mult)</f>
        <v>12937.500000000002</v>
      </c>
      <c r="BY34" s="2">
        <f>IF(OR(NOT(inp_c6_active),9&lt;inp_c6_start_m),0,inp_c6_bill_hours*inp_c6_rate*calc_scn_rev_mult*calc_scn_util_mult*(inp_c6_m1_prod+MAX(0,MIN(9-inp_c6_start_m,inp_c6_ramp_m-1))*(inp_c6_util-inp_c6_m1_prod)/MAX(inp_c6_ramp_m-1,1)))</f>
        <v>0</v>
      </c>
      <c r="BZ34" s="2">
        <f>IF((9-(inp_c6_collect_lag+calc_scn_collect_add))&gt;=1,INDEX(BY:BY,25+9-(inp_c6_collect_lag+calc_scn_collect_add)),0)</f>
        <v>0</v>
      </c>
      <c r="CA34" s="2">
        <f>SUM(BZ$26:BZ34)-SUM(BX$26:BX34)</f>
        <v>-116437.50000000001</v>
      </c>
      <c r="CB34" s="2">
        <f>IF(OR(NOT(inp_c7_active),9&lt;inp_c7_start_m),0,((inp_c7_salary/12)*(1+inp_c7_oncost)+inp_c7_benefits)*calc_scn_cost_mult)</f>
        <v>0</v>
      </c>
      <c r="CC34" s="2">
        <f>IF(OR(NOT(inp_c7_active),9&lt;inp_c7_start_m),0,inp_c7_bill_hours*inp_c7_rate*calc_scn_rev_mult*calc_scn_util_mult*(inp_c7_m1_prod+MAX(0,MIN(9-inp_c7_start_m,inp_c7_ramp_m-1))*(inp_c7_util-inp_c7_m1_prod)/MAX(inp_c7_ramp_m-1,1)))</f>
        <v>0</v>
      </c>
      <c r="CD34" s="2">
        <f>IF((9-(inp_c7_collect_lag+calc_scn_collect_add))&gt;=1,INDEX(CC:CC,25+9-(inp_c7_collect_lag+calc_scn_collect_add)),0)</f>
        <v>0</v>
      </c>
      <c r="CE34" s="2">
        <f>SUM(CD$26:CD34)-SUM(CB$26:CB34)</f>
        <v>0</v>
      </c>
      <c r="CF34" s="2">
        <f>IF(OR(NOT(inp_c8_active),9&lt;inp_c8_start_m),0,((inp_c8_salary/12)*(1+inp_c8_oncost)+inp_c8_benefits)*calc_scn_cost_mult)</f>
        <v>0</v>
      </c>
      <c r="CG34" s="2">
        <f>IF(OR(NOT(inp_c8_active),9&lt;inp_c8_start_m),0,inp_c8_bill_hours*inp_c8_rate*calc_scn_rev_mult*calc_scn_util_mult*(inp_c8_m1_prod+MAX(0,MIN(9-inp_c8_start_m,inp_c8_ramp_m-1))*(inp_c8_util-inp_c8_m1_prod)/MAX(inp_c8_ramp_m-1,1)))</f>
        <v>0</v>
      </c>
      <c r="CH34" s="2">
        <f>IF((9-(inp_c8_collect_lag+calc_scn_collect_add))&gt;=1,INDEX(CG:CG,25+9-(inp_c8_collect_lag+calc_scn_collect_add)),0)</f>
        <v>0</v>
      </c>
      <c r="CI34" s="2">
        <f>SUM(CH$26:CH34)-SUM(CF$26:CF34)</f>
        <v>0</v>
      </c>
      <c r="CJ34" s="2"/>
      <c r="CK34" s="2"/>
      <c r="CL34" s="2"/>
      <c r="CM34" s="2">
        <f>IF(AND(BG34&gt;=0,9&gt;=inp_c1_start_m),9,9999)</f>
        <v>9</v>
      </c>
      <c r="CN34" s="2">
        <f>IF(AND(BK34&gt;=0,9&gt;=inp_c2_start_m),9,9999)</f>
        <v>9</v>
      </c>
      <c r="CO34" s="2">
        <f>IF(AND(BO34&gt;=0,9&gt;=inp_c3_start_m),9,9999)</f>
        <v>9</v>
      </c>
      <c r="CP34" s="2">
        <f>IF(AND(BS34&gt;=0,9&gt;=inp_c4_start_m),9,9999)</f>
        <v>9999</v>
      </c>
      <c r="CQ34" s="2">
        <f>IF(AND(BW34&gt;=0,9&gt;=inp_c5_start_m),9,9999)</f>
        <v>9</v>
      </c>
      <c r="CR34" s="2">
        <f>IF(AND(CA34&gt;=0,9&gt;=inp_c6_start_m),9,9999)</f>
        <v>9999</v>
      </c>
      <c r="CS34" s="2">
        <f>IF(AND(CE34&gt;=0,9&gt;=inp_c7_start_m),9,9999)</f>
        <v>9</v>
      </c>
      <c r="CT34" s="2">
        <f>IF(AND(CI34&gt;=0,9&gt;=inp_c8_start_m),9,9999)</f>
        <v>9</v>
      </c>
      <c r="CU34" s="2"/>
      <c r="CV34" s="55">
        <f>inp_biz_cash_open+SUM(AC$26:AC34)+SUM(BF$26:BF34)-SUM(BD$26:BD34)</f>
        <v>3019062.2684360901</v>
      </c>
      <c r="CW34" s="55">
        <f>inp_biz_cash_open+SUM(AC$26:AC34)+SUM(BJ$26:BJ34)-SUM(BH$26:BH34)</f>
        <v>3016217.2684360901</v>
      </c>
      <c r="CX34" s="55">
        <f>inp_biz_cash_open+SUM(AC$26:AC34)+SUM(BN$26:BN34)-SUM(BL$26:BL34)</f>
        <v>3010004.7684360901</v>
      </c>
      <c r="CY34" s="55">
        <f>inp_biz_cash_open+SUM(AC$26:AC34)+SUM(BR$26:BR34)-SUM(BP$26:BP34)</f>
        <v>2960687.2684360901</v>
      </c>
      <c r="CZ34" s="55">
        <f>inp_biz_cash_open+SUM(AC$26:AC34)+SUM(BV$26:BV34)-SUM(BT$26:BT34)</f>
        <v>2979197.2684360901</v>
      </c>
      <c r="DA34" s="55">
        <f>inp_biz_cash_open+SUM(AC$26:AC34)+SUM(BZ$26:BZ34)-SUM(BX$26:BX34)</f>
        <v>2852089.7684360901</v>
      </c>
      <c r="DB34" s="55">
        <f>inp_biz_cash_open+SUM(AC$26:AC34)+SUM(CD$26:CD34)-SUM(CB$26:CB34)</f>
        <v>2968527.2684360901</v>
      </c>
      <c r="DC34" s="55">
        <f>inp_biz_cash_open+SUM(AC$26:AC34)+SUM(CH$26:CH34)-SUM(CF$26:CF34)</f>
        <v>2968527.2684360901</v>
      </c>
      <c r="DD34" s="2"/>
      <c r="DE34" s="2"/>
      <c r="DF34" s="2"/>
      <c r="DG34" s="2"/>
      <c r="DH34" s="2"/>
      <c r="DI34" s="2"/>
      <c r="DJ34" s="19"/>
      <c r="DK34" s="20"/>
      <c r="DL34" s="20"/>
      <c r="DM34" s="20"/>
      <c r="DO34" s="66"/>
    </row>
    <row r="35" spans="1:119" x14ac:dyDescent="0.2">
      <c r="A35" s="1"/>
      <c r="B35" s="1"/>
      <c r="C35" s="1"/>
      <c r="D35" s="1"/>
      <c r="E35" s="1"/>
      <c r="F35" s="1"/>
      <c r="G35" s="1"/>
      <c r="H35" s="1"/>
      <c r="I35" s="1"/>
      <c r="J35" s="1"/>
      <c r="K35" s="1"/>
      <c r="L35" s="2"/>
      <c r="M35" s="18">
        <v>10</v>
      </c>
      <c r="N35"/>
      <c r="O35"/>
      <c r="P35"/>
      <c r="Q35"/>
      <c r="R35"/>
      <c r="S35"/>
      <c r="T35"/>
      <c r="U35"/>
      <c r="V35"/>
      <c r="W35"/>
      <c r="X35"/>
      <c r="Y35"/>
      <c r="Z35" s="10">
        <f>inp_biz_revenue_m0*(1+inp_biz_rev_growth)^(10-1)*calc_scn_rev_mult</f>
        <v>1093685.2726843611</v>
      </c>
      <c r="AA35" s="10">
        <f t="shared" ref="AA35" si="72">inp_biz_opex_m0*calc_scn_cost_mult</f>
        <v>250000</v>
      </c>
      <c r="AB35" s="10">
        <f t="shared" ref="AB35" si="73">inp_biz_payroll_m0*calc_scn_cost_mult</f>
        <v>550000</v>
      </c>
      <c r="AC35" s="10">
        <f t="shared" si="5"/>
        <v>293685.27268436109</v>
      </c>
      <c r="AD35" s="10">
        <f>inp_biz_cash_open+SUM(AC$26:AC35)</f>
        <v>3262212.5411204509</v>
      </c>
      <c r="AE35" s="10">
        <f t="shared" si="6"/>
        <v>90462.5</v>
      </c>
      <c r="AF35" s="10">
        <f t="shared" si="7"/>
        <v>133328</v>
      </c>
      <c r="AG35" s="10">
        <f t="shared" si="8"/>
        <v>336550.77268436109</v>
      </c>
      <c r="AH35" s="10">
        <f>inp_biz_cash_open+SUM(AG$26:AG35)</f>
        <v>3331173.0411204509</v>
      </c>
      <c r="AI35" s="18">
        <f t="shared" ref="AI35" si="74">IF(AH35&lt;inp_biz_floor,1,0)</f>
        <v>0</v>
      </c>
      <c r="AJ35"/>
      <c r="AK35"/>
      <c r="AL35"/>
      <c r="AM35" s="10">
        <f t="shared" ref="AM35" si="75">inp_biz_floor</f>
        <v>400000</v>
      </c>
      <c r="AN35" s="10">
        <f t="shared" si="11"/>
        <v>68960.5</v>
      </c>
      <c r="AO35" s="10">
        <f>0</f>
        <v>0</v>
      </c>
      <c r="AP35" s="2"/>
      <c r="AQ35" s="2"/>
      <c r="AR35" s="2"/>
      <c r="AS35"/>
      <c r="AT35"/>
      <c r="AU35"/>
      <c r="AV35" s="10">
        <f t="shared" ref="AV35" si="76">IF(ROW()-25&lt;sel_start_m,0,(sel_salary/12*(1+sel_oncost)+sel_benefits)*calc_scn_cost_mult)</f>
        <v>15900.000000000002</v>
      </c>
      <c r="AW35" s="10">
        <f t="shared" ref="AW35" si="77">IF(ROW()-25&lt;sel_start_m,0,sel_bill_hours*sel_util*sel_rate*calc_scn_rev_mult*calc_scn_util_mult*MIN(1,sel_m1_prod+(ROW()-25-sel_start_m)*(1-sel_m1_prod)/MAX(sel_ramp_m-1,1)))</f>
        <v>30420</v>
      </c>
      <c r="AX35" s="10">
        <f t="array" ref="AX35">IF((ROW()-25)-(sel_collect_lag+calc_scn_collect_add)&gt;=1,INDEX(AW$26:AW$49,(ROW()-25)-(sel_collect_lag+calc_scn_collect_add)),0)</f>
        <v>30420</v>
      </c>
      <c r="AY35" s="10">
        <f>SUM(AV$26:AV35)</f>
        <v>159000.00000000003</v>
      </c>
      <c r="AZ35" s="10">
        <f>SUM(AX$26:AX35)</f>
        <v>218263.5</v>
      </c>
      <c r="BA35" s="10">
        <f t="shared" ref="BA35" si="78">AD35-inp_biz_cash_open</f>
        <v>2462212.5411204509</v>
      </c>
      <c r="BB35" s="2"/>
      <c r="BC35" s="19">
        <f t="shared" si="15"/>
        <v>10</v>
      </c>
      <c r="BD35" s="19">
        <f>IF(OR(NOT(inp_c1_active),10&lt;inp_c1_start_m),0,((inp_c1_salary/12)*(1+inp_c1_oncost)+inp_c1_benefits)*calc_scn_cost_mult)</f>
        <v>15900.000000000002</v>
      </c>
      <c r="BE35" s="19">
        <f>IF(OR(NOT(inp_c1_active),10&lt;inp_c1_start_m),0,inp_c1_bill_hours*inp_c1_rate*calc_scn_rev_mult*calc_scn_util_mult*(inp_c1_m1_prod+MAX(0,MIN(10-inp_c1_start_m,inp_c1_ramp_m-1))*(inp_c1_util-inp_c1_m1_prod)/MAX(inp_c1_ramp_m-1,1)))</f>
        <v>30420</v>
      </c>
      <c r="BF35" s="2">
        <f>IF((10-(inp_c1_collect_lag+calc_scn_collect_add))&gt;=1,INDEX(BE:BE,25+10-(inp_c1_collect_lag+calc_scn_collect_add)),0)</f>
        <v>30420</v>
      </c>
      <c r="BG35" s="2">
        <f>SUM(BF$26:BF35)-SUM(BD$26:BD35)</f>
        <v>65054.999999999971</v>
      </c>
      <c r="BH35" s="2">
        <f>IF(OR(NOT(inp_c2_active),10&lt;inp_c2_start_m),0,((inp_c2_salary/12)*(1+inp_c2_oncost)+inp_c2_benefits)*calc_scn_cost_mult)</f>
        <v>19356.25</v>
      </c>
      <c r="BI35" s="2">
        <f>IF(OR(NOT(inp_c2_active),10&lt;inp_c2_start_m),0,inp_c2_bill_hours*inp_c2_rate*calc_scn_rev_mult*calc_scn_util_mult*(inp_c2_m1_prod+MAX(0,MIN(10-inp_c2_start_m,inp_c2_ramp_m-1))*(inp_c2_util-inp_c2_m1_prod)/MAX(inp_c2_ramp_m-1,1)))</f>
        <v>35568</v>
      </c>
      <c r="BJ35" s="2">
        <f>IF((10-(inp_c2_collect_lag+calc_scn_collect_add))&gt;=1,INDEX(BI:BI,25+10-(inp_c2_collect_lag+calc_scn_collect_add)),0)</f>
        <v>35568</v>
      </c>
      <c r="BK35" s="2">
        <f>SUM(BJ$26:BJ35)-SUM(BH$26:BH35)</f>
        <v>63901.75</v>
      </c>
      <c r="BL35" s="2">
        <f>IF(OR(NOT(inp_c3_active),10&lt;inp_c3_start_m),0,((inp_c3_salary/12)*(1+inp_c3_oncost)+inp_c3_benefits)*calc_scn_cost_mult)</f>
        <v>10962.5</v>
      </c>
      <c r="BM35" s="2">
        <f>IF(OR(NOT(inp_c3_active),10&lt;inp_c3_start_m),0,inp_c3_bill_hours*inp_c3_rate*calc_scn_rev_mult*calc_scn_util_mult*(inp_c3_m1_prod+MAX(0,MIN(10-inp_c3_start_m,inp_c3_ramp_m-1))*(inp_c3_util-inp_c3_m1_prod)/MAX(inp_c3_ramp_m-1,1)))</f>
        <v>20020</v>
      </c>
      <c r="BN35" s="2">
        <f>IF((10-(inp_c3_collect_lag+calc_scn_collect_add))&gt;=1,INDEX(BM:BM,25+10-(inp_c3_collect_lag+calc_scn_collect_add)),0)</f>
        <v>20020</v>
      </c>
      <c r="BO35" s="2">
        <f>SUM(BN$26:BN35)-SUM(BL$26:BL35)</f>
        <v>50535</v>
      </c>
      <c r="BP35" s="2">
        <f>IF(OR(NOT(inp_c4_active),10&lt;inp_c4_start_m),0,((inp_c4_salary/12)*(1+inp_c4_oncost)+inp_c4_benefits)*calc_scn_cost_mult)</f>
        <v>23800</v>
      </c>
      <c r="BQ35" s="2">
        <f>IF(OR(NOT(inp_c4_active),10&lt;inp_c4_start_m),0,inp_c4_bill_hours*inp_c4_rate*calc_scn_rev_mult*calc_scn_util_mult*(inp_c4_m1_prod+MAX(0,MIN(10-inp_c4_start_m,inp_c4_ramp_m-1))*(inp_c4_util-inp_c4_m1_prod)/MAX(inp_c4_ramp_m-1,1)))</f>
        <v>32760</v>
      </c>
      <c r="BR35" s="2">
        <f>IF((10-(inp_c4_collect_lag+calc_scn_collect_add))&gt;=1,INDEX(BQ:BQ,25+10-(inp_c4_collect_lag+calc_scn_collect_add)),0)</f>
        <v>32760</v>
      </c>
      <c r="BS35" s="2">
        <f>SUM(BR$26:BR35)-SUM(BP$26:BP35)</f>
        <v>1120</v>
      </c>
      <c r="BT35" s="2">
        <f>IF(OR(NOT(inp_c5_active),10&lt;inp_c5_start_m),0,((inp_c5_salary/12)*(1+inp_c5_oncost)+inp_c5_benefits)*calc_scn_cost_mult)</f>
        <v>7506.25</v>
      </c>
      <c r="BU35" s="2">
        <f>IF(OR(NOT(inp_c5_active),10&lt;inp_c5_start_m),0,inp_c5_bill_hours*inp_c5_rate*calc_scn_rev_mult*calc_scn_util_mult*(inp_c5_m1_prod+MAX(0,MIN(10-inp_c5_start_m,inp_c5_ramp_m-1))*(inp_c5_util-inp_c5_m1_prod)/MAX(inp_c5_ramp_m-1,1)))</f>
        <v>14559.999999999998</v>
      </c>
      <c r="BV35" s="2">
        <f>IF((10-(inp_c5_collect_lag+calc_scn_collect_add))&gt;=1,INDEX(BU:BU,25+10-(inp_c5_collect_lag+calc_scn_collect_add)),0)</f>
        <v>14559.999999999998</v>
      </c>
      <c r="BW35" s="2">
        <f>SUM(BV$26:BV35)-SUM(BT$26:BT35)</f>
        <v>17723.75</v>
      </c>
      <c r="BX35" s="2">
        <f>IF(OR(NOT(inp_c6_active),10&lt;inp_c6_start_m),0,((inp_c6_salary/12)*(1+inp_c6_oncost)+inp_c6_benefits)*calc_scn_cost_mult)</f>
        <v>12937.500000000002</v>
      </c>
      <c r="BY35" s="2">
        <f>IF(OR(NOT(inp_c6_active),10&lt;inp_c6_start_m),0,inp_c6_bill_hours*inp_c6_rate*calc_scn_rev_mult*calc_scn_util_mult*(inp_c6_m1_prod+MAX(0,MIN(10-inp_c6_start_m,inp_c6_ramp_m-1))*(inp_c6_util-inp_c6_m1_prod)/MAX(inp_c6_ramp_m-1,1)))</f>
        <v>0</v>
      </c>
      <c r="BZ35" s="2">
        <f>IF((10-(inp_c6_collect_lag+calc_scn_collect_add))&gt;=1,INDEX(BY:BY,25+10-(inp_c6_collect_lag+calc_scn_collect_add)),0)</f>
        <v>0</v>
      </c>
      <c r="CA35" s="2">
        <f>SUM(BZ$26:BZ35)-SUM(BX$26:BX35)</f>
        <v>-129375.00000000001</v>
      </c>
      <c r="CB35" s="2">
        <f>IF(OR(NOT(inp_c7_active),10&lt;inp_c7_start_m),0,((inp_c7_salary/12)*(1+inp_c7_oncost)+inp_c7_benefits)*calc_scn_cost_mult)</f>
        <v>0</v>
      </c>
      <c r="CC35" s="2">
        <f>IF(OR(NOT(inp_c7_active),10&lt;inp_c7_start_m),0,inp_c7_bill_hours*inp_c7_rate*calc_scn_rev_mult*calc_scn_util_mult*(inp_c7_m1_prod+MAX(0,MIN(10-inp_c7_start_m,inp_c7_ramp_m-1))*(inp_c7_util-inp_c7_m1_prod)/MAX(inp_c7_ramp_m-1,1)))</f>
        <v>0</v>
      </c>
      <c r="CD35" s="2">
        <f>IF((10-(inp_c7_collect_lag+calc_scn_collect_add))&gt;=1,INDEX(CC:CC,25+10-(inp_c7_collect_lag+calc_scn_collect_add)),0)</f>
        <v>0</v>
      </c>
      <c r="CE35" s="2">
        <f>SUM(CD$26:CD35)-SUM(CB$26:CB35)</f>
        <v>0</v>
      </c>
      <c r="CF35" s="2">
        <f>IF(OR(NOT(inp_c8_active),10&lt;inp_c8_start_m),0,((inp_c8_salary/12)*(1+inp_c8_oncost)+inp_c8_benefits)*calc_scn_cost_mult)</f>
        <v>0</v>
      </c>
      <c r="CG35" s="2">
        <f>IF(OR(NOT(inp_c8_active),10&lt;inp_c8_start_m),0,inp_c8_bill_hours*inp_c8_rate*calc_scn_rev_mult*calc_scn_util_mult*(inp_c8_m1_prod+MAX(0,MIN(10-inp_c8_start_m,inp_c8_ramp_m-1))*(inp_c8_util-inp_c8_m1_prod)/MAX(inp_c8_ramp_m-1,1)))</f>
        <v>0</v>
      </c>
      <c r="CH35" s="2">
        <f>IF((10-(inp_c8_collect_lag+calc_scn_collect_add))&gt;=1,INDEX(CG:CG,25+10-(inp_c8_collect_lag+calc_scn_collect_add)),0)</f>
        <v>0</v>
      </c>
      <c r="CI35" s="2">
        <f>SUM(CH$26:CH35)-SUM(CF$26:CF35)</f>
        <v>0</v>
      </c>
      <c r="CJ35" s="2"/>
      <c r="CK35" s="2"/>
      <c r="CL35" s="2"/>
      <c r="CM35" s="2">
        <f>IF(AND(BG35&gt;=0,10&gt;=inp_c1_start_m),10,9999)</f>
        <v>10</v>
      </c>
      <c r="CN35" s="2">
        <f>IF(AND(BK35&gt;=0,10&gt;=inp_c2_start_m),10,9999)</f>
        <v>10</v>
      </c>
      <c r="CO35" s="2">
        <f>IF(AND(BO35&gt;=0,10&gt;=inp_c3_start_m),10,9999)</f>
        <v>10</v>
      </c>
      <c r="CP35" s="2">
        <f>IF(AND(BS35&gt;=0,10&gt;=inp_c4_start_m),10,9999)</f>
        <v>10</v>
      </c>
      <c r="CQ35" s="2">
        <f>IF(AND(BW35&gt;=0,10&gt;=inp_c5_start_m),10,9999)</f>
        <v>10</v>
      </c>
      <c r="CR35" s="2">
        <f>IF(AND(CA35&gt;=0,10&gt;=inp_c6_start_m),10,9999)</f>
        <v>9999</v>
      </c>
      <c r="CS35" s="2">
        <f>IF(AND(CE35&gt;=0,10&gt;=inp_c7_start_m),10,9999)</f>
        <v>10</v>
      </c>
      <c r="CT35" s="2">
        <f>IF(AND(CI35&gt;=0,10&gt;=inp_c8_start_m),10,9999)</f>
        <v>10</v>
      </c>
      <c r="CU35" s="2"/>
      <c r="CV35" s="55">
        <f>inp_biz_cash_open+SUM(AC$26:AC35)+SUM(BF$26:BF35)-SUM(BD$26:BD35)</f>
        <v>3327267.5411204509</v>
      </c>
      <c r="CW35" s="55">
        <f>inp_biz_cash_open+SUM(AC$26:AC35)+SUM(BJ$26:BJ35)-SUM(BH$26:BH35)</f>
        <v>3326114.2911204509</v>
      </c>
      <c r="CX35" s="55">
        <f>inp_biz_cash_open+SUM(AC$26:AC35)+SUM(BN$26:BN35)-SUM(BL$26:BL35)</f>
        <v>3312747.5411204509</v>
      </c>
      <c r="CY35" s="55">
        <f>inp_biz_cash_open+SUM(AC$26:AC35)+SUM(BR$26:BR35)-SUM(BP$26:BP35)</f>
        <v>3263332.5411204509</v>
      </c>
      <c r="CZ35" s="55">
        <f>inp_biz_cash_open+SUM(AC$26:AC35)+SUM(BV$26:BV35)-SUM(BT$26:BT35)</f>
        <v>3279936.2911204509</v>
      </c>
      <c r="DA35" s="55">
        <f>inp_biz_cash_open+SUM(AC$26:AC35)+SUM(BZ$26:BZ35)-SUM(BX$26:BX35)</f>
        <v>3132837.5411204509</v>
      </c>
      <c r="DB35" s="55">
        <f>inp_biz_cash_open+SUM(AC$26:AC35)+SUM(CD$26:CD35)-SUM(CB$26:CB35)</f>
        <v>3262212.5411204509</v>
      </c>
      <c r="DC35" s="55">
        <f>inp_biz_cash_open+SUM(AC$26:AC35)+SUM(CH$26:CH35)-SUM(CF$26:CF35)</f>
        <v>3262212.5411204509</v>
      </c>
      <c r="DD35" s="2"/>
      <c r="DE35" s="2"/>
      <c r="DF35" s="2"/>
      <c r="DG35" s="2"/>
      <c r="DH35" s="2"/>
      <c r="DI35" s="2"/>
      <c r="DJ35" s="2"/>
      <c r="DK35" s="2"/>
      <c r="DL35" s="2"/>
      <c r="DM35" s="2"/>
    </row>
    <row r="36" spans="1:119" ht="22" customHeight="1" x14ac:dyDescent="0.2">
      <c r="A36" s="1"/>
      <c r="B36" s="5" t="s">
        <v>107</v>
      </c>
      <c r="C36" s="1"/>
      <c r="D36" s="1"/>
      <c r="E36" s="1"/>
      <c r="F36" s="1"/>
      <c r="G36" s="1"/>
      <c r="H36" s="1"/>
      <c r="I36" s="1"/>
      <c r="J36" s="1"/>
      <c r="K36" s="1"/>
      <c r="L36" s="2"/>
      <c r="M36" s="18">
        <v>11</v>
      </c>
      <c r="N36"/>
      <c r="O36"/>
      <c r="P36"/>
      <c r="Q36"/>
      <c r="R36"/>
      <c r="S36"/>
      <c r="T36"/>
      <c r="U36"/>
      <c r="V36"/>
      <c r="W36"/>
      <c r="X36"/>
      <c r="Y36"/>
      <c r="Z36" s="10">
        <f>inp_biz_revenue_m0*(1+inp_biz_rev_growth)^(11-1)*calc_scn_rev_mult</f>
        <v>1104622.1254112048</v>
      </c>
      <c r="AA36" s="10">
        <f t="shared" ref="AA36" si="79">inp_biz_opex_m0*calc_scn_cost_mult</f>
        <v>250000</v>
      </c>
      <c r="AB36" s="10">
        <f t="shared" ref="AB36" si="80">inp_biz_payroll_m0*calc_scn_cost_mult</f>
        <v>550000</v>
      </c>
      <c r="AC36" s="10">
        <f t="shared" si="5"/>
        <v>304622.12541120476</v>
      </c>
      <c r="AD36" s="10">
        <f>inp_biz_cash_open+SUM(AC$26:AC36)</f>
        <v>3566834.6665316559</v>
      </c>
      <c r="AE36" s="10">
        <f t="shared" si="6"/>
        <v>90462.5</v>
      </c>
      <c r="AF36" s="10">
        <f t="shared" si="7"/>
        <v>133328</v>
      </c>
      <c r="AG36" s="10">
        <f t="shared" si="8"/>
        <v>347487.62541120476</v>
      </c>
      <c r="AH36" s="10">
        <f>inp_biz_cash_open+SUM(AG$26:AG36)</f>
        <v>3678660.6665316559</v>
      </c>
      <c r="AI36" s="18">
        <f t="shared" ref="AI36" si="81">IF(AH36&lt;inp_biz_floor,1,0)</f>
        <v>0</v>
      </c>
      <c r="AJ36"/>
      <c r="AK36"/>
      <c r="AL36"/>
      <c r="AM36" s="10">
        <f t="shared" ref="AM36" si="82">inp_biz_floor</f>
        <v>400000</v>
      </c>
      <c r="AN36" s="10">
        <f t="shared" si="11"/>
        <v>111826</v>
      </c>
      <c r="AO36" s="10">
        <f>0</f>
        <v>0</v>
      </c>
      <c r="AP36" s="2"/>
      <c r="AQ36" s="2"/>
      <c r="AR36" s="2"/>
      <c r="AS36"/>
      <c r="AT36"/>
      <c r="AU36"/>
      <c r="AV36" s="10">
        <f t="shared" ref="AV36" si="83">IF(ROW()-25&lt;sel_start_m,0,(sel_salary/12*(1+sel_oncost)+sel_benefits)*calc_scn_cost_mult)</f>
        <v>15900.000000000002</v>
      </c>
      <c r="AW36" s="10">
        <f t="shared" ref="AW36" si="84">IF(ROW()-25&lt;sel_start_m,0,sel_bill_hours*sel_util*sel_rate*calc_scn_rev_mult*calc_scn_util_mult*MIN(1,sel_m1_prod+(ROW()-25-sel_start_m)*(1-sel_m1_prod)/MAX(sel_ramp_m-1,1)))</f>
        <v>30420</v>
      </c>
      <c r="AX36" s="10">
        <f t="array" ref="AX36">IF((ROW()-25)-(sel_collect_lag+calc_scn_collect_add)&gt;=1,INDEX(AW$26:AW$49,(ROW()-25)-(sel_collect_lag+calc_scn_collect_add)),0)</f>
        <v>30420</v>
      </c>
      <c r="AY36" s="10">
        <f>SUM(AV$26:AV36)</f>
        <v>174900.00000000003</v>
      </c>
      <c r="AZ36" s="10">
        <f>SUM(AX$26:AX36)</f>
        <v>248683.5</v>
      </c>
      <c r="BA36" s="10">
        <f t="shared" ref="BA36" si="85">AD36-inp_biz_cash_open</f>
        <v>2766834.6665316559</v>
      </c>
      <c r="BB36" s="2"/>
      <c r="BC36" s="19">
        <f t="shared" si="15"/>
        <v>11</v>
      </c>
      <c r="BD36" s="19">
        <f>IF(OR(NOT(inp_c1_active),11&lt;inp_c1_start_m),0,((inp_c1_salary/12)*(1+inp_c1_oncost)+inp_c1_benefits)*calc_scn_cost_mult)</f>
        <v>15900.000000000002</v>
      </c>
      <c r="BE36" s="19">
        <f>IF(OR(NOT(inp_c1_active),11&lt;inp_c1_start_m),0,inp_c1_bill_hours*inp_c1_rate*calc_scn_rev_mult*calc_scn_util_mult*(inp_c1_m1_prod+MAX(0,MIN(11-inp_c1_start_m,inp_c1_ramp_m-1))*(inp_c1_util-inp_c1_m1_prod)/MAX(inp_c1_ramp_m-1,1)))</f>
        <v>30420</v>
      </c>
      <c r="BF36" s="2">
        <f>IF((11-(inp_c1_collect_lag+calc_scn_collect_add))&gt;=1,INDEX(BE:BE,25+11-(inp_c1_collect_lag+calc_scn_collect_add)),0)</f>
        <v>30420</v>
      </c>
      <c r="BG36" s="2">
        <f>SUM(BF$26:BF36)-SUM(BD$26:BD36)</f>
        <v>79574.999999999971</v>
      </c>
      <c r="BH36" s="2">
        <f>IF(OR(NOT(inp_c2_active),11&lt;inp_c2_start_m),0,((inp_c2_salary/12)*(1+inp_c2_oncost)+inp_c2_benefits)*calc_scn_cost_mult)</f>
        <v>19356.25</v>
      </c>
      <c r="BI36" s="2">
        <f>IF(OR(NOT(inp_c2_active),11&lt;inp_c2_start_m),0,inp_c2_bill_hours*inp_c2_rate*calc_scn_rev_mult*calc_scn_util_mult*(inp_c2_m1_prod+MAX(0,MIN(11-inp_c2_start_m,inp_c2_ramp_m-1))*(inp_c2_util-inp_c2_m1_prod)/MAX(inp_c2_ramp_m-1,1)))</f>
        <v>35568</v>
      </c>
      <c r="BJ36" s="2">
        <f>IF((11-(inp_c2_collect_lag+calc_scn_collect_add))&gt;=1,INDEX(BI:BI,25+11-(inp_c2_collect_lag+calc_scn_collect_add)),0)</f>
        <v>35568</v>
      </c>
      <c r="BK36" s="2">
        <f>SUM(BJ$26:BJ36)-SUM(BH$26:BH36)</f>
        <v>80113.5</v>
      </c>
      <c r="BL36" s="2">
        <f>IF(OR(NOT(inp_c3_active),11&lt;inp_c3_start_m),0,((inp_c3_salary/12)*(1+inp_c3_oncost)+inp_c3_benefits)*calc_scn_cost_mult)</f>
        <v>10962.5</v>
      </c>
      <c r="BM36" s="2">
        <f>IF(OR(NOT(inp_c3_active),11&lt;inp_c3_start_m),0,inp_c3_bill_hours*inp_c3_rate*calc_scn_rev_mult*calc_scn_util_mult*(inp_c3_m1_prod+MAX(0,MIN(11-inp_c3_start_m,inp_c3_ramp_m-1))*(inp_c3_util-inp_c3_m1_prod)/MAX(inp_c3_ramp_m-1,1)))</f>
        <v>20020</v>
      </c>
      <c r="BN36" s="2">
        <f>IF((11-(inp_c3_collect_lag+calc_scn_collect_add))&gt;=1,INDEX(BM:BM,25+11-(inp_c3_collect_lag+calc_scn_collect_add)),0)</f>
        <v>20020</v>
      </c>
      <c r="BO36" s="2">
        <f>SUM(BN$26:BN36)-SUM(BL$26:BL36)</f>
        <v>59592.5</v>
      </c>
      <c r="BP36" s="2">
        <f>IF(OR(NOT(inp_c4_active),11&lt;inp_c4_start_m),0,((inp_c4_salary/12)*(1+inp_c4_oncost)+inp_c4_benefits)*calc_scn_cost_mult)</f>
        <v>23800</v>
      </c>
      <c r="BQ36" s="2">
        <f>IF(OR(NOT(inp_c4_active),11&lt;inp_c4_start_m),0,inp_c4_bill_hours*inp_c4_rate*calc_scn_rev_mult*calc_scn_util_mult*(inp_c4_m1_prod+MAX(0,MIN(11-inp_c4_start_m,inp_c4_ramp_m-1))*(inp_c4_util-inp_c4_m1_prod)/MAX(inp_c4_ramp_m-1,1)))</f>
        <v>32760</v>
      </c>
      <c r="BR36" s="2">
        <f>IF((11-(inp_c4_collect_lag+calc_scn_collect_add))&gt;=1,INDEX(BQ:BQ,25+11-(inp_c4_collect_lag+calc_scn_collect_add)),0)</f>
        <v>32760</v>
      </c>
      <c r="BS36" s="2">
        <f>SUM(BR$26:BR36)-SUM(BP$26:BP36)</f>
        <v>10080</v>
      </c>
      <c r="BT36" s="2">
        <f>IF(OR(NOT(inp_c5_active),11&lt;inp_c5_start_m),0,((inp_c5_salary/12)*(1+inp_c5_oncost)+inp_c5_benefits)*calc_scn_cost_mult)</f>
        <v>7506.25</v>
      </c>
      <c r="BU36" s="2">
        <f>IF(OR(NOT(inp_c5_active),11&lt;inp_c5_start_m),0,inp_c5_bill_hours*inp_c5_rate*calc_scn_rev_mult*calc_scn_util_mult*(inp_c5_m1_prod+MAX(0,MIN(11-inp_c5_start_m,inp_c5_ramp_m-1))*(inp_c5_util-inp_c5_m1_prod)/MAX(inp_c5_ramp_m-1,1)))</f>
        <v>14559.999999999998</v>
      </c>
      <c r="BV36" s="2">
        <f>IF((11-(inp_c5_collect_lag+calc_scn_collect_add))&gt;=1,INDEX(BU:BU,25+11-(inp_c5_collect_lag+calc_scn_collect_add)),0)</f>
        <v>14559.999999999998</v>
      </c>
      <c r="BW36" s="2">
        <f>SUM(BV$26:BV36)-SUM(BT$26:BT36)</f>
        <v>24777.5</v>
      </c>
      <c r="BX36" s="2">
        <f>IF(OR(NOT(inp_c6_active),11&lt;inp_c6_start_m),0,((inp_c6_salary/12)*(1+inp_c6_oncost)+inp_c6_benefits)*calc_scn_cost_mult)</f>
        <v>12937.500000000002</v>
      </c>
      <c r="BY36" s="2">
        <f>IF(OR(NOT(inp_c6_active),11&lt;inp_c6_start_m),0,inp_c6_bill_hours*inp_c6_rate*calc_scn_rev_mult*calc_scn_util_mult*(inp_c6_m1_prod+MAX(0,MIN(11-inp_c6_start_m,inp_c6_ramp_m-1))*(inp_c6_util-inp_c6_m1_prod)/MAX(inp_c6_ramp_m-1,1)))</f>
        <v>0</v>
      </c>
      <c r="BZ36" s="2">
        <f>IF((11-(inp_c6_collect_lag+calc_scn_collect_add))&gt;=1,INDEX(BY:BY,25+11-(inp_c6_collect_lag+calc_scn_collect_add)),0)</f>
        <v>0</v>
      </c>
      <c r="CA36" s="2">
        <f>SUM(BZ$26:BZ36)-SUM(BX$26:BX36)</f>
        <v>-142312.50000000003</v>
      </c>
      <c r="CB36" s="2">
        <f>IF(OR(NOT(inp_c7_active),11&lt;inp_c7_start_m),0,((inp_c7_salary/12)*(1+inp_c7_oncost)+inp_c7_benefits)*calc_scn_cost_mult)</f>
        <v>0</v>
      </c>
      <c r="CC36" s="2">
        <f>IF(OR(NOT(inp_c7_active),11&lt;inp_c7_start_m),0,inp_c7_bill_hours*inp_c7_rate*calc_scn_rev_mult*calc_scn_util_mult*(inp_c7_m1_prod+MAX(0,MIN(11-inp_c7_start_m,inp_c7_ramp_m-1))*(inp_c7_util-inp_c7_m1_prod)/MAX(inp_c7_ramp_m-1,1)))</f>
        <v>0</v>
      </c>
      <c r="CD36" s="2">
        <f>IF((11-(inp_c7_collect_lag+calc_scn_collect_add))&gt;=1,INDEX(CC:CC,25+11-(inp_c7_collect_lag+calc_scn_collect_add)),0)</f>
        <v>0</v>
      </c>
      <c r="CE36" s="2">
        <f>SUM(CD$26:CD36)-SUM(CB$26:CB36)</f>
        <v>0</v>
      </c>
      <c r="CF36" s="2">
        <f>IF(OR(NOT(inp_c8_active),11&lt;inp_c8_start_m),0,((inp_c8_salary/12)*(1+inp_c8_oncost)+inp_c8_benefits)*calc_scn_cost_mult)</f>
        <v>0</v>
      </c>
      <c r="CG36" s="2">
        <f>IF(OR(NOT(inp_c8_active),11&lt;inp_c8_start_m),0,inp_c8_bill_hours*inp_c8_rate*calc_scn_rev_mult*calc_scn_util_mult*(inp_c8_m1_prod+MAX(0,MIN(11-inp_c8_start_m,inp_c8_ramp_m-1))*(inp_c8_util-inp_c8_m1_prod)/MAX(inp_c8_ramp_m-1,1)))</f>
        <v>0</v>
      </c>
      <c r="CH36" s="2">
        <f>IF((11-(inp_c8_collect_lag+calc_scn_collect_add))&gt;=1,INDEX(CG:CG,25+11-(inp_c8_collect_lag+calc_scn_collect_add)),0)</f>
        <v>0</v>
      </c>
      <c r="CI36" s="2">
        <f>SUM(CH$26:CH36)-SUM(CF$26:CF36)</f>
        <v>0</v>
      </c>
      <c r="CJ36" s="2"/>
      <c r="CK36" s="2"/>
      <c r="CL36" s="2"/>
      <c r="CM36" s="2">
        <f>IF(AND(BG36&gt;=0,11&gt;=inp_c1_start_m),11,9999)</f>
        <v>11</v>
      </c>
      <c r="CN36" s="2">
        <f>IF(AND(BK36&gt;=0,11&gt;=inp_c2_start_m),11,9999)</f>
        <v>11</v>
      </c>
      <c r="CO36" s="2">
        <f>IF(AND(BO36&gt;=0,11&gt;=inp_c3_start_m),11,9999)</f>
        <v>11</v>
      </c>
      <c r="CP36" s="2">
        <f>IF(AND(BS36&gt;=0,11&gt;=inp_c4_start_m),11,9999)</f>
        <v>11</v>
      </c>
      <c r="CQ36" s="2">
        <f>IF(AND(BW36&gt;=0,11&gt;=inp_c5_start_m),11,9999)</f>
        <v>11</v>
      </c>
      <c r="CR36" s="2">
        <f>IF(AND(CA36&gt;=0,11&gt;=inp_c6_start_m),11,9999)</f>
        <v>9999</v>
      </c>
      <c r="CS36" s="2">
        <f>IF(AND(CE36&gt;=0,11&gt;=inp_c7_start_m),11,9999)</f>
        <v>11</v>
      </c>
      <c r="CT36" s="2">
        <f>IF(AND(CI36&gt;=0,11&gt;=inp_c8_start_m),11,9999)</f>
        <v>11</v>
      </c>
      <c r="CU36" s="2"/>
      <c r="CV36" s="55">
        <f>inp_biz_cash_open+SUM(AC$26:AC36)+SUM(BF$26:BF36)-SUM(BD$26:BD36)</f>
        <v>3646409.6665316559</v>
      </c>
      <c r="CW36" s="55">
        <f>inp_biz_cash_open+SUM(AC$26:AC36)+SUM(BJ$26:BJ36)-SUM(BH$26:BH36)</f>
        <v>3646948.1665316559</v>
      </c>
      <c r="CX36" s="55">
        <f>inp_biz_cash_open+SUM(AC$26:AC36)+SUM(BN$26:BN36)-SUM(BL$26:BL36)</f>
        <v>3626427.1665316559</v>
      </c>
      <c r="CY36" s="55">
        <f>inp_biz_cash_open+SUM(AC$26:AC36)+SUM(BR$26:BR36)-SUM(BP$26:BP36)</f>
        <v>3576914.6665316559</v>
      </c>
      <c r="CZ36" s="55">
        <f>inp_biz_cash_open+SUM(AC$26:AC36)+SUM(BV$26:BV36)-SUM(BT$26:BT36)</f>
        <v>3591612.1665316559</v>
      </c>
      <c r="DA36" s="55">
        <f>inp_biz_cash_open+SUM(AC$26:AC36)+SUM(BZ$26:BZ36)-SUM(BX$26:BX36)</f>
        <v>3424522.1665316559</v>
      </c>
      <c r="DB36" s="55">
        <f>inp_biz_cash_open+SUM(AC$26:AC36)+SUM(CD$26:CD36)-SUM(CB$26:CB36)</f>
        <v>3566834.6665316559</v>
      </c>
      <c r="DC36" s="55">
        <f>inp_biz_cash_open+SUM(AC$26:AC36)+SUM(CH$26:CH36)-SUM(CF$26:CF36)</f>
        <v>3566834.6665316559</v>
      </c>
      <c r="DD36" s="2"/>
      <c r="DE36" s="2"/>
      <c r="DF36" s="2"/>
      <c r="DG36" s="2"/>
      <c r="DH36" s="2"/>
      <c r="DI36" s="2"/>
      <c r="DJ36" s="17"/>
      <c r="DK36" s="2"/>
      <c r="DL36" s="2"/>
      <c r="DM36" s="20"/>
    </row>
    <row r="37" spans="1:119" ht="20" customHeight="1" x14ac:dyDescent="0.2">
      <c r="A37" s="1"/>
      <c r="B37" s="6" t="s">
        <v>108</v>
      </c>
      <c r="C37" s="7" t="s">
        <v>109</v>
      </c>
      <c r="D37" s="7" t="s">
        <v>110</v>
      </c>
      <c r="E37" s="7" t="s">
        <v>111</v>
      </c>
      <c r="F37" s="7" t="s">
        <v>87</v>
      </c>
      <c r="G37" s="22"/>
      <c r="H37" s="22"/>
      <c r="I37" s="22"/>
      <c r="J37" s="22"/>
      <c r="K37" s="1"/>
      <c r="L37" s="2"/>
      <c r="M37" s="18">
        <v>12</v>
      </c>
      <c r="N37"/>
      <c r="O37"/>
      <c r="P37"/>
      <c r="Q37"/>
      <c r="R37"/>
      <c r="S37"/>
      <c r="T37"/>
      <c r="U37"/>
      <c r="V37"/>
      <c r="W37"/>
      <c r="X37"/>
      <c r="Y37"/>
      <c r="Z37" s="10">
        <f>inp_biz_revenue_m0*(1+inp_biz_rev_growth)^(12-1)*calc_scn_rev_mult</f>
        <v>1115668.3466653165</v>
      </c>
      <c r="AA37" s="10">
        <f t="shared" ref="AA37" si="86">inp_biz_opex_m0*calc_scn_cost_mult</f>
        <v>250000</v>
      </c>
      <c r="AB37" s="10">
        <f t="shared" ref="AB37" si="87">inp_biz_payroll_m0*calc_scn_cost_mult</f>
        <v>550000</v>
      </c>
      <c r="AC37" s="10">
        <f t="shared" si="5"/>
        <v>315668.34666531649</v>
      </c>
      <c r="AD37" s="10">
        <f>inp_biz_cash_open+SUM(AC$26:AC37)</f>
        <v>3882503.0131969722</v>
      </c>
      <c r="AE37" s="10">
        <f t="shared" si="6"/>
        <v>90462.5</v>
      </c>
      <c r="AF37" s="10">
        <f t="shared" si="7"/>
        <v>133328</v>
      </c>
      <c r="AG37" s="10">
        <f t="shared" si="8"/>
        <v>358533.84666531649</v>
      </c>
      <c r="AH37" s="10">
        <f>inp_biz_cash_open+SUM(AG$26:AG37)</f>
        <v>4037194.5131969722</v>
      </c>
      <c r="AI37" s="18">
        <f t="shared" ref="AI37" si="88">IF(AH37&lt;inp_biz_floor,1,0)</f>
        <v>0</v>
      </c>
      <c r="AJ37"/>
      <c r="AK37"/>
      <c r="AL37"/>
      <c r="AM37" s="10">
        <f t="shared" ref="AM37" si="89">inp_biz_floor</f>
        <v>400000</v>
      </c>
      <c r="AN37" s="10">
        <f t="shared" si="11"/>
        <v>154691.5</v>
      </c>
      <c r="AO37" s="10">
        <f>0</f>
        <v>0</v>
      </c>
      <c r="AP37" s="2"/>
      <c r="AQ37" s="2"/>
      <c r="AR37" s="2"/>
      <c r="AS37"/>
      <c r="AT37"/>
      <c r="AU37"/>
      <c r="AV37" s="10">
        <f t="shared" ref="AV37" si="90">IF(ROW()-25&lt;sel_start_m,0,(sel_salary/12*(1+sel_oncost)+sel_benefits)*calc_scn_cost_mult)</f>
        <v>15900.000000000002</v>
      </c>
      <c r="AW37" s="10">
        <f t="shared" ref="AW37" si="91">IF(ROW()-25&lt;sel_start_m,0,sel_bill_hours*sel_util*sel_rate*calc_scn_rev_mult*calc_scn_util_mult*MIN(1,sel_m1_prod+(ROW()-25-sel_start_m)*(1-sel_m1_prod)/MAX(sel_ramp_m-1,1)))</f>
        <v>30420</v>
      </c>
      <c r="AX37" s="10">
        <f t="array" ref="AX37">IF((ROW()-25)-(sel_collect_lag+calc_scn_collect_add)&gt;=1,INDEX(AW$26:AW$49,(ROW()-25)-(sel_collect_lag+calc_scn_collect_add)),0)</f>
        <v>30420</v>
      </c>
      <c r="AY37" s="10">
        <f>SUM(AV$26:AV37)</f>
        <v>190800.00000000003</v>
      </c>
      <c r="AZ37" s="10">
        <f>SUM(AX$26:AX37)</f>
        <v>279103.5</v>
      </c>
      <c r="BA37" s="10">
        <f t="shared" ref="BA37" si="92">AD37-inp_biz_cash_open</f>
        <v>3082503.0131969722</v>
      </c>
      <c r="BB37" s="2"/>
      <c r="BC37" s="19">
        <f t="shared" si="15"/>
        <v>12</v>
      </c>
      <c r="BD37" s="19">
        <f>IF(OR(NOT(inp_c1_active),12&lt;inp_c1_start_m),0,((inp_c1_salary/12)*(1+inp_c1_oncost)+inp_c1_benefits)*calc_scn_cost_mult)</f>
        <v>15900.000000000002</v>
      </c>
      <c r="BE37" s="19">
        <f>IF(OR(NOT(inp_c1_active),12&lt;inp_c1_start_m),0,inp_c1_bill_hours*inp_c1_rate*calc_scn_rev_mult*calc_scn_util_mult*(inp_c1_m1_prod+MAX(0,MIN(12-inp_c1_start_m,inp_c1_ramp_m-1))*(inp_c1_util-inp_c1_m1_prod)/MAX(inp_c1_ramp_m-1,1)))</f>
        <v>30420</v>
      </c>
      <c r="BF37" s="2">
        <f>IF((12-(inp_c1_collect_lag+calc_scn_collect_add))&gt;=1,INDEX(BE:BE,25+12-(inp_c1_collect_lag+calc_scn_collect_add)),0)</f>
        <v>30420</v>
      </c>
      <c r="BG37" s="2">
        <f>SUM(BF$26:BF37)-SUM(BD$26:BD37)</f>
        <v>94094.999999999971</v>
      </c>
      <c r="BH37" s="2">
        <f>IF(OR(NOT(inp_c2_active),12&lt;inp_c2_start_m),0,((inp_c2_salary/12)*(1+inp_c2_oncost)+inp_c2_benefits)*calc_scn_cost_mult)</f>
        <v>19356.25</v>
      </c>
      <c r="BI37" s="2">
        <f>IF(OR(NOT(inp_c2_active),12&lt;inp_c2_start_m),0,inp_c2_bill_hours*inp_c2_rate*calc_scn_rev_mult*calc_scn_util_mult*(inp_c2_m1_prod+MAX(0,MIN(12-inp_c2_start_m,inp_c2_ramp_m-1))*(inp_c2_util-inp_c2_m1_prod)/MAX(inp_c2_ramp_m-1,1)))</f>
        <v>35568</v>
      </c>
      <c r="BJ37" s="2">
        <f>IF((12-(inp_c2_collect_lag+calc_scn_collect_add))&gt;=1,INDEX(BI:BI,25+12-(inp_c2_collect_lag+calc_scn_collect_add)),0)</f>
        <v>35568</v>
      </c>
      <c r="BK37" s="2">
        <f>SUM(BJ$26:BJ37)-SUM(BH$26:BH37)</f>
        <v>96325.25</v>
      </c>
      <c r="BL37" s="2">
        <f>IF(OR(NOT(inp_c3_active),12&lt;inp_c3_start_m),0,((inp_c3_salary/12)*(1+inp_c3_oncost)+inp_c3_benefits)*calc_scn_cost_mult)</f>
        <v>10962.5</v>
      </c>
      <c r="BM37" s="2">
        <f>IF(OR(NOT(inp_c3_active),12&lt;inp_c3_start_m),0,inp_c3_bill_hours*inp_c3_rate*calc_scn_rev_mult*calc_scn_util_mult*(inp_c3_m1_prod+MAX(0,MIN(12-inp_c3_start_m,inp_c3_ramp_m-1))*(inp_c3_util-inp_c3_m1_prod)/MAX(inp_c3_ramp_m-1,1)))</f>
        <v>20020</v>
      </c>
      <c r="BN37" s="2">
        <f>IF((12-(inp_c3_collect_lag+calc_scn_collect_add))&gt;=1,INDEX(BM:BM,25+12-(inp_c3_collect_lag+calc_scn_collect_add)),0)</f>
        <v>20020</v>
      </c>
      <c r="BO37" s="2">
        <f>SUM(BN$26:BN37)-SUM(BL$26:BL37)</f>
        <v>68650</v>
      </c>
      <c r="BP37" s="2">
        <f>IF(OR(NOT(inp_c4_active),12&lt;inp_c4_start_m),0,((inp_c4_salary/12)*(1+inp_c4_oncost)+inp_c4_benefits)*calc_scn_cost_mult)</f>
        <v>23800</v>
      </c>
      <c r="BQ37" s="2">
        <f>IF(OR(NOT(inp_c4_active),12&lt;inp_c4_start_m),0,inp_c4_bill_hours*inp_c4_rate*calc_scn_rev_mult*calc_scn_util_mult*(inp_c4_m1_prod+MAX(0,MIN(12-inp_c4_start_m,inp_c4_ramp_m-1))*(inp_c4_util-inp_c4_m1_prod)/MAX(inp_c4_ramp_m-1,1)))</f>
        <v>32760</v>
      </c>
      <c r="BR37" s="2">
        <f>IF((12-(inp_c4_collect_lag+calc_scn_collect_add))&gt;=1,INDEX(BQ:BQ,25+12-(inp_c4_collect_lag+calc_scn_collect_add)),0)</f>
        <v>32760</v>
      </c>
      <c r="BS37" s="2">
        <f>SUM(BR$26:BR37)-SUM(BP$26:BP37)</f>
        <v>19040</v>
      </c>
      <c r="BT37" s="2">
        <f>IF(OR(NOT(inp_c5_active),12&lt;inp_c5_start_m),0,((inp_c5_salary/12)*(1+inp_c5_oncost)+inp_c5_benefits)*calc_scn_cost_mult)</f>
        <v>7506.25</v>
      </c>
      <c r="BU37" s="2">
        <f>IF(OR(NOT(inp_c5_active),12&lt;inp_c5_start_m),0,inp_c5_bill_hours*inp_c5_rate*calc_scn_rev_mult*calc_scn_util_mult*(inp_c5_m1_prod+MAX(0,MIN(12-inp_c5_start_m,inp_c5_ramp_m-1))*(inp_c5_util-inp_c5_m1_prod)/MAX(inp_c5_ramp_m-1,1)))</f>
        <v>14559.999999999998</v>
      </c>
      <c r="BV37" s="2">
        <f>IF((12-(inp_c5_collect_lag+calc_scn_collect_add))&gt;=1,INDEX(BU:BU,25+12-(inp_c5_collect_lag+calc_scn_collect_add)),0)</f>
        <v>14559.999999999998</v>
      </c>
      <c r="BW37" s="2">
        <f>SUM(BV$26:BV37)-SUM(BT$26:BT37)</f>
        <v>31831.25</v>
      </c>
      <c r="BX37" s="2">
        <f>IF(OR(NOT(inp_c6_active),12&lt;inp_c6_start_m),0,((inp_c6_salary/12)*(1+inp_c6_oncost)+inp_c6_benefits)*calc_scn_cost_mult)</f>
        <v>12937.500000000002</v>
      </c>
      <c r="BY37" s="2">
        <f>IF(OR(NOT(inp_c6_active),12&lt;inp_c6_start_m),0,inp_c6_bill_hours*inp_c6_rate*calc_scn_rev_mult*calc_scn_util_mult*(inp_c6_m1_prod+MAX(0,MIN(12-inp_c6_start_m,inp_c6_ramp_m-1))*(inp_c6_util-inp_c6_m1_prod)/MAX(inp_c6_ramp_m-1,1)))</f>
        <v>0</v>
      </c>
      <c r="BZ37" s="2">
        <f>IF((12-(inp_c6_collect_lag+calc_scn_collect_add))&gt;=1,INDEX(BY:BY,25+12-(inp_c6_collect_lag+calc_scn_collect_add)),0)</f>
        <v>0</v>
      </c>
      <c r="CA37" s="2">
        <f>SUM(BZ$26:BZ37)-SUM(BX$26:BX37)</f>
        <v>-155250.00000000003</v>
      </c>
      <c r="CB37" s="2">
        <f>IF(OR(NOT(inp_c7_active),12&lt;inp_c7_start_m),0,((inp_c7_salary/12)*(1+inp_c7_oncost)+inp_c7_benefits)*calc_scn_cost_mult)</f>
        <v>0</v>
      </c>
      <c r="CC37" s="2">
        <f>IF(OR(NOT(inp_c7_active),12&lt;inp_c7_start_m),0,inp_c7_bill_hours*inp_c7_rate*calc_scn_rev_mult*calc_scn_util_mult*(inp_c7_m1_prod+MAX(0,MIN(12-inp_c7_start_m,inp_c7_ramp_m-1))*(inp_c7_util-inp_c7_m1_prod)/MAX(inp_c7_ramp_m-1,1)))</f>
        <v>0</v>
      </c>
      <c r="CD37" s="2">
        <f>IF((12-(inp_c7_collect_lag+calc_scn_collect_add))&gt;=1,INDEX(CC:CC,25+12-(inp_c7_collect_lag+calc_scn_collect_add)),0)</f>
        <v>0</v>
      </c>
      <c r="CE37" s="2">
        <f>SUM(CD$26:CD37)-SUM(CB$26:CB37)</f>
        <v>0</v>
      </c>
      <c r="CF37" s="2">
        <f>IF(OR(NOT(inp_c8_active),12&lt;inp_c8_start_m),0,((inp_c8_salary/12)*(1+inp_c8_oncost)+inp_c8_benefits)*calc_scn_cost_mult)</f>
        <v>0</v>
      </c>
      <c r="CG37" s="2">
        <f>IF(OR(NOT(inp_c8_active),12&lt;inp_c8_start_m),0,inp_c8_bill_hours*inp_c8_rate*calc_scn_rev_mult*calc_scn_util_mult*(inp_c8_m1_prod+MAX(0,MIN(12-inp_c8_start_m,inp_c8_ramp_m-1))*(inp_c8_util-inp_c8_m1_prod)/MAX(inp_c8_ramp_m-1,1)))</f>
        <v>0</v>
      </c>
      <c r="CH37" s="2">
        <f>IF((12-(inp_c8_collect_lag+calc_scn_collect_add))&gt;=1,INDEX(CG:CG,25+12-(inp_c8_collect_lag+calc_scn_collect_add)),0)</f>
        <v>0</v>
      </c>
      <c r="CI37" s="2">
        <f>SUM(CH$26:CH37)-SUM(CF$26:CF37)</f>
        <v>0</v>
      </c>
      <c r="CJ37" s="2"/>
      <c r="CK37" s="2"/>
      <c r="CL37" s="2"/>
      <c r="CM37" s="2">
        <f>IF(AND(BG37&gt;=0,12&gt;=inp_c1_start_m),12,9999)</f>
        <v>12</v>
      </c>
      <c r="CN37" s="2">
        <f>IF(AND(BK37&gt;=0,12&gt;=inp_c2_start_m),12,9999)</f>
        <v>12</v>
      </c>
      <c r="CO37" s="2">
        <f>IF(AND(BO37&gt;=0,12&gt;=inp_c3_start_m),12,9999)</f>
        <v>12</v>
      </c>
      <c r="CP37" s="2">
        <f>IF(AND(BS37&gt;=0,12&gt;=inp_c4_start_m),12,9999)</f>
        <v>12</v>
      </c>
      <c r="CQ37" s="2">
        <f>IF(AND(BW37&gt;=0,12&gt;=inp_c5_start_m),12,9999)</f>
        <v>12</v>
      </c>
      <c r="CR37" s="2">
        <f>IF(AND(CA37&gt;=0,12&gt;=inp_c6_start_m),12,9999)</f>
        <v>9999</v>
      </c>
      <c r="CS37" s="2">
        <f>IF(AND(CE37&gt;=0,12&gt;=inp_c7_start_m),12,9999)</f>
        <v>12</v>
      </c>
      <c r="CT37" s="2">
        <f>IF(AND(CI37&gt;=0,12&gt;=inp_c8_start_m),12,9999)</f>
        <v>12</v>
      </c>
      <c r="CU37" s="2"/>
      <c r="CV37" s="55">
        <f>inp_biz_cash_open+SUM(AC$26:AC37)+SUM(BF$26:BF37)-SUM(BD$26:BD37)</f>
        <v>3976598.0131969722</v>
      </c>
      <c r="CW37" s="55">
        <f>inp_biz_cash_open+SUM(AC$26:AC37)+SUM(BJ$26:BJ37)-SUM(BH$26:BH37)</f>
        <v>3978828.2631969722</v>
      </c>
      <c r="CX37" s="55">
        <f>inp_biz_cash_open+SUM(AC$26:AC37)+SUM(BN$26:BN37)-SUM(BL$26:BL37)</f>
        <v>3951153.0131969722</v>
      </c>
      <c r="CY37" s="55">
        <f>inp_biz_cash_open+SUM(AC$26:AC37)+SUM(BR$26:BR37)-SUM(BP$26:BP37)</f>
        <v>3901543.0131969722</v>
      </c>
      <c r="CZ37" s="55">
        <f>inp_biz_cash_open+SUM(AC$26:AC37)+SUM(BV$26:BV37)-SUM(BT$26:BT37)</f>
        <v>3914334.2631969722</v>
      </c>
      <c r="DA37" s="55">
        <f>inp_biz_cash_open+SUM(AC$26:AC37)+SUM(BZ$26:BZ37)-SUM(BX$26:BX37)</f>
        <v>3727253.0131969722</v>
      </c>
      <c r="DB37" s="55">
        <f>inp_biz_cash_open+SUM(AC$26:AC37)+SUM(CD$26:CD37)-SUM(CB$26:CB37)</f>
        <v>3882503.0131969722</v>
      </c>
      <c r="DC37" s="55">
        <f>inp_biz_cash_open+SUM(AC$26:AC37)+SUM(CH$26:CH37)-SUM(CF$26:CF37)</f>
        <v>3882503.0131969722</v>
      </c>
      <c r="DD37" s="2"/>
      <c r="DE37" s="2"/>
      <c r="DF37" s="2"/>
      <c r="DG37" s="2"/>
      <c r="DH37" s="2"/>
      <c r="DI37" s="2"/>
      <c r="DJ37" s="17"/>
      <c r="DK37" s="2"/>
      <c r="DL37" s="2"/>
      <c r="DM37" s="19"/>
    </row>
    <row r="38" spans="1:119" ht="24" customHeight="1" x14ac:dyDescent="0.2">
      <c r="A38" s="1"/>
      <c r="B38" s="8" t="str">
        <f>IF(NOT(inp_c1_active),"Candidate 1 (inactive)",IF(inp_c1_role="","Candidate 1",inp_c1_role))</f>
        <v>Senior Consultant</v>
      </c>
      <c r="C38" s="57" t="str">
        <f>IF(NOT(inp_c1_active),"-",IF(N57&gt;=999,"Never",N57&amp;" mo"))</f>
        <v>6 mo</v>
      </c>
      <c r="D38" s="10">
        <f>IF(NOT(inp_c1_active),"-",N65)</f>
        <v>15900.000000000002</v>
      </c>
      <c r="E38" s="10">
        <f>IF(NOT(inp_c1_active),"-",N56)</f>
        <v>268334.99999999994</v>
      </c>
      <c r="F38" s="27" t="str">
        <f>IF(NOT(inp_c1_active),"-",IF(N64&lt;0,"YES","NO"))</f>
        <v>NO</v>
      </c>
      <c r="G38" s="2"/>
      <c r="H38" s="2"/>
      <c r="I38" s="2"/>
      <c r="J38" s="2"/>
      <c r="K38" s="1"/>
      <c r="L38" s="2"/>
      <c r="M38" s="18">
        <v>13</v>
      </c>
      <c r="N38"/>
      <c r="O38"/>
      <c r="P38"/>
      <c r="Q38"/>
      <c r="R38"/>
      <c r="S38"/>
      <c r="T38"/>
      <c r="U38"/>
      <c r="V38"/>
      <c r="W38"/>
      <c r="X38"/>
      <c r="Y38"/>
      <c r="Z38" s="10">
        <f>inp_biz_revenue_m0*(1+inp_biz_rev_growth)^(13-1)*calc_scn_rev_mult</f>
        <v>1126825.0301319698</v>
      </c>
      <c r="AA38" s="10">
        <f t="shared" ref="AA38" si="93">inp_biz_opex_m0*calc_scn_cost_mult</f>
        <v>250000</v>
      </c>
      <c r="AB38" s="10">
        <f t="shared" ref="AB38" si="94">inp_biz_payroll_m0*calc_scn_cost_mult</f>
        <v>550000</v>
      </c>
      <c r="AC38" s="10">
        <f t="shared" si="5"/>
        <v>326825.03013196983</v>
      </c>
      <c r="AD38" s="10">
        <f>inp_biz_cash_open+SUM(AC$26:AC38)</f>
        <v>4209328.0433289418</v>
      </c>
      <c r="AE38" s="10">
        <f t="shared" si="6"/>
        <v>90462.5</v>
      </c>
      <c r="AF38" s="10">
        <f t="shared" si="7"/>
        <v>133328</v>
      </c>
      <c r="AG38" s="10">
        <f t="shared" si="8"/>
        <v>369690.53013196983</v>
      </c>
      <c r="AH38" s="10">
        <f>inp_biz_cash_open+SUM(AG$26:AG38)</f>
        <v>4406885.0433289418</v>
      </c>
      <c r="AI38" s="18">
        <f t="shared" ref="AI38" si="95">IF(AH38&lt;inp_biz_floor,1,0)</f>
        <v>0</v>
      </c>
      <c r="AJ38"/>
      <c r="AK38"/>
      <c r="AL38"/>
      <c r="AM38" s="10">
        <f t="shared" ref="AM38" si="96">inp_biz_floor</f>
        <v>400000</v>
      </c>
      <c r="AN38" s="10">
        <f t="shared" si="11"/>
        <v>197557</v>
      </c>
      <c r="AO38" s="10">
        <f>0</f>
        <v>0</v>
      </c>
      <c r="AP38" s="2"/>
      <c r="AQ38" s="2"/>
      <c r="AR38" s="2"/>
      <c r="AS38"/>
      <c r="AT38"/>
      <c r="AU38"/>
      <c r="AV38" s="10">
        <f t="shared" ref="AV38" si="97">IF(ROW()-25&lt;sel_start_m,0,(sel_salary/12*(1+sel_oncost)+sel_benefits)*calc_scn_cost_mult)</f>
        <v>15900.000000000002</v>
      </c>
      <c r="AW38" s="10">
        <f t="shared" ref="AW38" si="98">IF(ROW()-25&lt;sel_start_m,0,sel_bill_hours*sel_util*sel_rate*calc_scn_rev_mult*calc_scn_util_mult*MIN(1,sel_m1_prod+(ROW()-25-sel_start_m)*(1-sel_m1_prod)/MAX(sel_ramp_m-1,1)))</f>
        <v>30420</v>
      </c>
      <c r="AX38" s="10">
        <f t="array" ref="AX38">IF((ROW()-25)-(sel_collect_lag+calc_scn_collect_add)&gt;=1,INDEX(AW$26:AW$49,(ROW()-25)-(sel_collect_lag+calc_scn_collect_add)),0)</f>
        <v>30420</v>
      </c>
      <c r="AY38" s="10">
        <f>SUM(AV$26:AV38)</f>
        <v>206700.00000000003</v>
      </c>
      <c r="AZ38" s="10">
        <f>SUM(AX$26:AX38)</f>
        <v>309523.5</v>
      </c>
      <c r="BA38" s="10">
        <f t="shared" ref="BA38" si="99">AD38-inp_biz_cash_open</f>
        <v>3409328.0433289418</v>
      </c>
      <c r="BB38" s="2"/>
      <c r="BC38" s="19">
        <f t="shared" si="15"/>
        <v>13</v>
      </c>
      <c r="BD38" s="19">
        <f>IF(OR(NOT(inp_c1_active),13&lt;inp_c1_start_m),0,((inp_c1_salary/12)*(1+inp_c1_oncost)+inp_c1_benefits)*calc_scn_cost_mult)</f>
        <v>15900.000000000002</v>
      </c>
      <c r="BE38" s="19">
        <f>IF(OR(NOT(inp_c1_active),13&lt;inp_c1_start_m),0,inp_c1_bill_hours*inp_c1_rate*calc_scn_rev_mult*calc_scn_util_mult*(inp_c1_m1_prod+MAX(0,MIN(13-inp_c1_start_m,inp_c1_ramp_m-1))*(inp_c1_util-inp_c1_m1_prod)/MAX(inp_c1_ramp_m-1,1)))</f>
        <v>30420</v>
      </c>
      <c r="BF38" s="2">
        <f>IF((13-(inp_c1_collect_lag+calc_scn_collect_add))&gt;=1,INDEX(BE:BE,25+13-(inp_c1_collect_lag+calc_scn_collect_add)),0)</f>
        <v>30420</v>
      </c>
      <c r="BG38" s="2">
        <f>SUM(BF$26:BF38)-SUM(BD$26:BD38)</f>
        <v>108614.99999999997</v>
      </c>
      <c r="BH38" s="2">
        <f>IF(OR(NOT(inp_c2_active),13&lt;inp_c2_start_m),0,((inp_c2_salary/12)*(1+inp_c2_oncost)+inp_c2_benefits)*calc_scn_cost_mult)</f>
        <v>19356.25</v>
      </c>
      <c r="BI38" s="2">
        <f>IF(OR(NOT(inp_c2_active),13&lt;inp_c2_start_m),0,inp_c2_bill_hours*inp_c2_rate*calc_scn_rev_mult*calc_scn_util_mult*(inp_c2_m1_prod+MAX(0,MIN(13-inp_c2_start_m,inp_c2_ramp_m-1))*(inp_c2_util-inp_c2_m1_prod)/MAX(inp_c2_ramp_m-1,1)))</f>
        <v>35568</v>
      </c>
      <c r="BJ38" s="2">
        <f>IF((13-(inp_c2_collect_lag+calc_scn_collect_add))&gt;=1,INDEX(BI:BI,25+13-(inp_c2_collect_lag+calc_scn_collect_add)),0)</f>
        <v>35568</v>
      </c>
      <c r="BK38" s="2">
        <f>SUM(BJ$26:BJ38)-SUM(BH$26:BH38)</f>
        <v>112537</v>
      </c>
      <c r="BL38" s="2">
        <f>IF(OR(NOT(inp_c3_active),13&lt;inp_c3_start_m),0,((inp_c3_salary/12)*(1+inp_c3_oncost)+inp_c3_benefits)*calc_scn_cost_mult)</f>
        <v>10962.5</v>
      </c>
      <c r="BM38" s="2">
        <f>IF(OR(NOT(inp_c3_active),13&lt;inp_c3_start_m),0,inp_c3_bill_hours*inp_c3_rate*calc_scn_rev_mult*calc_scn_util_mult*(inp_c3_m1_prod+MAX(0,MIN(13-inp_c3_start_m,inp_c3_ramp_m-1))*(inp_c3_util-inp_c3_m1_prod)/MAX(inp_c3_ramp_m-1,1)))</f>
        <v>20020</v>
      </c>
      <c r="BN38" s="2">
        <f>IF((13-(inp_c3_collect_lag+calc_scn_collect_add))&gt;=1,INDEX(BM:BM,25+13-(inp_c3_collect_lag+calc_scn_collect_add)),0)</f>
        <v>20020</v>
      </c>
      <c r="BO38" s="2">
        <f>SUM(BN$26:BN38)-SUM(BL$26:BL38)</f>
        <v>77707.5</v>
      </c>
      <c r="BP38" s="2">
        <f>IF(OR(NOT(inp_c4_active),13&lt;inp_c4_start_m),0,((inp_c4_salary/12)*(1+inp_c4_oncost)+inp_c4_benefits)*calc_scn_cost_mult)</f>
        <v>23800</v>
      </c>
      <c r="BQ38" s="2">
        <f>IF(OR(NOT(inp_c4_active),13&lt;inp_c4_start_m),0,inp_c4_bill_hours*inp_c4_rate*calc_scn_rev_mult*calc_scn_util_mult*(inp_c4_m1_prod+MAX(0,MIN(13-inp_c4_start_m,inp_c4_ramp_m-1))*(inp_c4_util-inp_c4_m1_prod)/MAX(inp_c4_ramp_m-1,1)))</f>
        <v>32760</v>
      </c>
      <c r="BR38" s="2">
        <f>IF((13-(inp_c4_collect_lag+calc_scn_collect_add))&gt;=1,INDEX(BQ:BQ,25+13-(inp_c4_collect_lag+calc_scn_collect_add)),0)</f>
        <v>32760</v>
      </c>
      <c r="BS38" s="2">
        <f>SUM(BR$26:BR38)-SUM(BP$26:BP38)</f>
        <v>28000</v>
      </c>
      <c r="BT38" s="2">
        <f>IF(OR(NOT(inp_c5_active),13&lt;inp_c5_start_m),0,((inp_c5_salary/12)*(1+inp_c5_oncost)+inp_c5_benefits)*calc_scn_cost_mult)</f>
        <v>7506.25</v>
      </c>
      <c r="BU38" s="2">
        <f>IF(OR(NOT(inp_c5_active),13&lt;inp_c5_start_m),0,inp_c5_bill_hours*inp_c5_rate*calc_scn_rev_mult*calc_scn_util_mult*(inp_c5_m1_prod+MAX(0,MIN(13-inp_c5_start_m,inp_c5_ramp_m-1))*(inp_c5_util-inp_c5_m1_prod)/MAX(inp_c5_ramp_m-1,1)))</f>
        <v>14559.999999999998</v>
      </c>
      <c r="BV38" s="2">
        <f>IF((13-(inp_c5_collect_lag+calc_scn_collect_add))&gt;=1,INDEX(BU:BU,25+13-(inp_c5_collect_lag+calc_scn_collect_add)),0)</f>
        <v>14559.999999999998</v>
      </c>
      <c r="BW38" s="2">
        <f>SUM(BV$26:BV38)-SUM(BT$26:BT38)</f>
        <v>38885</v>
      </c>
      <c r="BX38" s="2">
        <f>IF(OR(NOT(inp_c6_active),13&lt;inp_c6_start_m),0,((inp_c6_salary/12)*(1+inp_c6_oncost)+inp_c6_benefits)*calc_scn_cost_mult)</f>
        <v>12937.500000000002</v>
      </c>
      <c r="BY38" s="2">
        <f>IF(OR(NOT(inp_c6_active),13&lt;inp_c6_start_m),0,inp_c6_bill_hours*inp_c6_rate*calc_scn_rev_mult*calc_scn_util_mult*(inp_c6_m1_prod+MAX(0,MIN(13-inp_c6_start_m,inp_c6_ramp_m-1))*(inp_c6_util-inp_c6_m1_prod)/MAX(inp_c6_ramp_m-1,1)))</f>
        <v>0</v>
      </c>
      <c r="BZ38" s="2">
        <f>IF((13-(inp_c6_collect_lag+calc_scn_collect_add))&gt;=1,INDEX(BY:BY,25+13-(inp_c6_collect_lag+calc_scn_collect_add)),0)</f>
        <v>0</v>
      </c>
      <c r="CA38" s="2">
        <f>SUM(BZ$26:BZ38)-SUM(BX$26:BX38)</f>
        <v>-168187.50000000003</v>
      </c>
      <c r="CB38" s="2">
        <f>IF(OR(NOT(inp_c7_active),13&lt;inp_c7_start_m),0,((inp_c7_salary/12)*(1+inp_c7_oncost)+inp_c7_benefits)*calc_scn_cost_mult)</f>
        <v>0</v>
      </c>
      <c r="CC38" s="2">
        <f>IF(OR(NOT(inp_c7_active),13&lt;inp_c7_start_m),0,inp_c7_bill_hours*inp_c7_rate*calc_scn_rev_mult*calc_scn_util_mult*(inp_c7_m1_prod+MAX(0,MIN(13-inp_c7_start_m,inp_c7_ramp_m-1))*(inp_c7_util-inp_c7_m1_prod)/MAX(inp_c7_ramp_m-1,1)))</f>
        <v>0</v>
      </c>
      <c r="CD38" s="2">
        <f>IF((13-(inp_c7_collect_lag+calc_scn_collect_add))&gt;=1,INDEX(CC:CC,25+13-(inp_c7_collect_lag+calc_scn_collect_add)),0)</f>
        <v>0</v>
      </c>
      <c r="CE38" s="2">
        <f>SUM(CD$26:CD38)-SUM(CB$26:CB38)</f>
        <v>0</v>
      </c>
      <c r="CF38" s="2">
        <f>IF(OR(NOT(inp_c8_active),13&lt;inp_c8_start_m),0,((inp_c8_salary/12)*(1+inp_c8_oncost)+inp_c8_benefits)*calc_scn_cost_mult)</f>
        <v>0</v>
      </c>
      <c r="CG38" s="2">
        <f>IF(OR(NOT(inp_c8_active),13&lt;inp_c8_start_m),0,inp_c8_bill_hours*inp_c8_rate*calc_scn_rev_mult*calc_scn_util_mult*(inp_c8_m1_prod+MAX(0,MIN(13-inp_c8_start_m,inp_c8_ramp_m-1))*(inp_c8_util-inp_c8_m1_prod)/MAX(inp_c8_ramp_m-1,1)))</f>
        <v>0</v>
      </c>
      <c r="CH38" s="2">
        <f>IF((13-(inp_c8_collect_lag+calc_scn_collect_add))&gt;=1,INDEX(CG:CG,25+13-(inp_c8_collect_lag+calc_scn_collect_add)),0)</f>
        <v>0</v>
      </c>
      <c r="CI38" s="2">
        <f>SUM(CH$26:CH38)-SUM(CF$26:CF38)</f>
        <v>0</v>
      </c>
      <c r="CJ38" s="2"/>
      <c r="CK38" s="2"/>
      <c r="CL38" s="2"/>
      <c r="CM38" s="2">
        <f>IF(AND(BG38&gt;=0,13&gt;=inp_c1_start_m),13,9999)</f>
        <v>13</v>
      </c>
      <c r="CN38" s="2">
        <f>IF(AND(BK38&gt;=0,13&gt;=inp_c2_start_m),13,9999)</f>
        <v>13</v>
      </c>
      <c r="CO38" s="2">
        <f>IF(AND(BO38&gt;=0,13&gt;=inp_c3_start_m),13,9999)</f>
        <v>13</v>
      </c>
      <c r="CP38" s="2">
        <f>IF(AND(BS38&gt;=0,13&gt;=inp_c4_start_m),13,9999)</f>
        <v>13</v>
      </c>
      <c r="CQ38" s="2">
        <f>IF(AND(BW38&gt;=0,13&gt;=inp_c5_start_m),13,9999)</f>
        <v>13</v>
      </c>
      <c r="CR38" s="2">
        <f>IF(AND(CA38&gt;=0,13&gt;=inp_c6_start_m),13,9999)</f>
        <v>9999</v>
      </c>
      <c r="CS38" s="2">
        <f>IF(AND(CE38&gt;=0,13&gt;=inp_c7_start_m),13,9999)</f>
        <v>13</v>
      </c>
      <c r="CT38" s="2">
        <f>IF(AND(CI38&gt;=0,13&gt;=inp_c8_start_m),13,9999)</f>
        <v>13</v>
      </c>
      <c r="CU38" s="2"/>
      <c r="CV38" s="55">
        <f>inp_biz_cash_open+SUM(AC$26:AC38)+SUM(BF$26:BF38)-SUM(BD$26:BD38)</f>
        <v>4317943.0433289418</v>
      </c>
      <c r="CW38" s="55">
        <f>inp_biz_cash_open+SUM(AC$26:AC38)+SUM(BJ$26:BJ38)-SUM(BH$26:BH38)</f>
        <v>4321865.0433289418</v>
      </c>
      <c r="CX38" s="55">
        <f>inp_biz_cash_open+SUM(AC$26:AC38)+SUM(BN$26:BN38)-SUM(BL$26:BL38)</f>
        <v>4287035.5433289418</v>
      </c>
      <c r="CY38" s="55">
        <f>inp_biz_cash_open+SUM(AC$26:AC38)+SUM(BR$26:BR38)-SUM(BP$26:BP38)</f>
        <v>4237328.0433289418</v>
      </c>
      <c r="CZ38" s="55">
        <f>inp_biz_cash_open+SUM(AC$26:AC38)+SUM(BV$26:BV38)-SUM(BT$26:BT38)</f>
        <v>4248213.0433289418</v>
      </c>
      <c r="DA38" s="55">
        <f>inp_biz_cash_open+SUM(AC$26:AC38)+SUM(BZ$26:BZ38)-SUM(BX$26:BX38)</f>
        <v>4041140.5433289418</v>
      </c>
      <c r="DB38" s="55">
        <f>inp_biz_cash_open+SUM(AC$26:AC38)+SUM(CD$26:CD38)-SUM(CB$26:CB38)</f>
        <v>4209328.0433289418</v>
      </c>
      <c r="DC38" s="55">
        <f>inp_biz_cash_open+SUM(AC$26:AC38)+SUM(CH$26:CH38)-SUM(CF$26:CF38)</f>
        <v>4209328.0433289418</v>
      </c>
      <c r="DD38" s="2"/>
      <c r="DE38" s="2"/>
      <c r="DF38" s="2"/>
      <c r="DG38" s="2"/>
      <c r="DH38" s="2"/>
      <c r="DI38" s="2"/>
      <c r="DJ38" s="2"/>
      <c r="DK38" s="2"/>
      <c r="DL38" s="2"/>
      <c r="DM38" s="2"/>
    </row>
    <row r="39" spans="1:119" ht="24" customHeight="1" x14ac:dyDescent="0.2">
      <c r="A39" s="1"/>
      <c r="B39" s="8" t="str">
        <f>IF(NOT(inp_c2_active),"Candidate 2 (inactive)",IF(inp_c2_role="","Candidate 2",inp_c2_role))</f>
        <v>Engagement Manager</v>
      </c>
      <c r="C39" s="57" t="str">
        <f>IF(NOT(inp_c2_active),"-",IF(O57&gt;=999,"Never",O57&amp;" mo"))</f>
        <v>7 mo</v>
      </c>
      <c r="D39" s="10">
        <f>IF(NOT(inp_c2_active),"-",O65)</f>
        <v>19356.25</v>
      </c>
      <c r="E39" s="10">
        <f>IF(NOT(inp_c2_active),"-",O56)</f>
        <v>290866.25</v>
      </c>
      <c r="F39" s="27" t="str">
        <f>IF(NOT(inp_c2_active),"-",IF(O64&lt;0,"YES","NO"))</f>
        <v>NO</v>
      </c>
      <c r="G39" s="2"/>
      <c r="H39" s="2"/>
      <c r="I39" s="2"/>
      <c r="J39" s="2"/>
      <c r="K39" s="1"/>
      <c r="L39" s="2"/>
      <c r="M39" s="18">
        <v>14</v>
      </c>
      <c r="N39"/>
      <c r="O39"/>
      <c r="P39"/>
      <c r="Q39"/>
      <c r="R39"/>
      <c r="S39"/>
      <c r="T39"/>
      <c r="U39"/>
      <c r="V39"/>
      <c r="W39"/>
      <c r="X39"/>
      <c r="Y39"/>
      <c r="Z39" s="10">
        <f>inp_biz_revenue_m0*(1+inp_biz_rev_growth)^(14-1)*calc_scn_rev_mult</f>
        <v>1138093.2804332895</v>
      </c>
      <c r="AA39" s="10">
        <f t="shared" ref="AA39" si="100">inp_biz_opex_m0*calc_scn_cost_mult</f>
        <v>250000</v>
      </c>
      <c r="AB39" s="10">
        <f t="shared" ref="AB39" si="101">inp_biz_payroll_m0*calc_scn_cost_mult</f>
        <v>550000</v>
      </c>
      <c r="AC39" s="10">
        <f t="shared" si="5"/>
        <v>338093.28043328947</v>
      </c>
      <c r="AD39" s="10">
        <f>inp_biz_cash_open+SUM(AC$26:AC39)</f>
        <v>4547421.3237622315</v>
      </c>
      <c r="AE39" s="10">
        <f t="shared" si="6"/>
        <v>90462.5</v>
      </c>
      <c r="AF39" s="10">
        <f t="shared" si="7"/>
        <v>133328</v>
      </c>
      <c r="AG39" s="10">
        <f t="shared" si="8"/>
        <v>380958.78043328947</v>
      </c>
      <c r="AH39" s="10">
        <f>inp_biz_cash_open+SUM(AG$26:AG39)</f>
        <v>4787843.8237622315</v>
      </c>
      <c r="AI39" s="18">
        <f t="shared" ref="AI39" si="102">IF(AH39&lt;inp_biz_floor,1,0)</f>
        <v>0</v>
      </c>
      <c r="AJ39"/>
      <c r="AK39"/>
      <c r="AL39"/>
      <c r="AM39" s="10">
        <f t="shared" ref="AM39" si="103">inp_biz_floor</f>
        <v>400000</v>
      </c>
      <c r="AN39" s="10">
        <f t="shared" si="11"/>
        <v>240422.5</v>
      </c>
      <c r="AO39" s="10">
        <f>0</f>
        <v>0</v>
      </c>
      <c r="AP39" s="2"/>
      <c r="AQ39" s="2"/>
      <c r="AR39" s="2"/>
      <c r="AS39"/>
      <c r="AT39"/>
      <c r="AU39"/>
      <c r="AV39" s="10">
        <f t="shared" ref="AV39" si="104">IF(ROW()-25&lt;sel_start_m,0,(sel_salary/12*(1+sel_oncost)+sel_benefits)*calc_scn_cost_mult)</f>
        <v>15900.000000000002</v>
      </c>
      <c r="AW39" s="10">
        <f t="shared" ref="AW39" si="105">IF(ROW()-25&lt;sel_start_m,0,sel_bill_hours*sel_util*sel_rate*calc_scn_rev_mult*calc_scn_util_mult*MIN(1,sel_m1_prod+(ROW()-25-sel_start_m)*(1-sel_m1_prod)/MAX(sel_ramp_m-1,1)))</f>
        <v>30420</v>
      </c>
      <c r="AX39" s="10">
        <f t="array" ref="AX39">IF((ROW()-25)-(sel_collect_lag+calc_scn_collect_add)&gt;=1,INDEX(AW$26:AW$49,(ROW()-25)-(sel_collect_lag+calc_scn_collect_add)),0)</f>
        <v>30420</v>
      </c>
      <c r="AY39" s="10">
        <f>SUM(AV$26:AV39)</f>
        <v>222600.00000000003</v>
      </c>
      <c r="AZ39" s="10">
        <f>SUM(AX$26:AX39)</f>
        <v>339943.5</v>
      </c>
      <c r="BA39" s="10">
        <f t="shared" ref="BA39" si="106">AD39-inp_biz_cash_open</f>
        <v>3747421.3237622315</v>
      </c>
      <c r="BB39" s="2"/>
      <c r="BC39" s="19">
        <f t="shared" si="15"/>
        <v>14</v>
      </c>
      <c r="BD39" s="19">
        <f>IF(OR(NOT(inp_c1_active),14&lt;inp_c1_start_m),0,((inp_c1_salary/12)*(1+inp_c1_oncost)+inp_c1_benefits)*calc_scn_cost_mult)</f>
        <v>15900.000000000002</v>
      </c>
      <c r="BE39" s="19">
        <f>IF(OR(NOT(inp_c1_active),14&lt;inp_c1_start_m),0,inp_c1_bill_hours*inp_c1_rate*calc_scn_rev_mult*calc_scn_util_mult*(inp_c1_m1_prod+MAX(0,MIN(14-inp_c1_start_m,inp_c1_ramp_m-1))*(inp_c1_util-inp_c1_m1_prod)/MAX(inp_c1_ramp_m-1,1)))</f>
        <v>30420</v>
      </c>
      <c r="BF39" s="2">
        <f>IF((14-(inp_c1_collect_lag+calc_scn_collect_add))&gt;=1,INDEX(BE:BE,25+14-(inp_c1_collect_lag+calc_scn_collect_add)),0)</f>
        <v>30420</v>
      </c>
      <c r="BG39" s="2">
        <f>SUM(BF$26:BF39)-SUM(BD$26:BD39)</f>
        <v>123134.99999999997</v>
      </c>
      <c r="BH39" s="2">
        <f>IF(OR(NOT(inp_c2_active),14&lt;inp_c2_start_m),0,((inp_c2_salary/12)*(1+inp_c2_oncost)+inp_c2_benefits)*calc_scn_cost_mult)</f>
        <v>19356.25</v>
      </c>
      <c r="BI39" s="2">
        <f>IF(OR(NOT(inp_c2_active),14&lt;inp_c2_start_m),0,inp_c2_bill_hours*inp_c2_rate*calc_scn_rev_mult*calc_scn_util_mult*(inp_c2_m1_prod+MAX(0,MIN(14-inp_c2_start_m,inp_c2_ramp_m-1))*(inp_c2_util-inp_c2_m1_prod)/MAX(inp_c2_ramp_m-1,1)))</f>
        <v>35568</v>
      </c>
      <c r="BJ39" s="2">
        <f>IF((14-(inp_c2_collect_lag+calc_scn_collect_add))&gt;=1,INDEX(BI:BI,25+14-(inp_c2_collect_lag+calc_scn_collect_add)),0)</f>
        <v>35568</v>
      </c>
      <c r="BK39" s="2">
        <f>SUM(BJ$26:BJ39)-SUM(BH$26:BH39)</f>
        <v>128748.75</v>
      </c>
      <c r="BL39" s="2">
        <f>IF(OR(NOT(inp_c3_active),14&lt;inp_c3_start_m),0,((inp_c3_salary/12)*(1+inp_c3_oncost)+inp_c3_benefits)*calc_scn_cost_mult)</f>
        <v>10962.5</v>
      </c>
      <c r="BM39" s="2">
        <f>IF(OR(NOT(inp_c3_active),14&lt;inp_c3_start_m),0,inp_c3_bill_hours*inp_c3_rate*calc_scn_rev_mult*calc_scn_util_mult*(inp_c3_m1_prod+MAX(0,MIN(14-inp_c3_start_m,inp_c3_ramp_m-1))*(inp_c3_util-inp_c3_m1_prod)/MAX(inp_c3_ramp_m-1,1)))</f>
        <v>20020</v>
      </c>
      <c r="BN39" s="2">
        <f>IF((14-(inp_c3_collect_lag+calc_scn_collect_add))&gt;=1,INDEX(BM:BM,25+14-(inp_c3_collect_lag+calc_scn_collect_add)),0)</f>
        <v>20020</v>
      </c>
      <c r="BO39" s="2">
        <f>SUM(BN$26:BN39)-SUM(BL$26:BL39)</f>
        <v>86765</v>
      </c>
      <c r="BP39" s="2">
        <f>IF(OR(NOT(inp_c4_active),14&lt;inp_c4_start_m),0,((inp_c4_salary/12)*(1+inp_c4_oncost)+inp_c4_benefits)*calc_scn_cost_mult)</f>
        <v>23800</v>
      </c>
      <c r="BQ39" s="2">
        <f>IF(OR(NOT(inp_c4_active),14&lt;inp_c4_start_m),0,inp_c4_bill_hours*inp_c4_rate*calc_scn_rev_mult*calc_scn_util_mult*(inp_c4_m1_prod+MAX(0,MIN(14-inp_c4_start_m,inp_c4_ramp_m-1))*(inp_c4_util-inp_c4_m1_prod)/MAX(inp_c4_ramp_m-1,1)))</f>
        <v>32760</v>
      </c>
      <c r="BR39" s="2">
        <f>IF((14-(inp_c4_collect_lag+calc_scn_collect_add))&gt;=1,INDEX(BQ:BQ,25+14-(inp_c4_collect_lag+calc_scn_collect_add)),0)</f>
        <v>32760</v>
      </c>
      <c r="BS39" s="2">
        <f>SUM(BR$26:BR39)-SUM(BP$26:BP39)</f>
        <v>36960</v>
      </c>
      <c r="BT39" s="2">
        <f>IF(OR(NOT(inp_c5_active),14&lt;inp_c5_start_m),0,((inp_c5_salary/12)*(1+inp_c5_oncost)+inp_c5_benefits)*calc_scn_cost_mult)</f>
        <v>7506.25</v>
      </c>
      <c r="BU39" s="2">
        <f>IF(OR(NOT(inp_c5_active),14&lt;inp_c5_start_m),0,inp_c5_bill_hours*inp_c5_rate*calc_scn_rev_mult*calc_scn_util_mult*(inp_c5_m1_prod+MAX(0,MIN(14-inp_c5_start_m,inp_c5_ramp_m-1))*(inp_c5_util-inp_c5_m1_prod)/MAX(inp_c5_ramp_m-1,1)))</f>
        <v>14559.999999999998</v>
      </c>
      <c r="BV39" s="2">
        <f>IF((14-(inp_c5_collect_lag+calc_scn_collect_add))&gt;=1,INDEX(BU:BU,25+14-(inp_c5_collect_lag+calc_scn_collect_add)),0)</f>
        <v>14559.999999999998</v>
      </c>
      <c r="BW39" s="2">
        <f>SUM(BV$26:BV39)-SUM(BT$26:BT39)</f>
        <v>45938.75</v>
      </c>
      <c r="BX39" s="2">
        <f>IF(OR(NOT(inp_c6_active),14&lt;inp_c6_start_m),0,((inp_c6_salary/12)*(1+inp_c6_oncost)+inp_c6_benefits)*calc_scn_cost_mult)</f>
        <v>12937.500000000002</v>
      </c>
      <c r="BY39" s="2">
        <f>IF(OR(NOT(inp_c6_active),14&lt;inp_c6_start_m),0,inp_c6_bill_hours*inp_c6_rate*calc_scn_rev_mult*calc_scn_util_mult*(inp_c6_m1_prod+MAX(0,MIN(14-inp_c6_start_m,inp_c6_ramp_m-1))*(inp_c6_util-inp_c6_m1_prod)/MAX(inp_c6_ramp_m-1,1)))</f>
        <v>0</v>
      </c>
      <c r="BZ39" s="2">
        <f>IF((14-(inp_c6_collect_lag+calc_scn_collect_add))&gt;=1,INDEX(BY:BY,25+14-(inp_c6_collect_lag+calc_scn_collect_add)),0)</f>
        <v>0</v>
      </c>
      <c r="CA39" s="2">
        <f>SUM(BZ$26:BZ39)-SUM(BX$26:BX39)</f>
        <v>-181125.00000000003</v>
      </c>
      <c r="CB39" s="2">
        <f>IF(OR(NOT(inp_c7_active),14&lt;inp_c7_start_m),0,((inp_c7_salary/12)*(1+inp_c7_oncost)+inp_c7_benefits)*calc_scn_cost_mult)</f>
        <v>0</v>
      </c>
      <c r="CC39" s="2">
        <f>IF(OR(NOT(inp_c7_active),14&lt;inp_c7_start_m),0,inp_c7_bill_hours*inp_c7_rate*calc_scn_rev_mult*calc_scn_util_mult*(inp_c7_m1_prod+MAX(0,MIN(14-inp_c7_start_m,inp_c7_ramp_m-1))*(inp_c7_util-inp_c7_m1_prod)/MAX(inp_c7_ramp_m-1,1)))</f>
        <v>0</v>
      </c>
      <c r="CD39" s="2">
        <f>IF((14-(inp_c7_collect_lag+calc_scn_collect_add))&gt;=1,INDEX(CC:CC,25+14-(inp_c7_collect_lag+calc_scn_collect_add)),0)</f>
        <v>0</v>
      </c>
      <c r="CE39" s="2">
        <f>SUM(CD$26:CD39)-SUM(CB$26:CB39)</f>
        <v>0</v>
      </c>
      <c r="CF39" s="2">
        <f>IF(OR(NOT(inp_c8_active),14&lt;inp_c8_start_m),0,((inp_c8_salary/12)*(1+inp_c8_oncost)+inp_c8_benefits)*calc_scn_cost_mult)</f>
        <v>0</v>
      </c>
      <c r="CG39" s="2">
        <f>IF(OR(NOT(inp_c8_active),14&lt;inp_c8_start_m),0,inp_c8_bill_hours*inp_c8_rate*calc_scn_rev_mult*calc_scn_util_mult*(inp_c8_m1_prod+MAX(0,MIN(14-inp_c8_start_m,inp_c8_ramp_m-1))*(inp_c8_util-inp_c8_m1_prod)/MAX(inp_c8_ramp_m-1,1)))</f>
        <v>0</v>
      </c>
      <c r="CH39" s="2">
        <f>IF((14-(inp_c8_collect_lag+calc_scn_collect_add))&gt;=1,INDEX(CG:CG,25+14-(inp_c8_collect_lag+calc_scn_collect_add)),0)</f>
        <v>0</v>
      </c>
      <c r="CI39" s="2">
        <f>SUM(CH$26:CH39)-SUM(CF$26:CF39)</f>
        <v>0</v>
      </c>
      <c r="CJ39" s="2"/>
      <c r="CK39" s="2"/>
      <c r="CL39" s="2"/>
      <c r="CM39" s="2">
        <f>IF(AND(BG39&gt;=0,14&gt;=inp_c1_start_m),14,9999)</f>
        <v>14</v>
      </c>
      <c r="CN39" s="2">
        <f>IF(AND(BK39&gt;=0,14&gt;=inp_c2_start_m),14,9999)</f>
        <v>14</v>
      </c>
      <c r="CO39" s="2">
        <f>IF(AND(BO39&gt;=0,14&gt;=inp_c3_start_m),14,9999)</f>
        <v>14</v>
      </c>
      <c r="CP39" s="2">
        <f>IF(AND(BS39&gt;=0,14&gt;=inp_c4_start_m),14,9999)</f>
        <v>14</v>
      </c>
      <c r="CQ39" s="2">
        <f>IF(AND(BW39&gt;=0,14&gt;=inp_c5_start_m),14,9999)</f>
        <v>14</v>
      </c>
      <c r="CR39" s="2">
        <f>IF(AND(CA39&gt;=0,14&gt;=inp_c6_start_m),14,9999)</f>
        <v>9999</v>
      </c>
      <c r="CS39" s="2">
        <f>IF(AND(CE39&gt;=0,14&gt;=inp_c7_start_m),14,9999)</f>
        <v>14</v>
      </c>
      <c r="CT39" s="2">
        <f>IF(AND(CI39&gt;=0,14&gt;=inp_c8_start_m),14,9999)</f>
        <v>14</v>
      </c>
      <c r="CU39" s="2"/>
      <c r="CV39" s="55">
        <f>inp_biz_cash_open+SUM(AC$26:AC39)+SUM(BF$26:BF39)-SUM(BD$26:BD39)</f>
        <v>4670556.3237622315</v>
      </c>
      <c r="CW39" s="55">
        <f>inp_biz_cash_open+SUM(AC$26:AC39)+SUM(BJ$26:BJ39)-SUM(BH$26:BH39)</f>
        <v>4676170.0737622315</v>
      </c>
      <c r="CX39" s="55">
        <f>inp_biz_cash_open+SUM(AC$26:AC39)+SUM(BN$26:BN39)-SUM(BL$26:BL39)</f>
        <v>4634186.3237622315</v>
      </c>
      <c r="CY39" s="55">
        <f>inp_biz_cash_open+SUM(AC$26:AC39)+SUM(BR$26:BR39)-SUM(BP$26:BP39)</f>
        <v>4584381.3237622315</v>
      </c>
      <c r="CZ39" s="55">
        <f>inp_biz_cash_open+SUM(AC$26:AC39)+SUM(BV$26:BV39)-SUM(BT$26:BT39)</f>
        <v>4593360.0737622315</v>
      </c>
      <c r="DA39" s="55">
        <f>inp_biz_cash_open+SUM(AC$26:AC39)+SUM(BZ$26:BZ39)-SUM(BX$26:BX39)</f>
        <v>4366296.3237622315</v>
      </c>
      <c r="DB39" s="55">
        <f>inp_biz_cash_open+SUM(AC$26:AC39)+SUM(CD$26:CD39)-SUM(CB$26:CB39)</f>
        <v>4547421.3237622315</v>
      </c>
      <c r="DC39" s="55">
        <f>inp_biz_cash_open+SUM(AC$26:AC39)+SUM(CH$26:CH39)-SUM(CF$26:CF39)</f>
        <v>4547421.3237622315</v>
      </c>
      <c r="DD39" s="2"/>
      <c r="DE39" s="2"/>
      <c r="DF39" s="2"/>
      <c r="DG39" s="2"/>
      <c r="DH39" s="2"/>
      <c r="DI39" s="2"/>
      <c r="DJ39" s="2"/>
      <c r="DK39" s="2"/>
      <c r="DL39" s="2"/>
      <c r="DM39" s="2"/>
    </row>
    <row r="40" spans="1:119" ht="24" customHeight="1" x14ac:dyDescent="0.2">
      <c r="A40" s="1"/>
      <c r="B40" s="8" t="str">
        <f>IF(NOT(inp_c3_active),"Candidate 3 (inactive)",IF(inp_c3_role="","Candidate 3",inp_c3_role))</f>
        <v>Business Analyst</v>
      </c>
      <c r="C40" s="57" t="str">
        <f>IF(NOT(inp_c3_active),"-",IF(P57&gt;=999,"Never",P57&amp;" mo"))</f>
        <v>5 mo</v>
      </c>
      <c r="D40" s="10">
        <f>IF(NOT(inp_c3_active),"-",P65)</f>
        <v>10962.5</v>
      </c>
      <c r="E40" s="10">
        <f>IF(NOT(inp_c3_active),"-",P56)</f>
        <v>177340</v>
      </c>
      <c r="F40" s="27" t="str">
        <f>IF(NOT(inp_c3_active),"-",IF(P64&lt;0,"YES","NO"))</f>
        <v>NO</v>
      </c>
      <c r="G40" s="2"/>
      <c r="H40" s="2"/>
      <c r="I40" s="2"/>
      <c r="J40" s="2"/>
      <c r="K40" s="1"/>
      <c r="L40" s="2"/>
      <c r="M40" s="18">
        <v>15</v>
      </c>
      <c r="N40"/>
      <c r="O40"/>
      <c r="P40"/>
      <c r="Q40"/>
      <c r="R40"/>
      <c r="S40"/>
      <c r="T40"/>
      <c r="U40"/>
      <c r="V40"/>
      <c r="W40"/>
      <c r="X40"/>
      <c r="Y40"/>
      <c r="Z40" s="10">
        <f>inp_biz_revenue_m0*(1+inp_biz_rev_growth)^(15-1)*calc_scn_rev_mult</f>
        <v>1149474.2132376225</v>
      </c>
      <c r="AA40" s="10">
        <f t="shared" ref="AA40" si="107">inp_biz_opex_m0*calc_scn_cost_mult</f>
        <v>250000</v>
      </c>
      <c r="AB40" s="10">
        <f t="shared" ref="AB40" si="108">inp_biz_payroll_m0*calc_scn_cost_mult</f>
        <v>550000</v>
      </c>
      <c r="AC40" s="10">
        <f t="shared" si="5"/>
        <v>349474.21323762252</v>
      </c>
      <c r="AD40" s="10">
        <f>inp_biz_cash_open+SUM(AC$26:AC40)</f>
        <v>4896895.5369998543</v>
      </c>
      <c r="AE40" s="10">
        <f t="shared" si="6"/>
        <v>90462.5</v>
      </c>
      <c r="AF40" s="10">
        <f t="shared" si="7"/>
        <v>133328</v>
      </c>
      <c r="AG40" s="10">
        <f t="shared" si="8"/>
        <v>392339.71323762252</v>
      </c>
      <c r="AH40" s="10">
        <f>inp_biz_cash_open+SUM(AG$26:AG40)</f>
        <v>5180183.5369998543</v>
      </c>
      <c r="AI40" s="18">
        <f t="shared" ref="AI40" si="109">IF(AH40&lt;inp_biz_floor,1,0)</f>
        <v>0</v>
      </c>
      <c r="AJ40"/>
      <c r="AK40"/>
      <c r="AL40"/>
      <c r="AM40" s="10">
        <f t="shared" ref="AM40" si="110">inp_biz_floor</f>
        <v>400000</v>
      </c>
      <c r="AN40" s="10">
        <f t="shared" si="11"/>
        <v>283288</v>
      </c>
      <c r="AO40" s="10">
        <f>0</f>
        <v>0</v>
      </c>
      <c r="AP40" s="2"/>
      <c r="AQ40" s="2"/>
      <c r="AR40" s="2"/>
      <c r="AS40"/>
      <c r="AT40"/>
      <c r="AU40"/>
      <c r="AV40" s="10">
        <f t="shared" ref="AV40" si="111">IF(ROW()-25&lt;sel_start_m,0,(sel_salary/12*(1+sel_oncost)+sel_benefits)*calc_scn_cost_mult)</f>
        <v>15900.000000000002</v>
      </c>
      <c r="AW40" s="10">
        <f t="shared" ref="AW40" si="112">IF(ROW()-25&lt;sel_start_m,0,sel_bill_hours*sel_util*sel_rate*calc_scn_rev_mult*calc_scn_util_mult*MIN(1,sel_m1_prod+(ROW()-25-sel_start_m)*(1-sel_m1_prod)/MAX(sel_ramp_m-1,1)))</f>
        <v>30420</v>
      </c>
      <c r="AX40" s="10">
        <f t="array" ref="AX40">IF((ROW()-25)-(sel_collect_lag+calc_scn_collect_add)&gt;=1,INDEX(AW$26:AW$49,(ROW()-25)-(sel_collect_lag+calc_scn_collect_add)),0)</f>
        <v>30420</v>
      </c>
      <c r="AY40" s="10">
        <f>SUM(AV$26:AV40)</f>
        <v>238500.00000000003</v>
      </c>
      <c r="AZ40" s="10">
        <f>SUM(AX$26:AX40)</f>
        <v>370363.5</v>
      </c>
      <c r="BA40" s="10">
        <f t="shared" ref="BA40" si="113">AD40-inp_biz_cash_open</f>
        <v>4096895.5369998543</v>
      </c>
      <c r="BB40" s="2"/>
      <c r="BC40" s="19">
        <f t="shared" si="15"/>
        <v>15</v>
      </c>
      <c r="BD40" s="19">
        <f>IF(OR(NOT(inp_c1_active),15&lt;inp_c1_start_m),0,((inp_c1_salary/12)*(1+inp_c1_oncost)+inp_c1_benefits)*calc_scn_cost_mult)</f>
        <v>15900.000000000002</v>
      </c>
      <c r="BE40" s="19">
        <f>IF(OR(NOT(inp_c1_active),15&lt;inp_c1_start_m),0,inp_c1_bill_hours*inp_c1_rate*calc_scn_rev_mult*calc_scn_util_mult*(inp_c1_m1_prod+MAX(0,MIN(15-inp_c1_start_m,inp_c1_ramp_m-1))*(inp_c1_util-inp_c1_m1_prod)/MAX(inp_c1_ramp_m-1,1)))</f>
        <v>30420</v>
      </c>
      <c r="BF40" s="2">
        <f>IF((15-(inp_c1_collect_lag+calc_scn_collect_add))&gt;=1,INDEX(BE:BE,25+15-(inp_c1_collect_lag+calc_scn_collect_add)),0)</f>
        <v>30420</v>
      </c>
      <c r="BG40" s="2">
        <f>SUM(BF$26:BF40)-SUM(BD$26:BD40)</f>
        <v>137654.99999999997</v>
      </c>
      <c r="BH40" s="2">
        <f>IF(OR(NOT(inp_c2_active),15&lt;inp_c2_start_m),0,((inp_c2_salary/12)*(1+inp_c2_oncost)+inp_c2_benefits)*calc_scn_cost_mult)</f>
        <v>19356.25</v>
      </c>
      <c r="BI40" s="2">
        <f>IF(OR(NOT(inp_c2_active),15&lt;inp_c2_start_m),0,inp_c2_bill_hours*inp_c2_rate*calc_scn_rev_mult*calc_scn_util_mult*(inp_c2_m1_prod+MAX(0,MIN(15-inp_c2_start_m,inp_c2_ramp_m-1))*(inp_c2_util-inp_c2_m1_prod)/MAX(inp_c2_ramp_m-1,1)))</f>
        <v>35568</v>
      </c>
      <c r="BJ40" s="2">
        <f>IF((15-(inp_c2_collect_lag+calc_scn_collect_add))&gt;=1,INDEX(BI:BI,25+15-(inp_c2_collect_lag+calc_scn_collect_add)),0)</f>
        <v>35568</v>
      </c>
      <c r="BK40" s="2">
        <f>SUM(BJ$26:BJ40)-SUM(BH$26:BH40)</f>
        <v>144960.5</v>
      </c>
      <c r="BL40" s="2">
        <f>IF(OR(NOT(inp_c3_active),15&lt;inp_c3_start_m),0,((inp_c3_salary/12)*(1+inp_c3_oncost)+inp_c3_benefits)*calc_scn_cost_mult)</f>
        <v>10962.5</v>
      </c>
      <c r="BM40" s="2">
        <f>IF(OR(NOT(inp_c3_active),15&lt;inp_c3_start_m),0,inp_c3_bill_hours*inp_c3_rate*calc_scn_rev_mult*calc_scn_util_mult*(inp_c3_m1_prod+MAX(0,MIN(15-inp_c3_start_m,inp_c3_ramp_m-1))*(inp_c3_util-inp_c3_m1_prod)/MAX(inp_c3_ramp_m-1,1)))</f>
        <v>20020</v>
      </c>
      <c r="BN40" s="2">
        <f>IF((15-(inp_c3_collect_lag+calc_scn_collect_add))&gt;=1,INDEX(BM:BM,25+15-(inp_c3_collect_lag+calc_scn_collect_add)),0)</f>
        <v>20020</v>
      </c>
      <c r="BO40" s="2">
        <f>SUM(BN$26:BN40)-SUM(BL$26:BL40)</f>
        <v>95822.5</v>
      </c>
      <c r="BP40" s="2">
        <f>IF(OR(NOT(inp_c4_active),15&lt;inp_c4_start_m),0,((inp_c4_salary/12)*(1+inp_c4_oncost)+inp_c4_benefits)*calc_scn_cost_mult)</f>
        <v>23800</v>
      </c>
      <c r="BQ40" s="2">
        <f>IF(OR(NOT(inp_c4_active),15&lt;inp_c4_start_m),0,inp_c4_bill_hours*inp_c4_rate*calc_scn_rev_mult*calc_scn_util_mult*(inp_c4_m1_prod+MAX(0,MIN(15-inp_c4_start_m,inp_c4_ramp_m-1))*(inp_c4_util-inp_c4_m1_prod)/MAX(inp_c4_ramp_m-1,1)))</f>
        <v>32760</v>
      </c>
      <c r="BR40" s="2">
        <f>IF((15-(inp_c4_collect_lag+calc_scn_collect_add))&gt;=1,INDEX(BQ:BQ,25+15-(inp_c4_collect_lag+calc_scn_collect_add)),0)</f>
        <v>32760</v>
      </c>
      <c r="BS40" s="2">
        <f>SUM(BR$26:BR40)-SUM(BP$26:BP40)</f>
        <v>45920</v>
      </c>
      <c r="BT40" s="2">
        <f>IF(OR(NOT(inp_c5_active),15&lt;inp_c5_start_m),0,((inp_c5_salary/12)*(1+inp_c5_oncost)+inp_c5_benefits)*calc_scn_cost_mult)</f>
        <v>7506.25</v>
      </c>
      <c r="BU40" s="2">
        <f>IF(OR(NOT(inp_c5_active),15&lt;inp_c5_start_m),0,inp_c5_bill_hours*inp_c5_rate*calc_scn_rev_mult*calc_scn_util_mult*(inp_c5_m1_prod+MAX(0,MIN(15-inp_c5_start_m,inp_c5_ramp_m-1))*(inp_c5_util-inp_c5_m1_prod)/MAX(inp_c5_ramp_m-1,1)))</f>
        <v>14559.999999999998</v>
      </c>
      <c r="BV40" s="2">
        <f>IF((15-(inp_c5_collect_lag+calc_scn_collect_add))&gt;=1,INDEX(BU:BU,25+15-(inp_c5_collect_lag+calc_scn_collect_add)),0)</f>
        <v>14559.999999999998</v>
      </c>
      <c r="BW40" s="2">
        <f>SUM(BV$26:BV40)-SUM(BT$26:BT40)</f>
        <v>52992.5</v>
      </c>
      <c r="BX40" s="2">
        <f>IF(OR(NOT(inp_c6_active),15&lt;inp_c6_start_m),0,((inp_c6_salary/12)*(1+inp_c6_oncost)+inp_c6_benefits)*calc_scn_cost_mult)</f>
        <v>12937.500000000002</v>
      </c>
      <c r="BY40" s="2">
        <f>IF(OR(NOT(inp_c6_active),15&lt;inp_c6_start_m),0,inp_c6_bill_hours*inp_c6_rate*calc_scn_rev_mult*calc_scn_util_mult*(inp_c6_m1_prod+MAX(0,MIN(15-inp_c6_start_m,inp_c6_ramp_m-1))*(inp_c6_util-inp_c6_m1_prod)/MAX(inp_c6_ramp_m-1,1)))</f>
        <v>0</v>
      </c>
      <c r="BZ40" s="2">
        <f>IF((15-(inp_c6_collect_lag+calc_scn_collect_add))&gt;=1,INDEX(BY:BY,25+15-(inp_c6_collect_lag+calc_scn_collect_add)),0)</f>
        <v>0</v>
      </c>
      <c r="CA40" s="2">
        <f>SUM(BZ$26:BZ40)-SUM(BX$26:BX40)</f>
        <v>-194062.50000000003</v>
      </c>
      <c r="CB40" s="2">
        <f>IF(OR(NOT(inp_c7_active),15&lt;inp_c7_start_m),0,((inp_c7_salary/12)*(1+inp_c7_oncost)+inp_c7_benefits)*calc_scn_cost_mult)</f>
        <v>0</v>
      </c>
      <c r="CC40" s="2">
        <f>IF(OR(NOT(inp_c7_active),15&lt;inp_c7_start_m),0,inp_c7_bill_hours*inp_c7_rate*calc_scn_rev_mult*calc_scn_util_mult*(inp_c7_m1_prod+MAX(0,MIN(15-inp_c7_start_m,inp_c7_ramp_m-1))*(inp_c7_util-inp_c7_m1_prod)/MAX(inp_c7_ramp_m-1,1)))</f>
        <v>0</v>
      </c>
      <c r="CD40" s="2">
        <f>IF((15-(inp_c7_collect_lag+calc_scn_collect_add))&gt;=1,INDEX(CC:CC,25+15-(inp_c7_collect_lag+calc_scn_collect_add)),0)</f>
        <v>0</v>
      </c>
      <c r="CE40" s="2">
        <f>SUM(CD$26:CD40)-SUM(CB$26:CB40)</f>
        <v>0</v>
      </c>
      <c r="CF40" s="2">
        <f>IF(OR(NOT(inp_c8_active),15&lt;inp_c8_start_m),0,((inp_c8_salary/12)*(1+inp_c8_oncost)+inp_c8_benefits)*calc_scn_cost_mult)</f>
        <v>0</v>
      </c>
      <c r="CG40" s="2">
        <f>IF(OR(NOT(inp_c8_active),15&lt;inp_c8_start_m),0,inp_c8_bill_hours*inp_c8_rate*calc_scn_rev_mult*calc_scn_util_mult*(inp_c8_m1_prod+MAX(0,MIN(15-inp_c8_start_m,inp_c8_ramp_m-1))*(inp_c8_util-inp_c8_m1_prod)/MAX(inp_c8_ramp_m-1,1)))</f>
        <v>0</v>
      </c>
      <c r="CH40" s="2">
        <f>IF((15-(inp_c8_collect_lag+calc_scn_collect_add))&gt;=1,INDEX(CG:CG,25+15-(inp_c8_collect_lag+calc_scn_collect_add)),0)</f>
        <v>0</v>
      </c>
      <c r="CI40" s="2">
        <f>SUM(CH$26:CH40)-SUM(CF$26:CF40)</f>
        <v>0</v>
      </c>
      <c r="CJ40" s="2"/>
      <c r="CK40" s="2"/>
      <c r="CL40" s="2"/>
      <c r="CM40" s="2">
        <f>IF(AND(BG40&gt;=0,15&gt;=inp_c1_start_m),15,9999)</f>
        <v>15</v>
      </c>
      <c r="CN40" s="2">
        <f>IF(AND(BK40&gt;=0,15&gt;=inp_c2_start_m),15,9999)</f>
        <v>15</v>
      </c>
      <c r="CO40" s="2">
        <f>IF(AND(BO40&gt;=0,15&gt;=inp_c3_start_m),15,9999)</f>
        <v>15</v>
      </c>
      <c r="CP40" s="2">
        <f>IF(AND(BS40&gt;=0,15&gt;=inp_c4_start_m),15,9999)</f>
        <v>15</v>
      </c>
      <c r="CQ40" s="2">
        <f>IF(AND(BW40&gt;=0,15&gt;=inp_c5_start_m),15,9999)</f>
        <v>15</v>
      </c>
      <c r="CR40" s="2">
        <f>IF(AND(CA40&gt;=0,15&gt;=inp_c6_start_m),15,9999)</f>
        <v>9999</v>
      </c>
      <c r="CS40" s="2">
        <f>IF(AND(CE40&gt;=0,15&gt;=inp_c7_start_m),15,9999)</f>
        <v>15</v>
      </c>
      <c r="CT40" s="2">
        <f>IF(AND(CI40&gt;=0,15&gt;=inp_c8_start_m),15,9999)</f>
        <v>15</v>
      </c>
      <c r="CU40" s="2"/>
      <c r="CV40" s="55">
        <f>inp_biz_cash_open+SUM(AC$26:AC40)+SUM(BF$26:BF40)-SUM(BD$26:BD40)</f>
        <v>5034550.5369998543</v>
      </c>
      <c r="CW40" s="55">
        <f>inp_biz_cash_open+SUM(AC$26:AC40)+SUM(BJ$26:BJ40)-SUM(BH$26:BH40)</f>
        <v>5041856.0369998543</v>
      </c>
      <c r="CX40" s="55">
        <f>inp_biz_cash_open+SUM(AC$26:AC40)+SUM(BN$26:BN40)-SUM(BL$26:BL40)</f>
        <v>4992718.0369998543</v>
      </c>
      <c r="CY40" s="55">
        <f>inp_biz_cash_open+SUM(AC$26:AC40)+SUM(BR$26:BR40)-SUM(BP$26:BP40)</f>
        <v>4942815.5369998543</v>
      </c>
      <c r="CZ40" s="55">
        <f>inp_biz_cash_open+SUM(AC$26:AC40)+SUM(BV$26:BV40)-SUM(BT$26:BT40)</f>
        <v>4949888.0369998543</v>
      </c>
      <c r="DA40" s="55">
        <f>inp_biz_cash_open+SUM(AC$26:AC40)+SUM(BZ$26:BZ40)-SUM(BX$26:BX40)</f>
        <v>4702833.0369998543</v>
      </c>
      <c r="DB40" s="55">
        <f>inp_biz_cash_open+SUM(AC$26:AC40)+SUM(CD$26:CD40)-SUM(CB$26:CB40)</f>
        <v>4896895.5369998543</v>
      </c>
      <c r="DC40" s="55">
        <f>inp_biz_cash_open+SUM(AC$26:AC40)+SUM(CH$26:CH40)-SUM(CF$26:CF40)</f>
        <v>4896895.5369998543</v>
      </c>
      <c r="DD40" s="2"/>
      <c r="DE40" s="2"/>
      <c r="DF40" s="2"/>
      <c r="DG40" s="2"/>
      <c r="DH40" s="2"/>
      <c r="DI40" s="2"/>
      <c r="DJ40" s="2"/>
      <c r="DK40" s="2"/>
      <c r="DL40" s="2"/>
      <c r="DM40" s="2"/>
    </row>
    <row r="41" spans="1:119" ht="16" x14ac:dyDescent="0.2">
      <c r="A41" s="1"/>
      <c r="B41" s="54" t="str">
        <f>IF(NOT(inp_c4_active),"Candidate 4 (inactive)",IF(inp_c4_role="","Candidate 4",inp_c4_role))</f>
        <v>Practice Lead</v>
      </c>
      <c r="C41" s="58" t="str">
        <f>IF(NOT(inp_c4_active),"-",IF(Q57&gt;=999,"Never",Q57&amp;" mo"))</f>
        <v>10 mo</v>
      </c>
      <c r="D41" s="56">
        <f>IF(NOT(inp_c4_active),"-",Q65)</f>
        <v>23800</v>
      </c>
      <c r="E41" s="56">
        <f>IF(NOT(inp_c4_active),"-",Q56)</f>
        <v>126560</v>
      </c>
      <c r="F41" s="59" t="str">
        <f>IF(NOT(inp_c4_active),"-",IF(Q64&lt;0,"YES","NO"))</f>
        <v>NO</v>
      </c>
      <c r="G41" s="2"/>
      <c r="H41" s="2"/>
      <c r="I41" s="2"/>
      <c r="J41" s="2"/>
      <c r="K41" s="1"/>
      <c r="L41" s="2"/>
      <c r="M41" s="18">
        <v>16</v>
      </c>
      <c r="N41"/>
      <c r="O41"/>
      <c r="P41"/>
      <c r="Q41"/>
      <c r="R41"/>
      <c r="S41"/>
      <c r="T41"/>
      <c r="U41"/>
      <c r="V41"/>
      <c r="W41"/>
      <c r="X41"/>
      <c r="Y41"/>
      <c r="Z41" s="10">
        <f>inp_biz_revenue_m0*(1+inp_biz_rev_growth)^(16-1)*calc_scn_rev_mult</f>
        <v>1160968.9553699985</v>
      </c>
      <c r="AA41" s="10">
        <f t="shared" ref="AA41" si="114">inp_biz_opex_m0*calc_scn_cost_mult</f>
        <v>250000</v>
      </c>
      <c r="AB41" s="10">
        <f t="shared" ref="AB41" si="115">inp_biz_payroll_m0*calc_scn_cost_mult</f>
        <v>550000</v>
      </c>
      <c r="AC41" s="10">
        <f t="shared" si="5"/>
        <v>360968.95536999847</v>
      </c>
      <c r="AD41" s="10">
        <f>inp_biz_cash_open+SUM(AC$26:AC41)</f>
        <v>5257864.492369853</v>
      </c>
      <c r="AE41" s="10">
        <f t="shared" si="6"/>
        <v>90462.5</v>
      </c>
      <c r="AF41" s="10">
        <f t="shared" si="7"/>
        <v>133328</v>
      </c>
      <c r="AG41" s="10">
        <f t="shared" si="8"/>
        <v>403834.45536999847</v>
      </c>
      <c r="AH41" s="10">
        <f>inp_biz_cash_open+SUM(AG$26:AG41)</f>
        <v>5584017.992369853</v>
      </c>
      <c r="AI41" s="18">
        <f t="shared" ref="AI41" si="116">IF(AH41&lt;inp_biz_floor,1,0)</f>
        <v>0</v>
      </c>
      <c r="AJ41"/>
      <c r="AK41"/>
      <c r="AL41"/>
      <c r="AM41" s="10">
        <f t="shared" ref="AM41" si="117">inp_biz_floor</f>
        <v>400000</v>
      </c>
      <c r="AN41" s="10">
        <f t="shared" si="11"/>
        <v>326153.5</v>
      </c>
      <c r="AO41" s="10">
        <f>0</f>
        <v>0</v>
      </c>
      <c r="AP41" s="2"/>
      <c r="AQ41" s="2"/>
      <c r="AR41" s="2"/>
      <c r="AS41"/>
      <c r="AT41"/>
      <c r="AU41"/>
      <c r="AV41" s="10">
        <f t="shared" ref="AV41" si="118">IF(ROW()-25&lt;sel_start_m,0,(sel_salary/12*(1+sel_oncost)+sel_benefits)*calc_scn_cost_mult)</f>
        <v>15900.000000000002</v>
      </c>
      <c r="AW41" s="10">
        <f t="shared" ref="AW41" si="119">IF(ROW()-25&lt;sel_start_m,0,sel_bill_hours*sel_util*sel_rate*calc_scn_rev_mult*calc_scn_util_mult*MIN(1,sel_m1_prod+(ROW()-25-sel_start_m)*(1-sel_m1_prod)/MAX(sel_ramp_m-1,1)))</f>
        <v>30420</v>
      </c>
      <c r="AX41" s="10">
        <f t="array" ref="AX41">IF((ROW()-25)-(sel_collect_lag+calc_scn_collect_add)&gt;=1,INDEX(AW$26:AW$49,(ROW()-25)-(sel_collect_lag+calc_scn_collect_add)),0)</f>
        <v>30420</v>
      </c>
      <c r="AY41" s="10">
        <f>SUM(AV$26:AV41)</f>
        <v>254400.00000000003</v>
      </c>
      <c r="AZ41" s="10">
        <f>SUM(AX$26:AX41)</f>
        <v>400783.5</v>
      </c>
      <c r="BA41" s="10">
        <f t="shared" ref="BA41" si="120">AD41-inp_biz_cash_open</f>
        <v>4457864.492369853</v>
      </c>
      <c r="BB41" s="2"/>
      <c r="BC41" s="19">
        <f t="shared" si="15"/>
        <v>16</v>
      </c>
      <c r="BD41" s="19">
        <f>IF(OR(NOT(inp_c1_active),16&lt;inp_c1_start_m),0,((inp_c1_salary/12)*(1+inp_c1_oncost)+inp_c1_benefits)*calc_scn_cost_mult)</f>
        <v>15900.000000000002</v>
      </c>
      <c r="BE41" s="19">
        <f>IF(OR(NOT(inp_c1_active),16&lt;inp_c1_start_m),0,inp_c1_bill_hours*inp_c1_rate*calc_scn_rev_mult*calc_scn_util_mult*(inp_c1_m1_prod+MAX(0,MIN(16-inp_c1_start_m,inp_c1_ramp_m-1))*(inp_c1_util-inp_c1_m1_prod)/MAX(inp_c1_ramp_m-1,1)))</f>
        <v>30420</v>
      </c>
      <c r="BF41" s="2">
        <f>IF((16-(inp_c1_collect_lag+calc_scn_collect_add))&gt;=1,INDEX(BE:BE,25+16-(inp_c1_collect_lag+calc_scn_collect_add)),0)</f>
        <v>30420</v>
      </c>
      <c r="BG41" s="2">
        <f>SUM(BF$26:BF41)-SUM(BD$26:BD41)</f>
        <v>152174.99999999997</v>
      </c>
      <c r="BH41" s="2">
        <f>IF(OR(NOT(inp_c2_active),16&lt;inp_c2_start_m),0,((inp_c2_salary/12)*(1+inp_c2_oncost)+inp_c2_benefits)*calc_scn_cost_mult)</f>
        <v>19356.25</v>
      </c>
      <c r="BI41" s="2">
        <f>IF(OR(NOT(inp_c2_active),16&lt;inp_c2_start_m),0,inp_c2_bill_hours*inp_c2_rate*calc_scn_rev_mult*calc_scn_util_mult*(inp_c2_m1_prod+MAX(0,MIN(16-inp_c2_start_m,inp_c2_ramp_m-1))*(inp_c2_util-inp_c2_m1_prod)/MAX(inp_c2_ramp_m-1,1)))</f>
        <v>35568</v>
      </c>
      <c r="BJ41" s="2">
        <f>IF((16-(inp_c2_collect_lag+calc_scn_collect_add))&gt;=1,INDEX(BI:BI,25+16-(inp_c2_collect_lag+calc_scn_collect_add)),0)</f>
        <v>35568</v>
      </c>
      <c r="BK41" s="2">
        <f>SUM(BJ$26:BJ41)-SUM(BH$26:BH41)</f>
        <v>161172.25</v>
      </c>
      <c r="BL41" s="2">
        <f>IF(OR(NOT(inp_c3_active),16&lt;inp_c3_start_m),0,((inp_c3_salary/12)*(1+inp_c3_oncost)+inp_c3_benefits)*calc_scn_cost_mult)</f>
        <v>10962.5</v>
      </c>
      <c r="BM41" s="2">
        <f>IF(OR(NOT(inp_c3_active),16&lt;inp_c3_start_m),0,inp_c3_bill_hours*inp_c3_rate*calc_scn_rev_mult*calc_scn_util_mult*(inp_c3_m1_prod+MAX(0,MIN(16-inp_c3_start_m,inp_c3_ramp_m-1))*(inp_c3_util-inp_c3_m1_prod)/MAX(inp_c3_ramp_m-1,1)))</f>
        <v>20020</v>
      </c>
      <c r="BN41" s="2">
        <f>IF((16-(inp_c3_collect_lag+calc_scn_collect_add))&gt;=1,INDEX(BM:BM,25+16-(inp_c3_collect_lag+calc_scn_collect_add)),0)</f>
        <v>20020</v>
      </c>
      <c r="BO41" s="2">
        <f>SUM(BN$26:BN41)-SUM(BL$26:BL41)</f>
        <v>104880</v>
      </c>
      <c r="BP41" s="2">
        <f>IF(OR(NOT(inp_c4_active),16&lt;inp_c4_start_m),0,((inp_c4_salary/12)*(1+inp_c4_oncost)+inp_c4_benefits)*calc_scn_cost_mult)</f>
        <v>23800</v>
      </c>
      <c r="BQ41" s="2">
        <f>IF(OR(NOT(inp_c4_active),16&lt;inp_c4_start_m),0,inp_c4_bill_hours*inp_c4_rate*calc_scn_rev_mult*calc_scn_util_mult*(inp_c4_m1_prod+MAX(0,MIN(16-inp_c4_start_m,inp_c4_ramp_m-1))*(inp_c4_util-inp_c4_m1_prod)/MAX(inp_c4_ramp_m-1,1)))</f>
        <v>32760</v>
      </c>
      <c r="BR41" s="2">
        <f>IF((16-(inp_c4_collect_lag+calc_scn_collect_add))&gt;=1,INDEX(BQ:BQ,25+16-(inp_c4_collect_lag+calc_scn_collect_add)),0)</f>
        <v>32760</v>
      </c>
      <c r="BS41" s="2">
        <f>SUM(BR$26:BR41)-SUM(BP$26:BP41)</f>
        <v>54880</v>
      </c>
      <c r="BT41" s="2">
        <f>IF(OR(NOT(inp_c5_active),16&lt;inp_c5_start_m),0,((inp_c5_salary/12)*(1+inp_c5_oncost)+inp_c5_benefits)*calc_scn_cost_mult)</f>
        <v>7506.25</v>
      </c>
      <c r="BU41" s="2">
        <f>IF(OR(NOT(inp_c5_active),16&lt;inp_c5_start_m),0,inp_c5_bill_hours*inp_c5_rate*calc_scn_rev_mult*calc_scn_util_mult*(inp_c5_m1_prod+MAX(0,MIN(16-inp_c5_start_m,inp_c5_ramp_m-1))*(inp_c5_util-inp_c5_m1_prod)/MAX(inp_c5_ramp_m-1,1)))</f>
        <v>14559.999999999998</v>
      </c>
      <c r="BV41" s="2">
        <f>IF((16-(inp_c5_collect_lag+calc_scn_collect_add))&gt;=1,INDEX(BU:BU,25+16-(inp_c5_collect_lag+calc_scn_collect_add)),0)</f>
        <v>14559.999999999998</v>
      </c>
      <c r="BW41" s="2">
        <f>SUM(BV$26:BV41)-SUM(BT$26:BT41)</f>
        <v>60046.25</v>
      </c>
      <c r="BX41" s="2">
        <f>IF(OR(NOT(inp_c6_active),16&lt;inp_c6_start_m),0,((inp_c6_salary/12)*(1+inp_c6_oncost)+inp_c6_benefits)*calc_scn_cost_mult)</f>
        <v>12937.500000000002</v>
      </c>
      <c r="BY41" s="2">
        <f>IF(OR(NOT(inp_c6_active),16&lt;inp_c6_start_m),0,inp_c6_bill_hours*inp_c6_rate*calc_scn_rev_mult*calc_scn_util_mult*(inp_c6_m1_prod+MAX(0,MIN(16-inp_c6_start_m,inp_c6_ramp_m-1))*(inp_c6_util-inp_c6_m1_prod)/MAX(inp_c6_ramp_m-1,1)))</f>
        <v>0</v>
      </c>
      <c r="BZ41" s="2">
        <f>IF((16-(inp_c6_collect_lag+calc_scn_collect_add))&gt;=1,INDEX(BY:BY,25+16-(inp_c6_collect_lag+calc_scn_collect_add)),0)</f>
        <v>0</v>
      </c>
      <c r="CA41" s="2">
        <f>SUM(BZ$26:BZ41)-SUM(BX$26:BX41)</f>
        <v>-207000.00000000003</v>
      </c>
      <c r="CB41" s="2">
        <f>IF(OR(NOT(inp_c7_active),16&lt;inp_c7_start_m),0,((inp_c7_salary/12)*(1+inp_c7_oncost)+inp_c7_benefits)*calc_scn_cost_mult)</f>
        <v>0</v>
      </c>
      <c r="CC41" s="2">
        <f>IF(OR(NOT(inp_c7_active),16&lt;inp_c7_start_m),0,inp_c7_bill_hours*inp_c7_rate*calc_scn_rev_mult*calc_scn_util_mult*(inp_c7_m1_prod+MAX(0,MIN(16-inp_c7_start_m,inp_c7_ramp_m-1))*(inp_c7_util-inp_c7_m1_prod)/MAX(inp_c7_ramp_m-1,1)))</f>
        <v>0</v>
      </c>
      <c r="CD41" s="2">
        <f>IF((16-(inp_c7_collect_lag+calc_scn_collect_add))&gt;=1,INDEX(CC:CC,25+16-(inp_c7_collect_lag+calc_scn_collect_add)),0)</f>
        <v>0</v>
      </c>
      <c r="CE41" s="2">
        <f>SUM(CD$26:CD41)-SUM(CB$26:CB41)</f>
        <v>0</v>
      </c>
      <c r="CF41" s="2">
        <f>IF(OR(NOT(inp_c8_active),16&lt;inp_c8_start_m),0,((inp_c8_salary/12)*(1+inp_c8_oncost)+inp_c8_benefits)*calc_scn_cost_mult)</f>
        <v>0</v>
      </c>
      <c r="CG41" s="2">
        <f>IF(OR(NOT(inp_c8_active),16&lt;inp_c8_start_m),0,inp_c8_bill_hours*inp_c8_rate*calc_scn_rev_mult*calc_scn_util_mult*(inp_c8_m1_prod+MAX(0,MIN(16-inp_c8_start_m,inp_c8_ramp_m-1))*(inp_c8_util-inp_c8_m1_prod)/MAX(inp_c8_ramp_m-1,1)))</f>
        <v>0</v>
      </c>
      <c r="CH41" s="2">
        <f>IF((16-(inp_c8_collect_lag+calc_scn_collect_add))&gt;=1,INDEX(CG:CG,25+16-(inp_c8_collect_lag+calc_scn_collect_add)),0)</f>
        <v>0</v>
      </c>
      <c r="CI41" s="2">
        <f>SUM(CH$26:CH41)-SUM(CF$26:CF41)</f>
        <v>0</v>
      </c>
      <c r="CJ41" s="2"/>
      <c r="CK41" s="2"/>
      <c r="CL41" s="2"/>
      <c r="CM41" s="2">
        <f>IF(AND(BG41&gt;=0,16&gt;=inp_c1_start_m),16,9999)</f>
        <v>16</v>
      </c>
      <c r="CN41" s="2">
        <f>IF(AND(BK41&gt;=0,16&gt;=inp_c2_start_m),16,9999)</f>
        <v>16</v>
      </c>
      <c r="CO41" s="2">
        <f>IF(AND(BO41&gt;=0,16&gt;=inp_c3_start_m),16,9999)</f>
        <v>16</v>
      </c>
      <c r="CP41" s="2">
        <f>IF(AND(BS41&gt;=0,16&gt;=inp_c4_start_m),16,9999)</f>
        <v>16</v>
      </c>
      <c r="CQ41" s="2">
        <f>IF(AND(BW41&gt;=0,16&gt;=inp_c5_start_m),16,9999)</f>
        <v>16</v>
      </c>
      <c r="CR41" s="2">
        <f>IF(AND(CA41&gt;=0,16&gt;=inp_c6_start_m),16,9999)</f>
        <v>9999</v>
      </c>
      <c r="CS41" s="2">
        <f>IF(AND(CE41&gt;=0,16&gt;=inp_c7_start_m),16,9999)</f>
        <v>16</v>
      </c>
      <c r="CT41" s="2">
        <f>IF(AND(CI41&gt;=0,16&gt;=inp_c8_start_m),16,9999)</f>
        <v>16</v>
      </c>
      <c r="CU41" s="2"/>
      <c r="CV41" s="55">
        <f>inp_biz_cash_open+SUM(AC$26:AC41)+SUM(BF$26:BF41)-SUM(BD$26:BD41)</f>
        <v>5410039.492369853</v>
      </c>
      <c r="CW41" s="55">
        <f>inp_biz_cash_open+SUM(AC$26:AC41)+SUM(BJ$26:BJ41)-SUM(BH$26:BH41)</f>
        <v>5419036.742369853</v>
      </c>
      <c r="CX41" s="55">
        <f>inp_biz_cash_open+SUM(AC$26:AC41)+SUM(BN$26:BN41)-SUM(BL$26:BL41)</f>
        <v>5362744.492369853</v>
      </c>
      <c r="CY41" s="55">
        <f>inp_biz_cash_open+SUM(AC$26:AC41)+SUM(BR$26:BR41)-SUM(BP$26:BP41)</f>
        <v>5312744.492369853</v>
      </c>
      <c r="CZ41" s="55">
        <f>inp_biz_cash_open+SUM(AC$26:AC41)+SUM(BV$26:BV41)-SUM(BT$26:BT41)</f>
        <v>5317910.742369853</v>
      </c>
      <c r="DA41" s="55">
        <f>inp_biz_cash_open+SUM(AC$26:AC41)+SUM(BZ$26:BZ41)-SUM(BX$26:BX41)</f>
        <v>5050864.492369853</v>
      </c>
      <c r="DB41" s="55">
        <f>inp_biz_cash_open+SUM(AC$26:AC41)+SUM(CD$26:CD41)-SUM(CB$26:CB41)</f>
        <v>5257864.492369853</v>
      </c>
      <c r="DC41" s="55">
        <f>inp_biz_cash_open+SUM(AC$26:AC41)+SUM(CH$26:CH41)-SUM(CF$26:CF41)</f>
        <v>5257864.492369853</v>
      </c>
      <c r="DD41" s="2"/>
      <c r="DE41" s="2"/>
      <c r="DF41" s="2"/>
      <c r="DG41" s="2"/>
      <c r="DH41" s="2"/>
      <c r="DI41" s="2"/>
      <c r="DJ41" s="2"/>
      <c r="DK41" s="2"/>
      <c r="DL41" s="2"/>
      <c r="DM41" s="2"/>
    </row>
    <row r="42" spans="1:119" ht="22" customHeight="1" x14ac:dyDescent="0.2">
      <c r="A42" s="1"/>
      <c r="B42" s="54" t="str">
        <f>IF(NOT(inp_c5_active),"Candidate 5 (inactive)",IF(inp_c5_role="","Candidate 5",inp_c5_role))</f>
        <v>Graduate Consultant</v>
      </c>
      <c r="C42" s="58" t="str">
        <f>IF(NOT(inp_c5_active),"-",IF(R57&gt;=999,"Never",R57&amp;" mo"))</f>
        <v>8 mo</v>
      </c>
      <c r="D42" s="56">
        <f>IF(NOT(inp_c5_active),"-",R65)</f>
        <v>7506.25</v>
      </c>
      <c r="E42" s="56">
        <f>IF(NOT(inp_c5_active),"-",R56)</f>
        <v>116476.25</v>
      </c>
      <c r="F42" s="59" t="str">
        <f>IF(NOT(inp_c5_active),"-",IF(R64&lt;0,"YES","NO"))</f>
        <v>NO</v>
      </c>
      <c r="G42" s="2"/>
      <c r="H42" s="2"/>
      <c r="I42" s="2"/>
      <c r="J42" s="2"/>
      <c r="K42" s="1"/>
      <c r="L42" s="2"/>
      <c r="M42" s="18">
        <v>17</v>
      </c>
      <c r="N42"/>
      <c r="O42"/>
      <c r="P42"/>
      <c r="Q42"/>
      <c r="R42"/>
      <c r="S42"/>
      <c r="T42"/>
      <c r="U42"/>
      <c r="V42"/>
      <c r="W42"/>
      <c r="X42"/>
      <c r="Y42"/>
      <c r="Z42" s="10">
        <f>inp_biz_revenue_m0*(1+inp_biz_rev_growth)^(17-1)*calc_scn_rev_mult</f>
        <v>1172578.6449236989</v>
      </c>
      <c r="AA42" s="10">
        <f t="shared" ref="AA42" si="121">inp_biz_opex_m0*calc_scn_cost_mult</f>
        <v>250000</v>
      </c>
      <c r="AB42" s="10">
        <f t="shared" ref="AB42" si="122">inp_biz_payroll_m0*calc_scn_cost_mult</f>
        <v>550000</v>
      </c>
      <c r="AC42" s="10">
        <f t="shared" si="5"/>
        <v>372578.64492369886</v>
      </c>
      <c r="AD42" s="10">
        <f>inp_biz_cash_open+SUM(AC$26:AC42)</f>
        <v>5630443.137293552</v>
      </c>
      <c r="AE42" s="10">
        <f t="shared" si="6"/>
        <v>90462.5</v>
      </c>
      <c r="AF42" s="10">
        <f t="shared" si="7"/>
        <v>133328</v>
      </c>
      <c r="AG42" s="10">
        <f t="shared" si="8"/>
        <v>415444.14492369886</v>
      </c>
      <c r="AH42" s="10">
        <f>inp_biz_cash_open+SUM(AG$26:AG42)</f>
        <v>5999462.137293552</v>
      </c>
      <c r="AI42" s="18">
        <f t="shared" ref="AI42" si="123">IF(AH42&lt;inp_biz_floor,1,0)</f>
        <v>0</v>
      </c>
      <c r="AJ42"/>
      <c r="AK42"/>
      <c r="AL42"/>
      <c r="AM42" s="10">
        <f t="shared" ref="AM42" si="124">inp_biz_floor</f>
        <v>400000</v>
      </c>
      <c r="AN42" s="10">
        <f t="shared" si="11"/>
        <v>369019</v>
      </c>
      <c r="AO42" s="10">
        <f>0</f>
        <v>0</v>
      </c>
      <c r="AP42" s="2"/>
      <c r="AQ42" s="2"/>
      <c r="AR42" s="2"/>
      <c r="AS42"/>
      <c r="AT42"/>
      <c r="AU42"/>
      <c r="AV42" s="10">
        <f t="shared" ref="AV42" si="125">IF(ROW()-25&lt;sel_start_m,0,(sel_salary/12*(1+sel_oncost)+sel_benefits)*calc_scn_cost_mult)</f>
        <v>15900.000000000002</v>
      </c>
      <c r="AW42" s="10">
        <f t="shared" ref="AW42" si="126">IF(ROW()-25&lt;sel_start_m,0,sel_bill_hours*sel_util*sel_rate*calc_scn_rev_mult*calc_scn_util_mult*MIN(1,sel_m1_prod+(ROW()-25-sel_start_m)*(1-sel_m1_prod)/MAX(sel_ramp_m-1,1)))</f>
        <v>30420</v>
      </c>
      <c r="AX42" s="10">
        <f t="array" ref="AX42">IF((ROW()-25)-(sel_collect_lag+calc_scn_collect_add)&gt;=1,INDEX(AW$26:AW$49,(ROW()-25)-(sel_collect_lag+calc_scn_collect_add)),0)</f>
        <v>30420</v>
      </c>
      <c r="AY42" s="10">
        <f>SUM(AV$26:AV42)</f>
        <v>270300.00000000006</v>
      </c>
      <c r="AZ42" s="10">
        <f>SUM(AX$26:AX42)</f>
        <v>431203.5</v>
      </c>
      <c r="BA42" s="10">
        <f t="shared" ref="BA42" si="127">AD42-inp_biz_cash_open</f>
        <v>4830443.137293552</v>
      </c>
      <c r="BB42" s="2"/>
      <c r="BC42" s="19">
        <f t="shared" si="15"/>
        <v>17</v>
      </c>
      <c r="BD42" s="19">
        <f>IF(OR(NOT(inp_c1_active),17&lt;inp_c1_start_m),0,((inp_c1_salary/12)*(1+inp_c1_oncost)+inp_c1_benefits)*calc_scn_cost_mult)</f>
        <v>15900.000000000002</v>
      </c>
      <c r="BE42" s="19">
        <f>IF(OR(NOT(inp_c1_active),17&lt;inp_c1_start_m),0,inp_c1_bill_hours*inp_c1_rate*calc_scn_rev_mult*calc_scn_util_mult*(inp_c1_m1_prod+MAX(0,MIN(17-inp_c1_start_m,inp_c1_ramp_m-1))*(inp_c1_util-inp_c1_m1_prod)/MAX(inp_c1_ramp_m-1,1)))</f>
        <v>30420</v>
      </c>
      <c r="BF42" s="2">
        <f>IF((17-(inp_c1_collect_lag+calc_scn_collect_add))&gt;=1,INDEX(BE:BE,25+17-(inp_c1_collect_lag+calc_scn_collect_add)),0)</f>
        <v>30420</v>
      </c>
      <c r="BG42" s="2">
        <f>SUM(BF$26:BF42)-SUM(BD$26:BD42)</f>
        <v>166694.99999999994</v>
      </c>
      <c r="BH42" s="2">
        <f>IF(OR(NOT(inp_c2_active),17&lt;inp_c2_start_m),0,((inp_c2_salary/12)*(1+inp_c2_oncost)+inp_c2_benefits)*calc_scn_cost_mult)</f>
        <v>19356.25</v>
      </c>
      <c r="BI42" s="2">
        <f>IF(OR(NOT(inp_c2_active),17&lt;inp_c2_start_m),0,inp_c2_bill_hours*inp_c2_rate*calc_scn_rev_mult*calc_scn_util_mult*(inp_c2_m1_prod+MAX(0,MIN(17-inp_c2_start_m,inp_c2_ramp_m-1))*(inp_c2_util-inp_c2_m1_prod)/MAX(inp_c2_ramp_m-1,1)))</f>
        <v>35568</v>
      </c>
      <c r="BJ42" s="2">
        <f>IF((17-(inp_c2_collect_lag+calc_scn_collect_add))&gt;=1,INDEX(BI:BI,25+17-(inp_c2_collect_lag+calc_scn_collect_add)),0)</f>
        <v>35568</v>
      </c>
      <c r="BK42" s="2">
        <f>SUM(BJ$26:BJ42)-SUM(BH$26:BH42)</f>
        <v>177384</v>
      </c>
      <c r="BL42" s="2">
        <f>IF(OR(NOT(inp_c3_active),17&lt;inp_c3_start_m),0,((inp_c3_salary/12)*(1+inp_c3_oncost)+inp_c3_benefits)*calc_scn_cost_mult)</f>
        <v>10962.5</v>
      </c>
      <c r="BM42" s="2">
        <f>IF(OR(NOT(inp_c3_active),17&lt;inp_c3_start_m),0,inp_c3_bill_hours*inp_c3_rate*calc_scn_rev_mult*calc_scn_util_mult*(inp_c3_m1_prod+MAX(0,MIN(17-inp_c3_start_m,inp_c3_ramp_m-1))*(inp_c3_util-inp_c3_m1_prod)/MAX(inp_c3_ramp_m-1,1)))</f>
        <v>20020</v>
      </c>
      <c r="BN42" s="2">
        <f>IF((17-(inp_c3_collect_lag+calc_scn_collect_add))&gt;=1,INDEX(BM:BM,25+17-(inp_c3_collect_lag+calc_scn_collect_add)),0)</f>
        <v>20020</v>
      </c>
      <c r="BO42" s="2">
        <f>SUM(BN$26:BN42)-SUM(BL$26:BL42)</f>
        <v>113937.5</v>
      </c>
      <c r="BP42" s="2">
        <f>IF(OR(NOT(inp_c4_active),17&lt;inp_c4_start_m),0,((inp_c4_salary/12)*(1+inp_c4_oncost)+inp_c4_benefits)*calc_scn_cost_mult)</f>
        <v>23800</v>
      </c>
      <c r="BQ42" s="2">
        <f>IF(OR(NOT(inp_c4_active),17&lt;inp_c4_start_m),0,inp_c4_bill_hours*inp_c4_rate*calc_scn_rev_mult*calc_scn_util_mult*(inp_c4_m1_prod+MAX(0,MIN(17-inp_c4_start_m,inp_c4_ramp_m-1))*(inp_c4_util-inp_c4_m1_prod)/MAX(inp_c4_ramp_m-1,1)))</f>
        <v>32760</v>
      </c>
      <c r="BR42" s="2">
        <f>IF((17-(inp_c4_collect_lag+calc_scn_collect_add))&gt;=1,INDEX(BQ:BQ,25+17-(inp_c4_collect_lag+calc_scn_collect_add)),0)</f>
        <v>32760</v>
      </c>
      <c r="BS42" s="2">
        <f>SUM(BR$26:BR42)-SUM(BP$26:BP42)</f>
        <v>63840</v>
      </c>
      <c r="BT42" s="2">
        <f>IF(OR(NOT(inp_c5_active),17&lt;inp_c5_start_m),0,((inp_c5_salary/12)*(1+inp_c5_oncost)+inp_c5_benefits)*calc_scn_cost_mult)</f>
        <v>7506.25</v>
      </c>
      <c r="BU42" s="2">
        <f>IF(OR(NOT(inp_c5_active),17&lt;inp_c5_start_m),0,inp_c5_bill_hours*inp_c5_rate*calc_scn_rev_mult*calc_scn_util_mult*(inp_c5_m1_prod+MAX(0,MIN(17-inp_c5_start_m,inp_c5_ramp_m-1))*(inp_c5_util-inp_c5_m1_prod)/MAX(inp_c5_ramp_m-1,1)))</f>
        <v>14559.999999999998</v>
      </c>
      <c r="BV42" s="2">
        <f>IF((17-(inp_c5_collect_lag+calc_scn_collect_add))&gt;=1,INDEX(BU:BU,25+17-(inp_c5_collect_lag+calc_scn_collect_add)),0)</f>
        <v>14559.999999999998</v>
      </c>
      <c r="BW42" s="2">
        <f>SUM(BV$26:BV42)-SUM(BT$26:BT42)</f>
        <v>67100</v>
      </c>
      <c r="BX42" s="2">
        <f>IF(OR(NOT(inp_c6_active),17&lt;inp_c6_start_m),0,((inp_c6_salary/12)*(1+inp_c6_oncost)+inp_c6_benefits)*calc_scn_cost_mult)</f>
        <v>12937.500000000002</v>
      </c>
      <c r="BY42" s="2">
        <f>IF(OR(NOT(inp_c6_active),17&lt;inp_c6_start_m),0,inp_c6_bill_hours*inp_c6_rate*calc_scn_rev_mult*calc_scn_util_mult*(inp_c6_m1_prod+MAX(0,MIN(17-inp_c6_start_m,inp_c6_ramp_m-1))*(inp_c6_util-inp_c6_m1_prod)/MAX(inp_c6_ramp_m-1,1)))</f>
        <v>0</v>
      </c>
      <c r="BZ42" s="2">
        <f>IF((17-(inp_c6_collect_lag+calc_scn_collect_add))&gt;=1,INDEX(BY:BY,25+17-(inp_c6_collect_lag+calc_scn_collect_add)),0)</f>
        <v>0</v>
      </c>
      <c r="CA42" s="2">
        <f>SUM(BZ$26:BZ42)-SUM(BX$26:BX42)</f>
        <v>-219937.50000000003</v>
      </c>
      <c r="CB42" s="2">
        <f>IF(OR(NOT(inp_c7_active),17&lt;inp_c7_start_m),0,((inp_c7_salary/12)*(1+inp_c7_oncost)+inp_c7_benefits)*calc_scn_cost_mult)</f>
        <v>0</v>
      </c>
      <c r="CC42" s="2">
        <f>IF(OR(NOT(inp_c7_active),17&lt;inp_c7_start_m),0,inp_c7_bill_hours*inp_c7_rate*calc_scn_rev_mult*calc_scn_util_mult*(inp_c7_m1_prod+MAX(0,MIN(17-inp_c7_start_m,inp_c7_ramp_m-1))*(inp_c7_util-inp_c7_m1_prod)/MAX(inp_c7_ramp_m-1,1)))</f>
        <v>0</v>
      </c>
      <c r="CD42" s="2">
        <f>IF((17-(inp_c7_collect_lag+calc_scn_collect_add))&gt;=1,INDEX(CC:CC,25+17-(inp_c7_collect_lag+calc_scn_collect_add)),0)</f>
        <v>0</v>
      </c>
      <c r="CE42" s="2">
        <f>SUM(CD$26:CD42)-SUM(CB$26:CB42)</f>
        <v>0</v>
      </c>
      <c r="CF42" s="2">
        <f>IF(OR(NOT(inp_c8_active),17&lt;inp_c8_start_m),0,((inp_c8_salary/12)*(1+inp_c8_oncost)+inp_c8_benefits)*calc_scn_cost_mult)</f>
        <v>0</v>
      </c>
      <c r="CG42" s="2">
        <f>IF(OR(NOT(inp_c8_active),17&lt;inp_c8_start_m),0,inp_c8_bill_hours*inp_c8_rate*calc_scn_rev_mult*calc_scn_util_mult*(inp_c8_m1_prod+MAX(0,MIN(17-inp_c8_start_m,inp_c8_ramp_m-1))*(inp_c8_util-inp_c8_m1_prod)/MAX(inp_c8_ramp_m-1,1)))</f>
        <v>0</v>
      </c>
      <c r="CH42" s="2">
        <f>IF((17-(inp_c8_collect_lag+calc_scn_collect_add))&gt;=1,INDEX(CG:CG,25+17-(inp_c8_collect_lag+calc_scn_collect_add)),0)</f>
        <v>0</v>
      </c>
      <c r="CI42" s="2">
        <f>SUM(CH$26:CH42)-SUM(CF$26:CF42)</f>
        <v>0</v>
      </c>
      <c r="CJ42" s="2"/>
      <c r="CK42" s="2"/>
      <c r="CL42" s="2"/>
      <c r="CM42" s="2">
        <f>IF(AND(BG42&gt;=0,17&gt;=inp_c1_start_m),17,9999)</f>
        <v>17</v>
      </c>
      <c r="CN42" s="2">
        <f>IF(AND(BK42&gt;=0,17&gt;=inp_c2_start_m),17,9999)</f>
        <v>17</v>
      </c>
      <c r="CO42" s="2">
        <f>IF(AND(BO42&gt;=0,17&gt;=inp_c3_start_m),17,9999)</f>
        <v>17</v>
      </c>
      <c r="CP42" s="2">
        <f>IF(AND(BS42&gt;=0,17&gt;=inp_c4_start_m),17,9999)</f>
        <v>17</v>
      </c>
      <c r="CQ42" s="2">
        <f>IF(AND(BW42&gt;=0,17&gt;=inp_c5_start_m),17,9999)</f>
        <v>17</v>
      </c>
      <c r="CR42" s="2">
        <f>IF(AND(CA42&gt;=0,17&gt;=inp_c6_start_m),17,9999)</f>
        <v>9999</v>
      </c>
      <c r="CS42" s="2">
        <f>IF(AND(CE42&gt;=0,17&gt;=inp_c7_start_m),17,9999)</f>
        <v>17</v>
      </c>
      <c r="CT42" s="2">
        <f>IF(AND(CI42&gt;=0,17&gt;=inp_c8_start_m),17,9999)</f>
        <v>17</v>
      </c>
      <c r="CU42" s="2"/>
      <c r="CV42" s="55">
        <f>inp_biz_cash_open+SUM(AC$26:AC42)+SUM(BF$26:BF42)-SUM(BD$26:BD42)</f>
        <v>5797138.137293552</v>
      </c>
      <c r="CW42" s="55">
        <f>inp_biz_cash_open+SUM(AC$26:AC42)+SUM(BJ$26:BJ42)-SUM(BH$26:BH42)</f>
        <v>5807827.137293552</v>
      </c>
      <c r="CX42" s="55">
        <f>inp_biz_cash_open+SUM(AC$26:AC42)+SUM(BN$26:BN42)-SUM(BL$26:BL42)</f>
        <v>5744380.637293552</v>
      </c>
      <c r="CY42" s="55">
        <f>inp_biz_cash_open+SUM(AC$26:AC42)+SUM(BR$26:BR42)-SUM(BP$26:BP42)</f>
        <v>5694283.137293552</v>
      </c>
      <c r="CZ42" s="55">
        <f>inp_biz_cash_open+SUM(AC$26:AC42)+SUM(BV$26:BV42)-SUM(BT$26:BT42)</f>
        <v>5697543.137293552</v>
      </c>
      <c r="DA42" s="55">
        <f>inp_biz_cash_open+SUM(AC$26:AC42)+SUM(BZ$26:BZ42)-SUM(BX$26:BX42)</f>
        <v>5410505.637293552</v>
      </c>
      <c r="DB42" s="55">
        <f>inp_biz_cash_open+SUM(AC$26:AC42)+SUM(CD$26:CD42)-SUM(CB$26:CB42)</f>
        <v>5630443.137293552</v>
      </c>
      <c r="DC42" s="55">
        <f>inp_biz_cash_open+SUM(AC$26:AC42)+SUM(CH$26:CH42)-SUM(CF$26:CF42)</f>
        <v>5630443.137293552</v>
      </c>
      <c r="DD42" s="2"/>
      <c r="DE42" s="2"/>
      <c r="DF42" s="2"/>
      <c r="DG42" s="2"/>
      <c r="DH42" s="2"/>
      <c r="DI42" s="2"/>
      <c r="DJ42" s="2"/>
      <c r="DK42" s="2"/>
      <c r="DL42" s="2"/>
      <c r="DM42" s="2"/>
    </row>
    <row r="43" spans="1:119" ht="16" x14ac:dyDescent="0.2">
      <c r="A43" s="1"/>
      <c r="B43" s="54" t="str">
        <f>IF(NOT(inp_c6_active),"Candidate 6 (inactive)",IF(inp_c6_role="","Candidate 6",inp_c6_role))</f>
        <v>Bid Manager</v>
      </c>
      <c r="C43" s="58" t="str">
        <f>IF(NOT(inp_c6_active),"-",IF(S57&gt;=999,"Never",S57&amp;" mo"))</f>
        <v>Never</v>
      </c>
      <c r="D43" s="56">
        <f>IF(NOT(inp_c6_active),"-",S65)</f>
        <v>12937.500000000002</v>
      </c>
      <c r="E43" s="56">
        <f>IF(NOT(inp_c6_active),"-",S56)</f>
        <v>-310500.00000000006</v>
      </c>
      <c r="F43" s="59" t="str">
        <f>IF(NOT(inp_c6_active),"-",IF(S64&lt;0,"YES","NO"))</f>
        <v>NO</v>
      </c>
      <c r="G43" s="2"/>
      <c r="H43" s="2"/>
      <c r="I43" s="2"/>
      <c r="J43" s="2"/>
      <c r="K43" s="1"/>
      <c r="L43" s="2"/>
      <c r="M43" s="18">
        <v>18</v>
      </c>
      <c r="N43"/>
      <c r="O43"/>
      <c r="P43"/>
      <c r="Q43"/>
      <c r="R43"/>
      <c r="S43"/>
      <c r="T43"/>
      <c r="U43"/>
      <c r="V43"/>
      <c r="W43"/>
      <c r="X43"/>
      <c r="Y43"/>
      <c r="Z43" s="10">
        <f>inp_biz_revenue_m0*(1+inp_biz_rev_growth)^(18-1)*calc_scn_rev_mult</f>
        <v>1184304.4313729359</v>
      </c>
      <c r="AA43" s="10">
        <f t="shared" ref="AA43" si="128">inp_biz_opex_m0*calc_scn_cost_mult</f>
        <v>250000</v>
      </c>
      <c r="AB43" s="10">
        <f t="shared" ref="AB43" si="129">inp_biz_payroll_m0*calc_scn_cost_mult</f>
        <v>550000</v>
      </c>
      <c r="AC43" s="10">
        <f t="shared" si="5"/>
        <v>384304.43137293588</v>
      </c>
      <c r="AD43" s="10">
        <f>inp_biz_cash_open+SUM(AC$26:AC43)</f>
        <v>6014747.5686664879</v>
      </c>
      <c r="AE43" s="10">
        <f t="shared" si="6"/>
        <v>90462.5</v>
      </c>
      <c r="AF43" s="10">
        <f t="shared" si="7"/>
        <v>133328</v>
      </c>
      <c r="AG43" s="10">
        <f t="shared" si="8"/>
        <v>427169.93137293588</v>
      </c>
      <c r="AH43" s="10">
        <f>inp_biz_cash_open+SUM(AG$26:AG43)</f>
        <v>6426632.0686664879</v>
      </c>
      <c r="AI43" s="18">
        <f t="shared" ref="AI43" si="130">IF(AH43&lt;inp_biz_floor,1,0)</f>
        <v>0</v>
      </c>
      <c r="AJ43"/>
      <c r="AK43"/>
      <c r="AL43"/>
      <c r="AM43" s="10">
        <f t="shared" ref="AM43" si="131">inp_biz_floor</f>
        <v>400000</v>
      </c>
      <c r="AN43" s="10">
        <f t="shared" si="11"/>
        <v>411884.5</v>
      </c>
      <c r="AO43" s="10">
        <f>0</f>
        <v>0</v>
      </c>
      <c r="AP43" s="2"/>
      <c r="AQ43" s="2"/>
      <c r="AR43" s="2"/>
      <c r="AS43"/>
      <c r="AT43"/>
      <c r="AU43"/>
      <c r="AV43" s="10">
        <f t="shared" ref="AV43" si="132">IF(ROW()-25&lt;sel_start_m,0,(sel_salary/12*(1+sel_oncost)+sel_benefits)*calc_scn_cost_mult)</f>
        <v>15900.000000000002</v>
      </c>
      <c r="AW43" s="10">
        <f t="shared" ref="AW43" si="133">IF(ROW()-25&lt;sel_start_m,0,sel_bill_hours*sel_util*sel_rate*calc_scn_rev_mult*calc_scn_util_mult*MIN(1,sel_m1_prod+(ROW()-25-sel_start_m)*(1-sel_m1_prod)/MAX(sel_ramp_m-1,1)))</f>
        <v>30420</v>
      </c>
      <c r="AX43" s="10">
        <f t="array" ref="AX43">IF((ROW()-25)-(sel_collect_lag+calc_scn_collect_add)&gt;=1,INDEX(AW$26:AW$49,(ROW()-25)-(sel_collect_lag+calc_scn_collect_add)),0)</f>
        <v>30420</v>
      </c>
      <c r="AY43" s="10">
        <f>SUM(AV$26:AV43)</f>
        <v>286200.00000000006</v>
      </c>
      <c r="AZ43" s="10">
        <f>SUM(AX$26:AX43)</f>
        <v>461623.5</v>
      </c>
      <c r="BA43" s="10">
        <f t="shared" ref="BA43" si="134">AD43-inp_biz_cash_open</f>
        <v>5214747.5686664879</v>
      </c>
      <c r="BB43" s="2"/>
      <c r="BC43" s="19">
        <f t="shared" si="15"/>
        <v>18</v>
      </c>
      <c r="BD43" s="19">
        <f>IF(OR(NOT(inp_c1_active),18&lt;inp_c1_start_m),0,((inp_c1_salary/12)*(1+inp_c1_oncost)+inp_c1_benefits)*calc_scn_cost_mult)</f>
        <v>15900.000000000002</v>
      </c>
      <c r="BE43" s="19">
        <f>IF(OR(NOT(inp_c1_active),18&lt;inp_c1_start_m),0,inp_c1_bill_hours*inp_c1_rate*calc_scn_rev_mult*calc_scn_util_mult*(inp_c1_m1_prod+MAX(0,MIN(18-inp_c1_start_m,inp_c1_ramp_m-1))*(inp_c1_util-inp_c1_m1_prod)/MAX(inp_c1_ramp_m-1,1)))</f>
        <v>30420</v>
      </c>
      <c r="BF43" s="2">
        <f>IF((18-(inp_c1_collect_lag+calc_scn_collect_add))&gt;=1,INDEX(BE:BE,25+18-(inp_c1_collect_lag+calc_scn_collect_add)),0)</f>
        <v>30420</v>
      </c>
      <c r="BG43" s="2">
        <f>SUM(BF$26:BF43)-SUM(BD$26:BD43)</f>
        <v>181214.99999999994</v>
      </c>
      <c r="BH43" s="2">
        <f>IF(OR(NOT(inp_c2_active),18&lt;inp_c2_start_m),0,((inp_c2_salary/12)*(1+inp_c2_oncost)+inp_c2_benefits)*calc_scn_cost_mult)</f>
        <v>19356.25</v>
      </c>
      <c r="BI43" s="2">
        <f>IF(OR(NOT(inp_c2_active),18&lt;inp_c2_start_m),0,inp_c2_bill_hours*inp_c2_rate*calc_scn_rev_mult*calc_scn_util_mult*(inp_c2_m1_prod+MAX(0,MIN(18-inp_c2_start_m,inp_c2_ramp_m-1))*(inp_c2_util-inp_c2_m1_prod)/MAX(inp_c2_ramp_m-1,1)))</f>
        <v>35568</v>
      </c>
      <c r="BJ43" s="2">
        <f>IF((18-(inp_c2_collect_lag+calc_scn_collect_add))&gt;=1,INDEX(BI:BI,25+18-(inp_c2_collect_lag+calc_scn_collect_add)),0)</f>
        <v>35568</v>
      </c>
      <c r="BK43" s="2">
        <f>SUM(BJ$26:BJ43)-SUM(BH$26:BH43)</f>
        <v>193595.75</v>
      </c>
      <c r="BL43" s="2">
        <f>IF(OR(NOT(inp_c3_active),18&lt;inp_c3_start_m),0,((inp_c3_salary/12)*(1+inp_c3_oncost)+inp_c3_benefits)*calc_scn_cost_mult)</f>
        <v>10962.5</v>
      </c>
      <c r="BM43" s="2">
        <f>IF(OR(NOT(inp_c3_active),18&lt;inp_c3_start_m),0,inp_c3_bill_hours*inp_c3_rate*calc_scn_rev_mult*calc_scn_util_mult*(inp_c3_m1_prod+MAX(0,MIN(18-inp_c3_start_m,inp_c3_ramp_m-1))*(inp_c3_util-inp_c3_m1_prod)/MAX(inp_c3_ramp_m-1,1)))</f>
        <v>20020</v>
      </c>
      <c r="BN43" s="2">
        <f>IF((18-(inp_c3_collect_lag+calc_scn_collect_add))&gt;=1,INDEX(BM:BM,25+18-(inp_c3_collect_lag+calc_scn_collect_add)),0)</f>
        <v>20020</v>
      </c>
      <c r="BO43" s="2">
        <f>SUM(BN$26:BN43)-SUM(BL$26:BL43)</f>
        <v>122995</v>
      </c>
      <c r="BP43" s="2">
        <f>IF(OR(NOT(inp_c4_active),18&lt;inp_c4_start_m),0,((inp_c4_salary/12)*(1+inp_c4_oncost)+inp_c4_benefits)*calc_scn_cost_mult)</f>
        <v>23800</v>
      </c>
      <c r="BQ43" s="2">
        <f>IF(OR(NOT(inp_c4_active),18&lt;inp_c4_start_m),0,inp_c4_bill_hours*inp_c4_rate*calc_scn_rev_mult*calc_scn_util_mult*(inp_c4_m1_prod+MAX(0,MIN(18-inp_c4_start_m,inp_c4_ramp_m-1))*(inp_c4_util-inp_c4_m1_prod)/MAX(inp_c4_ramp_m-1,1)))</f>
        <v>32760</v>
      </c>
      <c r="BR43" s="2">
        <f>IF((18-(inp_c4_collect_lag+calc_scn_collect_add))&gt;=1,INDEX(BQ:BQ,25+18-(inp_c4_collect_lag+calc_scn_collect_add)),0)</f>
        <v>32760</v>
      </c>
      <c r="BS43" s="2">
        <f>SUM(BR$26:BR43)-SUM(BP$26:BP43)</f>
        <v>72800</v>
      </c>
      <c r="BT43" s="2">
        <f>IF(OR(NOT(inp_c5_active),18&lt;inp_c5_start_m),0,((inp_c5_salary/12)*(1+inp_c5_oncost)+inp_c5_benefits)*calc_scn_cost_mult)</f>
        <v>7506.25</v>
      </c>
      <c r="BU43" s="2">
        <f>IF(OR(NOT(inp_c5_active),18&lt;inp_c5_start_m),0,inp_c5_bill_hours*inp_c5_rate*calc_scn_rev_mult*calc_scn_util_mult*(inp_c5_m1_prod+MAX(0,MIN(18-inp_c5_start_m,inp_c5_ramp_m-1))*(inp_c5_util-inp_c5_m1_prod)/MAX(inp_c5_ramp_m-1,1)))</f>
        <v>14559.999999999998</v>
      </c>
      <c r="BV43" s="2">
        <f>IF((18-(inp_c5_collect_lag+calc_scn_collect_add))&gt;=1,INDEX(BU:BU,25+18-(inp_c5_collect_lag+calc_scn_collect_add)),0)</f>
        <v>14559.999999999998</v>
      </c>
      <c r="BW43" s="2">
        <f>SUM(BV$26:BV43)-SUM(BT$26:BT43)</f>
        <v>74153.75</v>
      </c>
      <c r="BX43" s="2">
        <f>IF(OR(NOT(inp_c6_active),18&lt;inp_c6_start_m),0,((inp_c6_salary/12)*(1+inp_c6_oncost)+inp_c6_benefits)*calc_scn_cost_mult)</f>
        <v>12937.500000000002</v>
      </c>
      <c r="BY43" s="2">
        <f>IF(OR(NOT(inp_c6_active),18&lt;inp_c6_start_m),0,inp_c6_bill_hours*inp_c6_rate*calc_scn_rev_mult*calc_scn_util_mult*(inp_c6_m1_prod+MAX(0,MIN(18-inp_c6_start_m,inp_c6_ramp_m-1))*(inp_c6_util-inp_c6_m1_prod)/MAX(inp_c6_ramp_m-1,1)))</f>
        <v>0</v>
      </c>
      <c r="BZ43" s="2">
        <f>IF((18-(inp_c6_collect_lag+calc_scn_collect_add))&gt;=1,INDEX(BY:BY,25+18-(inp_c6_collect_lag+calc_scn_collect_add)),0)</f>
        <v>0</v>
      </c>
      <c r="CA43" s="2">
        <f>SUM(BZ$26:BZ43)-SUM(BX$26:BX43)</f>
        <v>-232875.00000000003</v>
      </c>
      <c r="CB43" s="2">
        <f>IF(OR(NOT(inp_c7_active),18&lt;inp_c7_start_m),0,((inp_c7_salary/12)*(1+inp_c7_oncost)+inp_c7_benefits)*calc_scn_cost_mult)</f>
        <v>0</v>
      </c>
      <c r="CC43" s="2">
        <f>IF(OR(NOT(inp_c7_active),18&lt;inp_c7_start_m),0,inp_c7_bill_hours*inp_c7_rate*calc_scn_rev_mult*calc_scn_util_mult*(inp_c7_m1_prod+MAX(0,MIN(18-inp_c7_start_m,inp_c7_ramp_m-1))*(inp_c7_util-inp_c7_m1_prod)/MAX(inp_c7_ramp_m-1,1)))</f>
        <v>0</v>
      </c>
      <c r="CD43" s="2">
        <f>IF((18-(inp_c7_collect_lag+calc_scn_collect_add))&gt;=1,INDEX(CC:CC,25+18-(inp_c7_collect_lag+calc_scn_collect_add)),0)</f>
        <v>0</v>
      </c>
      <c r="CE43" s="2">
        <f>SUM(CD$26:CD43)-SUM(CB$26:CB43)</f>
        <v>0</v>
      </c>
      <c r="CF43" s="2">
        <f>IF(OR(NOT(inp_c8_active),18&lt;inp_c8_start_m),0,((inp_c8_salary/12)*(1+inp_c8_oncost)+inp_c8_benefits)*calc_scn_cost_mult)</f>
        <v>0</v>
      </c>
      <c r="CG43" s="2">
        <f>IF(OR(NOT(inp_c8_active),18&lt;inp_c8_start_m),0,inp_c8_bill_hours*inp_c8_rate*calc_scn_rev_mult*calc_scn_util_mult*(inp_c8_m1_prod+MAX(0,MIN(18-inp_c8_start_m,inp_c8_ramp_m-1))*(inp_c8_util-inp_c8_m1_prod)/MAX(inp_c8_ramp_m-1,1)))</f>
        <v>0</v>
      </c>
      <c r="CH43" s="2">
        <f>IF((18-(inp_c8_collect_lag+calc_scn_collect_add))&gt;=1,INDEX(CG:CG,25+18-(inp_c8_collect_lag+calc_scn_collect_add)),0)</f>
        <v>0</v>
      </c>
      <c r="CI43" s="2">
        <f>SUM(CH$26:CH43)-SUM(CF$26:CF43)</f>
        <v>0</v>
      </c>
      <c r="CJ43" s="2"/>
      <c r="CK43" s="2"/>
      <c r="CL43" s="2"/>
      <c r="CM43" s="2">
        <f>IF(AND(BG43&gt;=0,18&gt;=inp_c1_start_m),18,9999)</f>
        <v>18</v>
      </c>
      <c r="CN43" s="2">
        <f>IF(AND(BK43&gt;=0,18&gt;=inp_c2_start_m),18,9999)</f>
        <v>18</v>
      </c>
      <c r="CO43" s="2">
        <f>IF(AND(BO43&gt;=0,18&gt;=inp_c3_start_m),18,9999)</f>
        <v>18</v>
      </c>
      <c r="CP43" s="2">
        <f>IF(AND(BS43&gt;=0,18&gt;=inp_c4_start_m),18,9999)</f>
        <v>18</v>
      </c>
      <c r="CQ43" s="2">
        <f>IF(AND(BW43&gt;=0,18&gt;=inp_c5_start_m),18,9999)</f>
        <v>18</v>
      </c>
      <c r="CR43" s="2">
        <f>IF(AND(CA43&gt;=0,18&gt;=inp_c6_start_m),18,9999)</f>
        <v>9999</v>
      </c>
      <c r="CS43" s="2">
        <f>IF(AND(CE43&gt;=0,18&gt;=inp_c7_start_m),18,9999)</f>
        <v>18</v>
      </c>
      <c r="CT43" s="2">
        <f>IF(AND(CI43&gt;=0,18&gt;=inp_c8_start_m),18,9999)</f>
        <v>18</v>
      </c>
      <c r="CU43" s="2"/>
      <c r="CV43" s="55">
        <f>inp_biz_cash_open+SUM(AC$26:AC43)+SUM(BF$26:BF43)-SUM(BD$26:BD43)</f>
        <v>6195962.5686664879</v>
      </c>
      <c r="CW43" s="55">
        <f>inp_biz_cash_open+SUM(AC$26:AC43)+SUM(BJ$26:BJ43)-SUM(BH$26:BH43)</f>
        <v>6208343.3186664879</v>
      </c>
      <c r="CX43" s="55">
        <f>inp_biz_cash_open+SUM(AC$26:AC43)+SUM(BN$26:BN43)-SUM(BL$26:BL43)</f>
        <v>6137742.5686664879</v>
      </c>
      <c r="CY43" s="55">
        <f>inp_biz_cash_open+SUM(AC$26:AC43)+SUM(BR$26:BR43)-SUM(BP$26:BP43)</f>
        <v>6087547.5686664879</v>
      </c>
      <c r="CZ43" s="55">
        <f>inp_biz_cash_open+SUM(AC$26:AC43)+SUM(BV$26:BV43)-SUM(BT$26:BT43)</f>
        <v>6088901.3186664879</v>
      </c>
      <c r="DA43" s="55">
        <f>inp_biz_cash_open+SUM(AC$26:AC43)+SUM(BZ$26:BZ43)-SUM(BX$26:BX43)</f>
        <v>5781872.5686664879</v>
      </c>
      <c r="DB43" s="55">
        <f>inp_biz_cash_open+SUM(AC$26:AC43)+SUM(CD$26:CD43)-SUM(CB$26:CB43)</f>
        <v>6014747.5686664879</v>
      </c>
      <c r="DC43" s="55">
        <f>inp_biz_cash_open+SUM(AC$26:AC43)+SUM(CH$26:CH43)-SUM(CF$26:CF43)</f>
        <v>6014747.5686664879</v>
      </c>
      <c r="DD43" s="2"/>
      <c r="DE43" s="2"/>
      <c r="DF43" s="2"/>
      <c r="DG43" s="2"/>
      <c r="DH43" s="2"/>
      <c r="DI43" s="2"/>
      <c r="DJ43" s="2"/>
      <c r="DK43" s="2"/>
      <c r="DL43" s="2"/>
      <c r="DM43" s="2"/>
    </row>
    <row r="44" spans="1:119" ht="16" x14ac:dyDescent="0.2">
      <c r="A44" s="1"/>
      <c r="B44" s="54" t="str">
        <f>IF(NOT(inp_c7_active),"Candidate 7 (inactive)",IF(inp_c7_role="","Candidate 7",inp_c7_role))</f>
        <v>Candidate 7 (inactive)</v>
      </c>
      <c r="C44" s="58" t="str">
        <f>IF(NOT(inp_c7_active),"-",IF(T57&gt;=999,"Never",T57&amp;" mo"))</f>
        <v>-</v>
      </c>
      <c r="D44" s="56" t="str">
        <f>IF(NOT(inp_c7_active),"-",T65)</f>
        <v>-</v>
      </c>
      <c r="E44" s="56" t="str">
        <f>IF(NOT(inp_c7_active),"-",T56)</f>
        <v>-</v>
      </c>
      <c r="F44" s="59" t="str">
        <f>IF(NOT(inp_c7_active),"-",IF(T64&lt;0,"YES","NO"))</f>
        <v>-</v>
      </c>
      <c r="G44" s="2"/>
      <c r="H44" s="2"/>
      <c r="I44" s="2"/>
      <c r="J44" s="2"/>
      <c r="K44" s="1"/>
      <c r="L44" s="2"/>
      <c r="M44" s="18">
        <v>19</v>
      </c>
      <c r="N44"/>
      <c r="O44"/>
      <c r="P44"/>
      <c r="Q44"/>
      <c r="R44"/>
      <c r="S44"/>
      <c r="T44"/>
      <c r="U44"/>
      <c r="V44"/>
      <c r="W44"/>
      <c r="X44"/>
      <c r="Y44"/>
      <c r="Z44" s="10">
        <f>inp_biz_revenue_m0*(1+inp_biz_rev_growth)^(19-1)*calc_scn_rev_mult</f>
        <v>1196147.4756866652</v>
      </c>
      <c r="AA44" s="10">
        <f t="shared" ref="AA44" si="135">inp_biz_opex_m0*calc_scn_cost_mult</f>
        <v>250000</v>
      </c>
      <c r="AB44" s="10">
        <f t="shared" ref="AB44" si="136">inp_biz_payroll_m0*calc_scn_cost_mult</f>
        <v>550000</v>
      </c>
      <c r="AC44" s="10">
        <f t="shared" si="5"/>
        <v>396147.47568666516</v>
      </c>
      <c r="AD44" s="10">
        <f>inp_biz_cash_open+SUM(AC$26:AC44)</f>
        <v>6410895.0443531536</v>
      </c>
      <c r="AE44" s="10">
        <f t="shared" si="6"/>
        <v>90462.5</v>
      </c>
      <c r="AF44" s="10">
        <f t="shared" si="7"/>
        <v>133328</v>
      </c>
      <c r="AG44" s="10">
        <f t="shared" si="8"/>
        <v>439012.97568666516</v>
      </c>
      <c r="AH44" s="10">
        <f>inp_biz_cash_open+SUM(AG$26:AG44)</f>
        <v>6865645.0443531536</v>
      </c>
      <c r="AI44" s="18">
        <f t="shared" ref="AI44" si="137">IF(AH44&lt;inp_biz_floor,1,0)</f>
        <v>0</v>
      </c>
      <c r="AJ44"/>
      <c r="AK44"/>
      <c r="AL44"/>
      <c r="AM44" s="10">
        <f t="shared" ref="AM44" si="138">inp_biz_floor</f>
        <v>400000</v>
      </c>
      <c r="AN44" s="10">
        <f t="shared" si="11"/>
        <v>454750</v>
      </c>
      <c r="AO44" s="10">
        <f>0</f>
        <v>0</v>
      </c>
      <c r="AP44" s="2"/>
      <c r="AQ44" s="2"/>
      <c r="AR44" s="2"/>
      <c r="AS44"/>
      <c r="AT44"/>
      <c r="AU44"/>
      <c r="AV44" s="10">
        <f t="shared" ref="AV44" si="139">IF(ROW()-25&lt;sel_start_m,0,(sel_salary/12*(1+sel_oncost)+sel_benefits)*calc_scn_cost_mult)</f>
        <v>15900.000000000002</v>
      </c>
      <c r="AW44" s="10">
        <f t="shared" ref="AW44" si="140">IF(ROW()-25&lt;sel_start_m,0,sel_bill_hours*sel_util*sel_rate*calc_scn_rev_mult*calc_scn_util_mult*MIN(1,sel_m1_prod+(ROW()-25-sel_start_m)*(1-sel_m1_prod)/MAX(sel_ramp_m-1,1)))</f>
        <v>30420</v>
      </c>
      <c r="AX44" s="10">
        <f t="array" ref="AX44">IF((ROW()-25)-(sel_collect_lag+calc_scn_collect_add)&gt;=1,INDEX(AW$26:AW$49,(ROW()-25)-(sel_collect_lag+calc_scn_collect_add)),0)</f>
        <v>30420</v>
      </c>
      <c r="AY44" s="10">
        <f>SUM(AV$26:AV44)</f>
        <v>302100.00000000006</v>
      </c>
      <c r="AZ44" s="10">
        <f>SUM(AX$26:AX44)</f>
        <v>492043.5</v>
      </c>
      <c r="BA44" s="10">
        <f t="shared" ref="BA44" si="141">AD44-inp_biz_cash_open</f>
        <v>5610895.0443531536</v>
      </c>
      <c r="BB44" s="2"/>
      <c r="BC44" s="19">
        <f t="shared" si="15"/>
        <v>19</v>
      </c>
      <c r="BD44" s="19">
        <f>IF(OR(NOT(inp_c1_active),19&lt;inp_c1_start_m),0,((inp_c1_salary/12)*(1+inp_c1_oncost)+inp_c1_benefits)*calc_scn_cost_mult)</f>
        <v>15900.000000000002</v>
      </c>
      <c r="BE44" s="19">
        <f>IF(OR(NOT(inp_c1_active),19&lt;inp_c1_start_m),0,inp_c1_bill_hours*inp_c1_rate*calc_scn_rev_mult*calc_scn_util_mult*(inp_c1_m1_prod+MAX(0,MIN(19-inp_c1_start_m,inp_c1_ramp_m-1))*(inp_c1_util-inp_c1_m1_prod)/MAX(inp_c1_ramp_m-1,1)))</f>
        <v>30420</v>
      </c>
      <c r="BF44" s="2">
        <f>IF((19-(inp_c1_collect_lag+calc_scn_collect_add))&gt;=1,INDEX(BE:BE,25+19-(inp_c1_collect_lag+calc_scn_collect_add)),0)</f>
        <v>30420</v>
      </c>
      <c r="BG44" s="2">
        <f>SUM(BF$26:BF44)-SUM(BD$26:BD44)</f>
        <v>195734.99999999994</v>
      </c>
      <c r="BH44" s="2">
        <f>IF(OR(NOT(inp_c2_active),19&lt;inp_c2_start_m),0,((inp_c2_salary/12)*(1+inp_c2_oncost)+inp_c2_benefits)*calc_scn_cost_mult)</f>
        <v>19356.25</v>
      </c>
      <c r="BI44" s="2">
        <f>IF(OR(NOT(inp_c2_active),19&lt;inp_c2_start_m),0,inp_c2_bill_hours*inp_c2_rate*calc_scn_rev_mult*calc_scn_util_mult*(inp_c2_m1_prod+MAX(0,MIN(19-inp_c2_start_m,inp_c2_ramp_m-1))*(inp_c2_util-inp_c2_m1_prod)/MAX(inp_c2_ramp_m-1,1)))</f>
        <v>35568</v>
      </c>
      <c r="BJ44" s="2">
        <f>IF((19-(inp_c2_collect_lag+calc_scn_collect_add))&gt;=1,INDEX(BI:BI,25+19-(inp_c2_collect_lag+calc_scn_collect_add)),0)</f>
        <v>35568</v>
      </c>
      <c r="BK44" s="2">
        <f>SUM(BJ$26:BJ44)-SUM(BH$26:BH44)</f>
        <v>209807.5</v>
      </c>
      <c r="BL44" s="2">
        <f>IF(OR(NOT(inp_c3_active),19&lt;inp_c3_start_m),0,((inp_c3_salary/12)*(1+inp_c3_oncost)+inp_c3_benefits)*calc_scn_cost_mult)</f>
        <v>10962.5</v>
      </c>
      <c r="BM44" s="2">
        <f>IF(OR(NOT(inp_c3_active),19&lt;inp_c3_start_m),0,inp_c3_bill_hours*inp_c3_rate*calc_scn_rev_mult*calc_scn_util_mult*(inp_c3_m1_prod+MAX(0,MIN(19-inp_c3_start_m,inp_c3_ramp_m-1))*(inp_c3_util-inp_c3_m1_prod)/MAX(inp_c3_ramp_m-1,1)))</f>
        <v>20020</v>
      </c>
      <c r="BN44" s="2">
        <f>IF((19-(inp_c3_collect_lag+calc_scn_collect_add))&gt;=1,INDEX(BM:BM,25+19-(inp_c3_collect_lag+calc_scn_collect_add)),0)</f>
        <v>20020</v>
      </c>
      <c r="BO44" s="2">
        <f>SUM(BN$26:BN44)-SUM(BL$26:BL44)</f>
        <v>132052.5</v>
      </c>
      <c r="BP44" s="2">
        <f>IF(OR(NOT(inp_c4_active),19&lt;inp_c4_start_m),0,((inp_c4_salary/12)*(1+inp_c4_oncost)+inp_c4_benefits)*calc_scn_cost_mult)</f>
        <v>23800</v>
      </c>
      <c r="BQ44" s="2">
        <f>IF(OR(NOT(inp_c4_active),19&lt;inp_c4_start_m),0,inp_c4_bill_hours*inp_c4_rate*calc_scn_rev_mult*calc_scn_util_mult*(inp_c4_m1_prod+MAX(0,MIN(19-inp_c4_start_m,inp_c4_ramp_m-1))*(inp_c4_util-inp_c4_m1_prod)/MAX(inp_c4_ramp_m-1,1)))</f>
        <v>32760</v>
      </c>
      <c r="BR44" s="2">
        <f>IF((19-(inp_c4_collect_lag+calc_scn_collect_add))&gt;=1,INDEX(BQ:BQ,25+19-(inp_c4_collect_lag+calc_scn_collect_add)),0)</f>
        <v>32760</v>
      </c>
      <c r="BS44" s="2">
        <f>SUM(BR$26:BR44)-SUM(BP$26:BP44)</f>
        <v>81760</v>
      </c>
      <c r="BT44" s="2">
        <f>IF(OR(NOT(inp_c5_active),19&lt;inp_c5_start_m),0,((inp_c5_salary/12)*(1+inp_c5_oncost)+inp_c5_benefits)*calc_scn_cost_mult)</f>
        <v>7506.25</v>
      </c>
      <c r="BU44" s="2">
        <f>IF(OR(NOT(inp_c5_active),19&lt;inp_c5_start_m),0,inp_c5_bill_hours*inp_c5_rate*calc_scn_rev_mult*calc_scn_util_mult*(inp_c5_m1_prod+MAX(0,MIN(19-inp_c5_start_m,inp_c5_ramp_m-1))*(inp_c5_util-inp_c5_m1_prod)/MAX(inp_c5_ramp_m-1,1)))</f>
        <v>14559.999999999998</v>
      </c>
      <c r="BV44" s="2">
        <f>IF((19-(inp_c5_collect_lag+calc_scn_collect_add))&gt;=1,INDEX(BU:BU,25+19-(inp_c5_collect_lag+calc_scn_collect_add)),0)</f>
        <v>14559.999999999998</v>
      </c>
      <c r="BW44" s="2">
        <f>SUM(BV$26:BV44)-SUM(BT$26:BT44)</f>
        <v>81207.5</v>
      </c>
      <c r="BX44" s="2">
        <f>IF(OR(NOT(inp_c6_active),19&lt;inp_c6_start_m),0,((inp_c6_salary/12)*(1+inp_c6_oncost)+inp_c6_benefits)*calc_scn_cost_mult)</f>
        <v>12937.500000000002</v>
      </c>
      <c r="BY44" s="2">
        <f>IF(OR(NOT(inp_c6_active),19&lt;inp_c6_start_m),0,inp_c6_bill_hours*inp_c6_rate*calc_scn_rev_mult*calc_scn_util_mult*(inp_c6_m1_prod+MAX(0,MIN(19-inp_c6_start_m,inp_c6_ramp_m-1))*(inp_c6_util-inp_c6_m1_prod)/MAX(inp_c6_ramp_m-1,1)))</f>
        <v>0</v>
      </c>
      <c r="BZ44" s="2">
        <f>IF((19-(inp_c6_collect_lag+calc_scn_collect_add))&gt;=1,INDEX(BY:BY,25+19-(inp_c6_collect_lag+calc_scn_collect_add)),0)</f>
        <v>0</v>
      </c>
      <c r="CA44" s="2">
        <f>SUM(BZ$26:BZ44)-SUM(BX$26:BX44)</f>
        <v>-245812.50000000003</v>
      </c>
      <c r="CB44" s="2">
        <f>IF(OR(NOT(inp_c7_active),19&lt;inp_c7_start_m),0,((inp_c7_salary/12)*(1+inp_c7_oncost)+inp_c7_benefits)*calc_scn_cost_mult)</f>
        <v>0</v>
      </c>
      <c r="CC44" s="2">
        <f>IF(OR(NOT(inp_c7_active),19&lt;inp_c7_start_m),0,inp_c7_bill_hours*inp_c7_rate*calc_scn_rev_mult*calc_scn_util_mult*(inp_c7_m1_prod+MAX(0,MIN(19-inp_c7_start_m,inp_c7_ramp_m-1))*(inp_c7_util-inp_c7_m1_prod)/MAX(inp_c7_ramp_m-1,1)))</f>
        <v>0</v>
      </c>
      <c r="CD44" s="2">
        <f>IF((19-(inp_c7_collect_lag+calc_scn_collect_add))&gt;=1,INDEX(CC:CC,25+19-(inp_c7_collect_lag+calc_scn_collect_add)),0)</f>
        <v>0</v>
      </c>
      <c r="CE44" s="2">
        <f>SUM(CD$26:CD44)-SUM(CB$26:CB44)</f>
        <v>0</v>
      </c>
      <c r="CF44" s="2">
        <f>IF(OR(NOT(inp_c8_active),19&lt;inp_c8_start_m),0,((inp_c8_salary/12)*(1+inp_c8_oncost)+inp_c8_benefits)*calc_scn_cost_mult)</f>
        <v>0</v>
      </c>
      <c r="CG44" s="2">
        <f>IF(OR(NOT(inp_c8_active),19&lt;inp_c8_start_m),0,inp_c8_bill_hours*inp_c8_rate*calc_scn_rev_mult*calc_scn_util_mult*(inp_c8_m1_prod+MAX(0,MIN(19-inp_c8_start_m,inp_c8_ramp_m-1))*(inp_c8_util-inp_c8_m1_prod)/MAX(inp_c8_ramp_m-1,1)))</f>
        <v>0</v>
      </c>
      <c r="CH44" s="2">
        <f>IF((19-(inp_c8_collect_lag+calc_scn_collect_add))&gt;=1,INDEX(CG:CG,25+19-(inp_c8_collect_lag+calc_scn_collect_add)),0)</f>
        <v>0</v>
      </c>
      <c r="CI44" s="2">
        <f>SUM(CH$26:CH44)-SUM(CF$26:CF44)</f>
        <v>0</v>
      </c>
      <c r="CJ44" s="2"/>
      <c r="CK44" s="2"/>
      <c r="CL44" s="2"/>
      <c r="CM44" s="2">
        <f>IF(AND(BG44&gt;=0,19&gt;=inp_c1_start_m),19,9999)</f>
        <v>19</v>
      </c>
      <c r="CN44" s="2">
        <f>IF(AND(BK44&gt;=0,19&gt;=inp_c2_start_m),19,9999)</f>
        <v>19</v>
      </c>
      <c r="CO44" s="2">
        <f>IF(AND(BO44&gt;=0,19&gt;=inp_c3_start_m),19,9999)</f>
        <v>19</v>
      </c>
      <c r="CP44" s="2">
        <f>IF(AND(BS44&gt;=0,19&gt;=inp_c4_start_m),19,9999)</f>
        <v>19</v>
      </c>
      <c r="CQ44" s="2">
        <f>IF(AND(BW44&gt;=0,19&gt;=inp_c5_start_m),19,9999)</f>
        <v>19</v>
      </c>
      <c r="CR44" s="2">
        <f>IF(AND(CA44&gt;=0,19&gt;=inp_c6_start_m),19,9999)</f>
        <v>9999</v>
      </c>
      <c r="CS44" s="2">
        <f>IF(AND(CE44&gt;=0,19&gt;=inp_c7_start_m),19,9999)</f>
        <v>19</v>
      </c>
      <c r="CT44" s="2">
        <f>IF(AND(CI44&gt;=0,19&gt;=inp_c8_start_m),19,9999)</f>
        <v>19</v>
      </c>
      <c r="CU44" s="2"/>
      <c r="CV44" s="55">
        <f>inp_biz_cash_open+SUM(AC$26:AC44)+SUM(BF$26:BF44)-SUM(BD$26:BD44)</f>
        <v>6606630.0443531536</v>
      </c>
      <c r="CW44" s="55">
        <f>inp_biz_cash_open+SUM(AC$26:AC44)+SUM(BJ$26:BJ44)-SUM(BH$26:BH44)</f>
        <v>6620702.5443531536</v>
      </c>
      <c r="CX44" s="55">
        <f>inp_biz_cash_open+SUM(AC$26:AC44)+SUM(BN$26:BN44)-SUM(BL$26:BL44)</f>
        <v>6542947.5443531536</v>
      </c>
      <c r="CY44" s="55">
        <f>inp_biz_cash_open+SUM(AC$26:AC44)+SUM(BR$26:BR44)-SUM(BP$26:BP44)</f>
        <v>6492655.0443531536</v>
      </c>
      <c r="CZ44" s="55">
        <f>inp_biz_cash_open+SUM(AC$26:AC44)+SUM(BV$26:BV44)-SUM(BT$26:BT44)</f>
        <v>6492102.5443531536</v>
      </c>
      <c r="DA44" s="55">
        <f>inp_biz_cash_open+SUM(AC$26:AC44)+SUM(BZ$26:BZ44)-SUM(BX$26:BX44)</f>
        <v>6165082.5443531536</v>
      </c>
      <c r="DB44" s="55">
        <f>inp_biz_cash_open+SUM(AC$26:AC44)+SUM(CD$26:CD44)-SUM(CB$26:CB44)</f>
        <v>6410895.0443531536</v>
      </c>
      <c r="DC44" s="55">
        <f>inp_biz_cash_open+SUM(AC$26:AC44)+SUM(CH$26:CH44)-SUM(CF$26:CF44)</f>
        <v>6410895.0443531536</v>
      </c>
      <c r="DD44" s="2"/>
      <c r="DE44" s="2"/>
      <c r="DF44" s="2"/>
      <c r="DG44" s="2"/>
      <c r="DH44" s="2"/>
      <c r="DI44" s="2"/>
      <c r="DJ44" s="2"/>
      <c r="DK44" s="2"/>
      <c r="DL44" s="2"/>
      <c r="DM44" s="2"/>
    </row>
    <row r="45" spans="1:119" ht="16" x14ac:dyDescent="0.2">
      <c r="A45" s="1"/>
      <c r="B45" s="54" t="str">
        <f>IF(NOT(inp_c8_active),"Candidate 8 (inactive)",IF(inp_c8_role="","Candidate 8",inp_c8_role))</f>
        <v>Candidate 8 (inactive)</v>
      </c>
      <c r="C45" s="58" t="str">
        <f>IF(NOT(inp_c8_active),"-",IF(U57&gt;=999,"Never",U57&amp;" mo"))</f>
        <v>-</v>
      </c>
      <c r="D45" s="56" t="str">
        <f>IF(NOT(inp_c8_active),"-",U65)</f>
        <v>-</v>
      </c>
      <c r="E45" s="56" t="str">
        <f>IF(NOT(inp_c8_active),"-",U56)</f>
        <v>-</v>
      </c>
      <c r="F45" s="59" t="str">
        <f>IF(NOT(inp_c8_active),"-",IF(U64&lt;0,"YES","NO"))</f>
        <v>-</v>
      </c>
      <c r="G45" s="2"/>
      <c r="H45" s="2"/>
      <c r="I45" s="2"/>
      <c r="J45" s="2"/>
      <c r="K45" s="1"/>
      <c r="L45" s="2"/>
      <c r="M45" s="18">
        <v>20</v>
      </c>
      <c r="N45"/>
      <c r="O45"/>
      <c r="P45"/>
      <c r="Q45"/>
      <c r="R45"/>
      <c r="S45"/>
      <c r="T45"/>
      <c r="U45"/>
      <c r="V45"/>
      <c r="W45"/>
      <c r="X45"/>
      <c r="Y45"/>
      <c r="Z45" s="10">
        <f>inp_biz_revenue_m0*(1+inp_biz_rev_growth)^(20-1)*calc_scn_rev_mult</f>
        <v>1208108.9504435316</v>
      </c>
      <c r="AA45" s="10">
        <f t="shared" ref="AA45" si="142">inp_biz_opex_m0*calc_scn_cost_mult</f>
        <v>250000</v>
      </c>
      <c r="AB45" s="10">
        <f t="shared" ref="AB45" si="143">inp_biz_payroll_m0*calc_scn_cost_mult</f>
        <v>550000</v>
      </c>
      <c r="AC45" s="10">
        <f t="shared" si="5"/>
        <v>408108.95044353162</v>
      </c>
      <c r="AD45" s="10">
        <f>inp_biz_cash_open+SUM(AC$26:AC45)</f>
        <v>6819003.9947966849</v>
      </c>
      <c r="AE45" s="10">
        <f t="shared" si="6"/>
        <v>90462.5</v>
      </c>
      <c r="AF45" s="10">
        <f t="shared" si="7"/>
        <v>133328</v>
      </c>
      <c r="AG45" s="10">
        <f t="shared" si="8"/>
        <v>450974.45044353162</v>
      </c>
      <c r="AH45" s="10">
        <f>inp_biz_cash_open+SUM(AG$26:AG45)</f>
        <v>7316619.4947966849</v>
      </c>
      <c r="AI45" s="18">
        <f t="shared" ref="AI45" si="144">IF(AH45&lt;inp_biz_floor,1,0)</f>
        <v>0</v>
      </c>
      <c r="AJ45"/>
      <c r="AK45"/>
      <c r="AL45"/>
      <c r="AM45" s="10">
        <f t="shared" ref="AM45" si="145">inp_biz_floor</f>
        <v>400000</v>
      </c>
      <c r="AN45" s="10">
        <f t="shared" si="11"/>
        <v>497615.5</v>
      </c>
      <c r="AO45" s="10">
        <f>0</f>
        <v>0</v>
      </c>
      <c r="AP45" s="2"/>
      <c r="AQ45" s="2"/>
      <c r="AR45" s="2"/>
      <c r="AS45"/>
      <c r="AT45"/>
      <c r="AU45"/>
      <c r="AV45" s="10">
        <f t="shared" ref="AV45" si="146">IF(ROW()-25&lt;sel_start_m,0,(sel_salary/12*(1+sel_oncost)+sel_benefits)*calc_scn_cost_mult)</f>
        <v>15900.000000000002</v>
      </c>
      <c r="AW45" s="10">
        <f t="shared" ref="AW45" si="147">IF(ROW()-25&lt;sel_start_m,0,sel_bill_hours*sel_util*sel_rate*calc_scn_rev_mult*calc_scn_util_mult*MIN(1,sel_m1_prod+(ROW()-25-sel_start_m)*(1-sel_m1_prod)/MAX(sel_ramp_m-1,1)))</f>
        <v>30420</v>
      </c>
      <c r="AX45" s="10">
        <f t="array" ref="AX45">IF((ROW()-25)-(sel_collect_lag+calc_scn_collect_add)&gt;=1,INDEX(AW$26:AW$49,(ROW()-25)-(sel_collect_lag+calc_scn_collect_add)),0)</f>
        <v>30420</v>
      </c>
      <c r="AY45" s="10">
        <f>SUM(AV$26:AV45)</f>
        <v>318000.00000000006</v>
      </c>
      <c r="AZ45" s="10">
        <f>SUM(AX$26:AX45)</f>
        <v>522463.5</v>
      </c>
      <c r="BA45" s="10">
        <f t="shared" ref="BA45" si="148">AD45-inp_biz_cash_open</f>
        <v>6019003.9947966849</v>
      </c>
      <c r="BB45" s="2"/>
      <c r="BC45" s="19">
        <f t="shared" si="15"/>
        <v>20</v>
      </c>
      <c r="BD45" s="19">
        <f>IF(OR(NOT(inp_c1_active),20&lt;inp_c1_start_m),0,((inp_c1_salary/12)*(1+inp_c1_oncost)+inp_c1_benefits)*calc_scn_cost_mult)</f>
        <v>15900.000000000002</v>
      </c>
      <c r="BE45" s="19">
        <f>IF(OR(NOT(inp_c1_active),20&lt;inp_c1_start_m),0,inp_c1_bill_hours*inp_c1_rate*calc_scn_rev_mult*calc_scn_util_mult*(inp_c1_m1_prod+MAX(0,MIN(20-inp_c1_start_m,inp_c1_ramp_m-1))*(inp_c1_util-inp_c1_m1_prod)/MAX(inp_c1_ramp_m-1,1)))</f>
        <v>30420</v>
      </c>
      <c r="BF45" s="2">
        <f>IF((20-(inp_c1_collect_lag+calc_scn_collect_add))&gt;=1,INDEX(BE:BE,25+20-(inp_c1_collect_lag+calc_scn_collect_add)),0)</f>
        <v>30420</v>
      </c>
      <c r="BG45" s="2">
        <f>SUM(BF$26:BF45)-SUM(BD$26:BD45)</f>
        <v>210254.99999999994</v>
      </c>
      <c r="BH45" s="2">
        <f>IF(OR(NOT(inp_c2_active),20&lt;inp_c2_start_m),0,((inp_c2_salary/12)*(1+inp_c2_oncost)+inp_c2_benefits)*calc_scn_cost_mult)</f>
        <v>19356.25</v>
      </c>
      <c r="BI45" s="2">
        <f>IF(OR(NOT(inp_c2_active),20&lt;inp_c2_start_m),0,inp_c2_bill_hours*inp_c2_rate*calc_scn_rev_mult*calc_scn_util_mult*(inp_c2_m1_prod+MAX(0,MIN(20-inp_c2_start_m,inp_c2_ramp_m-1))*(inp_c2_util-inp_c2_m1_prod)/MAX(inp_c2_ramp_m-1,1)))</f>
        <v>35568</v>
      </c>
      <c r="BJ45" s="2">
        <f>IF((20-(inp_c2_collect_lag+calc_scn_collect_add))&gt;=1,INDEX(BI:BI,25+20-(inp_c2_collect_lag+calc_scn_collect_add)),0)</f>
        <v>35568</v>
      </c>
      <c r="BK45" s="2">
        <f>SUM(BJ$26:BJ45)-SUM(BH$26:BH45)</f>
        <v>226019.25</v>
      </c>
      <c r="BL45" s="2">
        <f>IF(OR(NOT(inp_c3_active),20&lt;inp_c3_start_m),0,((inp_c3_salary/12)*(1+inp_c3_oncost)+inp_c3_benefits)*calc_scn_cost_mult)</f>
        <v>10962.5</v>
      </c>
      <c r="BM45" s="2">
        <f>IF(OR(NOT(inp_c3_active),20&lt;inp_c3_start_m),0,inp_c3_bill_hours*inp_c3_rate*calc_scn_rev_mult*calc_scn_util_mult*(inp_c3_m1_prod+MAX(0,MIN(20-inp_c3_start_m,inp_c3_ramp_m-1))*(inp_c3_util-inp_c3_m1_prod)/MAX(inp_c3_ramp_m-1,1)))</f>
        <v>20020</v>
      </c>
      <c r="BN45" s="2">
        <f>IF((20-(inp_c3_collect_lag+calc_scn_collect_add))&gt;=1,INDEX(BM:BM,25+20-(inp_c3_collect_lag+calc_scn_collect_add)),0)</f>
        <v>20020</v>
      </c>
      <c r="BO45" s="2">
        <f>SUM(BN$26:BN45)-SUM(BL$26:BL45)</f>
        <v>141110</v>
      </c>
      <c r="BP45" s="2">
        <f>IF(OR(NOT(inp_c4_active),20&lt;inp_c4_start_m),0,((inp_c4_salary/12)*(1+inp_c4_oncost)+inp_c4_benefits)*calc_scn_cost_mult)</f>
        <v>23800</v>
      </c>
      <c r="BQ45" s="2">
        <f>IF(OR(NOT(inp_c4_active),20&lt;inp_c4_start_m),0,inp_c4_bill_hours*inp_c4_rate*calc_scn_rev_mult*calc_scn_util_mult*(inp_c4_m1_prod+MAX(0,MIN(20-inp_c4_start_m,inp_c4_ramp_m-1))*(inp_c4_util-inp_c4_m1_prod)/MAX(inp_c4_ramp_m-1,1)))</f>
        <v>32760</v>
      </c>
      <c r="BR45" s="2">
        <f>IF((20-(inp_c4_collect_lag+calc_scn_collect_add))&gt;=1,INDEX(BQ:BQ,25+20-(inp_c4_collect_lag+calc_scn_collect_add)),0)</f>
        <v>32760</v>
      </c>
      <c r="BS45" s="2">
        <f>SUM(BR$26:BR45)-SUM(BP$26:BP45)</f>
        <v>90720</v>
      </c>
      <c r="BT45" s="2">
        <f>IF(OR(NOT(inp_c5_active),20&lt;inp_c5_start_m),0,((inp_c5_salary/12)*(1+inp_c5_oncost)+inp_c5_benefits)*calc_scn_cost_mult)</f>
        <v>7506.25</v>
      </c>
      <c r="BU45" s="2">
        <f>IF(OR(NOT(inp_c5_active),20&lt;inp_c5_start_m),0,inp_c5_bill_hours*inp_c5_rate*calc_scn_rev_mult*calc_scn_util_mult*(inp_c5_m1_prod+MAX(0,MIN(20-inp_c5_start_m,inp_c5_ramp_m-1))*(inp_c5_util-inp_c5_m1_prod)/MAX(inp_c5_ramp_m-1,1)))</f>
        <v>14559.999999999998</v>
      </c>
      <c r="BV45" s="2">
        <f>IF((20-(inp_c5_collect_lag+calc_scn_collect_add))&gt;=1,INDEX(BU:BU,25+20-(inp_c5_collect_lag+calc_scn_collect_add)),0)</f>
        <v>14559.999999999998</v>
      </c>
      <c r="BW45" s="2">
        <f>SUM(BV$26:BV45)-SUM(BT$26:BT45)</f>
        <v>88261.25</v>
      </c>
      <c r="BX45" s="2">
        <f>IF(OR(NOT(inp_c6_active),20&lt;inp_c6_start_m),0,((inp_c6_salary/12)*(1+inp_c6_oncost)+inp_c6_benefits)*calc_scn_cost_mult)</f>
        <v>12937.500000000002</v>
      </c>
      <c r="BY45" s="2">
        <f>IF(OR(NOT(inp_c6_active),20&lt;inp_c6_start_m),0,inp_c6_bill_hours*inp_c6_rate*calc_scn_rev_mult*calc_scn_util_mult*(inp_c6_m1_prod+MAX(0,MIN(20-inp_c6_start_m,inp_c6_ramp_m-1))*(inp_c6_util-inp_c6_m1_prod)/MAX(inp_c6_ramp_m-1,1)))</f>
        <v>0</v>
      </c>
      <c r="BZ45" s="2">
        <f>IF((20-(inp_c6_collect_lag+calc_scn_collect_add))&gt;=1,INDEX(BY:BY,25+20-(inp_c6_collect_lag+calc_scn_collect_add)),0)</f>
        <v>0</v>
      </c>
      <c r="CA45" s="2">
        <f>SUM(BZ$26:BZ45)-SUM(BX$26:BX45)</f>
        <v>-258750.00000000003</v>
      </c>
      <c r="CB45" s="2">
        <f>IF(OR(NOT(inp_c7_active),20&lt;inp_c7_start_m),0,((inp_c7_salary/12)*(1+inp_c7_oncost)+inp_c7_benefits)*calc_scn_cost_mult)</f>
        <v>0</v>
      </c>
      <c r="CC45" s="2">
        <f>IF(OR(NOT(inp_c7_active),20&lt;inp_c7_start_m),0,inp_c7_bill_hours*inp_c7_rate*calc_scn_rev_mult*calc_scn_util_mult*(inp_c7_m1_prod+MAX(0,MIN(20-inp_c7_start_m,inp_c7_ramp_m-1))*(inp_c7_util-inp_c7_m1_prod)/MAX(inp_c7_ramp_m-1,1)))</f>
        <v>0</v>
      </c>
      <c r="CD45" s="2">
        <f>IF((20-(inp_c7_collect_lag+calc_scn_collect_add))&gt;=1,INDEX(CC:CC,25+20-(inp_c7_collect_lag+calc_scn_collect_add)),0)</f>
        <v>0</v>
      </c>
      <c r="CE45" s="2">
        <f>SUM(CD$26:CD45)-SUM(CB$26:CB45)</f>
        <v>0</v>
      </c>
      <c r="CF45" s="2">
        <f>IF(OR(NOT(inp_c8_active),20&lt;inp_c8_start_m),0,((inp_c8_salary/12)*(1+inp_c8_oncost)+inp_c8_benefits)*calc_scn_cost_mult)</f>
        <v>0</v>
      </c>
      <c r="CG45" s="2">
        <f>IF(OR(NOT(inp_c8_active),20&lt;inp_c8_start_m),0,inp_c8_bill_hours*inp_c8_rate*calc_scn_rev_mult*calc_scn_util_mult*(inp_c8_m1_prod+MAX(0,MIN(20-inp_c8_start_m,inp_c8_ramp_m-1))*(inp_c8_util-inp_c8_m1_prod)/MAX(inp_c8_ramp_m-1,1)))</f>
        <v>0</v>
      </c>
      <c r="CH45" s="2">
        <f>IF((20-(inp_c8_collect_lag+calc_scn_collect_add))&gt;=1,INDEX(CG:CG,25+20-(inp_c8_collect_lag+calc_scn_collect_add)),0)</f>
        <v>0</v>
      </c>
      <c r="CI45" s="2">
        <f>SUM(CH$26:CH45)-SUM(CF$26:CF45)</f>
        <v>0</v>
      </c>
      <c r="CJ45" s="2"/>
      <c r="CK45" s="2"/>
      <c r="CL45" s="2"/>
      <c r="CM45" s="2">
        <f>IF(AND(BG45&gt;=0,20&gt;=inp_c1_start_m),20,9999)</f>
        <v>20</v>
      </c>
      <c r="CN45" s="2">
        <f>IF(AND(BK45&gt;=0,20&gt;=inp_c2_start_m),20,9999)</f>
        <v>20</v>
      </c>
      <c r="CO45" s="2">
        <f>IF(AND(BO45&gt;=0,20&gt;=inp_c3_start_m),20,9999)</f>
        <v>20</v>
      </c>
      <c r="CP45" s="2">
        <f>IF(AND(BS45&gt;=0,20&gt;=inp_c4_start_m),20,9999)</f>
        <v>20</v>
      </c>
      <c r="CQ45" s="2">
        <f>IF(AND(BW45&gt;=0,20&gt;=inp_c5_start_m),20,9999)</f>
        <v>20</v>
      </c>
      <c r="CR45" s="2">
        <f>IF(AND(CA45&gt;=0,20&gt;=inp_c6_start_m),20,9999)</f>
        <v>9999</v>
      </c>
      <c r="CS45" s="2">
        <f>IF(AND(CE45&gt;=0,20&gt;=inp_c7_start_m),20,9999)</f>
        <v>20</v>
      </c>
      <c r="CT45" s="2">
        <f>IF(AND(CI45&gt;=0,20&gt;=inp_c8_start_m),20,9999)</f>
        <v>20</v>
      </c>
      <c r="CU45" s="2"/>
      <c r="CV45" s="55">
        <f>inp_biz_cash_open+SUM(AC$26:AC45)+SUM(BF$26:BF45)-SUM(BD$26:BD45)</f>
        <v>7029258.9947966849</v>
      </c>
      <c r="CW45" s="55">
        <f>inp_biz_cash_open+SUM(AC$26:AC45)+SUM(BJ$26:BJ45)-SUM(BH$26:BH45)</f>
        <v>7045023.2447966849</v>
      </c>
      <c r="CX45" s="55">
        <f>inp_biz_cash_open+SUM(AC$26:AC45)+SUM(BN$26:BN45)-SUM(BL$26:BL45)</f>
        <v>6960113.9947966849</v>
      </c>
      <c r="CY45" s="55">
        <f>inp_biz_cash_open+SUM(AC$26:AC45)+SUM(BR$26:BR45)-SUM(BP$26:BP45)</f>
        <v>6909723.9947966849</v>
      </c>
      <c r="CZ45" s="55">
        <f>inp_biz_cash_open+SUM(AC$26:AC45)+SUM(BV$26:BV45)-SUM(BT$26:BT45)</f>
        <v>6907265.2447966849</v>
      </c>
      <c r="DA45" s="55">
        <f>inp_biz_cash_open+SUM(AC$26:AC45)+SUM(BZ$26:BZ45)-SUM(BX$26:BX45)</f>
        <v>6560253.9947966849</v>
      </c>
      <c r="DB45" s="55">
        <f>inp_biz_cash_open+SUM(AC$26:AC45)+SUM(CD$26:CD45)-SUM(CB$26:CB45)</f>
        <v>6819003.9947966849</v>
      </c>
      <c r="DC45" s="55">
        <f>inp_biz_cash_open+SUM(AC$26:AC45)+SUM(CH$26:CH45)-SUM(CF$26:CF45)</f>
        <v>6819003.9947966849</v>
      </c>
      <c r="DD45" s="2"/>
      <c r="DE45" s="2"/>
      <c r="DF45" s="2"/>
      <c r="DG45" s="2"/>
      <c r="DH45" s="2"/>
      <c r="DI45" s="2"/>
      <c r="DJ45" s="2"/>
      <c r="DK45" s="2"/>
      <c r="DL45" s="2"/>
      <c r="DM45" s="2"/>
    </row>
    <row r="46" spans="1:119" x14ac:dyDescent="0.2">
      <c r="A46" s="1"/>
      <c r="B46" s="65"/>
      <c r="C46" s="65"/>
      <c r="D46" s="1"/>
      <c r="E46" s="1"/>
      <c r="F46" s="1"/>
      <c r="G46" s="1"/>
      <c r="H46" s="1"/>
      <c r="I46" s="1"/>
      <c r="J46" s="1"/>
      <c r="K46" s="1"/>
      <c r="L46" s="2"/>
      <c r="M46" s="18">
        <v>21</v>
      </c>
      <c r="N46"/>
      <c r="O46"/>
      <c r="P46"/>
      <c r="Q46"/>
      <c r="R46"/>
      <c r="S46"/>
      <c r="T46"/>
      <c r="U46"/>
      <c r="V46"/>
      <c r="W46"/>
      <c r="X46"/>
      <c r="Y46"/>
      <c r="Z46" s="10">
        <f>inp_biz_revenue_m0*(1+inp_biz_rev_growth)^(21-1)*calc_scn_rev_mult</f>
        <v>1220190.039947967</v>
      </c>
      <c r="AA46" s="10">
        <f t="shared" ref="AA46" si="149">inp_biz_opex_m0*calc_scn_cost_mult</f>
        <v>250000</v>
      </c>
      <c r="AB46" s="10">
        <f t="shared" ref="AB46" si="150">inp_biz_payroll_m0*calc_scn_cost_mult</f>
        <v>550000</v>
      </c>
      <c r="AC46" s="10">
        <f t="shared" si="5"/>
        <v>420190.03994796705</v>
      </c>
      <c r="AD46" s="10">
        <f>inp_biz_cash_open+SUM(AC$26:AC46)</f>
        <v>7239194.034744652</v>
      </c>
      <c r="AE46" s="10">
        <f t="shared" si="6"/>
        <v>90462.5</v>
      </c>
      <c r="AF46" s="10">
        <f t="shared" si="7"/>
        <v>133328</v>
      </c>
      <c r="AG46" s="10">
        <f t="shared" si="8"/>
        <v>463055.53994796705</v>
      </c>
      <c r="AH46" s="10">
        <f>inp_biz_cash_open+SUM(AG$26:AG46)</f>
        <v>7779675.034744652</v>
      </c>
      <c r="AI46" s="18">
        <f t="shared" ref="AI46" si="151">IF(AH46&lt;inp_biz_floor,1,0)</f>
        <v>0</v>
      </c>
      <c r="AJ46"/>
      <c r="AK46"/>
      <c r="AL46"/>
      <c r="AM46" s="10">
        <f t="shared" ref="AM46" si="152">inp_biz_floor</f>
        <v>400000</v>
      </c>
      <c r="AN46" s="10">
        <f t="shared" si="11"/>
        <v>540481</v>
      </c>
      <c r="AO46" s="10">
        <f>0</f>
        <v>0</v>
      </c>
      <c r="AP46" s="2"/>
      <c r="AQ46" s="2"/>
      <c r="AR46" s="2"/>
      <c r="AS46"/>
      <c r="AT46"/>
      <c r="AU46"/>
      <c r="AV46" s="10">
        <f t="shared" ref="AV46" si="153">IF(ROW()-25&lt;sel_start_m,0,(sel_salary/12*(1+sel_oncost)+sel_benefits)*calc_scn_cost_mult)</f>
        <v>15900.000000000002</v>
      </c>
      <c r="AW46" s="10">
        <f t="shared" ref="AW46" si="154">IF(ROW()-25&lt;sel_start_m,0,sel_bill_hours*sel_util*sel_rate*calc_scn_rev_mult*calc_scn_util_mult*MIN(1,sel_m1_prod+(ROW()-25-sel_start_m)*(1-sel_m1_prod)/MAX(sel_ramp_m-1,1)))</f>
        <v>30420</v>
      </c>
      <c r="AX46" s="10">
        <f t="array" ref="AX46">IF((ROW()-25)-(sel_collect_lag+calc_scn_collect_add)&gt;=1,INDEX(AW$26:AW$49,(ROW()-25)-(sel_collect_lag+calc_scn_collect_add)),0)</f>
        <v>30420</v>
      </c>
      <c r="AY46" s="10">
        <f>SUM(AV$26:AV46)</f>
        <v>333900.00000000006</v>
      </c>
      <c r="AZ46" s="10">
        <f>SUM(AX$26:AX46)</f>
        <v>552883.5</v>
      </c>
      <c r="BA46" s="10">
        <f t="shared" ref="BA46" si="155">AD46-inp_biz_cash_open</f>
        <v>6439194.034744652</v>
      </c>
      <c r="BB46" s="2"/>
      <c r="BC46" s="19">
        <f t="shared" si="15"/>
        <v>21</v>
      </c>
      <c r="BD46" s="19">
        <f>IF(OR(NOT(inp_c1_active),21&lt;inp_c1_start_m),0,((inp_c1_salary/12)*(1+inp_c1_oncost)+inp_c1_benefits)*calc_scn_cost_mult)</f>
        <v>15900.000000000002</v>
      </c>
      <c r="BE46" s="19">
        <f>IF(OR(NOT(inp_c1_active),21&lt;inp_c1_start_m),0,inp_c1_bill_hours*inp_c1_rate*calc_scn_rev_mult*calc_scn_util_mult*(inp_c1_m1_prod+MAX(0,MIN(21-inp_c1_start_m,inp_c1_ramp_m-1))*(inp_c1_util-inp_c1_m1_prod)/MAX(inp_c1_ramp_m-1,1)))</f>
        <v>30420</v>
      </c>
      <c r="BF46" s="2">
        <f>IF((21-(inp_c1_collect_lag+calc_scn_collect_add))&gt;=1,INDEX(BE:BE,25+21-(inp_c1_collect_lag+calc_scn_collect_add)),0)</f>
        <v>30420</v>
      </c>
      <c r="BG46" s="2">
        <f>SUM(BF$26:BF46)-SUM(BD$26:BD46)</f>
        <v>224774.99999999994</v>
      </c>
      <c r="BH46" s="2">
        <f>IF(OR(NOT(inp_c2_active),21&lt;inp_c2_start_m),0,((inp_c2_salary/12)*(1+inp_c2_oncost)+inp_c2_benefits)*calc_scn_cost_mult)</f>
        <v>19356.25</v>
      </c>
      <c r="BI46" s="2">
        <f>IF(OR(NOT(inp_c2_active),21&lt;inp_c2_start_m),0,inp_c2_bill_hours*inp_c2_rate*calc_scn_rev_mult*calc_scn_util_mult*(inp_c2_m1_prod+MAX(0,MIN(21-inp_c2_start_m,inp_c2_ramp_m-1))*(inp_c2_util-inp_c2_m1_prod)/MAX(inp_c2_ramp_m-1,1)))</f>
        <v>35568</v>
      </c>
      <c r="BJ46" s="2">
        <f>IF((21-(inp_c2_collect_lag+calc_scn_collect_add))&gt;=1,INDEX(BI:BI,25+21-(inp_c2_collect_lag+calc_scn_collect_add)),0)</f>
        <v>35568</v>
      </c>
      <c r="BK46" s="2">
        <f>SUM(BJ$26:BJ46)-SUM(BH$26:BH46)</f>
        <v>242231</v>
      </c>
      <c r="BL46" s="2">
        <f>IF(OR(NOT(inp_c3_active),21&lt;inp_c3_start_m),0,((inp_c3_salary/12)*(1+inp_c3_oncost)+inp_c3_benefits)*calc_scn_cost_mult)</f>
        <v>10962.5</v>
      </c>
      <c r="BM46" s="2">
        <f>IF(OR(NOT(inp_c3_active),21&lt;inp_c3_start_m),0,inp_c3_bill_hours*inp_c3_rate*calc_scn_rev_mult*calc_scn_util_mult*(inp_c3_m1_prod+MAX(0,MIN(21-inp_c3_start_m,inp_c3_ramp_m-1))*(inp_c3_util-inp_c3_m1_prod)/MAX(inp_c3_ramp_m-1,1)))</f>
        <v>20020</v>
      </c>
      <c r="BN46" s="2">
        <f>IF((21-(inp_c3_collect_lag+calc_scn_collect_add))&gt;=1,INDEX(BM:BM,25+21-(inp_c3_collect_lag+calc_scn_collect_add)),0)</f>
        <v>20020</v>
      </c>
      <c r="BO46" s="2">
        <f>SUM(BN$26:BN46)-SUM(BL$26:BL46)</f>
        <v>150167.5</v>
      </c>
      <c r="BP46" s="2">
        <f>IF(OR(NOT(inp_c4_active),21&lt;inp_c4_start_m),0,((inp_c4_salary/12)*(1+inp_c4_oncost)+inp_c4_benefits)*calc_scn_cost_mult)</f>
        <v>23800</v>
      </c>
      <c r="BQ46" s="2">
        <f>IF(OR(NOT(inp_c4_active),21&lt;inp_c4_start_m),0,inp_c4_bill_hours*inp_c4_rate*calc_scn_rev_mult*calc_scn_util_mult*(inp_c4_m1_prod+MAX(0,MIN(21-inp_c4_start_m,inp_c4_ramp_m-1))*(inp_c4_util-inp_c4_m1_prod)/MAX(inp_c4_ramp_m-1,1)))</f>
        <v>32760</v>
      </c>
      <c r="BR46" s="2">
        <f>IF((21-(inp_c4_collect_lag+calc_scn_collect_add))&gt;=1,INDEX(BQ:BQ,25+21-(inp_c4_collect_lag+calc_scn_collect_add)),0)</f>
        <v>32760</v>
      </c>
      <c r="BS46" s="2">
        <f>SUM(BR$26:BR46)-SUM(BP$26:BP46)</f>
        <v>99680</v>
      </c>
      <c r="BT46" s="2">
        <f>IF(OR(NOT(inp_c5_active),21&lt;inp_c5_start_m),0,((inp_c5_salary/12)*(1+inp_c5_oncost)+inp_c5_benefits)*calc_scn_cost_mult)</f>
        <v>7506.25</v>
      </c>
      <c r="BU46" s="2">
        <f>IF(OR(NOT(inp_c5_active),21&lt;inp_c5_start_m),0,inp_c5_bill_hours*inp_c5_rate*calc_scn_rev_mult*calc_scn_util_mult*(inp_c5_m1_prod+MAX(0,MIN(21-inp_c5_start_m,inp_c5_ramp_m-1))*(inp_c5_util-inp_c5_m1_prod)/MAX(inp_c5_ramp_m-1,1)))</f>
        <v>14559.999999999998</v>
      </c>
      <c r="BV46" s="2">
        <f>IF((21-(inp_c5_collect_lag+calc_scn_collect_add))&gt;=1,INDEX(BU:BU,25+21-(inp_c5_collect_lag+calc_scn_collect_add)),0)</f>
        <v>14559.999999999998</v>
      </c>
      <c r="BW46" s="2">
        <f>SUM(BV$26:BV46)-SUM(BT$26:BT46)</f>
        <v>95315</v>
      </c>
      <c r="BX46" s="2">
        <f>IF(OR(NOT(inp_c6_active),21&lt;inp_c6_start_m),0,((inp_c6_salary/12)*(1+inp_c6_oncost)+inp_c6_benefits)*calc_scn_cost_mult)</f>
        <v>12937.500000000002</v>
      </c>
      <c r="BY46" s="2">
        <f>IF(OR(NOT(inp_c6_active),21&lt;inp_c6_start_m),0,inp_c6_bill_hours*inp_c6_rate*calc_scn_rev_mult*calc_scn_util_mult*(inp_c6_m1_prod+MAX(0,MIN(21-inp_c6_start_m,inp_c6_ramp_m-1))*(inp_c6_util-inp_c6_m1_prod)/MAX(inp_c6_ramp_m-1,1)))</f>
        <v>0</v>
      </c>
      <c r="BZ46" s="2">
        <f>IF((21-(inp_c6_collect_lag+calc_scn_collect_add))&gt;=1,INDEX(BY:BY,25+21-(inp_c6_collect_lag+calc_scn_collect_add)),0)</f>
        <v>0</v>
      </c>
      <c r="CA46" s="2">
        <f>SUM(BZ$26:BZ46)-SUM(BX$26:BX46)</f>
        <v>-271687.50000000006</v>
      </c>
      <c r="CB46" s="2">
        <f>IF(OR(NOT(inp_c7_active),21&lt;inp_c7_start_m),0,((inp_c7_salary/12)*(1+inp_c7_oncost)+inp_c7_benefits)*calc_scn_cost_mult)</f>
        <v>0</v>
      </c>
      <c r="CC46" s="2">
        <f>IF(OR(NOT(inp_c7_active),21&lt;inp_c7_start_m),0,inp_c7_bill_hours*inp_c7_rate*calc_scn_rev_mult*calc_scn_util_mult*(inp_c7_m1_prod+MAX(0,MIN(21-inp_c7_start_m,inp_c7_ramp_m-1))*(inp_c7_util-inp_c7_m1_prod)/MAX(inp_c7_ramp_m-1,1)))</f>
        <v>0</v>
      </c>
      <c r="CD46" s="2">
        <f>IF((21-(inp_c7_collect_lag+calc_scn_collect_add))&gt;=1,INDEX(CC:CC,25+21-(inp_c7_collect_lag+calc_scn_collect_add)),0)</f>
        <v>0</v>
      </c>
      <c r="CE46" s="2">
        <f>SUM(CD$26:CD46)-SUM(CB$26:CB46)</f>
        <v>0</v>
      </c>
      <c r="CF46" s="2">
        <f>IF(OR(NOT(inp_c8_active),21&lt;inp_c8_start_m),0,((inp_c8_salary/12)*(1+inp_c8_oncost)+inp_c8_benefits)*calc_scn_cost_mult)</f>
        <v>0</v>
      </c>
      <c r="CG46" s="2">
        <f>IF(OR(NOT(inp_c8_active),21&lt;inp_c8_start_m),0,inp_c8_bill_hours*inp_c8_rate*calc_scn_rev_mult*calc_scn_util_mult*(inp_c8_m1_prod+MAX(0,MIN(21-inp_c8_start_m,inp_c8_ramp_m-1))*(inp_c8_util-inp_c8_m1_prod)/MAX(inp_c8_ramp_m-1,1)))</f>
        <v>0</v>
      </c>
      <c r="CH46" s="2">
        <f>IF((21-(inp_c8_collect_lag+calc_scn_collect_add))&gt;=1,INDEX(CG:CG,25+21-(inp_c8_collect_lag+calc_scn_collect_add)),0)</f>
        <v>0</v>
      </c>
      <c r="CI46" s="2">
        <f>SUM(CH$26:CH46)-SUM(CF$26:CF46)</f>
        <v>0</v>
      </c>
      <c r="CJ46" s="2"/>
      <c r="CK46" s="2"/>
      <c r="CL46" s="2"/>
      <c r="CM46" s="2">
        <f>IF(AND(BG46&gt;=0,21&gt;=inp_c1_start_m),21,9999)</f>
        <v>21</v>
      </c>
      <c r="CN46" s="2">
        <f>IF(AND(BK46&gt;=0,21&gt;=inp_c2_start_m),21,9999)</f>
        <v>21</v>
      </c>
      <c r="CO46" s="2">
        <f>IF(AND(BO46&gt;=0,21&gt;=inp_c3_start_m),21,9999)</f>
        <v>21</v>
      </c>
      <c r="CP46" s="2">
        <f>IF(AND(BS46&gt;=0,21&gt;=inp_c4_start_m),21,9999)</f>
        <v>21</v>
      </c>
      <c r="CQ46" s="2">
        <f>IF(AND(BW46&gt;=0,21&gt;=inp_c5_start_m),21,9999)</f>
        <v>21</v>
      </c>
      <c r="CR46" s="2">
        <f>IF(AND(CA46&gt;=0,21&gt;=inp_c6_start_m),21,9999)</f>
        <v>9999</v>
      </c>
      <c r="CS46" s="2">
        <f>IF(AND(CE46&gt;=0,21&gt;=inp_c7_start_m),21,9999)</f>
        <v>21</v>
      </c>
      <c r="CT46" s="2">
        <f>IF(AND(CI46&gt;=0,21&gt;=inp_c8_start_m),21,9999)</f>
        <v>21</v>
      </c>
      <c r="CU46" s="2"/>
      <c r="CV46" s="55">
        <f>inp_biz_cash_open+SUM(AC$26:AC46)+SUM(BF$26:BF46)-SUM(BD$26:BD46)</f>
        <v>7463969.034744652</v>
      </c>
      <c r="CW46" s="55">
        <f>inp_biz_cash_open+SUM(AC$26:AC46)+SUM(BJ$26:BJ46)-SUM(BH$26:BH46)</f>
        <v>7481425.034744652</v>
      </c>
      <c r="CX46" s="55">
        <f>inp_biz_cash_open+SUM(AC$26:AC46)+SUM(BN$26:BN46)-SUM(BL$26:BL46)</f>
        <v>7389361.534744652</v>
      </c>
      <c r="CY46" s="55">
        <f>inp_biz_cash_open+SUM(AC$26:AC46)+SUM(BR$26:BR46)-SUM(BP$26:BP46)</f>
        <v>7338874.034744652</v>
      </c>
      <c r="CZ46" s="55">
        <f>inp_biz_cash_open+SUM(AC$26:AC46)+SUM(BV$26:BV46)-SUM(BT$26:BT46)</f>
        <v>7334509.034744652</v>
      </c>
      <c r="DA46" s="55">
        <f>inp_biz_cash_open+SUM(AC$26:AC46)+SUM(BZ$26:BZ46)-SUM(BX$26:BX46)</f>
        <v>6967506.534744652</v>
      </c>
      <c r="DB46" s="55">
        <f>inp_biz_cash_open+SUM(AC$26:AC46)+SUM(CD$26:CD46)-SUM(CB$26:CB46)</f>
        <v>7239194.034744652</v>
      </c>
      <c r="DC46" s="55">
        <f>inp_biz_cash_open+SUM(AC$26:AC46)+SUM(CH$26:CH46)-SUM(CF$26:CF46)</f>
        <v>7239194.034744652</v>
      </c>
      <c r="DD46" s="2"/>
      <c r="DE46" s="2"/>
      <c r="DF46" s="2"/>
      <c r="DG46" s="2"/>
      <c r="DH46" s="2"/>
      <c r="DI46" s="2"/>
      <c r="DJ46" s="2"/>
      <c r="DK46" s="19"/>
      <c r="DL46" s="2"/>
      <c r="DM46" s="2"/>
    </row>
    <row r="47" spans="1:119" x14ac:dyDescent="0.2">
      <c r="A47" s="1"/>
      <c r="B47" s="5" t="s">
        <v>112</v>
      </c>
      <c r="C47" s="65"/>
      <c r="D47" s="1"/>
      <c r="E47" s="1"/>
      <c r="F47" s="1"/>
      <c r="G47" s="1"/>
      <c r="H47" s="1"/>
      <c r="I47" s="3" t="s">
        <v>113</v>
      </c>
      <c r="J47" s="25" t="str">
        <f>TEXT(inp_biz_floor,"$#,##0")</f>
        <v>$400,000</v>
      </c>
      <c r="K47" s="1"/>
      <c r="L47" s="2"/>
      <c r="M47" s="18">
        <v>22</v>
      </c>
      <c r="N47"/>
      <c r="O47"/>
      <c r="P47"/>
      <c r="Q47"/>
      <c r="R47"/>
      <c r="S47"/>
      <c r="T47"/>
      <c r="U47"/>
      <c r="V47"/>
      <c r="W47"/>
      <c r="X47"/>
      <c r="Y47"/>
      <c r="Z47" s="10">
        <f>inp_biz_revenue_m0*(1+inp_biz_rev_growth)^(22-1)*calc_scn_rev_mult</f>
        <v>1232391.9403474466</v>
      </c>
      <c r="AA47" s="10">
        <f t="shared" ref="AA47" si="156">inp_biz_opex_m0*calc_scn_cost_mult</f>
        <v>250000</v>
      </c>
      <c r="AB47" s="10">
        <f t="shared" ref="AB47" si="157">inp_biz_payroll_m0*calc_scn_cost_mult</f>
        <v>550000</v>
      </c>
      <c r="AC47" s="10">
        <f t="shared" si="5"/>
        <v>432391.94034744659</v>
      </c>
      <c r="AD47" s="10">
        <f>inp_biz_cash_open+SUM(AC$26:AC47)</f>
        <v>7671585.9750920981</v>
      </c>
      <c r="AE47" s="10">
        <f t="shared" si="6"/>
        <v>90462.5</v>
      </c>
      <c r="AF47" s="10">
        <f t="shared" si="7"/>
        <v>133328</v>
      </c>
      <c r="AG47" s="10">
        <f t="shared" si="8"/>
        <v>475257.44034744659</v>
      </c>
      <c r="AH47" s="10">
        <f>inp_biz_cash_open+SUM(AG$26:AG47)</f>
        <v>8254932.4750920981</v>
      </c>
      <c r="AI47" s="18">
        <f t="shared" ref="AI47" si="158">IF(AH47&lt;inp_biz_floor,1,0)</f>
        <v>0</v>
      </c>
      <c r="AJ47"/>
      <c r="AK47"/>
      <c r="AL47"/>
      <c r="AM47" s="10">
        <f t="shared" ref="AM47" si="159">inp_biz_floor</f>
        <v>400000</v>
      </c>
      <c r="AN47" s="10">
        <f t="shared" si="11"/>
        <v>583346.5</v>
      </c>
      <c r="AO47" s="10">
        <f>0</f>
        <v>0</v>
      </c>
      <c r="AP47" s="2"/>
      <c r="AQ47" s="2"/>
      <c r="AR47" s="2"/>
      <c r="AS47"/>
      <c r="AT47"/>
      <c r="AU47"/>
      <c r="AV47" s="10">
        <f t="shared" ref="AV47" si="160">IF(ROW()-25&lt;sel_start_m,0,(sel_salary/12*(1+sel_oncost)+sel_benefits)*calc_scn_cost_mult)</f>
        <v>15900.000000000002</v>
      </c>
      <c r="AW47" s="10">
        <f t="shared" ref="AW47" si="161">IF(ROW()-25&lt;sel_start_m,0,sel_bill_hours*sel_util*sel_rate*calc_scn_rev_mult*calc_scn_util_mult*MIN(1,sel_m1_prod+(ROW()-25-sel_start_m)*(1-sel_m1_prod)/MAX(sel_ramp_m-1,1)))</f>
        <v>30420</v>
      </c>
      <c r="AX47" s="10">
        <f t="array" ref="AX47">IF((ROW()-25)-(sel_collect_lag+calc_scn_collect_add)&gt;=1,INDEX(AW$26:AW$49,(ROW()-25)-(sel_collect_lag+calc_scn_collect_add)),0)</f>
        <v>30420</v>
      </c>
      <c r="AY47" s="10">
        <f>SUM(AV$26:AV47)</f>
        <v>349800.00000000006</v>
      </c>
      <c r="AZ47" s="10">
        <f>SUM(AX$26:AX47)</f>
        <v>583303.5</v>
      </c>
      <c r="BA47" s="10">
        <f t="shared" ref="BA47" si="162">AD47-inp_biz_cash_open</f>
        <v>6871585.9750920981</v>
      </c>
      <c r="BB47" s="2"/>
      <c r="BC47" s="19">
        <f t="shared" si="15"/>
        <v>22</v>
      </c>
      <c r="BD47" s="19">
        <f>IF(OR(NOT(inp_c1_active),22&lt;inp_c1_start_m),0,((inp_c1_salary/12)*(1+inp_c1_oncost)+inp_c1_benefits)*calc_scn_cost_mult)</f>
        <v>15900.000000000002</v>
      </c>
      <c r="BE47" s="19">
        <f>IF(OR(NOT(inp_c1_active),22&lt;inp_c1_start_m),0,inp_c1_bill_hours*inp_c1_rate*calc_scn_rev_mult*calc_scn_util_mult*(inp_c1_m1_prod+MAX(0,MIN(22-inp_c1_start_m,inp_c1_ramp_m-1))*(inp_c1_util-inp_c1_m1_prod)/MAX(inp_c1_ramp_m-1,1)))</f>
        <v>30420</v>
      </c>
      <c r="BF47" s="2">
        <f>IF((22-(inp_c1_collect_lag+calc_scn_collect_add))&gt;=1,INDEX(BE:BE,25+22-(inp_c1_collect_lag+calc_scn_collect_add)),0)</f>
        <v>30420</v>
      </c>
      <c r="BG47" s="2">
        <f>SUM(BF$26:BF47)-SUM(BD$26:BD47)</f>
        <v>239294.99999999994</v>
      </c>
      <c r="BH47" s="2">
        <f>IF(OR(NOT(inp_c2_active),22&lt;inp_c2_start_m),0,((inp_c2_salary/12)*(1+inp_c2_oncost)+inp_c2_benefits)*calc_scn_cost_mult)</f>
        <v>19356.25</v>
      </c>
      <c r="BI47" s="2">
        <f>IF(OR(NOT(inp_c2_active),22&lt;inp_c2_start_m),0,inp_c2_bill_hours*inp_c2_rate*calc_scn_rev_mult*calc_scn_util_mult*(inp_c2_m1_prod+MAX(0,MIN(22-inp_c2_start_m,inp_c2_ramp_m-1))*(inp_c2_util-inp_c2_m1_prod)/MAX(inp_c2_ramp_m-1,1)))</f>
        <v>35568</v>
      </c>
      <c r="BJ47" s="2">
        <f>IF((22-(inp_c2_collect_lag+calc_scn_collect_add))&gt;=1,INDEX(BI:BI,25+22-(inp_c2_collect_lag+calc_scn_collect_add)),0)</f>
        <v>35568</v>
      </c>
      <c r="BK47" s="2">
        <f>SUM(BJ$26:BJ47)-SUM(BH$26:BH47)</f>
        <v>258442.75</v>
      </c>
      <c r="BL47" s="2">
        <f>IF(OR(NOT(inp_c3_active),22&lt;inp_c3_start_m),0,((inp_c3_salary/12)*(1+inp_c3_oncost)+inp_c3_benefits)*calc_scn_cost_mult)</f>
        <v>10962.5</v>
      </c>
      <c r="BM47" s="2">
        <f>IF(OR(NOT(inp_c3_active),22&lt;inp_c3_start_m),0,inp_c3_bill_hours*inp_c3_rate*calc_scn_rev_mult*calc_scn_util_mult*(inp_c3_m1_prod+MAX(0,MIN(22-inp_c3_start_m,inp_c3_ramp_m-1))*(inp_c3_util-inp_c3_m1_prod)/MAX(inp_c3_ramp_m-1,1)))</f>
        <v>20020</v>
      </c>
      <c r="BN47" s="2">
        <f>IF((22-(inp_c3_collect_lag+calc_scn_collect_add))&gt;=1,INDEX(BM:BM,25+22-(inp_c3_collect_lag+calc_scn_collect_add)),0)</f>
        <v>20020</v>
      </c>
      <c r="BO47" s="2">
        <f>SUM(BN$26:BN47)-SUM(BL$26:BL47)</f>
        <v>159225</v>
      </c>
      <c r="BP47" s="2">
        <f>IF(OR(NOT(inp_c4_active),22&lt;inp_c4_start_m),0,((inp_c4_salary/12)*(1+inp_c4_oncost)+inp_c4_benefits)*calc_scn_cost_mult)</f>
        <v>23800</v>
      </c>
      <c r="BQ47" s="2">
        <f>IF(OR(NOT(inp_c4_active),22&lt;inp_c4_start_m),0,inp_c4_bill_hours*inp_c4_rate*calc_scn_rev_mult*calc_scn_util_mult*(inp_c4_m1_prod+MAX(0,MIN(22-inp_c4_start_m,inp_c4_ramp_m-1))*(inp_c4_util-inp_c4_m1_prod)/MAX(inp_c4_ramp_m-1,1)))</f>
        <v>32760</v>
      </c>
      <c r="BR47" s="2">
        <f>IF((22-(inp_c4_collect_lag+calc_scn_collect_add))&gt;=1,INDEX(BQ:BQ,25+22-(inp_c4_collect_lag+calc_scn_collect_add)),0)</f>
        <v>32760</v>
      </c>
      <c r="BS47" s="2">
        <f>SUM(BR$26:BR47)-SUM(BP$26:BP47)</f>
        <v>108640</v>
      </c>
      <c r="BT47" s="2">
        <f>IF(OR(NOT(inp_c5_active),22&lt;inp_c5_start_m),0,((inp_c5_salary/12)*(1+inp_c5_oncost)+inp_c5_benefits)*calc_scn_cost_mult)</f>
        <v>7506.25</v>
      </c>
      <c r="BU47" s="2">
        <f>IF(OR(NOT(inp_c5_active),22&lt;inp_c5_start_m),0,inp_c5_bill_hours*inp_c5_rate*calc_scn_rev_mult*calc_scn_util_mult*(inp_c5_m1_prod+MAX(0,MIN(22-inp_c5_start_m,inp_c5_ramp_m-1))*(inp_c5_util-inp_c5_m1_prod)/MAX(inp_c5_ramp_m-1,1)))</f>
        <v>14559.999999999998</v>
      </c>
      <c r="BV47" s="2">
        <f>IF((22-(inp_c5_collect_lag+calc_scn_collect_add))&gt;=1,INDEX(BU:BU,25+22-(inp_c5_collect_lag+calc_scn_collect_add)),0)</f>
        <v>14559.999999999998</v>
      </c>
      <c r="BW47" s="2">
        <f>SUM(BV$26:BV47)-SUM(BT$26:BT47)</f>
        <v>102368.75</v>
      </c>
      <c r="BX47" s="2">
        <f>IF(OR(NOT(inp_c6_active),22&lt;inp_c6_start_m),0,((inp_c6_salary/12)*(1+inp_c6_oncost)+inp_c6_benefits)*calc_scn_cost_mult)</f>
        <v>12937.500000000002</v>
      </c>
      <c r="BY47" s="2">
        <f>IF(OR(NOT(inp_c6_active),22&lt;inp_c6_start_m),0,inp_c6_bill_hours*inp_c6_rate*calc_scn_rev_mult*calc_scn_util_mult*(inp_c6_m1_prod+MAX(0,MIN(22-inp_c6_start_m,inp_c6_ramp_m-1))*(inp_c6_util-inp_c6_m1_prod)/MAX(inp_c6_ramp_m-1,1)))</f>
        <v>0</v>
      </c>
      <c r="BZ47" s="2">
        <f>IF((22-(inp_c6_collect_lag+calc_scn_collect_add))&gt;=1,INDEX(BY:BY,25+22-(inp_c6_collect_lag+calc_scn_collect_add)),0)</f>
        <v>0</v>
      </c>
      <c r="CA47" s="2">
        <f>SUM(BZ$26:BZ47)-SUM(BX$26:BX47)</f>
        <v>-284625.00000000006</v>
      </c>
      <c r="CB47" s="2">
        <f>IF(OR(NOT(inp_c7_active),22&lt;inp_c7_start_m),0,((inp_c7_salary/12)*(1+inp_c7_oncost)+inp_c7_benefits)*calc_scn_cost_mult)</f>
        <v>0</v>
      </c>
      <c r="CC47" s="2">
        <f>IF(OR(NOT(inp_c7_active),22&lt;inp_c7_start_m),0,inp_c7_bill_hours*inp_c7_rate*calc_scn_rev_mult*calc_scn_util_mult*(inp_c7_m1_prod+MAX(0,MIN(22-inp_c7_start_m,inp_c7_ramp_m-1))*(inp_c7_util-inp_c7_m1_prod)/MAX(inp_c7_ramp_m-1,1)))</f>
        <v>0</v>
      </c>
      <c r="CD47" s="2">
        <f>IF((22-(inp_c7_collect_lag+calc_scn_collect_add))&gt;=1,INDEX(CC:CC,25+22-(inp_c7_collect_lag+calc_scn_collect_add)),0)</f>
        <v>0</v>
      </c>
      <c r="CE47" s="2">
        <f>SUM(CD$26:CD47)-SUM(CB$26:CB47)</f>
        <v>0</v>
      </c>
      <c r="CF47" s="2">
        <f>IF(OR(NOT(inp_c8_active),22&lt;inp_c8_start_m),0,((inp_c8_salary/12)*(1+inp_c8_oncost)+inp_c8_benefits)*calc_scn_cost_mult)</f>
        <v>0</v>
      </c>
      <c r="CG47" s="2">
        <f>IF(OR(NOT(inp_c8_active),22&lt;inp_c8_start_m),0,inp_c8_bill_hours*inp_c8_rate*calc_scn_rev_mult*calc_scn_util_mult*(inp_c8_m1_prod+MAX(0,MIN(22-inp_c8_start_m,inp_c8_ramp_m-1))*(inp_c8_util-inp_c8_m1_prod)/MAX(inp_c8_ramp_m-1,1)))</f>
        <v>0</v>
      </c>
      <c r="CH47" s="2">
        <f>IF((22-(inp_c8_collect_lag+calc_scn_collect_add))&gt;=1,INDEX(CG:CG,25+22-(inp_c8_collect_lag+calc_scn_collect_add)),0)</f>
        <v>0</v>
      </c>
      <c r="CI47" s="2">
        <f>SUM(CH$26:CH47)-SUM(CF$26:CF47)</f>
        <v>0</v>
      </c>
      <c r="CJ47" s="2"/>
      <c r="CK47" s="2"/>
      <c r="CL47" s="2"/>
      <c r="CM47" s="2">
        <f>IF(AND(BG47&gt;=0,22&gt;=inp_c1_start_m),22,9999)</f>
        <v>22</v>
      </c>
      <c r="CN47" s="2">
        <f>IF(AND(BK47&gt;=0,22&gt;=inp_c2_start_m),22,9999)</f>
        <v>22</v>
      </c>
      <c r="CO47" s="2">
        <f>IF(AND(BO47&gt;=0,22&gt;=inp_c3_start_m),22,9999)</f>
        <v>22</v>
      </c>
      <c r="CP47" s="2">
        <f>IF(AND(BS47&gt;=0,22&gt;=inp_c4_start_m),22,9999)</f>
        <v>22</v>
      </c>
      <c r="CQ47" s="2">
        <f>IF(AND(BW47&gt;=0,22&gt;=inp_c5_start_m),22,9999)</f>
        <v>22</v>
      </c>
      <c r="CR47" s="2">
        <f>IF(AND(CA47&gt;=0,22&gt;=inp_c6_start_m),22,9999)</f>
        <v>9999</v>
      </c>
      <c r="CS47" s="2">
        <f>IF(AND(CE47&gt;=0,22&gt;=inp_c7_start_m),22,9999)</f>
        <v>22</v>
      </c>
      <c r="CT47" s="2">
        <f>IF(AND(CI47&gt;=0,22&gt;=inp_c8_start_m),22,9999)</f>
        <v>22</v>
      </c>
      <c r="CU47" s="2"/>
      <c r="CV47" s="55">
        <f>inp_biz_cash_open+SUM(AC$26:AC47)+SUM(BF$26:BF47)-SUM(BD$26:BD47)</f>
        <v>7910880.9750920981</v>
      </c>
      <c r="CW47" s="55">
        <f>inp_biz_cash_open+SUM(AC$26:AC47)+SUM(BJ$26:BJ47)-SUM(BH$26:BH47)</f>
        <v>7930028.7250920981</v>
      </c>
      <c r="CX47" s="55">
        <f>inp_biz_cash_open+SUM(AC$26:AC47)+SUM(BN$26:BN47)-SUM(BL$26:BL47)</f>
        <v>7830810.9750920981</v>
      </c>
      <c r="CY47" s="55">
        <f>inp_biz_cash_open+SUM(AC$26:AC47)+SUM(BR$26:BR47)-SUM(BP$26:BP47)</f>
        <v>7780225.9750920981</v>
      </c>
      <c r="CZ47" s="55">
        <f>inp_biz_cash_open+SUM(AC$26:AC47)+SUM(BV$26:BV47)-SUM(BT$26:BT47)</f>
        <v>7773954.7250920981</v>
      </c>
      <c r="DA47" s="55">
        <f>inp_biz_cash_open+SUM(AC$26:AC47)+SUM(BZ$26:BZ47)-SUM(BX$26:BX47)</f>
        <v>7386960.9750920981</v>
      </c>
      <c r="DB47" s="55">
        <f>inp_biz_cash_open+SUM(AC$26:AC47)+SUM(CD$26:CD47)-SUM(CB$26:CB47)</f>
        <v>7671585.9750920981</v>
      </c>
      <c r="DC47" s="55">
        <f>inp_biz_cash_open+SUM(AC$26:AC47)+SUM(CH$26:CH47)-SUM(CF$26:CF47)</f>
        <v>7671585.9750920981</v>
      </c>
      <c r="DD47" s="2"/>
      <c r="DE47" s="2"/>
      <c r="DF47" s="2"/>
      <c r="DG47" s="2"/>
      <c r="DH47" s="2"/>
      <c r="DI47" s="2"/>
      <c r="DJ47" s="2"/>
      <c r="DK47" s="2"/>
      <c r="DL47" s="2"/>
      <c r="DM47" s="2"/>
    </row>
    <row r="48" spans="1:119" x14ac:dyDescent="0.2">
      <c r="A48" s="1"/>
      <c r="B48" s="65"/>
      <c r="C48" s="65"/>
      <c r="D48" s="1"/>
      <c r="E48" s="1"/>
      <c r="F48" s="1"/>
      <c r="G48" s="1"/>
      <c r="H48" s="1"/>
      <c r="I48" s="1"/>
      <c r="J48" s="1"/>
      <c r="K48" s="1"/>
      <c r="L48" s="2"/>
      <c r="M48" s="18">
        <v>23</v>
      </c>
      <c r="N48"/>
      <c r="O48"/>
      <c r="P48"/>
      <c r="Q48"/>
      <c r="R48"/>
      <c r="S48"/>
      <c r="T48"/>
      <c r="U48"/>
      <c r="V48"/>
      <c r="W48"/>
      <c r="X48"/>
      <c r="Y48"/>
      <c r="Z48" s="10">
        <f>inp_biz_revenue_m0*(1+inp_biz_rev_growth)^(23-1)*calc_scn_rev_mult</f>
        <v>1244715.8597509214</v>
      </c>
      <c r="AA48" s="10">
        <f t="shared" ref="AA48" si="163">inp_biz_opex_m0*calc_scn_cost_mult</f>
        <v>250000</v>
      </c>
      <c r="AB48" s="10">
        <f t="shared" ref="AB48" si="164">inp_biz_payroll_m0*calc_scn_cost_mult</f>
        <v>550000</v>
      </c>
      <c r="AC48" s="10">
        <f t="shared" si="5"/>
        <v>444715.85975092137</v>
      </c>
      <c r="AD48" s="10">
        <f>inp_biz_cash_open+SUM(AC$26:AC48)</f>
        <v>8116301.834843019</v>
      </c>
      <c r="AE48" s="10">
        <f t="shared" si="6"/>
        <v>90462.5</v>
      </c>
      <c r="AF48" s="10">
        <f t="shared" si="7"/>
        <v>133328</v>
      </c>
      <c r="AG48" s="10">
        <f t="shared" si="8"/>
        <v>487581.35975092137</v>
      </c>
      <c r="AH48" s="10">
        <f>inp_biz_cash_open+SUM(AG$26:AG48)</f>
        <v>8742513.834843019</v>
      </c>
      <c r="AI48" s="18">
        <f t="shared" ref="AI48" si="165">IF(AH48&lt;inp_biz_floor,1,0)</f>
        <v>0</v>
      </c>
      <c r="AJ48"/>
      <c r="AK48"/>
      <c r="AL48"/>
      <c r="AM48" s="10">
        <f t="shared" ref="AM48" si="166">inp_biz_floor</f>
        <v>400000</v>
      </c>
      <c r="AN48" s="10">
        <f t="shared" si="11"/>
        <v>626212</v>
      </c>
      <c r="AO48" s="10">
        <f>0</f>
        <v>0</v>
      </c>
      <c r="AP48" s="2"/>
      <c r="AQ48" s="2"/>
      <c r="AR48" s="2"/>
      <c r="AS48"/>
      <c r="AT48"/>
      <c r="AU48"/>
      <c r="AV48" s="10">
        <f t="shared" ref="AV48" si="167">IF(ROW()-25&lt;sel_start_m,0,(sel_salary/12*(1+sel_oncost)+sel_benefits)*calc_scn_cost_mult)</f>
        <v>15900.000000000002</v>
      </c>
      <c r="AW48" s="10">
        <f t="shared" ref="AW48" si="168">IF(ROW()-25&lt;sel_start_m,0,sel_bill_hours*sel_util*sel_rate*calc_scn_rev_mult*calc_scn_util_mult*MIN(1,sel_m1_prod+(ROW()-25-sel_start_m)*(1-sel_m1_prod)/MAX(sel_ramp_m-1,1)))</f>
        <v>30420</v>
      </c>
      <c r="AX48" s="10">
        <f t="array" ref="AX48">IF((ROW()-25)-(sel_collect_lag+calc_scn_collect_add)&gt;=1,INDEX(AW$26:AW$49,(ROW()-25)-(sel_collect_lag+calc_scn_collect_add)),0)</f>
        <v>30420</v>
      </c>
      <c r="AY48" s="10">
        <f>SUM(AV$26:AV48)</f>
        <v>365700.00000000006</v>
      </c>
      <c r="AZ48" s="10">
        <f>SUM(AX$26:AX48)</f>
        <v>613723.5</v>
      </c>
      <c r="BA48" s="10">
        <f t="shared" ref="BA48" si="169">AD48-inp_biz_cash_open</f>
        <v>7316301.834843019</v>
      </c>
      <c r="BB48" s="2"/>
      <c r="BC48" s="19">
        <f t="shared" si="15"/>
        <v>23</v>
      </c>
      <c r="BD48" s="19">
        <f>IF(OR(NOT(inp_c1_active),23&lt;inp_c1_start_m),0,((inp_c1_salary/12)*(1+inp_c1_oncost)+inp_c1_benefits)*calc_scn_cost_mult)</f>
        <v>15900.000000000002</v>
      </c>
      <c r="BE48" s="19">
        <f>IF(OR(NOT(inp_c1_active),23&lt;inp_c1_start_m),0,inp_c1_bill_hours*inp_c1_rate*calc_scn_rev_mult*calc_scn_util_mult*(inp_c1_m1_prod+MAX(0,MIN(23-inp_c1_start_m,inp_c1_ramp_m-1))*(inp_c1_util-inp_c1_m1_prod)/MAX(inp_c1_ramp_m-1,1)))</f>
        <v>30420</v>
      </c>
      <c r="BF48" s="2">
        <f>IF((23-(inp_c1_collect_lag+calc_scn_collect_add))&gt;=1,INDEX(BE:BE,25+23-(inp_c1_collect_lag+calc_scn_collect_add)),0)</f>
        <v>30420</v>
      </c>
      <c r="BG48" s="2">
        <f>SUM(BF$26:BF48)-SUM(BD$26:BD48)</f>
        <v>253814.99999999994</v>
      </c>
      <c r="BH48" s="2">
        <f>IF(OR(NOT(inp_c2_active),23&lt;inp_c2_start_m),0,((inp_c2_salary/12)*(1+inp_c2_oncost)+inp_c2_benefits)*calc_scn_cost_mult)</f>
        <v>19356.25</v>
      </c>
      <c r="BI48" s="2">
        <f>IF(OR(NOT(inp_c2_active),23&lt;inp_c2_start_m),0,inp_c2_bill_hours*inp_c2_rate*calc_scn_rev_mult*calc_scn_util_mult*(inp_c2_m1_prod+MAX(0,MIN(23-inp_c2_start_m,inp_c2_ramp_m-1))*(inp_c2_util-inp_c2_m1_prod)/MAX(inp_c2_ramp_m-1,1)))</f>
        <v>35568</v>
      </c>
      <c r="BJ48" s="2">
        <f>IF((23-(inp_c2_collect_lag+calc_scn_collect_add))&gt;=1,INDEX(BI:BI,25+23-(inp_c2_collect_lag+calc_scn_collect_add)),0)</f>
        <v>35568</v>
      </c>
      <c r="BK48" s="2">
        <f>SUM(BJ$26:BJ48)-SUM(BH$26:BH48)</f>
        <v>274654.5</v>
      </c>
      <c r="BL48" s="2">
        <f>IF(OR(NOT(inp_c3_active),23&lt;inp_c3_start_m),0,((inp_c3_salary/12)*(1+inp_c3_oncost)+inp_c3_benefits)*calc_scn_cost_mult)</f>
        <v>10962.5</v>
      </c>
      <c r="BM48" s="2">
        <f>IF(OR(NOT(inp_c3_active),23&lt;inp_c3_start_m),0,inp_c3_bill_hours*inp_c3_rate*calc_scn_rev_mult*calc_scn_util_mult*(inp_c3_m1_prod+MAX(0,MIN(23-inp_c3_start_m,inp_c3_ramp_m-1))*(inp_c3_util-inp_c3_m1_prod)/MAX(inp_c3_ramp_m-1,1)))</f>
        <v>20020</v>
      </c>
      <c r="BN48" s="2">
        <f>IF((23-(inp_c3_collect_lag+calc_scn_collect_add))&gt;=1,INDEX(BM:BM,25+23-(inp_c3_collect_lag+calc_scn_collect_add)),0)</f>
        <v>20020</v>
      </c>
      <c r="BO48" s="2">
        <f>SUM(BN$26:BN48)-SUM(BL$26:BL48)</f>
        <v>168282.5</v>
      </c>
      <c r="BP48" s="2">
        <f>IF(OR(NOT(inp_c4_active),23&lt;inp_c4_start_m),0,((inp_c4_salary/12)*(1+inp_c4_oncost)+inp_c4_benefits)*calc_scn_cost_mult)</f>
        <v>23800</v>
      </c>
      <c r="BQ48" s="2">
        <f>IF(OR(NOT(inp_c4_active),23&lt;inp_c4_start_m),0,inp_c4_bill_hours*inp_c4_rate*calc_scn_rev_mult*calc_scn_util_mult*(inp_c4_m1_prod+MAX(0,MIN(23-inp_c4_start_m,inp_c4_ramp_m-1))*(inp_c4_util-inp_c4_m1_prod)/MAX(inp_c4_ramp_m-1,1)))</f>
        <v>32760</v>
      </c>
      <c r="BR48" s="2">
        <f>IF((23-(inp_c4_collect_lag+calc_scn_collect_add))&gt;=1,INDEX(BQ:BQ,25+23-(inp_c4_collect_lag+calc_scn_collect_add)),0)</f>
        <v>32760</v>
      </c>
      <c r="BS48" s="2">
        <f>SUM(BR$26:BR48)-SUM(BP$26:BP48)</f>
        <v>117600</v>
      </c>
      <c r="BT48" s="2">
        <f>IF(OR(NOT(inp_c5_active),23&lt;inp_c5_start_m),0,((inp_c5_salary/12)*(1+inp_c5_oncost)+inp_c5_benefits)*calc_scn_cost_mult)</f>
        <v>7506.25</v>
      </c>
      <c r="BU48" s="2">
        <f>IF(OR(NOT(inp_c5_active),23&lt;inp_c5_start_m),0,inp_c5_bill_hours*inp_c5_rate*calc_scn_rev_mult*calc_scn_util_mult*(inp_c5_m1_prod+MAX(0,MIN(23-inp_c5_start_m,inp_c5_ramp_m-1))*(inp_c5_util-inp_c5_m1_prod)/MAX(inp_c5_ramp_m-1,1)))</f>
        <v>14559.999999999998</v>
      </c>
      <c r="BV48" s="2">
        <f>IF((23-(inp_c5_collect_lag+calc_scn_collect_add))&gt;=1,INDEX(BU:BU,25+23-(inp_c5_collect_lag+calc_scn_collect_add)),0)</f>
        <v>14559.999999999998</v>
      </c>
      <c r="BW48" s="2">
        <f>SUM(BV$26:BV48)-SUM(BT$26:BT48)</f>
        <v>109422.5</v>
      </c>
      <c r="BX48" s="2">
        <f>IF(OR(NOT(inp_c6_active),23&lt;inp_c6_start_m),0,((inp_c6_salary/12)*(1+inp_c6_oncost)+inp_c6_benefits)*calc_scn_cost_mult)</f>
        <v>12937.500000000002</v>
      </c>
      <c r="BY48" s="2">
        <f>IF(OR(NOT(inp_c6_active),23&lt;inp_c6_start_m),0,inp_c6_bill_hours*inp_c6_rate*calc_scn_rev_mult*calc_scn_util_mult*(inp_c6_m1_prod+MAX(0,MIN(23-inp_c6_start_m,inp_c6_ramp_m-1))*(inp_c6_util-inp_c6_m1_prod)/MAX(inp_c6_ramp_m-1,1)))</f>
        <v>0</v>
      </c>
      <c r="BZ48" s="2">
        <f>IF((23-(inp_c6_collect_lag+calc_scn_collect_add))&gt;=1,INDEX(BY:BY,25+23-(inp_c6_collect_lag+calc_scn_collect_add)),0)</f>
        <v>0</v>
      </c>
      <c r="CA48" s="2">
        <f>SUM(BZ$26:BZ48)-SUM(BX$26:BX48)</f>
        <v>-297562.50000000006</v>
      </c>
      <c r="CB48" s="2">
        <f>IF(OR(NOT(inp_c7_active),23&lt;inp_c7_start_m),0,((inp_c7_salary/12)*(1+inp_c7_oncost)+inp_c7_benefits)*calc_scn_cost_mult)</f>
        <v>0</v>
      </c>
      <c r="CC48" s="2">
        <f>IF(OR(NOT(inp_c7_active),23&lt;inp_c7_start_m),0,inp_c7_bill_hours*inp_c7_rate*calc_scn_rev_mult*calc_scn_util_mult*(inp_c7_m1_prod+MAX(0,MIN(23-inp_c7_start_m,inp_c7_ramp_m-1))*(inp_c7_util-inp_c7_m1_prod)/MAX(inp_c7_ramp_m-1,1)))</f>
        <v>0</v>
      </c>
      <c r="CD48" s="2">
        <f>IF((23-(inp_c7_collect_lag+calc_scn_collect_add))&gt;=1,INDEX(CC:CC,25+23-(inp_c7_collect_lag+calc_scn_collect_add)),0)</f>
        <v>0</v>
      </c>
      <c r="CE48" s="2">
        <f>SUM(CD$26:CD48)-SUM(CB$26:CB48)</f>
        <v>0</v>
      </c>
      <c r="CF48" s="2">
        <f>IF(OR(NOT(inp_c8_active),23&lt;inp_c8_start_m),0,((inp_c8_salary/12)*(1+inp_c8_oncost)+inp_c8_benefits)*calc_scn_cost_mult)</f>
        <v>0</v>
      </c>
      <c r="CG48" s="2">
        <f>IF(OR(NOT(inp_c8_active),23&lt;inp_c8_start_m),0,inp_c8_bill_hours*inp_c8_rate*calc_scn_rev_mult*calc_scn_util_mult*(inp_c8_m1_prod+MAX(0,MIN(23-inp_c8_start_m,inp_c8_ramp_m-1))*(inp_c8_util-inp_c8_m1_prod)/MAX(inp_c8_ramp_m-1,1)))</f>
        <v>0</v>
      </c>
      <c r="CH48" s="2">
        <f>IF((23-(inp_c8_collect_lag+calc_scn_collect_add))&gt;=1,INDEX(CG:CG,25+23-(inp_c8_collect_lag+calc_scn_collect_add)),0)</f>
        <v>0</v>
      </c>
      <c r="CI48" s="2">
        <f>SUM(CH$26:CH48)-SUM(CF$26:CF48)</f>
        <v>0</v>
      </c>
      <c r="CJ48" s="2"/>
      <c r="CK48" s="2"/>
      <c r="CL48" s="2"/>
      <c r="CM48" s="2">
        <f>IF(AND(BG48&gt;=0,23&gt;=inp_c1_start_m),23,9999)</f>
        <v>23</v>
      </c>
      <c r="CN48" s="2">
        <f>IF(AND(BK48&gt;=0,23&gt;=inp_c2_start_m),23,9999)</f>
        <v>23</v>
      </c>
      <c r="CO48" s="2">
        <f>IF(AND(BO48&gt;=0,23&gt;=inp_c3_start_m),23,9999)</f>
        <v>23</v>
      </c>
      <c r="CP48" s="2">
        <f>IF(AND(BS48&gt;=0,23&gt;=inp_c4_start_m),23,9999)</f>
        <v>23</v>
      </c>
      <c r="CQ48" s="2">
        <f>IF(AND(BW48&gt;=0,23&gt;=inp_c5_start_m),23,9999)</f>
        <v>23</v>
      </c>
      <c r="CR48" s="2">
        <f>IF(AND(CA48&gt;=0,23&gt;=inp_c6_start_m),23,9999)</f>
        <v>9999</v>
      </c>
      <c r="CS48" s="2">
        <f>IF(AND(CE48&gt;=0,23&gt;=inp_c7_start_m),23,9999)</f>
        <v>23</v>
      </c>
      <c r="CT48" s="2">
        <f>IF(AND(CI48&gt;=0,23&gt;=inp_c8_start_m),23,9999)</f>
        <v>23</v>
      </c>
      <c r="CU48" s="2"/>
      <c r="CV48" s="55">
        <f>inp_biz_cash_open+SUM(AC$26:AC48)+SUM(BF$26:BF48)-SUM(BD$26:BD48)</f>
        <v>8370116.834843019</v>
      </c>
      <c r="CW48" s="55">
        <f>inp_biz_cash_open+SUM(AC$26:AC48)+SUM(BJ$26:BJ48)-SUM(BH$26:BH48)</f>
        <v>8390956.334843019</v>
      </c>
      <c r="CX48" s="55">
        <f>inp_biz_cash_open+SUM(AC$26:AC48)+SUM(BN$26:BN48)-SUM(BL$26:BL48)</f>
        <v>8284584.334843019</v>
      </c>
      <c r="CY48" s="55">
        <f>inp_biz_cash_open+SUM(AC$26:AC48)+SUM(BR$26:BR48)-SUM(BP$26:BP48)</f>
        <v>8233901.834843019</v>
      </c>
      <c r="CZ48" s="55">
        <f>inp_biz_cash_open+SUM(AC$26:AC48)+SUM(BV$26:BV48)-SUM(BT$26:BT48)</f>
        <v>8225724.334843019</v>
      </c>
      <c r="DA48" s="55">
        <f>inp_biz_cash_open+SUM(AC$26:AC48)+SUM(BZ$26:BZ48)-SUM(BX$26:BX48)</f>
        <v>7818739.334843019</v>
      </c>
      <c r="DB48" s="55">
        <f>inp_biz_cash_open+SUM(AC$26:AC48)+SUM(CD$26:CD48)-SUM(CB$26:CB48)</f>
        <v>8116301.834843019</v>
      </c>
      <c r="DC48" s="55">
        <f>inp_biz_cash_open+SUM(AC$26:AC48)+SUM(CH$26:CH48)-SUM(CF$26:CF48)</f>
        <v>8116301.834843019</v>
      </c>
      <c r="DD48" s="2"/>
      <c r="DE48" s="2"/>
      <c r="DF48" s="2"/>
      <c r="DG48" s="2"/>
      <c r="DH48" s="2"/>
      <c r="DI48" s="2"/>
      <c r="DJ48" s="2"/>
      <c r="DK48" s="2"/>
      <c r="DL48" s="2"/>
      <c r="DM48" s="2"/>
    </row>
    <row r="49" spans="1:117" x14ac:dyDescent="0.2">
      <c r="A49" s="1"/>
      <c r="B49" s="65"/>
      <c r="C49" s="65"/>
      <c r="D49" s="1"/>
      <c r="E49" s="1"/>
      <c r="F49" s="1"/>
      <c r="G49" s="1"/>
      <c r="H49" s="1"/>
      <c r="I49" s="1"/>
      <c r="J49" s="1"/>
      <c r="K49" s="1"/>
      <c r="L49" s="2"/>
      <c r="M49" s="18">
        <v>24</v>
      </c>
      <c r="N49"/>
      <c r="O49"/>
      <c r="P49"/>
      <c r="Q49"/>
      <c r="R49"/>
      <c r="S49"/>
      <c r="T49"/>
      <c r="U49"/>
      <c r="V49"/>
      <c r="W49"/>
      <c r="X49"/>
      <c r="Y49"/>
      <c r="Z49" s="10">
        <f>inp_biz_revenue_m0*(1+inp_biz_rev_growth)^(24-1)*calc_scn_rev_mult</f>
        <v>1257163.0183484303</v>
      </c>
      <c r="AA49" s="10">
        <f t="shared" ref="AA49" si="170">inp_biz_opex_m0*calc_scn_cost_mult</f>
        <v>250000</v>
      </c>
      <c r="AB49" s="10">
        <f t="shared" ref="AB49" si="171">inp_biz_payroll_m0*calc_scn_cost_mult</f>
        <v>550000</v>
      </c>
      <c r="AC49" s="10">
        <f t="shared" si="5"/>
        <v>457163.01834843028</v>
      </c>
      <c r="AD49" s="10">
        <f>inp_biz_cash_open+SUM(AC$26:AC49)</f>
        <v>8573464.8531914502</v>
      </c>
      <c r="AE49" s="10">
        <f t="shared" si="6"/>
        <v>90462.5</v>
      </c>
      <c r="AF49" s="10">
        <f t="shared" si="7"/>
        <v>133328</v>
      </c>
      <c r="AG49" s="10">
        <f t="shared" si="8"/>
        <v>500028.51834843028</v>
      </c>
      <c r="AH49" s="10">
        <f>inp_biz_cash_open+SUM(AG$26:AG49)</f>
        <v>9242542.3531914502</v>
      </c>
      <c r="AI49" s="18">
        <f t="shared" ref="AI49" si="172">IF(AH49&lt;inp_biz_floor,1,0)</f>
        <v>0</v>
      </c>
      <c r="AJ49"/>
      <c r="AK49"/>
      <c r="AL49"/>
      <c r="AM49" s="10">
        <f t="shared" ref="AM49" si="173">inp_biz_floor</f>
        <v>400000</v>
      </c>
      <c r="AN49" s="10">
        <f t="shared" si="11"/>
        <v>669077.5</v>
      </c>
      <c r="AO49" s="10">
        <f>0</f>
        <v>0</v>
      </c>
      <c r="AP49" s="2"/>
      <c r="AQ49" s="2"/>
      <c r="AR49" s="2"/>
      <c r="AS49"/>
      <c r="AT49"/>
      <c r="AU49"/>
      <c r="AV49" s="10">
        <f t="shared" ref="AV49" si="174">IF(ROW()-25&lt;sel_start_m,0,(sel_salary/12*(1+sel_oncost)+sel_benefits)*calc_scn_cost_mult)</f>
        <v>15900.000000000002</v>
      </c>
      <c r="AW49" s="10">
        <f t="shared" ref="AW49" si="175">IF(ROW()-25&lt;sel_start_m,0,sel_bill_hours*sel_util*sel_rate*calc_scn_rev_mult*calc_scn_util_mult*MIN(1,sel_m1_prod+(ROW()-25-sel_start_m)*(1-sel_m1_prod)/MAX(sel_ramp_m-1,1)))</f>
        <v>30420</v>
      </c>
      <c r="AX49" s="10">
        <f t="array" ref="AX49">IF((ROW()-25)-(sel_collect_lag+calc_scn_collect_add)&gt;=1,INDEX(AW$26:AW$49,(ROW()-25)-(sel_collect_lag+calc_scn_collect_add)),0)</f>
        <v>30420</v>
      </c>
      <c r="AY49" s="10">
        <f>SUM(AV$26:AV49)</f>
        <v>381600.00000000006</v>
      </c>
      <c r="AZ49" s="10">
        <f>SUM(AX$26:AX49)</f>
        <v>644143.5</v>
      </c>
      <c r="BA49" s="10">
        <f t="shared" ref="BA49" si="176">AD49-inp_biz_cash_open</f>
        <v>7773464.8531914502</v>
      </c>
      <c r="BB49" s="2"/>
      <c r="BC49" s="19">
        <f t="shared" si="15"/>
        <v>24</v>
      </c>
      <c r="BD49" s="19">
        <f>IF(OR(NOT(inp_c1_active),24&lt;inp_c1_start_m),0,((inp_c1_salary/12)*(1+inp_c1_oncost)+inp_c1_benefits)*calc_scn_cost_mult)</f>
        <v>15900.000000000002</v>
      </c>
      <c r="BE49" s="19">
        <f>IF(OR(NOT(inp_c1_active),24&lt;inp_c1_start_m),0,inp_c1_bill_hours*inp_c1_rate*calc_scn_rev_mult*calc_scn_util_mult*(inp_c1_m1_prod+MAX(0,MIN(24-inp_c1_start_m,inp_c1_ramp_m-1))*(inp_c1_util-inp_c1_m1_prod)/MAX(inp_c1_ramp_m-1,1)))</f>
        <v>30420</v>
      </c>
      <c r="BF49" s="2">
        <f>IF((24-(inp_c1_collect_lag+calc_scn_collect_add))&gt;=1,INDEX(BE:BE,25+24-(inp_c1_collect_lag+calc_scn_collect_add)),0)</f>
        <v>30420</v>
      </c>
      <c r="BG49" s="2">
        <f>SUM(BF$26:BF49)-SUM(BD$26:BD49)</f>
        <v>268334.99999999994</v>
      </c>
      <c r="BH49" s="2">
        <f>IF(OR(NOT(inp_c2_active),24&lt;inp_c2_start_m),0,((inp_c2_salary/12)*(1+inp_c2_oncost)+inp_c2_benefits)*calc_scn_cost_mult)</f>
        <v>19356.25</v>
      </c>
      <c r="BI49" s="2">
        <f>IF(OR(NOT(inp_c2_active),24&lt;inp_c2_start_m),0,inp_c2_bill_hours*inp_c2_rate*calc_scn_rev_mult*calc_scn_util_mult*(inp_c2_m1_prod+MAX(0,MIN(24-inp_c2_start_m,inp_c2_ramp_m-1))*(inp_c2_util-inp_c2_m1_prod)/MAX(inp_c2_ramp_m-1,1)))</f>
        <v>35568</v>
      </c>
      <c r="BJ49" s="2">
        <f>IF((24-(inp_c2_collect_lag+calc_scn_collect_add))&gt;=1,INDEX(BI:BI,25+24-(inp_c2_collect_lag+calc_scn_collect_add)),0)</f>
        <v>35568</v>
      </c>
      <c r="BK49" s="2">
        <f>SUM(BJ$26:BJ49)-SUM(BH$26:BH49)</f>
        <v>290866.25</v>
      </c>
      <c r="BL49" s="2">
        <f>IF(OR(NOT(inp_c3_active),24&lt;inp_c3_start_m),0,((inp_c3_salary/12)*(1+inp_c3_oncost)+inp_c3_benefits)*calc_scn_cost_mult)</f>
        <v>10962.5</v>
      </c>
      <c r="BM49" s="2">
        <f>IF(OR(NOT(inp_c3_active),24&lt;inp_c3_start_m),0,inp_c3_bill_hours*inp_c3_rate*calc_scn_rev_mult*calc_scn_util_mult*(inp_c3_m1_prod+MAX(0,MIN(24-inp_c3_start_m,inp_c3_ramp_m-1))*(inp_c3_util-inp_c3_m1_prod)/MAX(inp_c3_ramp_m-1,1)))</f>
        <v>20020</v>
      </c>
      <c r="BN49" s="2">
        <f>IF((24-(inp_c3_collect_lag+calc_scn_collect_add))&gt;=1,INDEX(BM:BM,25+24-(inp_c3_collect_lag+calc_scn_collect_add)),0)</f>
        <v>20020</v>
      </c>
      <c r="BO49" s="2">
        <f>SUM(BN$26:BN49)-SUM(BL$26:BL49)</f>
        <v>177340</v>
      </c>
      <c r="BP49" s="2">
        <f>IF(OR(NOT(inp_c4_active),24&lt;inp_c4_start_m),0,((inp_c4_salary/12)*(1+inp_c4_oncost)+inp_c4_benefits)*calc_scn_cost_mult)</f>
        <v>23800</v>
      </c>
      <c r="BQ49" s="2">
        <f>IF(OR(NOT(inp_c4_active),24&lt;inp_c4_start_m),0,inp_c4_bill_hours*inp_c4_rate*calc_scn_rev_mult*calc_scn_util_mult*(inp_c4_m1_prod+MAX(0,MIN(24-inp_c4_start_m,inp_c4_ramp_m-1))*(inp_c4_util-inp_c4_m1_prod)/MAX(inp_c4_ramp_m-1,1)))</f>
        <v>32760</v>
      </c>
      <c r="BR49" s="2">
        <f>IF((24-(inp_c4_collect_lag+calc_scn_collect_add))&gt;=1,INDEX(BQ:BQ,25+24-(inp_c4_collect_lag+calc_scn_collect_add)),0)</f>
        <v>32760</v>
      </c>
      <c r="BS49" s="2">
        <f>SUM(BR$26:BR49)-SUM(BP$26:BP49)</f>
        <v>126560</v>
      </c>
      <c r="BT49" s="2">
        <f>IF(OR(NOT(inp_c5_active),24&lt;inp_c5_start_m),0,((inp_c5_salary/12)*(1+inp_c5_oncost)+inp_c5_benefits)*calc_scn_cost_mult)</f>
        <v>7506.25</v>
      </c>
      <c r="BU49" s="2">
        <f>IF(OR(NOT(inp_c5_active),24&lt;inp_c5_start_m),0,inp_c5_bill_hours*inp_c5_rate*calc_scn_rev_mult*calc_scn_util_mult*(inp_c5_m1_prod+MAX(0,MIN(24-inp_c5_start_m,inp_c5_ramp_m-1))*(inp_c5_util-inp_c5_m1_prod)/MAX(inp_c5_ramp_m-1,1)))</f>
        <v>14559.999999999998</v>
      </c>
      <c r="BV49" s="2">
        <f>IF((24-(inp_c5_collect_lag+calc_scn_collect_add))&gt;=1,INDEX(BU:BU,25+24-(inp_c5_collect_lag+calc_scn_collect_add)),0)</f>
        <v>14559.999999999998</v>
      </c>
      <c r="BW49" s="2">
        <f>SUM(BV$26:BV49)-SUM(BT$26:BT49)</f>
        <v>116476.25</v>
      </c>
      <c r="BX49" s="2">
        <f>IF(OR(NOT(inp_c6_active),24&lt;inp_c6_start_m),0,((inp_c6_salary/12)*(1+inp_c6_oncost)+inp_c6_benefits)*calc_scn_cost_mult)</f>
        <v>12937.500000000002</v>
      </c>
      <c r="BY49" s="2">
        <f>IF(OR(NOT(inp_c6_active),24&lt;inp_c6_start_m),0,inp_c6_bill_hours*inp_c6_rate*calc_scn_rev_mult*calc_scn_util_mult*(inp_c6_m1_prod+MAX(0,MIN(24-inp_c6_start_m,inp_c6_ramp_m-1))*(inp_c6_util-inp_c6_m1_prod)/MAX(inp_c6_ramp_m-1,1)))</f>
        <v>0</v>
      </c>
      <c r="BZ49" s="2">
        <f>IF((24-(inp_c6_collect_lag+calc_scn_collect_add))&gt;=1,INDEX(BY:BY,25+24-(inp_c6_collect_lag+calc_scn_collect_add)),0)</f>
        <v>0</v>
      </c>
      <c r="CA49" s="2">
        <f>SUM(BZ$26:BZ49)-SUM(BX$26:BX49)</f>
        <v>-310500.00000000006</v>
      </c>
      <c r="CB49" s="2">
        <f>IF(OR(NOT(inp_c7_active),24&lt;inp_c7_start_m),0,((inp_c7_salary/12)*(1+inp_c7_oncost)+inp_c7_benefits)*calc_scn_cost_mult)</f>
        <v>0</v>
      </c>
      <c r="CC49" s="2">
        <f>IF(OR(NOT(inp_c7_active),24&lt;inp_c7_start_m),0,inp_c7_bill_hours*inp_c7_rate*calc_scn_rev_mult*calc_scn_util_mult*(inp_c7_m1_prod+MAX(0,MIN(24-inp_c7_start_m,inp_c7_ramp_m-1))*(inp_c7_util-inp_c7_m1_prod)/MAX(inp_c7_ramp_m-1,1)))</f>
        <v>0</v>
      </c>
      <c r="CD49" s="2">
        <f>IF((24-(inp_c7_collect_lag+calc_scn_collect_add))&gt;=1,INDEX(CC:CC,25+24-(inp_c7_collect_lag+calc_scn_collect_add)),0)</f>
        <v>0</v>
      </c>
      <c r="CE49" s="2">
        <f>SUM(CD$26:CD49)-SUM(CB$26:CB49)</f>
        <v>0</v>
      </c>
      <c r="CF49" s="2">
        <f>IF(OR(NOT(inp_c8_active),24&lt;inp_c8_start_m),0,((inp_c8_salary/12)*(1+inp_c8_oncost)+inp_c8_benefits)*calc_scn_cost_mult)</f>
        <v>0</v>
      </c>
      <c r="CG49" s="2">
        <f>IF(OR(NOT(inp_c8_active),24&lt;inp_c8_start_m),0,inp_c8_bill_hours*inp_c8_rate*calc_scn_rev_mult*calc_scn_util_mult*(inp_c8_m1_prod+MAX(0,MIN(24-inp_c8_start_m,inp_c8_ramp_m-1))*(inp_c8_util-inp_c8_m1_prod)/MAX(inp_c8_ramp_m-1,1)))</f>
        <v>0</v>
      </c>
      <c r="CH49" s="2">
        <f>IF((24-(inp_c8_collect_lag+calc_scn_collect_add))&gt;=1,INDEX(CG:CG,25+24-(inp_c8_collect_lag+calc_scn_collect_add)),0)</f>
        <v>0</v>
      </c>
      <c r="CI49" s="2">
        <f>SUM(CH$26:CH49)-SUM(CF$26:CF49)</f>
        <v>0</v>
      </c>
      <c r="CJ49" s="2"/>
      <c r="CK49" s="2"/>
      <c r="CL49" s="2"/>
      <c r="CM49" s="2">
        <f>IF(AND(BG49&gt;=0,24&gt;=inp_c1_start_m),24,9999)</f>
        <v>24</v>
      </c>
      <c r="CN49" s="2">
        <f>IF(AND(BK49&gt;=0,24&gt;=inp_c2_start_m),24,9999)</f>
        <v>24</v>
      </c>
      <c r="CO49" s="2">
        <f>IF(AND(BO49&gt;=0,24&gt;=inp_c3_start_m),24,9999)</f>
        <v>24</v>
      </c>
      <c r="CP49" s="2">
        <f>IF(AND(BS49&gt;=0,24&gt;=inp_c4_start_m),24,9999)</f>
        <v>24</v>
      </c>
      <c r="CQ49" s="2">
        <f>IF(AND(BW49&gt;=0,24&gt;=inp_c5_start_m),24,9999)</f>
        <v>24</v>
      </c>
      <c r="CR49" s="2">
        <f>IF(AND(CA49&gt;=0,24&gt;=inp_c6_start_m),24,9999)</f>
        <v>9999</v>
      </c>
      <c r="CS49" s="2">
        <f>IF(AND(CE49&gt;=0,24&gt;=inp_c7_start_m),24,9999)</f>
        <v>24</v>
      </c>
      <c r="CT49" s="2">
        <f>IF(AND(CI49&gt;=0,24&gt;=inp_c8_start_m),24,9999)</f>
        <v>24</v>
      </c>
      <c r="CU49" s="2"/>
      <c r="CV49" s="55">
        <f>inp_biz_cash_open+SUM(AC$26:AC49)+SUM(BF$26:BF49)-SUM(BD$26:BD49)</f>
        <v>8841799.8531914502</v>
      </c>
      <c r="CW49" s="55">
        <f>inp_biz_cash_open+SUM(AC$26:AC49)+SUM(BJ$26:BJ49)-SUM(BH$26:BH49)</f>
        <v>8864331.1031914502</v>
      </c>
      <c r="CX49" s="55">
        <f>inp_biz_cash_open+SUM(AC$26:AC49)+SUM(BN$26:BN49)-SUM(BL$26:BL49)</f>
        <v>8750804.8531914502</v>
      </c>
      <c r="CY49" s="55">
        <f>inp_biz_cash_open+SUM(AC$26:AC49)+SUM(BR$26:BR49)-SUM(BP$26:BP49)</f>
        <v>8700024.8531914502</v>
      </c>
      <c r="CZ49" s="55">
        <f>inp_biz_cash_open+SUM(AC$26:AC49)+SUM(BV$26:BV49)-SUM(BT$26:BT49)</f>
        <v>8689941.1031914502</v>
      </c>
      <c r="DA49" s="55">
        <f>inp_biz_cash_open+SUM(AC$26:AC49)+SUM(BZ$26:BZ49)-SUM(BX$26:BX49)</f>
        <v>8262964.8531914502</v>
      </c>
      <c r="DB49" s="55">
        <f>inp_biz_cash_open+SUM(AC$26:AC49)+SUM(CD$26:CD49)-SUM(CB$26:CB49)</f>
        <v>8573464.8531914502</v>
      </c>
      <c r="DC49" s="55">
        <f>inp_biz_cash_open+SUM(AC$26:AC49)+SUM(CH$26:CH49)-SUM(CF$26:CF49)</f>
        <v>8573464.8531914502</v>
      </c>
      <c r="DD49" s="2"/>
      <c r="DE49" s="2"/>
      <c r="DF49" s="2"/>
      <c r="DG49" s="2"/>
      <c r="DH49" s="2"/>
      <c r="DI49" s="2"/>
      <c r="DJ49" s="2"/>
      <c r="DK49" s="2"/>
      <c r="DL49" s="2"/>
      <c r="DM49" s="2"/>
    </row>
    <row r="50" spans="1:117" x14ac:dyDescent="0.2">
      <c r="A50" s="1"/>
      <c r="B50" s="65"/>
      <c r="C50" s="65"/>
      <c r="D50" s="1"/>
      <c r="E50" s="1"/>
      <c r="F50" s="1"/>
      <c r="G50" s="1"/>
      <c r="H50" s="1"/>
      <c r="I50" s="1"/>
      <c r="J50" s="1"/>
      <c r="K50" s="1"/>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row>
    <row r="51" spans="1:117" x14ac:dyDescent="0.2">
      <c r="A51" s="1"/>
      <c r="B51" s="1"/>
      <c r="C51" s="1"/>
      <c r="D51" s="1"/>
      <c r="E51" s="1"/>
      <c r="F51" s="1"/>
      <c r="G51" s="1"/>
      <c r="H51" s="1"/>
      <c r="I51" s="1"/>
      <c r="J51" s="1"/>
      <c r="K51" s="1"/>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row>
    <row r="52" spans="1:117" x14ac:dyDescent="0.2">
      <c r="A52" s="1"/>
      <c r="B52" s="1"/>
      <c r="C52" s="1"/>
      <c r="D52" s="1"/>
      <c r="E52" s="1"/>
      <c r="F52" s="1"/>
      <c r="G52" s="1"/>
      <c r="H52" s="1"/>
      <c r="I52" s="1"/>
      <c r="J52" s="1"/>
      <c r="K52" s="1"/>
      <c r="L52" s="2"/>
      <c r="M52" s="5" t="s">
        <v>114</v>
      </c>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row>
    <row r="53" spans="1:117" x14ac:dyDescent="0.2">
      <c r="A53" s="1"/>
      <c r="B53" s="1"/>
      <c r="C53" s="1"/>
      <c r="D53" s="1"/>
      <c r="E53" s="1"/>
      <c r="F53" s="1"/>
      <c r="G53" s="1"/>
      <c r="H53" s="1"/>
      <c r="I53" s="1"/>
      <c r="J53" s="1"/>
      <c r="K53" s="1"/>
      <c r="L53" s="2"/>
      <c r="M53" s="6" t="s">
        <v>115</v>
      </c>
      <c r="N53" s="7" t="s">
        <v>55</v>
      </c>
      <c r="O53" s="7" t="s">
        <v>56</v>
      </c>
      <c r="P53" s="7" t="s">
        <v>57</v>
      </c>
      <c r="Q53" s="7" t="s">
        <v>198</v>
      </c>
      <c r="R53" s="7" t="s">
        <v>199</v>
      </c>
      <c r="S53" s="7" t="s">
        <v>200</v>
      </c>
      <c r="T53" s="7" t="s">
        <v>201</v>
      </c>
      <c r="U53" s="7" t="s">
        <v>202</v>
      </c>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row>
    <row r="54" spans="1:117" x14ac:dyDescent="0.2">
      <c r="A54" s="1"/>
      <c r="B54" s="1"/>
      <c r="C54" s="1"/>
      <c r="D54" s="1"/>
      <c r="E54" s="1"/>
      <c r="F54" s="1"/>
      <c r="G54" s="1"/>
      <c r="H54" s="1"/>
      <c r="I54" s="1"/>
      <c r="J54" s="1"/>
      <c r="K54" s="1"/>
      <c r="L54" s="2"/>
      <c r="M54" s="8" t="s">
        <v>116</v>
      </c>
      <c r="N54" s="10">
        <f>IF(inp_c1_active,SUM(BD26:BD49),0)</f>
        <v>381600.00000000006</v>
      </c>
      <c r="O54" s="10">
        <f>IF(inp_c2_active,SUM(BH26:BH49),0)</f>
        <v>445193.75</v>
      </c>
      <c r="P54" s="10">
        <f>IF(inp_c3_active,SUM(BL26:BL49),0)</f>
        <v>263100</v>
      </c>
      <c r="Q54" s="10">
        <f>IF(inp_c4_active,SUM(BP26:BP49),0)</f>
        <v>523600</v>
      </c>
      <c r="R54" s="10">
        <f>IF(inp_c5_active,SUM(BT26:BT49),0)</f>
        <v>172643.75</v>
      </c>
      <c r="S54" s="10">
        <f>IF(inp_c6_active,SUM(BX26:BX49),0)</f>
        <v>310500.00000000006</v>
      </c>
      <c r="T54" s="10">
        <f>IF(inp_c7_active,SUM(CB26:CB49),0)</f>
        <v>0</v>
      </c>
      <c r="U54" s="10">
        <f>IF(inp_c8_active,SUM(CF26:CF49),0)</f>
        <v>0</v>
      </c>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row>
    <row r="55" spans="1:117" x14ac:dyDescent="0.2">
      <c r="A55" s="1"/>
      <c r="B55" s="1"/>
      <c r="C55" s="1"/>
      <c r="D55" s="1"/>
      <c r="E55" s="1"/>
      <c r="F55" s="1"/>
      <c r="G55" s="1"/>
      <c r="H55" s="1"/>
      <c r="I55" s="1"/>
      <c r="J55" s="1"/>
      <c r="K55" s="1"/>
      <c r="L55" s="2"/>
      <c r="M55" s="8" t="s">
        <v>117</v>
      </c>
      <c r="N55" s="10">
        <f>IF(inp_c1_active,SUM(BF26:BF49),0)</f>
        <v>649935</v>
      </c>
      <c r="O55" s="10">
        <f>IF(inp_c2_active,SUM(BJ26:BJ49),0)</f>
        <v>736060</v>
      </c>
      <c r="P55" s="10">
        <f>IF(inp_c3_active,SUM(BN26:BN49),0)</f>
        <v>440440</v>
      </c>
      <c r="Q55" s="10">
        <f>IF(inp_c4_active,SUM(BR26:BR49),0)</f>
        <v>650160</v>
      </c>
      <c r="R55" s="10">
        <f>IF(inp_c5_active,SUM(BV26:BV49),0)</f>
        <v>289120</v>
      </c>
      <c r="S55" s="10">
        <f>IF(inp_c6_active,SUM(BZ26:BZ49),0)</f>
        <v>0</v>
      </c>
      <c r="T55" s="10">
        <f>IF(inp_c7_active,SUM(CD26:CD49),0)</f>
        <v>0</v>
      </c>
      <c r="U55" s="10">
        <f>IF(inp_c8_active,SUM(CH26:CH49),0)</f>
        <v>0</v>
      </c>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row>
    <row r="56" spans="1:117" x14ac:dyDescent="0.2">
      <c r="A56" s="1"/>
      <c r="B56" s="1"/>
      <c r="C56" s="1"/>
      <c r="D56" s="1"/>
      <c r="E56" s="1"/>
      <c r="F56" s="1"/>
      <c r="G56" s="1"/>
      <c r="H56" s="1"/>
      <c r="I56" s="1"/>
      <c r="J56" s="1"/>
      <c r="K56" s="1"/>
      <c r="L56" s="2"/>
      <c r="M56" s="8" t="s">
        <v>118</v>
      </c>
      <c r="N56" s="10">
        <f t="shared" ref="N56:U56" si="177">N55-N54</f>
        <v>268334.99999999994</v>
      </c>
      <c r="O56" s="10">
        <f t="shared" si="177"/>
        <v>290866.25</v>
      </c>
      <c r="P56" s="10">
        <f t="shared" si="177"/>
        <v>177340</v>
      </c>
      <c r="Q56" s="10">
        <f t="shared" si="177"/>
        <v>126560</v>
      </c>
      <c r="R56" s="10">
        <f t="shared" si="177"/>
        <v>116476.25</v>
      </c>
      <c r="S56" s="10">
        <f t="shared" si="177"/>
        <v>-310500.00000000006</v>
      </c>
      <c r="T56" s="10">
        <f t="shared" si="177"/>
        <v>0</v>
      </c>
      <c r="U56" s="10">
        <f t="shared" si="177"/>
        <v>0</v>
      </c>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row>
    <row r="57" spans="1:117" ht="22" customHeight="1" x14ac:dyDescent="0.2">
      <c r="A57" s="1"/>
      <c r="B57" s="1"/>
      <c r="C57" s="1"/>
      <c r="D57" s="1"/>
      <c r="E57" s="1"/>
      <c r="F57" s="1"/>
      <c r="G57" s="1"/>
      <c r="H57" s="1"/>
      <c r="I57" s="1"/>
      <c r="J57" s="1"/>
      <c r="K57" s="1"/>
      <c r="L57" s="2"/>
      <c r="M57" s="8" t="s">
        <v>120</v>
      </c>
      <c r="N57" s="18">
        <f>IF(inp_c1_active,IF(MIN(CM26:CM49)&gt;=9999,999,MIN(CM26:CM49)),999)</f>
        <v>6</v>
      </c>
      <c r="O57" s="18">
        <f>IF(inp_c2_active,IF(MIN(CN26:CN49)&gt;=9999,999,MIN(CN26:CN49)),999)</f>
        <v>7</v>
      </c>
      <c r="P57" s="18">
        <f>IF(inp_c3_active,IF(MIN(CO26:CO49)&gt;=9999,999,MIN(CO26:CO49)),999)</f>
        <v>5</v>
      </c>
      <c r="Q57" s="18">
        <f>IF(inp_c4_active,IF(MIN(CP26:CP49)&gt;=9999,999,MIN(CP26:CP49)),999)</f>
        <v>10</v>
      </c>
      <c r="R57" s="18">
        <f>IF(inp_c5_active,IF(MIN(CQ26:CQ49)&gt;=9999,999,MIN(CQ26:CQ49)),999)</f>
        <v>8</v>
      </c>
      <c r="S57" s="18">
        <f>IF(inp_c6_active,IF(MIN(CR26:CR49)&gt;=9999,999,MIN(CR26:CR49)),999)</f>
        <v>999</v>
      </c>
      <c r="T57" s="18">
        <f>IF(inp_c7_active,IF(MIN(CS26:CS49)&gt;=9999,999,MIN(CS26:CS49)),999)</f>
        <v>999</v>
      </c>
      <c r="U57" s="18">
        <f>IF(inp_c8_active,IF(MIN(CT26:CT49)&gt;=9999,999,MIN(CT26:CT49)),999)</f>
        <v>999</v>
      </c>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row>
    <row r="58" spans="1:117" ht="22" customHeight="1" x14ac:dyDescent="0.2">
      <c r="A58" s="1"/>
      <c r="B58" s="1"/>
      <c r="C58" s="1"/>
      <c r="D58" s="1"/>
      <c r="E58" s="1"/>
      <c r="F58" s="1"/>
      <c r="G58" s="1"/>
      <c r="H58" s="1"/>
      <c r="I58" s="1"/>
      <c r="J58" s="1"/>
      <c r="K58" s="1"/>
      <c r="L58" s="2"/>
      <c r="M58" s="8" t="s">
        <v>121</v>
      </c>
      <c r="N58" s="10">
        <f>MIN(AH26:AH49)</f>
        <v>960200</v>
      </c>
      <c r="O58" s="10">
        <f>MIN(AH26:AH49)</f>
        <v>960200</v>
      </c>
      <c r="P58" s="10">
        <f>MIN(AH26:AH49)</f>
        <v>960200</v>
      </c>
      <c r="Q58" s="10">
        <f>MIN(AH26:AH49)</f>
        <v>960200</v>
      </c>
      <c r="R58" s="10">
        <f>MIN(AH26:AH49)</f>
        <v>960200</v>
      </c>
      <c r="S58" s="10">
        <f>MIN(AH26:AH49)</f>
        <v>960200</v>
      </c>
      <c r="T58" s="10">
        <f>MIN(AH26:AH49)</f>
        <v>960200</v>
      </c>
      <c r="U58" s="10">
        <f>MIN(AH26:AH49)</f>
        <v>960200</v>
      </c>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row>
    <row r="59" spans="1:117" ht="22" customHeight="1" x14ac:dyDescent="0.2">
      <c r="A59" s="1"/>
      <c r="B59" s="1"/>
      <c r="C59" s="1"/>
      <c r="D59" s="1"/>
      <c r="E59" s="1"/>
      <c r="F59" s="1"/>
      <c r="G59" s="1"/>
      <c r="H59" s="1"/>
      <c r="I59" s="1"/>
      <c r="J59" s="1"/>
      <c r="K59" s="1"/>
      <c r="L59" s="2"/>
      <c r="M59" s="8" t="s">
        <v>123</v>
      </c>
      <c r="N59" s="18">
        <f>MATCH(MIN(AH26:AH49),AH26:AH49,0)</f>
        <v>1</v>
      </c>
      <c r="O59" s="18">
        <f>MATCH(MIN(AH26:AH49),AH26:AH49,0)</f>
        <v>1</v>
      </c>
      <c r="P59" s="18">
        <f>MATCH(MIN(AH26:AH49),AH26:AH49,0)</f>
        <v>1</v>
      </c>
      <c r="Q59" s="18">
        <f>MATCH(MIN(AH26:AH49),AH26:AH49,0)</f>
        <v>1</v>
      </c>
      <c r="R59" s="18">
        <f>MATCH(MIN(AH26:AH49),AH26:AH49,0)</f>
        <v>1</v>
      </c>
      <c r="S59" s="18">
        <f>MATCH(MIN(AH26:AH49),AH26:AH49,0)</f>
        <v>1</v>
      </c>
      <c r="T59" s="18">
        <f>MATCH(MIN(AH26:AH49),AH26:AH49,0)</f>
        <v>1</v>
      </c>
      <c r="U59" s="18">
        <f>MATCH(MIN(AH26:AH49),AH26:AH49,0)</f>
        <v>1</v>
      </c>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row>
    <row r="60" spans="1:117" ht="22" customHeight="1" x14ac:dyDescent="0.2">
      <c r="A60" s="1"/>
      <c r="B60" s="1"/>
      <c r="C60" s="1"/>
      <c r="D60" s="1"/>
      <c r="E60" s="1"/>
      <c r="F60" s="1"/>
      <c r="G60" s="1"/>
      <c r="H60" s="1"/>
      <c r="I60" s="1"/>
      <c r="J60" s="1"/>
      <c r="K60" s="1"/>
      <c r="L60" s="2"/>
      <c r="M60" s="8" t="s">
        <v>125</v>
      </c>
      <c r="N60" s="10">
        <f t="shared" ref="N60:U60" si="178">N58-inp_biz_floor</f>
        <v>560200</v>
      </c>
      <c r="O60" s="10">
        <f t="shared" si="178"/>
        <v>560200</v>
      </c>
      <c r="P60" s="10">
        <f t="shared" si="178"/>
        <v>560200</v>
      </c>
      <c r="Q60" s="10">
        <f t="shared" si="178"/>
        <v>560200</v>
      </c>
      <c r="R60" s="10">
        <f t="shared" si="178"/>
        <v>560200</v>
      </c>
      <c r="S60" s="10">
        <f t="shared" si="178"/>
        <v>560200</v>
      </c>
      <c r="T60" s="10">
        <f t="shared" si="178"/>
        <v>560200</v>
      </c>
      <c r="U60" s="10">
        <f t="shared" si="178"/>
        <v>560200</v>
      </c>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row>
    <row r="61" spans="1:117" ht="22" customHeight="1" x14ac:dyDescent="0.2">
      <c r="A61" s="1"/>
      <c r="B61" s="1"/>
      <c r="C61" s="1"/>
      <c r="D61" s="1"/>
      <c r="E61" s="1"/>
      <c r="F61" s="1"/>
      <c r="G61" s="1"/>
      <c r="H61" s="1"/>
      <c r="I61" s="1"/>
      <c r="J61" s="1"/>
      <c r="K61" s="1"/>
      <c r="L61" s="2"/>
      <c r="M61" s="8" t="s">
        <v>127</v>
      </c>
      <c r="N61" s="27" t="str">
        <f>IF(NOT(inp_c1_active),"INACTIVE",IF(OR(N64&lt;-0.1*inp_biz_floor,N57&gt;=999),"FAIL",IF(OR(N57&gt;18,N64&lt;0),"CAUTION",IF(N57&lt;=12,"PASS-fast","PASS-buffer"))))</f>
        <v>PASS-fast</v>
      </c>
      <c r="O61" s="27" t="str">
        <f>IF(NOT(inp_c2_active),"INACTIVE",IF(OR(O64&lt;-0.1*inp_biz_floor,O57&gt;=999),"FAIL",IF(OR(O57&gt;18,O64&lt;0),"CAUTION",IF(O57&lt;=12,"PASS-fast","PASS-buffer"))))</f>
        <v>PASS-fast</v>
      </c>
      <c r="P61" s="27" t="str">
        <f>IF(NOT(inp_c3_active),"INACTIVE",IF(OR(P64&lt;-0.1*inp_biz_floor,P57&gt;=999),"FAIL",IF(OR(P57&gt;18,P64&lt;0),"CAUTION",IF(P57&lt;=12,"PASS-fast","PASS-buffer"))))</f>
        <v>PASS-fast</v>
      </c>
      <c r="Q61" s="27" t="str">
        <f>IF(NOT(inp_c4_active),"INACTIVE",IF(OR(Q64&lt;-0.1*inp_biz_floor,Q57&gt;=999),"FAIL",IF(OR(Q57&gt;18,Q64&lt;0),"CAUTION",IF(Q57&lt;=12,"PASS-fast","PASS-buffer"))))</f>
        <v>PASS-fast</v>
      </c>
      <c r="R61" s="27" t="str">
        <f>IF(NOT(inp_c5_active),"INACTIVE",IF(OR(R64&lt;-0.1*inp_biz_floor,R57&gt;=999),"FAIL",IF(OR(R57&gt;18,R64&lt;0),"CAUTION",IF(R57&lt;=12,"PASS-fast","PASS-buffer"))))</f>
        <v>PASS-fast</v>
      </c>
      <c r="S61" s="27" t="str">
        <f>IF(NOT(inp_c6_active),"INACTIVE",IF(OR(S64&lt;-0.1*inp_biz_floor,S57&gt;=999),"FAIL",IF(OR(S57&gt;18,S64&lt;0),"CAUTION",IF(S57&lt;=12,"PASS-fast","PASS-buffer"))))</f>
        <v>FAIL</v>
      </c>
      <c r="T61" s="27" t="str">
        <f>IF(NOT(inp_c7_active),"INACTIVE",IF(OR(T64&lt;-0.1*inp_biz_floor,T57&gt;=999),"FAIL",IF(OR(T57&gt;18,T64&lt;0),"CAUTION",IF(T57&lt;=12,"PASS-fast","PASS-buffer"))))</f>
        <v>INACTIVE</v>
      </c>
      <c r="U61" s="27" t="str">
        <f>IF(NOT(inp_c8_active),"INACTIVE",IF(OR(U64&lt;-0.1*inp_biz_floor,U57&gt;=999),"FAIL",IF(OR(U57&gt;18,U64&lt;0),"CAUTION",IF(U57&lt;=12,"PASS-fast","PASS-buffer"))))</f>
        <v>INACTIVE</v>
      </c>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row>
    <row r="62" spans="1:117" ht="22" customHeight="1" x14ac:dyDescent="0.2">
      <c r="A62" s="1"/>
      <c r="B62" s="5" t="s">
        <v>119</v>
      </c>
      <c r="C62" s="1"/>
      <c r="D62" s="1"/>
      <c r="E62" s="1"/>
      <c r="F62" s="1"/>
      <c r="G62" s="1"/>
      <c r="H62" s="1"/>
      <c r="I62" s="1"/>
      <c r="J62" s="1"/>
      <c r="K62" s="1"/>
      <c r="L62" s="2"/>
      <c r="M62" s="8" t="s">
        <v>128</v>
      </c>
      <c r="N62" s="10">
        <f>IF(inp_c1_active,MIN(CV26:CV49),0)</f>
        <v>984100</v>
      </c>
      <c r="O62" s="10">
        <f>IF(inp_c2_active,MIN(CW26:CW49),0)</f>
        <v>1000000</v>
      </c>
      <c r="P62" s="10">
        <f>IF(inp_c3_active,MIN(CX26:CX49),0)</f>
        <v>989037.5</v>
      </c>
      <c r="Q62" s="10">
        <f>IF(inp_c4_active,MIN(CY26:CY49),0)</f>
        <v>1000000</v>
      </c>
      <c r="R62" s="10">
        <f>IF(inp_c5_active,MIN(CZ26:CZ49),0)</f>
        <v>1000000</v>
      </c>
      <c r="S62" s="10">
        <f>IF(inp_c6_active,MIN(DA26:DA49),0)</f>
        <v>987062.5</v>
      </c>
      <c r="T62" s="10">
        <f>IF(inp_c7_active,MIN(DB26:DB49),0)</f>
        <v>0</v>
      </c>
      <c r="U62" s="10">
        <f>IF(inp_c8_active,MIN(DC26:DC49),0)</f>
        <v>0</v>
      </c>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row>
    <row r="63" spans="1:117" ht="22" customHeight="1" x14ac:dyDescent="0.2">
      <c r="A63" s="1"/>
      <c r="B63" s="6" t="s">
        <v>115</v>
      </c>
      <c r="C63" s="26" t="str">
        <f>IF(inp_c1_role="","Candidate 1",inp_c1_role)</f>
        <v>Senior Consultant</v>
      </c>
      <c r="D63" s="26" t="str">
        <f>IF(inp_c2_role="","Candidate 2",inp_c2_role)</f>
        <v>Engagement Manager</v>
      </c>
      <c r="E63" s="26" t="str">
        <f>IF(inp_c3_role="","Candidate 3",inp_c3_role)</f>
        <v>Business Analyst</v>
      </c>
      <c r="F63" s="26" t="str">
        <f>IF(inp_c4_role="","Candidate 4",inp_c4_role)</f>
        <v>Practice Lead</v>
      </c>
      <c r="G63" s="26" t="str">
        <f>IF(inp_c5_role="","Candidate 5",inp_c5_role)</f>
        <v>Graduate Consultant</v>
      </c>
      <c r="H63" s="26" t="str">
        <f>IF(inp_c6_role="","Candidate 6",inp_c6_role)</f>
        <v>Bid Manager</v>
      </c>
      <c r="I63" s="26" t="str">
        <f>IF(inp_c7_role="","Candidate 7",inp_c7_role)</f>
        <v>Candidate 7</v>
      </c>
      <c r="J63" s="26" t="str">
        <f>IF(inp_c8_role="","Candidate 8",inp_c8_role)</f>
        <v>Candidate 8</v>
      </c>
      <c r="K63" s="1"/>
      <c r="L63" s="2"/>
      <c r="M63" s="8" t="s">
        <v>130</v>
      </c>
      <c r="N63" s="18">
        <f>IF(inp_c1_active,MATCH(MIN(CV26:CV49),CV26:CV49,0),0)</f>
        <v>1</v>
      </c>
      <c r="O63" s="18">
        <f>IF(inp_c2_active,MATCH(MIN(CW26:CW49),CW26:CW49,0),0)</f>
        <v>1</v>
      </c>
      <c r="P63" s="18">
        <f>IF(inp_c3_active,MATCH(MIN(CX26:CX49),CX26:CX49,0),0)</f>
        <v>1</v>
      </c>
      <c r="Q63" s="18">
        <f>IF(inp_c4_active,MATCH(MIN(CY26:CY49),CY26:CY49,0),0)</f>
        <v>1</v>
      </c>
      <c r="R63" s="18">
        <f>IF(inp_c5_active,MATCH(MIN(CZ26:CZ49),CZ26:CZ49,0),0)</f>
        <v>1</v>
      </c>
      <c r="S63" s="18">
        <f>IF(inp_c6_active,MATCH(MIN(DA26:DA49),DA26:DA49,0),0)</f>
        <v>1</v>
      </c>
      <c r="T63" s="18">
        <f>IF(inp_c7_active,MATCH(MIN(DB26:DB49),DB26:DB49,0),0)</f>
        <v>0</v>
      </c>
      <c r="U63" s="18">
        <f>IF(inp_c8_active,MATCH(MIN(DC26:DC49),DC26:DC49,0),0)</f>
        <v>0</v>
      </c>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row>
    <row r="64" spans="1:117" ht="22" customHeight="1" x14ac:dyDescent="0.2">
      <c r="A64" s="1"/>
      <c r="B64" s="8" t="s">
        <v>122</v>
      </c>
      <c r="C64" s="10">
        <f t="shared" ref="C64:E67" si="179">N54</f>
        <v>381600.00000000006</v>
      </c>
      <c r="D64" s="10">
        <f t="shared" si="179"/>
        <v>445193.75</v>
      </c>
      <c r="E64" s="10">
        <f t="shared" si="179"/>
        <v>263100</v>
      </c>
      <c r="F64" s="10">
        <f t="shared" ref="F64:J67" si="180">Q54</f>
        <v>523600</v>
      </c>
      <c r="G64" s="10">
        <f t="shared" si="180"/>
        <v>172643.75</v>
      </c>
      <c r="H64" s="10">
        <f t="shared" si="180"/>
        <v>310500.00000000006</v>
      </c>
      <c r="I64" s="10">
        <f t="shared" si="180"/>
        <v>0</v>
      </c>
      <c r="J64" s="10">
        <f t="shared" si="180"/>
        <v>0</v>
      </c>
      <c r="K64" s="1"/>
      <c r="L64" s="2"/>
      <c r="M64" s="8" t="s">
        <v>132</v>
      </c>
      <c r="N64" s="10">
        <f>IF(inp_c1_active,N62-inp_biz_floor,0)</f>
        <v>584100</v>
      </c>
      <c r="O64" s="10">
        <f>IF(inp_c2_active,O62-inp_biz_floor,0)</f>
        <v>600000</v>
      </c>
      <c r="P64" s="10">
        <f>IF(inp_c3_active,P62-inp_biz_floor,0)</f>
        <v>589037.5</v>
      </c>
      <c r="Q64" s="2">
        <f>IF(inp_c4_active,Q62-inp_biz_floor,0)</f>
        <v>600000</v>
      </c>
      <c r="R64" s="2">
        <f>IF(inp_c5_active,R62-inp_biz_floor,0)</f>
        <v>600000</v>
      </c>
      <c r="S64" s="2">
        <f>IF(inp_c6_active,S62-inp_biz_floor,0)</f>
        <v>587062.5</v>
      </c>
      <c r="T64" s="2">
        <f>IF(inp_c7_active,T62-inp_biz_floor,0)</f>
        <v>0</v>
      </c>
      <c r="U64" s="2">
        <f>IF(inp_c8_active,U62-inp_biz_floor,0)</f>
        <v>0</v>
      </c>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row>
    <row r="65" spans="1:117" ht="22" customHeight="1" x14ac:dyDescent="0.2">
      <c r="A65" s="1"/>
      <c r="B65" s="8" t="s">
        <v>124</v>
      </c>
      <c r="C65" s="10">
        <f t="shared" si="179"/>
        <v>649935</v>
      </c>
      <c r="D65" s="10">
        <f t="shared" si="179"/>
        <v>736060</v>
      </c>
      <c r="E65" s="10">
        <f t="shared" si="179"/>
        <v>440440</v>
      </c>
      <c r="F65" s="10">
        <f t="shared" si="180"/>
        <v>650160</v>
      </c>
      <c r="G65" s="10">
        <f t="shared" si="180"/>
        <v>289120</v>
      </c>
      <c r="H65" s="10">
        <f t="shared" si="180"/>
        <v>0</v>
      </c>
      <c r="I65" s="10">
        <f t="shared" si="180"/>
        <v>0</v>
      </c>
      <c r="J65" s="10">
        <f t="shared" si="180"/>
        <v>0</v>
      </c>
      <c r="K65" s="1"/>
      <c r="L65" s="2"/>
      <c r="M65" s="8" t="s">
        <v>134</v>
      </c>
      <c r="N65" s="10" cm="1">
        <f t="array" ref="N65">IF(inp_c1_active,MAX(0,MAX(BD26:BD49-BF26:BF49)),0)</f>
        <v>15900.000000000002</v>
      </c>
      <c r="O65" s="10" cm="1">
        <f t="array" ref="O65">IF(inp_c2_active,MAX(0,MAX(BH26:BH49-BJ26:BJ49)),0)</f>
        <v>19356.25</v>
      </c>
      <c r="P65" s="10" cm="1">
        <f t="array" ref="P65">IF(inp_c3_active,MAX(0,MAX(BL26:BL49-BN26:BN49)),0)</f>
        <v>10962.5</v>
      </c>
      <c r="Q65" s="2" cm="1">
        <f t="array" ref="Q65">IF(inp_c4_active,MAX(0,MAX(BP26:BP49-BR26:BR49)),0)</f>
        <v>23800</v>
      </c>
      <c r="R65" s="2" cm="1">
        <f t="array" ref="R65">IF(inp_c5_active,MAX(0,MAX(BT26:BT49-BV26:BV49)),0)</f>
        <v>7506.25</v>
      </c>
      <c r="S65" s="2" cm="1">
        <f t="array" ref="S65">IF(inp_c6_active,MAX(0,MAX(BX26:BX49-BZ26:BZ49)),0)</f>
        <v>12937.500000000002</v>
      </c>
      <c r="T65" s="2" cm="1">
        <f t="array" ref="T65">IF(inp_c7_active,MAX(0,MAX(CB26:CB49-CD26:CD49)),0)</f>
        <v>0</v>
      </c>
      <c r="U65" s="2" cm="1">
        <f t="array" ref="U65">IF(inp_c8_active,MAX(0,MAX(CF26:CF49-CH26:CH49)),0)</f>
        <v>0</v>
      </c>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row>
    <row r="66" spans="1:117" ht="22" customHeight="1" x14ac:dyDescent="0.2">
      <c r="A66" s="1"/>
      <c r="B66" s="8" t="s">
        <v>126</v>
      </c>
      <c r="C66" s="10">
        <f t="shared" si="179"/>
        <v>268334.99999999994</v>
      </c>
      <c r="D66" s="10">
        <f t="shared" si="179"/>
        <v>290866.25</v>
      </c>
      <c r="E66" s="10">
        <f t="shared" si="179"/>
        <v>177340</v>
      </c>
      <c r="F66" s="10">
        <f t="shared" si="180"/>
        <v>126560</v>
      </c>
      <c r="G66" s="10">
        <f t="shared" si="180"/>
        <v>116476.25</v>
      </c>
      <c r="H66" s="10">
        <f t="shared" si="180"/>
        <v>-310500.00000000006</v>
      </c>
      <c r="I66" s="10">
        <f t="shared" si="180"/>
        <v>0</v>
      </c>
      <c r="J66" s="10">
        <f t="shared" si="180"/>
        <v>0</v>
      </c>
      <c r="K66" s="1"/>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row>
    <row r="67" spans="1:117" x14ac:dyDescent="0.2">
      <c r="A67" s="1"/>
      <c r="B67" s="8" t="s">
        <v>120</v>
      </c>
      <c r="C67" s="28">
        <f t="shared" si="179"/>
        <v>6</v>
      </c>
      <c r="D67" s="28">
        <f t="shared" si="179"/>
        <v>7</v>
      </c>
      <c r="E67" s="28">
        <f t="shared" si="179"/>
        <v>5</v>
      </c>
      <c r="F67" s="28">
        <f t="shared" si="180"/>
        <v>10</v>
      </c>
      <c r="G67" s="28">
        <f t="shared" si="180"/>
        <v>8</v>
      </c>
      <c r="H67" s="28">
        <f t="shared" si="180"/>
        <v>999</v>
      </c>
      <c r="I67" s="28">
        <f t="shared" si="180"/>
        <v>999</v>
      </c>
      <c r="J67" s="28">
        <f t="shared" si="180"/>
        <v>999</v>
      </c>
      <c r="K67" s="1"/>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row>
    <row r="68" spans="1:117" ht="22" customHeight="1" x14ac:dyDescent="0.2">
      <c r="A68" s="1"/>
      <c r="B68" s="8" t="s">
        <v>129</v>
      </c>
      <c r="C68" s="10">
        <f t="shared" ref="C68:E70" si="181">N62</f>
        <v>984100</v>
      </c>
      <c r="D68" s="10">
        <f t="shared" si="181"/>
        <v>1000000</v>
      </c>
      <c r="E68" s="10">
        <f t="shared" si="181"/>
        <v>989037.5</v>
      </c>
      <c r="F68" s="10">
        <f t="shared" ref="F68:J70" si="182">Q62</f>
        <v>1000000</v>
      </c>
      <c r="G68" s="10">
        <f t="shared" si="182"/>
        <v>1000000</v>
      </c>
      <c r="H68" s="10">
        <f t="shared" si="182"/>
        <v>987062.5</v>
      </c>
      <c r="I68" s="10">
        <f t="shared" si="182"/>
        <v>0</v>
      </c>
      <c r="J68" s="10">
        <f t="shared" si="182"/>
        <v>0</v>
      </c>
      <c r="K68" s="1"/>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row>
    <row r="69" spans="1:117" x14ac:dyDescent="0.2">
      <c r="A69" s="1"/>
      <c r="B69" s="8" t="s">
        <v>131</v>
      </c>
      <c r="C69" s="28">
        <f t="shared" si="181"/>
        <v>1</v>
      </c>
      <c r="D69" s="28">
        <f t="shared" si="181"/>
        <v>1</v>
      </c>
      <c r="E69" s="28">
        <f t="shared" si="181"/>
        <v>1</v>
      </c>
      <c r="F69" s="28">
        <f t="shared" si="182"/>
        <v>1</v>
      </c>
      <c r="G69" s="28">
        <f t="shared" si="182"/>
        <v>1</v>
      </c>
      <c r="H69" s="28">
        <f t="shared" si="182"/>
        <v>1</v>
      </c>
      <c r="I69" s="28">
        <f t="shared" si="182"/>
        <v>0</v>
      </c>
      <c r="J69" s="28">
        <f t="shared" si="182"/>
        <v>0</v>
      </c>
      <c r="K69" s="1"/>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row>
    <row r="70" spans="1:117" x14ac:dyDescent="0.2">
      <c r="A70" s="1"/>
      <c r="B70" s="8" t="s">
        <v>133</v>
      </c>
      <c r="C70" s="10">
        <f t="shared" si="181"/>
        <v>584100</v>
      </c>
      <c r="D70" s="10">
        <f t="shared" si="181"/>
        <v>600000</v>
      </c>
      <c r="E70" s="10">
        <f t="shared" si="181"/>
        <v>589037.5</v>
      </c>
      <c r="F70" s="10">
        <f t="shared" si="182"/>
        <v>600000</v>
      </c>
      <c r="G70" s="10">
        <f t="shared" si="182"/>
        <v>600000</v>
      </c>
      <c r="H70" s="10">
        <f t="shared" si="182"/>
        <v>587062.5</v>
      </c>
      <c r="I70" s="10">
        <f t="shared" si="182"/>
        <v>0</v>
      </c>
      <c r="J70" s="10">
        <f t="shared" si="182"/>
        <v>0</v>
      </c>
      <c r="K70" s="1"/>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5" t="s">
        <v>136</v>
      </c>
      <c r="AO70" s="2"/>
      <c r="AP70" s="2"/>
      <c r="AQ70" s="2"/>
      <c r="AR70" s="2"/>
      <c r="AS70" s="2"/>
      <c r="AT70" s="19">
        <f>MATCH(J85,C20:J20,0)</f>
        <v>1</v>
      </c>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row>
    <row r="71" spans="1:117" x14ac:dyDescent="0.2">
      <c r="A71" s="1"/>
      <c r="B71" s="8" t="s">
        <v>127</v>
      </c>
      <c r="C71" s="62" t="str">
        <f t="shared" ref="C71:J71" si="183">N61</f>
        <v>PASS-fast</v>
      </c>
      <c r="D71" s="62" t="str">
        <f t="shared" si="183"/>
        <v>PASS-fast</v>
      </c>
      <c r="E71" s="62" t="str">
        <f t="shared" si="183"/>
        <v>PASS-fast</v>
      </c>
      <c r="F71" s="62" t="str">
        <f t="shared" si="183"/>
        <v>PASS-fast</v>
      </c>
      <c r="G71" s="62" t="str">
        <f t="shared" si="183"/>
        <v>PASS-fast</v>
      </c>
      <c r="H71" s="62" t="str">
        <f t="shared" si="183"/>
        <v>FAIL</v>
      </c>
      <c r="I71" s="62" t="str">
        <f t="shared" si="183"/>
        <v>INACTIVE</v>
      </c>
      <c r="J71" s="62" t="str">
        <f t="shared" si="183"/>
        <v>INACTIVE</v>
      </c>
      <c r="K71" s="1"/>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6" t="s">
        <v>137</v>
      </c>
      <c r="AO71" s="7" t="s">
        <v>138</v>
      </c>
      <c r="AP71" s="7" t="s">
        <v>139</v>
      </c>
      <c r="AQ71" s="7" t="s">
        <v>140</v>
      </c>
      <c r="AR71" s="7" t="s">
        <v>141</v>
      </c>
      <c r="AS71" s="2"/>
      <c r="AT71" s="19">
        <f>CHOOSE($AT$70,inp_c1_salary,inp_c2_salary,inp_c3_salary,inp_c4_salary,inp_c5_salary,inp_c6_salary,inp_c7_salary,inp_c8_salary)</f>
        <v>160000</v>
      </c>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row>
    <row r="72" spans="1:117" ht="6" customHeight="1" x14ac:dyDescent="0.2">
      <c r="A72" s="1"/>
      <c r="B72" s="1"/>
      <c r="C72" s="63"/>
      <c r="D72" s="63"/>
      <c r="E72" s="63"/>
      <c r="F72" s="63"/>
      <c r="G72" s="63"/>
      <c r="H72" s="63"/>
      <c r="I72" s="63"/>
      <c r="J72" s="63"/>
      <c r="K72" s="1"/>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9">
        <v>0.5</v>
      </c>
      <c r="AO72" s="10">
        <v>150</v>
      </c>
      <c r="AP72" s="18">
        <f t="shared" ref="AP72:AP106" si="184">IF(MIN(CB72:CY72)&gt;=9999,999,MIN(CB72:CY72))</f>
        <v>999</v>
      </c>
      <c r="AQ72" s="10">
        <f t="shared" ref="AQ72:AQ106" si="185">IFERROR(AZ$49*(AN72/sel_util)*(AO72/sel_rate)-AY$49,"-")</f>
        <v>-175143.75000000009</v>
      </c>
      <c r="AR72" s="10">
        <f t="shared" ref="AR72:AR106" si="186">AQ72</f>
        <v>-175143.75000000009</v>
      </c>
      <c r="AS72" s="2"/>
      <c r="AT72" s="19">
        <f>CHOOSE($AT$70,inp_c1_oncost,inp_c2_oncost,inp_c3_oncost,inp_c4_oncost,inp_c5_oncost,inp_c6_oncost,inp_c7_oncost,inp_c8_oncost)</f>
        <v>0.185</v>
      </c>
      <c r="AU72" s="2"/>
      <c r="AV72" s="2"/>
      <c r="AW72" s="2"/>
      <c r="AX72" s="2"/>
      <c r="AY72" s="2"/>
      <c r="AZ72" s="2"/>
      <c r="BA72" s="2"/>
      <c r="BB72" s="10">
        <f>AD26+(IFERROR((AN72/inp_c1_util)*(AO72/inp_c1_rate),0))*AZ26-AY26</f>
        <v>984100</v>
      </c>
      <c r="BC72" s="10">
        <f>AD27+(IFERROR((AN72/inp_c1_util)*(AO72/inp_c1_rate),0))*AZ27-AY27</f>
        <v>1178200</v>
      </c>
      <c r="BD72" s="10">
        <f>AD28+(IFERROR((AN72/inp_c1_util)*(AO72/inp_c1_rate),0))*AZ28-AY28</f>
        <v>1386787.5</v>
      </c>
      <c r="BE72" s="10">
        <f>AD29+(IFERROR((AN72/inp_c1_util)*(AO72/inp_c1_rate),0))*AZ29-AY29</f>
        <v>1608257.25</v>
      </c>
      <c r="BF72" s="10">
        <f>AD30+(IFERROR((AN72/inp_c1_util)*(AO72/inp_c1_rate),0))*AZ30-AY30</f>
        <v>1842711.2599999998</v>
      </c>
      <c r="BG72" s="10">
        <f>AD31+(IFERROR((AN72/inp_c1_util)*(AO72/inp_c1_rate),0))*AZ31-AY31</f>
        <v>2087571.3100999994</v>
      </c>
      <c r="BH72" s="10">
        <f>AD32+(IFERROR((AN72/inp_c1_util)*(AO72/inp_c1_rate),0))*AZ32-AY32</f>
        <v>2342941.4607009999</v>
      </c>
      <c r="BI72" s="10">
        <f>AD33+(IFERROR((AN72/inp_c1_util)*(AO72/inp_c1_rate),0))*AZ33-AY33</f>
        <v>2608926.8128080098</v>
      </c>
      <c r="BJ72" s="10">
        <f>AD34+(IFERROR((AN72/inp_c1_util)*(AO72/inp_c1_rate),0))*AZ34-AY34</f>
        <v>2885633.5184360901</v>
      </c>
      <c r="BK72" s="10">
        <f>AD35+(IFERROR((AN72/inp_c1_util)*(AO72/inp_c1_rate),0))*AZ35-AY35</f>
        <v>3173168.7911204509</v>
      </c>
      <c r="BL72" s="10">
        <f>AD36+(IFERROR((AN72/inp_c1_util)*(AO72/inp_c1_rate),0))*AZ36-AY36</f>
        <v>3471640.9165316559</v>
      </c>
      <c r="BM72" s="10">
        <f>AD37+(IFERROR((AN72/inp_c1_util)*(AO72/inp_c1_rate),0))*AZ37-AY37</f>
        <v>3781159.2631969722</v>
      </c>
      <c r="BN72" s="10">
        <f>AD38+(IFERROR((AN72/inp_c1_util)*(AO72/inp_c1_rate),0))*AZ38-AY38</f>
        <v>4101834.2933289418</v>
      </c>
      <c r="BO72" s="10">
        <f>AD39+(IFERROR((AN72/inp_c1_util)*(AO72/inp_c1_rate),0))*AZ39-AY39</f>
        <v>4433777.5737622315</v>
      </c>
      <c r="BP72" s="10">
        <f>AD40+(IFERROR((AN72/inp_c1_util)*(AO72/inp_c1_rate),0))*AZ40-AY40</f>
        <v>4777101.7869998543</v>
      </c>
      <c r="BQ72" s="10">
        <f>AD41+(IFERROR((AN72/inp_c1_util)*(AO72/inp_c1_rate),0))*AZ41-AY41</f>
        <v>5131920.742369853</v>
      </c>
      <c r="BR72" s="10">
        <f>AD42+(IFERROR((AN72/inp_c1_util)*(AO72/inp_c1_rate),0))*AZ42-AY42</f>
        <v>5498349.387293552</v>
      </c>
      <c r="BS72" s="10">
        <f>AD43+(IFERROR((AN72/inp_c1_util)*(AO72/inp_c1_rate),0))*AZ43-AY43</f>
        <v>5876503.8186664879</v>
      </c>
      <c r="BT72" s="10">
        <f>AD44+(IFERROR((AN72/inp_c1_util)*(AO72/inp_c1_rate),0))*AZ44-AY44</f>
        <v>6266501.2943531536</v>
      </c>
      <c r="BU72" s="10">
        <f>AD45+(IFERROR((AN72/inp_c1_util)*(AO72/inp_c1_rate),0))*AZ45-AY45</f>
        <v>6668460.2447966849</v>
      </c>
      <c r="BV72" s="10">
        <f>AD46+(IFERROR((AN72/inp_c1_util)*(AO72/inp_c1_rate),0))*AZ46-AY46</f>
        <v>7082500.284744652</v>
      </c>
      <c r="BW72" s="10">
        <f>AD47+(IFERROR((AN72/inp_c1_util)*(AO72/inp_c1_rate),0))*AZ47-AY47</f>
        <v>7508742.2250920981</v>
      </c>
      <c r="BX72" s="10">
        <f>AD48+(IFERROR((AN72/inp_c1_util)*(AO72/inp_c1_rate),0))*AZ48-AY48</f>
        <v>7947308.084843019</v>
      </c>
      <c r="BY72" s="10">
        <f>AD49+(IFERROR((AN72/inp_c1_util)*(AO72/inp_c1_rate),0))*AZ49-AY49</f>
        <v>8398321.1031914502</v>
      </c>
      <c r="BZ72" s="2"/>
      <c r="CA72" s="2"/>
      <c r="CB72" s="18">
        <f>IF(AND((IFERROR((AN72/sel_util)*(AO72/sel_rate),0))*AZ26-AY26&gt;=0,1&gt;=sel_start_m),1,9999)</f>
        <v>9999</v>
      </c>
      <c r="CC72" s="18">
        <f>IF(AND((IFERROR((AN72/sel_util)*(AO72/sel_rate),0))*AZ27-AY27&gt;=0,2&gt;=sel_start_m),2,9999)</f>
        <v>9999</v>
      </c>
      <c r="CD72" s="18">
        <f>IF(AND((IFERROR((AN72/sel_util)*(AO72/sel_rate),0))*AZ28-AY28&gt;=0,3&gt;=sel_start_m),3,9999)</f>
        <v>9999</v>
      </c>
      <c r="CE72" s="18">
        <f>IF(AND((IFERROR((AN72/sel_util)*(AO72/sel_rate),0))*AZ29-AY29&gt;=0,4&gt;=sel_start_m),4,9999)</f>
        <v>9999</v>
      </c>
      <c r="CF72" s="18">
        <f>IF(AND((IFERROR((AN72/sel_util)*(AO72/sel_rate),0))*AZ30-AY30&gt;=0,5&gt;=sel_start_m),5,9999)</f>
        <v>9999</v>
      </c>
      <c r="CG72" s="18">
        <f>IF(AND((IFERROR((AN72/sel_util)*(AO72/sel_rate),0))*AZ31-AY31&gt;=0,6&gt;=sel_start_m),6,9999)</f>
        <v>9999</v>
      </c>
      <c r="CH72" s="18">
        <f>IF(AND((IFERROR((AN72/sel_util)*(AO72/sel_rate),0))*AZ32-AY32&gt;=0,7&gt;=sel_start_m),7,9999)</f>
        <v>9999</v>
      </c>
      <c r="CI72" s="18">
        <f>IF(AND((IFERROR((AN72/sel_util)*(AO72/sel_rate),0))*AZ33-AY33&gt;=0,8&gt;=sel_start_m),8,9999)</f>
        <v>9999</v>
      </c>
      <c r="CJ72" s="18">
        <f>IF(AND((IFERROR((AN72/sel_util)*(AO72/sel_rate),0))*AZ34-AY34&gt;=0,9&gt;=sel_start_m),9,9999)</f>
        <v>9999</v>
      </c>
      <c r="CK72" s="18">
        <f>IF(AND((IFERROR((AN72/sel_util)*(AO72/sel_rate),0))*AZ35-AY35&gt;=0,10&gt;=sel_start_m),10,9999)</f>
        <v>9999</v>
      </c>
      <c r="CL72" s="18">
        <f>IF(AND((IFERROR((AN72/sel_util)*(AO72/sel_rate),0))*AZ36-AY36&gt;=0,11&gt;=sel_start_m),11,9999)</f>
        <v>9999</v>
      </c>
      <c r="CM72" s="18">
        <f>IF(AND((IFERROR((AN72/sel_util)*(AO72/sel_rate),0))*AZ37-AY37&gt;=0,12&gt;=sel_start_m),12,9999)</f>
        <v>9999</v>
      </c>
      <c r="CN72" s="18">
        <f>IF(AND((IFERROR((AN72/sel_util)*(AO72/sel_rate),0))*AZ38-AY38&gt;=0,13&gt;=sel_start_m),13,9999)</f>
        <v>9999</v>
      </c>
      <c r="CO72" s="18">
        <f>IF(AND((IFERROR((AN72/sel_util)*(AO72/sel_rate),0))*AZ39-AY39&gt;=0,14&gt;=sel_start_m),14,9999)</f>
        <v>9999</v>
      </c>
      <c r="CP72" s="18">
        <f>IF(AND((IFERROR((AN72/sel_util)*(AO72/sel_rate),0))*AZ40-AY40&gt;=0,15&gt;=sel_start_m),15,9999)</f>
        <v>9999</v>
      </c>
      <c r="CQ72" s="18">
        <f>IF(AND((IFERROR((AN72/sel_util)*(AO72/sel_rate),0))*AZ41-AY41&gt;=0,16&gt;=sel_start_m),16,9999)</f>
        <v>9999</v>
      </c>
      <c r="CR72" s="18">
        <f>IF(AND((IFERROR((AN72/sel_util)*(AO72/sel_rate),0))*AZ42-AY42&gt;=0,17&gt;=sel_start_m),17,9999)</f>
        <v>9999</v>
      </c>
      <c r="CS72" s="18">
        <f>IF(AND((IFERROR((AN72/sel_util)*(AO72/sel_rate),0))*AZ43-AY43&gt;=0,18&gt;=sel_start_m),18,9999)</f>
        <v>9999</v>
      </c>
      <c r="CT72" s="18">
        <f>IF(AND((IFERROR((AN72/sel_util)*(AO72/sel_rate),0))*AZ44-AY44&gt;=0,19&gt;=sel_start_m),19,9999)</f>
        <v>9999</v>
      </c>
      <c r="CU72" s="18">
        <f>IF(AND((IFERROR((AN72/sel_util)*(AO72/sel_rate),0))*AZ45-AY45&gt;=0,20&gt;=sel_start_m),20,9999)</f>
        <v>9999</v>
      </c>
      <c r="CV72" s="18">
        <f>IF(AND((IFERROR((AN72/sel_util)*(AO72/sel_rate),0))*AZ46-AY46&gt;=0,21&gt;=sel_start_m),21,9999)</f>
        <v>9999</v>
      </c>
      <c r="CW72" s="18">
        <f>IF(AND((IFERROR((AN72/sel_util)*(AO72/sel_rate),0))*AZ47-AY47&gt;=0,22&gt;=sel_start_m),22,9999)</f>
        <v>9999</v>
      </c>
      <c r="CX72" s="18">
        <f>IF(AND((IFERROR((AN72/sel_util)*(AO72/sel_rate),0))*AZ48-AY48&gt;=0,23&gt;=sel_start_m),23,9999)</f>
        <v>9999</v>
      </c>
      <c r="CY72" s="18">
        <f>IF(AND((IFERROR((AN72/sel_util)*(AO72/sel_rate),0))*AZ49-AY49&gt;=0,24&gt;=sel_start_m),24,9999)</f>
        <v>9999</v>
      </c>
      <c r="CZ72" s="2"/>
      <c r="DA72" s="2"/>
      <c r="DB72" s="2"/>
      <c r="DC72" s="2"/>
      <c r="DD72" s="2"/>
      <c r="DE72" s="2"/>
      <c r="DF72" s="2"/>
      <c r="DG72" s="2"/>
      <c r="DH72" s="2"/>
      <c r="DI72" s="2"/>
      <c r="DJ72" s="2"/>
      <c r="DK72" s="2"/>
      <c r="DL72" s="2"/>
      <c r="DM72" s="2"/>
    </row>
    <row r="73" spans="1:117" x14ac:dyDescent="0.2">
      <c r="A73" s="1"/>
      <c r="B73" s="5" t="s">
        <v>135</v>
      </c>
      <c r="C73" s="1"/>
      <c r="D73" s="1"/>
      <c r="E73" s="1"/>
      <c r="F73" s="1"/>
      <c r="G73" s="1"/>
      <c r="H73" s="1"/>
      <c r="I73" s="1"/>
      <c r="J73" s="1"/>
      <c r="K73" s="1"/>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9">
        <v>0.5</v>
      </c>
      <c r="AO73" s="10">
        <v>175</v>
      </c>
      <c r="AP73" s="18">
        <f t="shared" si="184"/>
        <v>999</v>
      </c>
      <c r="AQ73" s="10">
        <f t="shared" si="185"/>
        <v>-140734.37500000009</v>
      </c>
      <c r="AR73" s="10">
        <f t="shared" si="186"/>
        <v>-140734.37500000009</v>
      </c>
      <c r="AS73" s="2"/>
      <c r="AT73" s="19">
        <f>CHOOSE($AT$70,inp_c1_benefits,inp_c2_benefits,inp_c3_benefits,inp_c4_benefits,inp_c5_benefits,inp_c6_benefits,inp_c7_benefits,inp_c8_benefits)</f>
        <v>100</v>
      </c>
      <c r="AU73" s="2"/>
      <c r="AV73" s="2"/>
      <c r="AW73" s="2"/>
      <c r="AX73" s="2"/>
      <c r="AY73" s="2"/>
      <c r="AZ73" s="2"/>
      <c r="BA73" s="2"/>
      <c r="BB73" s="10">
        <f>AD26+(IFERROR((AN73/inp_c1_util)*(AO73/inp_c1_rate),0))*AZ26-AY26</f>
        <v>984100</v>
      </c>
      <c r="BC73" s="10">
        <f>AD27+(IFERROR((AN73/inp_c1_util)*(AO73/inp_c1_rate),0))*AZ27-AY27</f>
        <v>1178200</v>
      </c>
      <c r="BD73" s="10">
        <f>AD28+(IFERROR((AN73/inp_c1_util)*(AO73/inp_c1_rate),0))*AZ28-AY28</f>
        <v>1387518.75</v>
      </c>
      <c r="BE73" s="10">
        <f>AD29+(IFERROR((AN73/inp_c1_util)*(AO73/inp_c1_rate),0))*AZ29-AY29</f>
        <v>1610166.625</v>
      </c>
      <c r="BF73" s="10">
        <f>AD30+(IFERROR((AN73/inp_c1_util)*(AO73/inp_c1_rate),0))*AZ30-AY30</f>
        <v>1846245.6349999998</v>
      </c>
      <c r="BG73" s="10">
        <f>AD31+(IFERROR((AN73/inp_c1_util)*(AO73/inp_c1_rate),0))*AZ31-AY31</f>
        <v>2092730.6850999994</v>
      </c>
      <c r="BH73" s="10">
        <f>AD32+(IFERROR((AN73/inp_c1_util)*(AO73/inp_c1_rate),0))*AZ32-AY32</f>
        <v>2349725.8357009999</v>
      </c>
      <c r="BI73" s="10">
        <f>AD33+(IFERROR((AN73/inp_c1_util)*(AO73/inp_c1_rate),0))*AZ33-AY33</f>
        <v>2617336.1878080098</v>
      </c>
      <c r="BJ73" s="10">
        <f>AD34+(IFERROR((AN73/inp_c1_util)*(AO73/inp_c1_rate),0))*AZ34-AY34</f>
        <v>2895667.8934360901</v>
      </c>
      <c r="BK73" s="10">
        <f>AD35+(IFERROR((AN73/inp_c1_util)*(AO73/inp_c1_rate),0))*AZ35-AY35</f>
        <v>3184828.1661204509</v>
      </c>
      <c r="BL73" s="10">
        <f>AD36+(IFERROR((AN73/inp_c1_util)*(AO73/inp_c1_rate),0))*AZ36-AY36</f>
        <v>3484925.2915316559</v>
      </c>
      <c r="BM73" s="10">
        <f>AD37+(IFERROR((AN73/inp_c1_util)*(AO73/inp_c1_rate),0))*AZ37-AY37</f>
        <v>3796068.6381969722</v>
      </c>
      <c r="BN73" s="10">
        <f>AD38+(IFERROR((AN73/inp_c1_util)*(AO73/inp_c1_rate),0))*AZ38-AY38</f>
        <v>4118368.6683289418</v>
      </c>
      <c r="BO73" s="10">
        <f>AD39+(IFERROR((AN73/inp_c1_util)*(AO73/inp_c1_rate),0))*AZ39-AY39</f>
        <v>4451936.9487622315</v>
      </c>
      <c r="BP73" s="10">
        <f>AD40+(IFERROR((AN73/inp_c1_util)*(AO73/inp_c1_rate),0))*AZ40-AY40</f>
        <v>4796886.1619998543</v>
      </c>
      <c r="BQ73" s="10">
        <f>AD41+(IFERROR((AN73/inp_c1_util)*(AO73/inp_c1_rate),0))*AZ41-AY41</f>
        <v>5153330.117369853</v>
      </c>
      <c r="BR73" s="10">
        <f>AD42+(IFERROR((AN73/inp_c1_util)*(AO73/inp_c1_rate),0))*AZ42-AY42</f>
        <v>5521383.762293552</v>
      </c>
      <c r="BS73" s="10">
        <f>AD43+(IFERROR((AN73/inp_c1_util)*(AO73/inp_c1_rate),0))*AZ43-AY43</f>
        <v>5901163.1936664879</v>
      </c>
      <c r="BT73" s="10">
        <f>AD44+(IFERROR((AN73/inp_c1_util)*(AO73/inp_c1_rate),0))*AZ44-AY44</f>
        <v>6292785.6693531536</v>
      </c>
      <c r="BU73" s="10">
        <f>AD45+(IFERROR((AN73/inp_c1_util)*(AO73/inp_c1_rate),0))*AZ45-AY45</f>
        <v>6696369.6197966849</v>
      </c>
      <c r="BV73" s="10">
        <f>AD46+(IFERROR((AN73/inp_c1_util)*(AO73/inp_c1_rate),0))*AZ46-AY46</f>
        <v>7112034.659744652</v>
      </c>
      <c r="BW73" s="10">
        <f>AD47+(IFERROR((AN73/inp_c1_util)*(AO73/inp_c1_rate),0))*AZ47-AY47</f>
        <v>7539901.6000920981</v>
      </c>
      <c r="BX73" s="10">
        <f>AD48+(IFERROR((AN73/inp_c1_util)*(AO73/inp_c1_rate),0))*AZ48-AY48</f>
        <v>7980092.459843019</v>
      </c>
      <c r="BY73" s="10">
        <f>AD49+(IFERROR((AN73/inp_c1_util)*(AO73/inp_c1_rate),0))*AZ49-AY49</f>
        <v>8432730.4781914502</v>
      </c>
      <c r="BZ73" s="2"/>
      <c r="CA73" s="2"/>
      <c r="CB73" s="18">
        <f>IF(AND((IFERROR((AN73/sel_util)*(AO73/sel_rate),0))*AZ26-AY26&gt;=0,1&gt;=sel_start_m),1,9999)</f>
        <v>9999</v>
      </c>
      <c r="CC73" s="18">
        <f>IF(AND((IFERROR((AN73/sel_util)*(AO73/sel_rate),0))*AZ27-AY27&gt;=0,2&gt;=sel_start_m),2,9999)</f>
        <v>9999</v>
      </c>
      <c r="CD73" s="18">
        <f>IF(AND((IFERROR((AN73/sel_util)*(AO73/sel_rate),0))*AZ28-AY28&gt;=0,3&gt;=sel_start_m),3,9999)</f>
        <v>9999</v>
      </c>
      <c r="CE73" s="18">
        <f>IF(AND((IFERROR((AN73/sel_util)*(AO73/sel_rate),0))*AZ29-AY29&gt;=0,4&gt;=sel_start_m),4,9999)</f>
        <v>9999</v>
      </c>
      <c r="CF73" s="18">
        <f>IF(AND((IFERROR((AN73/sel_util)*(AO73/sel_rate),0))*AZ30-AY30&gt;=0,5&gt;=sel_start_m),5,9999)</f>
        <v>9999</v>
      </c>
      <c r="CG73" s="18">
        <f>IF(AND((IFERROR((AN73/sel_util)*(AO73/sel_rate),0))*AZ31-AY31&gt;=0,6&gt;=sel_start_m),6,9999)</f>
        <v>9999</v>
      </c>
      <c r="CH73" s="18">
        <f>IF(AND((IFERROR((AN73/sel_util)*(AO73/sel_rate),0))*AZ32-AY32&gt;=0,7&gt;=sel_start_m),7,9999)</f>
        <v>9999</v>
      </c>
      <c r="CI73" s="18">
        <f>IF(AND((IFERROR((AN73/sel_util)*(AO73/sel_rate),0))*AZ33-AY33&gt;=0,8&gt;=sel_start_m),8,9999)</f>
        <v>9999</v>
      </c>
      <c r="CJ73" s="18">
        <f>IF(AND((IFERROR((AN73/sel_util)*(AO73/sel_rate),0))*AZ34-AY34&gt;=0,9&gt;=sel_start_m),9,9999)</f>
        <v>9999</v>
      </c>
      <c r="CK73" s="18">
        <f>IF(AND((IFERROR((AN73/sel_util)*(AO73/sel_rate),0))*AZ35-AY35&gt;=0,10&gt;=sel_start_m),10,9999)</f>
        <v>9999</v>
      </c>
      <c r="CL73" s="18">
        <f>IF(AND((IFERROR((AN73/sel_util)*(AO73/sel_rate),0))*AZ36-AY36&gt;=0,11&gt;=sel_start_m),11,9999)</f>
        <v>9999</v>
      </c>
      <c r="CM73" s="18">
        <f>IF(AND((IFERROR((AN73/sel_util)*(AO73/sel_rate),0))*AZ37-AY37&gt;=0,12&gt;=sel_start_m),12,9999)</f>
        <v>9999</v>
      </c>
      <c r="CN73" s="18">
        <f>IF(AND((IFERROR((AN73/sel_util)*(AO73/sel_rate),0))*AZ38-AY38&gt;=0,13&gt;=sel_start_m),13,9999)</f>
        <v>9999</v>
      </c>
      <c r="CO73" s="18">
        <f>IF(AND((IFERROR((AN73/sel_util)*(AO73/sel_rate),0))*AZ39-AY39&gt;=0,14&gt;=sel_start_m),14,9999)</f>
        <v>9999</v>
      </c>
      <c r="CP73" s="18">
        <f>IF(AND((IFERROR((AN73/sel_util)*(AO73/sel_rate),0))*AZ40-AY40&gt;=0,15&gt;=sel_start_m),15,9999)</f>
        <v>9999</v>
      </c>
      <c r="CQ73" s="18">
        <f>IF(AND((IFERROR((AN73/sel_util)*(AO73/sel_rate),0))*AZ41-AY41&gt;=0,16&gt;=sel_start_m),16,9999)</f>
        <v>9999</v>
      </c>
      <c r="CR73" s="18">
        <f>IF(AND((IFERROR((AN73/sel_util)*(AO73/sel_rate),0))*AZ42-AY42&gt;=0,17&gt;=sel_start_m),17,9999)</f>
        <v>9999</v>
      </c>
      <c r="CS73" s="18">
        <f>IF(AND((IFERROR((AN73/sel_util)*(AO73/sel_rate),0))*AZ43-AY43&gt;=0,18&gt;=sel_start_m),18,9999)</f>
        <v>9999</v>
      </c>
      <c r="CT73" s="18">
        <f>IF(AND((IFERROR((AN73/sel_util)*(AO73/sel_rate),0))*AZ44-AY44&gt;=0,19&gt;=sel_start_m),19,9999)</f>
        <v>9999</v>
      </c>
      <c r="CU73" s="18">
        <f>IF(AND((IFERROR((AN73/sel_util)*(AO73/sel_rate),0))*AZ45-AY45&gt;=0,20&gt;=sel_start_m),20,9999)</f>
        <v>9999</v>
      </c>
      <c r="CV73" s="18">
        <f>IF(AND((IFERROR((AN73/sel_util)*(AO73/sel_rate),0))*AZ46-AY46&gt;=0,21&gt;=sel_start_m),21,9999)</f>
        <v>9999</v>
      </c>
      <c r="CW73" s="18">
        <f>IF(AND((IFERROR((AN73/sel_util)*(AO73/sel_rate),0))*AZ47-AY47&gt;=0,22&gt;=sel_start_m),22,9999)</f>
        <v>9999</v>
      </c>
      <c r="CX73" s="18">
        <f>IF(AND((IFERROR((AN73/sel_util)*(AO73/sel_rate),0))*AZ48-AY48&gt;=0,23&gt;=sel_start_m),23,9999)</f>
        <v>9999</v>
      </c>
      <c r="CY73" s="18">
        <f>IF(AND((IFERROR((AN73/sel_util)*(AO73/sel_rate),0))*AZ49-AY49&gt;=0,24&gt;=sel_start_m),24,9999)</f>
        <v>9999</v>
      </c>
      <c r="CZ73" s="2"/>
      <c r="DA73" s="2"/>
      <c r="DB73" s="2"/>
      <c r="DC73" s="2"/>
      <c r="DD73" s="2"/>
      <c r="DE73" s="2"/>
      <c r="DF73" s="2"/>
      <c r="DG73" s="2"/>
      <c r="DH73" s="2"/>
      <c r="DI73" s="2"/>
      <c r="DJ73" s="2"/>
      <c r="DK73" s="2"/>
      <c r="DL73" s="2"/>
      <c r="DM73" s="2"/>
    </row>
    <row r="74" spans="1:117" ht="32" customHeight="1" x14ac:dyDescent="0.2">
      <c r="A74" s="1"/>
      <c r="B74" s="84" t="str">
        <f>"Candidate 1 · "&amp;IF(inp_c1_role="","unnamed",inp_c1_role)&amp;" — "&amp;IF(NOT(inp_c1_active),"inactive. Toggle on in the roster to evaluate.",IF(N57&gt;=999,"does not pay back inside 24 months at current assumptions. ","pays back at month "&amp;N57&amp;". ")&amp;IF(N64&lt;0,"Cash trough breaches your floor by "&amp;TEXT(ABS(N64),"$#,##0")&amp;" in month "&amp;N63&amp;". ","Cash trough sits "&amp;TEXT(N64,"$#,##0")&amp;" above your floor at month "&amp;N63&amp;". ")&amp;"Flag: "&amp;N61&amp;".")</f>
        <v>Candidate 1 · Senior Consultant — pays back at month 6. Cash trough sits $584,100 above your floor at month 1. Flag: PASS-fast.</v>
      </c>
      <c r="C74" s="84"/>
      <c r="D74" s="84"/>
      <c r="E74" s="84"/>
      <c r="F74" s="84"/>
      <c r="G74" s="84"/>
      <c r="H74" s="84"/>
      <c r="I74" s="84"/>
      <c r="J74" s="84"/>
      <c r="K74" s="1"/>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9">
        <v>0.5</v>
      </c>
      <c r="AO74" s="10">
        <v>200</v>
      </c>
      <c r="AP74" s="18">
        <f t="shared" si="184"/>
        <v>999</v>
      </c>
      <c r="AQ74" s="10">
        <f t="shared" si="185"/>
        <v>-106325.00000000012</v>
      </c>
      <c r="AR74" s="10">
        <f t="shared" si="186"/>
        <v>-106325.00000000012</v>
      </c>
      <c r="AS74" s="2"/>
      <c r="AT74" s="19">
        <f>CHOOSE($AT$70,inp_c1_bill_hours,inp_c2_bill_hours,inp_c3_bill_hours,inp_c4_bill_hours,inp_c5_bill_hours,inp_c6_bill_hours,inp_c7_bill_hours,inp_c8_bill_hours)</f>
        <v>130</v>
      </c>
      <c r="AU74" s="2"/>
      <c r="AV74" s="2"/>
      <c r="AW74" s="2"/>
      <c r="AX74" s="2"/>
      <c r="AY74" s="2"/>
      <c r="AZ74" s="2"/>
      <c r="BA74" s="2"/>
      <c r="BB74" s="10">
        <f>AD26+(IFERROR((AN74/inp_c1_util)*(AO74/inp_c1_rate),0))*AZ26-AY26</f>
        <v>984100</v>
      </c>
      <c r="BC74" s="10">
        <f>AD27+(IFERROR((AN74/inp_c1_util)*(AO74/inp_c1_rate),0))*AZ27-AY27</f>
        <v>1178200</v>
      </c>
      <c r="BD74" s="10">
        <f>AD28+(IFERROR((AN74/inp_c1_util)*(AO74/inp_c1_rate),0))*AZ28-AY28</f>
        <v>1388250</v>
      </c>
      <c r="BE74" s="10">
        <f>AD29+(IFERROR((AN74/inp_c1_util)*(AO74/inp_c1_rate),0))*AZ29-AY29</f>
        <v>1612076</v>
      </c>
      <c r="BF74" s="10">
        <f>AD30+(IFERROR((AN74/inp_c1_util)*(AO74/inp_c1_rate),0))*AZ30-AY30</f>
        <v>1849780.0099999998</v>
      </c>
      <c r="BG74" s="10">
        <f>AD31+(IFERROR((AN74/inp_c1_util)*(AO74/inp_c1_rate),0))*AZ31-AY31</f>
        <v>2097890.0600999994</v>
      </c>
      <c r="BH74" s="10">
        <f>AD32+(IFERROR((AN74/inp_c1_util)*(AO74/inp_c1_rate),0))*AZ32-AY32</f>
        <v>2356510.2107009999</v>
      </c>
      <c r="BI74" s="10">
        <f>AD33+(IFERROR((AN74/inp_c1_util)*(AO74/inp_c1_rate),0))*AZ33-AY33</f>
        <v>2625745.5628080098</v>
      </c>
      <c r="BJ74" s="10">
        <f>AD34+(IFERROR((AN74/inp_c1_util)*(AO74/inp_c1_rate),0))*AZ34-AY34</f>
        <v>2905702.2684360901</v>
      </c>
      <c r="BK74" s="10">
        <f>AD35+(IFERROR((AN74/inp_c1_util)*(AO74/inp_c1_rate),0))*AZ35-AY35</f>
        <v>3196487.5411204509</v>
      </c>
      <c r="BL74" s="10">
        <f>AD36+(IFERROR((AN74/inp_c1_util)*(AO74/inp_c1_rate),0))*AZ36-AY36</f>
        <v>3498209.6665316559</v>
      </c>
      <c r="BM74" s="10">
        <f>AD37+(IFERROR((AN74/inp_c1_util)*(AO74/inp_c1_rate),0))*AZ37-AY37</f>
        <v>3810978.0131969722</v>
      </c>
      <c r="BN74" s="10">
        <f>AD38+(IFERROR((AN74/inp_c1_util)*(AO74/inp_c1_rate),0))*AZ38-AY38</f>
        <v>4134903.0433289418</v>
      </c>
      <c r="BO74" s="10">
        <f>AD39+(IFERROR((AN74/inp_c1_util)*(AO74/inp_c1_rate),0))*AZ39-AY39</f>
        <v>4470096.3237622315</v>
      </c>
      <c r="BP74" s="10">
        <f>AD40+(IFERROR((AN74/inp_c1_util)*(AO74/inp_c1_rate),0))*AZ40-AY40</f>
        <v>4816670.5369998543</v>
      </c>
      <c r="BQ74" s="10">
        <f>AD41+(IFERROR((AN74/inp_c1_util)*(AO74/inp_c1_rate),0))*AZ41-AY41</f>
        <v>5174739.492369853</v>
      </c>
      <c r="BR74" s="10">
        <f>AD42+(IFERROR((AN74/inp_c1_util)*(AO74/inp_c1_rate),0))*AZ42-AY42</f>
        <v>5544418.137293552</v>
      </c>
      <c r="BS74" s="10">
        <f>AD43+(IFERROR((AN74/inp_c1_util)*(AO74/inp_c1_rate),0))*AZ43-AY43</f>
        <v>5925822.5686664879</v>
      </c>
      <c r="BT74" s="10">
        <f>AD44+(IFERROR((AN74/inp_c1_util)*(AO74/inp_c1_rate),0))*AZ44-AY44</f>
        <v>6319070.0443531536</v>
      </c>
      <c r="BU74" s="10">
        <f>AD45+(IFERROR((AN74/inp_c1_util)*(AO74/inp_c1_rate),0))*AZ45-AY45</f>
        <v>6724278.9947966849</v>
      </c>
      <c r="BV74" s="10">
        <f>AD46+(IFERROR((AN74/inp_c1_util)*(AO74/inp_c1_rate),0))*AZ46-AY46</f>
        <v>7141569.034744652</v>
      </c>
      <c r="BW74" s="10">
        <f>AD47+(IFERROR((AN74/inp_c1_util)*(AO74/inp_c1_rate),0))*AZ47-AY47</f>
        <v>7571060.9750920981</v>
      </c>
      <c r="BX74" s="10">
        <f>AD48+(IFERROR((AN74/inp_c1_util)*(AO74/inp_c1_rate),0))*AZ48-AY48</f>
        <v>8012876.834843019</v>
      </c>
      <c r="BY74" s="10">
        <f>AD49+(IFERROR((AN74/inp_c1_util)*(AO74/inp_c1_rate),0))*AZ49-AY49</f>
        <v>8467139.8531914502</v>
      </c>
      <c r="BZ74" s="2"/>
      <c r="CA74" s="2"/>
      <c r="CB74" s="18">
        <f>IF(AND((IFERROR((AN74/sel_util)*(AO74/sel_rate),0))*AZ26-AY26&gt;=0,1&gt;=sel_start_m),1,9999)</f>
        <v>9999</v>
      </c>
      <c r="CC74" s="18">
        <f>IF(AND((IFERROR((AN74/sel_util)*(AO74/sel_rate),0))*AZ27-AY27&gt;=0,2&gt;=sel_start_m),2,9999)</f>
        <v>9999</v>
      </c>
      <c r="CD74" s="18">
        <f>IF(AND((IFERROR((AN74/sel_util)*(AO74/sel_rate),0))*AZ28-AY28&gt;=0,3&gt;=sel_start_m),3,9999)</f>
        <v>9999</v>
      </c>
      <c r="CE74" s="18">
        <f>IF(AND((IFERROR((AN74/sel_util)*(AO74/sel_rate),0))*AZ29-AY29&gt;=0,4&gt;=sel_start_m),4,9999)</f>
        <v>9999</v>
      </c>
      <c r="CF74" s="18">
        <f>IF(AND((IFERROR((AN74/sel_util)*(AO74/sel_rate),0))*AZ30-AY30&gt;=0,5&gt;=sel_start_m),5,9999)</f>
        <v>9999</v>
      </c>
      <c r="CG74" s="18">
        <f>IF(AND((IFERROR((AN74/sel_util)*(AO74/sel_rate),0))*AZ31-AY31&gt;=0,6&gt;=sel_start_m),6,9999)</f>
        <v>9999</v>
      </c>
      <c r="CH74" s="18">
        <f>IF(AND((IFERROR((AN74/sel_util)*(AO74/sel_rate),0))*AZ32-AY32&gt;=0,7&gt;=sel_start_m),7,9999)</f>
        <v>9999</v>
      </c>
      <c r="CI74" s="18">
        <f>IF(AND((IFERROR((AN74/sel_util)*(AO74/sel_rate),0))*AZ33-AY33&gt;=0,8&gt;=sel_start_m),8,9999)</f>
        <v>9999</v>
      </c>
      <c r="CJ74" s="18">
        <f>IF(AND((IFERROR((AN74/sel_util)*(AO74/sel_rate),0))*AZ34-AY34&gt;=0,9&gt;=sel_start_m),9,9999)</f>
        <v>9999</v>
      </c>
      <c r="CK74" s="18">
        <f>IF(AND((IFERROR((AN74/sel_util)*(AO74/sel_rate),0))*AZ35-AY35&gt;=0,10&gt;=sel_start_m),10,9999)</f>
        <v>9999</v>
      </c>
      <c r="CL74" s="18">
        <f>IF(AND((IFERROR((AN74/sel_util)*(AO74/sel_rate),0))*AZ36-AY36&gt;=0,11&gt;=sel_start_m),11,9999)</f>
        <v>9999</v>
      </c>
      <c r="CM74" s="18">
        <f>IF(AND((IFERROR((AN74/sel_util)*(AO74/sel_rate),0))*AZ37-AY37&gt;=0,12&gt;=sel_start_m),12,9999)</f>
        <v>9999</v>
      </c>
      <c r="CN74" s="18">
        <f>IF(AND((IFERROR((AN74/sel_util)*(AO74/sel_rate),0))*AZ38-AY38&gt;=0,13&gt;=sel_start_m),13,9999)</f>
        <v>9999</v>
      </c>
      <c r="CO74" s="18">
        <f>IF(AND((IFERROR((AN74/sel_util)*(AO74/sel_rate),0))*AZ39-AY39&gt;=0,14&gt;=sel_start_m),14,9999)</f>
        <v>9999</v>
      </c>
      <c r="CP74" s="18">
        <f>IF(AND((IFERROR((AN74/sel_util)*(AO74/sel_rate),0))*AZ40-AY40&gt;=0,15&gt;=sel_start_m),15,9999)</f>
        <v>9999</v>
      </c>
      <c r="CQ74" s="18">
        <f>IF(AND((IFERROR((AN74/sel_util)*(AO74/sel_rate),0))*AZ41-AY41&gt;=0,16&gt;=sel_start_m),16,9999)</f>
        <v>9999</v>
      </c>
      <c r="CR74" s="18">
        <f>IF(AND((IFERROR((AN74/sel_util)*(AO74/sel_rate),0))*AZ42-AY42&gt;=0,17&gt;=sel_start_m),17,9999)</f>
        <v>9999</v>
      </c>
      <c r="CS74" s="18">
        <f>IF(AND((IFERROR((AN74/sel_util)*(AO74/sel_rate),0))*AZ43-AY43&gt;=0,18&gt;=sel_start_m),18,9999)</f>
        <v>9999</v>
      </c>
      <c r="CT74" s="18">
        <f>IF(AND((IFERROR((AN74/sel_util)*(AO74/sel_rate),0))*AZ44-AY44&gt;=0,19&gt;=sel_start_m),19,9999)</f>
        <v>9999</v>
      </c>
      <c r="CU74" s="18">
        <f>IF(AND((IFERROR((AN74/sel_util)*(AO74/sel_rate),0))*AZ45-AY45&gt;=0,20&gt;=sel_start_m),20,9999)</f>
        <v>9999</v>
      </c>
      <c r="CV74" s="18">
        <f>IF(AND((IFERROR((AN74/sel_util)*(AO74/sel_rate),0))*AZ46-AY46&gt;=0,21&gt;=sel_start_m),21,9999)</f>
        <v>9999</v>
      </c>
      <c r="CW74" s="18">
        <f>IF(AND((IFERROR((AN74/sel_util)*(AO74/sel_rate),0))*AZ47-AY47&gt;=0,22&gt;=sel_start_m),22,9999)</f>
        <v>9999</v>
      </c>
      <c r="CX74" s="18">
        <f>IF(AND((IFERROR((AN74/sel_util)*(AO74/sel_rate),0))*AZ48-AY48&gt;=0,23&gt;=sel_start_m),23,9999)</f>
        <v>9999</v>
      </c>
      <c r="CY74" s="18">
        <f>IF(AND((IFERROR((AN74/sel_util)*(AO74/sel_rate),0))*AZ49-AY49&gt;=0,24&gt;=sel_start_m),24,9999)</f>
        <v>9999</v>
      </c>
      <c r="CZ74" s="2"/>
      <c r="DA74" s="2"/>
      <c r="DB74" s="2"/>
      <c r="DC74" s="2"/>
      <c r="DD74" s="2"/>
      <c r="DE74" s="2"/>
      <c r="DF74" s="2"/>
      <c r="DG74" s="2"/>
      <c r="DH74" s="2"/>
      <c r="DI74" s="2"/>
      <c r="DJ74" s="2"/>
      <c r="DK74" s="2"/>
      <c r="DL74" s="2"/>
      <c r="DM74" s="2"/>
    </row>
    <row r="75" spans="1:117" ht="32" customHeight="1" x14ac:dyDescent="0.2">
      <c r="A75" s="1"/>
      <c r="B75" s="84" t="str">
        <f>"Candidate 2 · "&amp;IF(inp_c2_role="","unnamed",inp_c2_role)&amp;" — "&amp;IF(NOT(inp_c2_active),"inactive. Toggle on in the roster to evaluate.",IF(O57&gt;=999,"does not pay back inside 24 months at current assumptions. ","pays back at month "&amp;O57&amp;". ")&amp;IF(O64&lt;0,"Cash trough breaches your floor by "&amp;TEXT(ABS(O64),"$#,##0")&amp;" in month "&amp;O63&amp;". ","Cash trough sits "&amp;TEXT(O64,"$#,##0")&amp;" above your floor at month "&amp;O63&amp;". ")&amp;"Flag: "&amp;O61&amp;".")</f>
        <v>Candidate 2 · Engagement Manager — pays back at month 7. Cash trough sits $600,000 above your floor at month 1. Flag: PASS-fast.</v>
      </c>
      <c r="C75" s="84"/>
      <c r="D75" s="84"/>
      <c r="E75" s="84"/>
      <c r="F75" s="84"/>
      <c r="G75" s="84"/>
      <c r="H75" s="84"/>
      <c r="I75" s="84"/>
      <c r="J75" s="84"/>
      <c r="K75" s="1"/>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9">
        <v>0.5</v>
      </c>
      <c r="AO75" s="10">
        <v>225</v>
      </c>
      <c r="AP75" s="18">
        <f t="shared" si="184"/>
        <v>999</v>
      </c>
      <c r="AQ75" s="10">
        <f t="shared" si="185"/>
        <v>-71915.625000000116</v>
      </c>
      <c r="AR75" s="10">
        <f t="shared" si="186"/>
        <v>-71915.625000000116</v>
      </c>
      <c r="AS75" s="2"/>
      <c r="AT75" s="19">
        <f>CHOOSE($AT$70,inp_c1_util,inp_c2_util,inp_c3_util,inp_c4_util,inp_c5_util,inp_c6_util,inp_c7_util,inp_c8_util)</f>
        <v>0.78</v>
      </c>
      <c r="AU75" s="2"/>
      <c r="AV75" s="2"/>
      <c r="AW75" s="2"/>
      <c r="AX75" s="2"/>
      <c r="AY75" s="2"/>
      <c r="AZ75" s="2"/>
      <c r="BA75" s="2"/>
      <c r="BB75" s="10">
        <f>AD26+(IFERROR((AN75/inp_c1_util)*(AO75/inp_c1_rate),0))*AZ26-AY26</f>
        <v>984100</v>
      </c>
      <c r="BC75" s="10">
        <f>AD27+(IFERROR((AN75/inp_c1_util)*(AO75/inp_c1_rate),0))*AZ27-AY27</f>
        <v>1178200</v>
      </c>
      <c r="BD75" s="10">
        <f>AD28+(IFERROR((AN75/inp_c1_util)*(AO75/inp_c1_rate),0))*AZ28-AY28</f>
        <v>1388981.25</v>
      </c>
      <c r="BE75" s="10">
        <f>AD29+(IFERROR((AN75/inp_c1_util)*(AO75/inp_c1_rate),0))*AZ29-AY29</f>
        <v>1613985.375</v>
      </c>
      <c r="BF75" s="10">
        <f>AD30+(IFERROR((AN75/inp_c1_util)*(AO75/inp_c1_rate),0))*AZ30-AY30</f>
        <v>1853314.3849999998</v>
      </c>
      <c r="BG75" s="10">
        <f>AD31+(IFERROR((AN75/inp_c1_util)*(AO75/inp_c1_rate),0))*AZ31-AY31</f>
        <v>2103049.4350999994</v>
      </c>
      <c r="BH75" s="10">
        <f>AD32+(IFERROR((AN75/inp_c1_util)*(AO75/inp_c1_rate),0))*AZ32-AY32</f>
        <v>2363294.5857009999</v>
      </c>
      <c r="BI75" s="10">
        <f>AD33+(IFERROR((AN75/inp_c1_util)*(AO75/inp_c1_rate),0))*AZ33-AY33</f>
        <v>2634154.9378080098</v>
      </c>
      <c r="BJ75" s="10">
        <f>AD34+(IFERROR((AN75/inp_c1_util)*(AO75/inp_c1_rate),0))*AZ34-AY34</f>
        <v>2915736.6434360901</v>
      </c>
      <c r="BK75" s="10">
        <f>AD35+(IFERROR((AN75/inp_c1_util)*(AO75/inp_c1_rate),0))*AZ35-AY35</f>
        <v>3208146.9161204509</v>
      </c>
      <c r="BL75" s="10">
        <f>AD36+(IFERROR((AN75/inp_c1_util)*(AO75/inp_c1_rate),0))*AZ36-AY36</f>
        <v>3511494.0415316559</v>
      </c>
      <c r="BM75" s="10">
        <f>AD37+(IFERROR((AN75/inp_c1_util)*(AO75/inp_c1_rate),0))*AZ37-AY37</f>
        <v>3825887.3881969722</v>
      </c>
      <c r="BN75" s="10">
        <f>AD38+(IFERROR((AN75/inp_c1_util)*(AO75/inp_c1_rate),0))*AZ38-AY38</f>
        <v>4151437.4183289418</v>
      </c>
      <c r="BO75" s="10">
        <f>AD39+(IFERROR((AN75/inp_c1_util)*(AO75/inp_c1_rate),0))*AZ39-AY39</f>
        <v>4488255.6987622315</v>
      </c>
      <c r="BP75" s="10">
        <f>AD40+(IFERROR((AN75/inp_c1_util)*(AO75/inp_c1_rate),0))*AZ40-AY40</f>
        <v>4836454.9119998543</v>
      </c>
      <c r="BQ75" s="10">
        <f>AD41+(IFERROR((AN75/inp_c1_util)*(AO75/inp_c1_rate),0))*AZ41-AY41</f>
        <v>5196148.867369853</v>
      </c>
      <c r="BR75" s="10">
        <f>AD42+(IFERROR((AN75/inp_c1_util)*(AO75/inp_c1_rate),0))*AZ42-AY42</f>
        <v>5567452.512293552</v>
      </c>
      <c r="BS75" s="10">
        <f>AD43+(IFERROR((AN75/inp_c1_util)*(AO75/inp_c1_rate),0))*AZ43-AY43</f>
        <v>5950481.9436664879</v>
      </c>
      <c r="BT75" s="10">
        <f>AD44+(IFERROR((AN75/inp_c1_util)*(AO75/inp_c1_rate),0))*AZ44-AY44</f>
        <v>6345354.4193531536</v>
      </c>
      <c r="BU75" s="10">
        <f>AD45+(IFERROR((AN75/inp_c1_util)*(AO75/inp_c1_rate),0))*AZ45-AY45</f>
        <v>6752188.3697966849</v>
      </c>
      <c r="BV75" s="10">
        <f>AD46+(IFERROR((AN75/inp_c1_util)*(AO75/inp_c1_rate),0))*AZ46-AY46</f>
        <v>7171103.409744652</v>
      </c>
      <c r="BW75" s="10">
        <f>AD47+(IFERROR((AN75/inp_c1_util)*(AO75/inp_c1_rate),0))*AZ47-AY47</f>
        <v>7602220.3500920981</v>
      </c>
      <c r="BX75" s="10">
        <f>AD48+(IFERROR((AN75/inp_c1_util)*(AO75/inp_c1_rate),0))*AZ48-AY48</f>
        <v>8045661.209843019</v>
      </c>
      <c r="BY75" s="10">
        <f>AD49+(IFERROR((AN75/inp_c1_util)*(AO75/inp_c1_rate),0))*AZ49-AY49</f>
        <v>8501549.2281914502</v>
      </c>
      <c r="BZ75" s="2"/>
      <c r="CA75" s="2"/>
      <c r="CB75" s="18">
        <f>IF(AND((IFERROR((AN75/sel_util)*(AO75/sel_rate),0))*AZ26-AY26&gt;=0,1&gt;=sel_start_m),1,9999)</f>
        <v>9999</v>
      </c>
      <c r="CC75" s="18">
        <f>IF(AND((IFERROR((AN75/sel_util)*(AO75/sel_rate),0))*AZ27-AY27&gt;=0,2&gt;=sel_start_m),2,9999)</f>
        <v>9999</v>
      </c>
      <c r="CD75" s="18">
        <f>IF(AND((IFERROR((AN75/sel_util)*(AO75/sel_rate),0))*AZ28-AY28&gt;=0,3&gt;=sel_start_m),3,9999)</f>
        <v>9999</v>
      </c>
      <c r="CE75" s="18">
        <f>IF(AND((IFERROR((AN75/sel_util)*(AO75/sel_rate),0))*AZ29-AY29&gt;=0,4&gt;=sel_start_m),4,9999)</f>
        <v>9999</v>
      </c>
      <c r="CF75" s="18">
        <f>IF(AND((IFERROR((AN75/sel_util)*(AO75/sel_rate),0))*AZ30-AY30&gt;=0,5&gt;=sel_start_m),5,9999)</f>
        <v>9999</v>
      </c>
      <c r="CG75" s="18">
        <f>IF(AND((IFERROR((AN75/sel_util)*(AO75/sel_rate),0))*AZ31-AY31&gt;=0,6&gt;=sel_start_m),6,9999)</f>
        <v>9999</v>
      </c>
      <c r="CH75" s="18">
        <f>IF(AND((IFERROR((AN75/sel_util)*(AO75/sel_rate),0))*AZ32-AY32&gt;=0,7&gt;=sel_start_m),7,9999)</f>
        <v>9999</v>
      </c>
      <c r="CI75" s="18">
        <f>IF(AND((IFERROR((AN75/sel_util)*(AO75/sel_rate),0))*AZ33-AY33&gt;=0,8&gt;=sel_start_m),8,9999)</f>
        <v>9999</v>
      </c>
      <c r="CJ75" s="18">
        <f>IF(AND((IFERROR((AN75/sel_util)*(AO75/sel_rate),0))*AZ34-AY34&gt;=0,9&gt;=sel_start_m),9,9999)</f>
        <v>9999</v>
      </c>
      <c r="CK75" s="18">
        <f>IF(AND((IFERROR((AN75/sel_util)*(AO75/sel_rate),0))*AZ35-AY35&gt;=0,10&gt;=sel_start_m),10,9999)</f>
        <v>9999</v>
      </c>
      <c r="CL75" s="18">
        <f>IF(AND((IFERROR((AN75/sel_util)*(AO75/sel_rate),0))*AZ36-AY36&gt;=0,11&gt;=sel_start_m),11,9999)</f>
        <v>9999</v>
      </c>
      <c r="CM75" s="18">
        <f>IF(AND((IFERROR((AN75/sel_util)*(AO75/sel_rate),0))*AZ37-AY37&gt;=0,12&gt;=sel_start_m),12,9999)</f>
        <v>9999</v>
      </c>
      <c r="CN75" s="18">
        <f>IF(AND((IFERROR((AN75/sel_util)*(AO75/sel_rate),0))*AZ38-AY38&gt;=0,13&gt;=sel_start_m),13,9999)</f>
        <v>9999</v>
      </c>
      <c r="CO75" s="18">
        <f>IF(AND((IFERROR((AN75/sel_util)*(AO75/sel_rate),0))*AZ39-AY39&gt;=0,14&gt;=sel_start_m),14,9999)</f>
        <v>9999</v>
      </c>
      <c r="CP75" s="18">
        <f>IF(AND((IFERROR((AN75/sel_util)*(AO75/sel_rate),0))*AZ40-AY40&gt;=0,15&gt;=sel_start_m),15,9999)</f>
        <v>9999</v>
      </c>
      <c r="CQ75" s="18">
        <f>IF(AND((IFERROR((AN75/sel_util)*(AO75/sel_rate),0))*AZ41-AY41&gt;=0,16&gt;=sel_start_m),16,9999)</f>
        <v>9999</v>
      </c>
      <c r="CR75" s="18">
        <f>IF(AND((IFERROR((AN75/sel_util)*(AO75/sel_rate),0))*AZ42-AY42&gt;=0,17&gt;=sel_start_m),17,9999)</f>
        <v>9999</v>
      </c>
      <c r="CS75" s="18">
        <f>IF(AND((IFERROR((AN75/sel_util)*(AO75/sel_rate),0))*AZ43-AY43&gt;=0,18&gt;=sel_start_m),18,9999)</f>
        <v>9999</v>
      </c>
      <c r="CT75" s="18">
        <f>IF(AND((IFERROR((AN75/sel_util)*(AO75/sel_rate),0))*AZ44-AY44&gt;=0,19&gt;=sel_start_m),19,9999)</f>
        <v>9999</v>
      </c>
      <c r="CU75" s="18">
        <f>IF(AND((IFERROR((AN75/sel_util)*(AO75/sel_rate),0))*AZ45-AY45&gt;=0,20&gt;=sel_start_m),20,9999)</f>
        <v>9999</v>
      </c>
      <c r="CV75" s="18">
        <f>IF(AND((IFERROR((AN75/sel_util)*(AO75/sel_rate),0))*AZ46-AY46&gt;=0,21&gt;=sel_start_m),21,9999)</f>
        <v>9999</v>
      </c>
      <c r="CW75" s="18">
        <f>IF(AND((IFERROR((AN75/sel_util)*(AO75/sel_rate),0))*AZ47-AY47&gt;=0,22&gt;=sel_start_m),22,9999)</f>
        <v>9999</v>
      </c>
      <c r="CX75" s="18">
        <f>IF(AND((IFERROR((AN75/sel_util)*(AO75/sel_rate),0))*AZ48-AY48&gt;=0,23&gt;=sel_start_m),23,9999)</f>
        <v>9999</v>
      </c>
      <c r="CY75" s="18">
        <f>IF(AND((IFERROR((AN75/sel_util)*(AO75/sel_rate),0))*AZ49-AY49&gt;=0,24&gt;=sel_start_m),24,9999)</f>
        <v>9999</v>
      </c>
      <c r="CZ75" s="2"/>
      <c r="DA75" s="2"/>
      <c r="DB75" s="2"/>
      <c r="DC75" s="2"/>
      <c r="DD75" s="2"/>
      <c r="DE75" s="2"/>
      <c r="DF75" s="2"/>
      <c r="DG75" s="2"/>
      <c r="DH75" s="2"/>
      <c r="DI75" s="2"/>
      <c r="DJ75" s="2"/>
      <c r="DK75" s="2"/>
      <c r="DL75" s="2"/>
      <c r="DM75" s="2"/>
    </row>
    <row r="76" spans="1:117" ht="32" customHeight="1" x14ac:dyDescent="0.2">
      <c r="A76" s="1"/>
      <c r="B76" s="84" t="str">
        <f>"Candidate 3 · "&amp;IF(inp_c3_role="","unnamed",inp_c3_role)&amp;" — "&amp;IF(NOT(inp_c3_active),"inactive. Toggle on in the roster to evaluate.",IF(P57&gt;=999,"does not pay back inside 24 months at current assumptions. ","pays back at month "&amp;P57&amp;". ")&amp;IF(P64&lt;0,"Cash trough breaches your floor by "&amp;TEXT(ABS(P64),"$#,##0")&amp;" in month "&amp;P63&amp;". ","Cash trough sits "&amp;TEXT(P64,"$#,##0")&amp;" above your floor at month "&amp;P63&amp;". ")&amp;"Flag: "&amp;P61&amp;".")</f>
        <v>Candidate 3 · Business Analyst — pays back at month 5. Cash trough sits $589,038 above your floor at month 1. Flag: PASS-fast.</v>
      </c>
      <c r="C76" s="84"/>
      <c r="D76" s="84"/>
      <c r="E76" s="84"/>
      <c r="F76" s="84"/>
      <c r="G76" s="84"/>
      <c r="H76" s="84"/>
      <c r="I76" s="84"/>
      <c r="J76" s="84"/>
      <c r="K76" s="1"/>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9">
        <v>0.5</v>
      </c>
      <c r="AO76" s="10">
        <v>250</v>
      </c>
      <c r="AP76" s="18">
        <f t="shared" si="184"/>
        <v>999</v>
      </c>
      <c r="AQ76" s="10">
        <f t="shared" si="185"/>
        <v>-37506.250000000116</v>
      </c>
      <c r="AR76" s="10">
        <f t="shared" si="186"/>
        <v>-37506.250000000116</v>
      </c>
      <c r="AS76" s="2"/>
      <c r="AT76" s="19">
        <f>CHOOSE($AT$70,inp_c1_rate,inp_c2_rate,inp_c3_rate,inp_c4_rate,inp_c5_rate,inp_c6_rate,inp_c7_rate,inp_c8_rate)</f>
        <v>300</v>
      </c>
      <c r="AU76" s="2"/>
      <c r="AV76" s="2"/>
      <c r="AW76" s="2"/>
      <c r="AX76" s="2"/>
      <c r="AY76" s="2"/>
      <c r="AZ76" s="2"/>
      <c r="BA76" s="2"/>
      <c r="BB76" s="10">
        <f>AD26+(IFERROR((AN76/inp_c1_util)*(AO76/inp_c1_rate),0))*AZ26-AY26</f>
        <v>984100</v>
      </c>
      <c r="BC76" s="10">
        <f>AD27+(IFERROR((AN76/inp_c1_util)*(AO76/inp_c1_rate),0))*AZ27-AY27</f>
        <v>1178200</v>
      </c>
      <c r="BD76" s="10">
        <f>AD28+(IFERROR((AN76/inp_c1_util)*(AO76/inp_c1_rate),0))*AZ28-AY28</f>
        <v>1389712.5</v>
      </c>
      <c r="BE76" s="10">
        <f>AD29+(IFERROR((AN76/inp_c1_util)*(AO76/inp_c1_rate),0))*AZ29-AY29</f>
        <v>1615894.75</v>
      </c>
      <c r="BF76" s="10">
        <f>AD30+(IFERROR((AN76/inp_c1_util)*(AO76/inp_c1_rate),0))*AZ30-AY30</f>
        <v>1856848.7599999998</v>
      </c>
      <c r="BG76" s="10">
        <f>AD31+(IFERROR((AN76/inp_c1_util)*(AO76/inp_c1_rate),0))*AZ31-AY31</f>
        <v>2108208.8100999994</v>
      </c>
      <c r="BH76" s="10">
        <f>AD32+(IFERROR((AN76/inp_c1_util)*(AO76/inp_c1_rate),0))*AZ32-AY32</f>
        <v>2370078.9607009999</v>
      </c>
      <c r="BI76" s="10">
        <f>AD33+(IFERROR((AN76/inp_c1_util)*(AO76/inp_c1_rate),0))*AZ33-AY33</f>
        <v>2642564.3128080098</v>
      </c>
      <c r="BJ76" s="10">
        <f>AD34+(IFERROR((AN76/inp_c1_util)*(AO76/inp_c1_rate),0))*AZ34-AY34</f>
        <v>2925771.0184360901</v>
      </c>
      <c r="BK76" s="10">
        <f>AD35+(IFERROR((AN76/inp_c1_util)*(AO76/inp_c1_rate),0))*AZ35-AY35</f>
        <v>3219806.2911204509</v>
      </c>
      <c r="BL76" s="10">
        <f>AD36+(IFERROR((AN76/inp_c1_util)*(AO76/inp_c1_rate),0))*AZ36-AY36</f>
        <v>3524778.4165316559</v>
      </c>
      <c r="BM76" s="10">
        <f>AD37+(IFERROR((AN76/inp_c1_util)*(AO76/inp_c1_rate),0))*AZ37-AY37</f>
        <v>3840796.7631969722</v>
      </c>
      <c r="BN76" s="10">
        <f>AD38+(IFERROR((AN76/inp_c1_util)*(AO76/inp_c1_rate),0))*AZ38-AY38</f>
        <v>4167971.7933289418</v>
      </c>
      <c r="BO76" s="10">
        <f>AD39+(IFERROR((AN76/inp_c1_util)*(AO76/inp_c1_rate),0))*AZ39-AY39</f>
        <v>4506415.0737622315</v>
      </c>
      <c r="BP76" s="10">
        <f>AD40+(IFERROR((AN76/inp_c1_util)*(AO76/inp_c1_rate),0))*AZ40-AY40</f>
        <v>4856239.2869998543</v>
      </c>
      <c r="BQ76" s="10">
        <f>AD41+(IFERROR((AN76/inp_c1_util)*(AO76/inp_c1_rate),0))*AZ41-AY41</f>
        <v>5217558.242369853</v>
      </c>
      <c r="BR76" s="10">
        <f>AD42+(IFERROR((AN76/inp_c1_util)*(AO76/inp_c1_rate),0))*AZ42-AY42</f>
        <v>5590486.887293552</v>
      </c>
      <c r="BS76" s="10">
        <f>AD43+(IFERROR((AN76/inp_c1_util)*(AO76/inp_c1_rate),0))*AZ43-AY43</f>
        <v>5975141.3186664879</v>
      </c>
      <c r="BT76" s="10">
        <f>AD44+(IFERROR((AN76/inp_c1_util)*(AO76/inp_c1_rate),0))*AZ44-AY44</f>
        <v>6371638.7943531536</v>
      </c>
      <c r="BU76" s="10">
        <f>AD45+(IFERROR((AN76/inp_c1_util)*(AO76/inp_c1_rate),0))*AZ45-AY45</f>
        <v>6780097.7447966849</v>
      </c>
      <c r="BV76" s="10">
        <f>AD46+(IFERROR((AN76/inp_c1_util)*(AO76/inp_c1_rate),0))*AZ46-AY46</f>
        <v>7200637.784744652</v>
      </c>
      <c r="BW76" s="10">
        <f>AD47+(IFERROR((AN76/inp_c1_util)*(AO76/inp_c1_rate),0))*AZ47-AY47</f>
        <v>7633379.7250920981</v>
      </c>
      <c r="BX76" s="10">
        <f>AD48+(IFERROR((AN76/inp_c1_util)*(AO76/inp_c1_rate),0))*AZ48-AY48</f>
        <v>8078445.584843019</v>
      </c>
      <c r="BY76" s="10">
        <f>AD49+(IFERROR((AN76/inp_c1_util)*(AO76/inp_c1_rate),0))*AZ49-AY49</f>
        <v>8535958.6031914502</v>
      </c>
      <c r="BZ76" s="2"/>
      <c r="CA76" s="2"/>
      <c r="CB76" s="18">
        <f>IF(AND((IFERROR((AN76/sel_util)*(AO76/sel_rate),0))*AZ26-AY26&gt;=0,1&gt;=sel_start_m),1,9999)</f>
        <v>9999</v>
      </c>
      <c r="CC76" s="18">
        <f>IF(AND((IFERROR((AN76/sel_util)*(AO76/sel_rate),0))*AZ27-AY27&gt;=0,2&gt;=sel_start_m),2,9999)</f>
        <v>9999</v>
      </c>
      <c r="CD76" s="18">
        <f>IF(AND((IFERROR((AN76/sel_util)*(AO76/sel_rate),0))*AZ28-AY28&gt;=0,3&gt;=sel_start_m),3,9999)</f>
        <v>9999</v>
      </c>
      <c r="CE76" s="18">
        <f>IF(AND((IFERROR((AN76/sel_util)*(AO76/sel_rate),0))*AZ29-AY29&gt;=0,4&gt;=sel_start_m),4,9999)</f>
        <v>9999</v>
      </c>
      <c r="CF76" s="18">
        <f>IF(AND((IFERROR((AN76/sel_util)*(AO76/sel_rate),0))*AZ30-AY30&gt;=0,5&gt;=sel_start_m),5,9999)</f>
        <v>9999</v>
      </c>
      <c r="CG76" s="18">
        <f>IF(AND((IFERROR((AN76/sel_util)*(AO76/sel_rate),0))*AZ31-AY31&gt;=0,6&gt;=sel_start_m),6,9999)</f>
        <v>9999</v>
      </c>
      <c r="CH76" s="18">
        <f>IF(AND((IFERROR((AN76/sel_util)*(AO76/sel_rate),0))*AZ32-AY32&gt;=0,7&gt;=sel_start_m),7,9999)</f>
        <v>9999</v>
      </c>
      <c r="CI76" s="18">
        <f>IF(AND((IFERROR((AN76/sel_util)*(AO76/sel_rate),0))*AZ33-AY33&gt;=0,8&gt;=sel_start_m),8,9999)</f>
        <v>9999</v>
      </c>
      <c r="CJ76" s="18">
        <f>IF(AND((IFERROR((AN76/sel_util)*(AO76/sel_rate),0))*AZ34-AY34&gt;=0,9&gt;=sel_start_m),9,9999)</f>
        <v>9999</v>
      </c>
      <c r="CK76" s="18">
        <f>IF(AND((IFERROR((AN76/sel_util)*(AO76/sel_rate),0))*AZ35-AY35&gt;=0,10&gt;=sel_start_m),10,9999)</f>
        <v>9999</v>
      </c>
      <c r="CL76" s="18">
        <f>IF(AND((IFERROR((AN76/sel_util)*(AO76/sel_rate),0))*AZ36-AY36&gt;=0,11&gt;=sel_start_m),11,9999)</f>
        <v>9999</v>
      </c>
      <c r="CM76" s="18">
        <f>IF(AND((IFERROR((AN76/sel_util)*(AO76/sel_rate),0))*AZ37-AY37&gt;=0,12&gt;=sel_start_m),12,9999)</f>
        <v>9999</v>
      </c>
      <c r="CN76" s="18">
        <f>IF(AND((IFERROR((AN76/sel_util)*(AO76/sel_rate),0))*AZ38-AY38&gt;=0,13&gt;=sel_start_m),13,9999)</f>
        <v>9999</v>
      </c>
      <c r="CO76" s="18">
        <f>IF(AND((IFERROR((AN76/sel_util)*(AO76/sel_rate),0))*AZ39-AY39&gt;=0,14&gt;=sel_start_m),14,9999)</f>
        <v>9999</v>
      </c>
      <c r="CP76" s="18">
        <f>IF(AND((IFERROR((AN76/sel_util)*(AO76/sel_rate),0))*AZ40-AY40&gt;=0,15&gt;=sel_start_m),15,9999)</f>
        <v>9999</v>
      </c>
      <c r="CQ76" s="18">
        <f>IF(AND((IFERROR((AN76/sel_util)*(AO76/sel_rate),0))*AZ41-AY41&gt;=0,16&gt;=sel_start_m),16,9999)</f>
        <v>9999</v>
      </c>
      <c r="CR76" s="18">
        <f>IF(AND((IFERROR((AN76/sel_util)*(AO76/sel_rate),0))*AZ42-AY42&gt;=0,17&gt;=sel_start_m),17,9999)</f>
        <v>9999</v>
      </c>
      <c r="CS76" s="18">
        <f>IF(AND((IFERROR((AN76/sel_util)*(AO76/sel_rate),0))*AZ43-AY43&gt;=0,18&gt;=sel_start_m),18,9999)</f>
        <v>9999</v>
      </c>
      <c r="CT76" s="18">
        <f>IF(AND((IFERROR((AN76/sel_util)*(AO76/sel_rate),0))*AZ44-AY44&gt;=0,19&gt;=sel_start_m),19,9999)</f>
        <v>9999</v>
      </c>
      <c r="CU76" s="18">
        <f>IF(AND((IFERROR((AN76/sel_util)*(AO76/sel_rate),0))*AZ45-AY45&gt;=0,20&gt;=sel_start_m),20,9999)</f>
        <v>9999</v>
      </c>
      <c r="CV76" s="18">
        <f>IF(AND((IFERROR((AN76/sel_util)*(AO76/sel_rate),0))*AZ46-AY46&gt;=0,21&gt;=sel_start_m),21,9999)</f>
        <v>9999</v>
      </c>
      <c r="CW76" s="18">
        <f>IF(AND((IFERROR((AN76/sel_util)*(AO76/sel_rate),0))*AZ47-AY47&gt;=0,22&gt;=sel_start_m),22,9999)</f>
        <v>9999</v>
      </c>
      <c r="CX76" s="18">
        <f>IF(AND((IFERROR((AN76/sel_util)*(AO76/sel_rate),0))*AZ48-AY48&gt;=0,23&gt;=sel_start_m),23,9999)</f>
        <v>9999</v>
      </c>
      <c r="CY76" s="18">
        <f>IF(AND((IFERROR((AN76/sel_util)*(AO76/sel_rate),0))*AZ49-AY49&gt;=0,24&gt;=sel_start_m),24,9999)</f>
        <v>9999</v>
      </c>
      <c r="CZ76" s="2"/>
      <c r="DA76" s="2"/>
      <c r="DB76" s="2"/>
      <c r="DC76" s="2"/>
      <c r="DD76" s="2"/>
      <c r="DE76" s="2"/>
      <c r="DF76" s="2"/>
      <c r="DG76" s="2"/>
      <c r="DH76" s="2"/>
      <c r="DI76" s="2"/>
      <c r="DJ76" s="2"/>
      <c r="DK76" s="2"/>
      <c r="DL76" s="2"/>
      <c r="DM76" s="2"/>
    </row>
    <row r="77" spans="1:117" ht="32" customHeight="1" x14ac:dyDescent="0.2">
      <c r="A77" s="1"/>
      <c r="B77" s="91" t="str">
        <f>"Candidate 4 · "&amp;IF(inp_c4_role="","unnamed",inp_c4_role)&amp;" — "&amp;IF(NOT(inp_c4_active),"inactive. Toggle on in the roster to evaluate.",IF(Q57&gt;=999,"does not pay back inside 24 months at current assumptions. ","pays back at month "&amp;Q57&amp;". ")&amp;IF(Q64&lt;0,"Cash trough breaches your floor by "&amp;TEXT(ABS(Q64),"$#,##0")&amp;" in month "&amp;Q63&amp;". ","Cash trough sits "&amp;TEXT(Q64,"$#,##0")&amp;" above your floor at month "&amp;Q63&amp;". ")&amp;"Flag: "&amp;Q61&amp;".")</f>
        <v>Candidate 4 · Practice Lead — pays back at month 10. Cash trough sits $600,000 above your floor at month 1. Flag: PASS-fast.</v>
      </c>
      <c r="C77" s="91"/>
      <c r="D77" s="91"/>
      <c r="E77" s="91"/>
      <c r="F77" s="91"/>
      <c r="G77" s="91"/>
      <c r="H77" s="91"/>
      <c r="I77" s="91"/>
      <c r="J77" s="91"/>
      <c r="K77" s="1"/>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9">
        <v>0.5</v>
      </c>
      <c r="AO77" s="10">
        <v>275</v>
      </c>
      <c r="AP77" s="18">
        <f t="shared" si="184"/>
        <v>999</v>
      </c>
      <c r="AQ77" s="10">
        <f t="shared" si="185"/>
        <v>-3096.8750000001164</v>
      </c>
      <c r="AR77" s="10">
        <f t="shared" si="186"/>
        <v>-3096.8750000001164</v>
      </c>
      <c r="AS77" s="2"/>
      <c r="AT77" s="19">
        <f>CHOOSE($AT$70,inp_c1_m1_prod,inp_c2_m1_prod,inp_c3_m1_prod,inp_c4_m1_prod,inp_c5_m1_prod,inp_c6_m1_prod,inp_c7_m1_prod,inp_c8_m1_prod)</f>
        <v>0.45</v>
      </c>
      <c r="AU77" s="2"/>
      <c r="AV77" s="2"/>
      <c r="AW77" s="2"/>
      <c r="AX77" s="2"/>
      <c r="AY77" s="2"/>
      <c r="AZ77" s="2"/>
      <c r="BA77" s="2"/>
      <c r="BB77" s="10">
        <f>AD26+(IFERROR((AN77/inp_c1_util)*(AO77/inp_c1_rate),0))*AZ26-AY26</f>
        <v>984100</v>
      </c>
      <c r="BC77" s="10">
        <f>AD27+(IFERROR((AN77/inp_c1_util)*(AO77/inp_c1_rate),0))*AZ27-AY27</f>
        <v>1178200</v>
      </c>
      <c r="BD77" s="10">
        <f>AD28+(IFERROR((AN77/inp_c1_util)*(AO77/inp_c1_rate),0))*AZ28-AY28</f>
        <v>1390443.75</v>
      </c>
      <c r="BE77" s="10">
        <f>AD29+(IFERROR((AN77/inp_c1_util)*(AO77/inp_c1_rate),0))*AZ29-AY29</f>
        <v>1617804.125</v>
      </c>
      <c r="BF77" s="10">
        <f>AD30+(IFERROR((AN77/inp_c1_util)*(AO77/inp_c1_rate),0))*AZ30-AY30</f>
        <v>1860383.1349999998</v>
      </c>
      <c r="BG77" s="10">
        <f>AD31+(IFERROR((AN77/inp_c1_util)*(AO77/inp_c1_rate),0))*AZ31-AY31</f>
        <v>2113368.1850999994</v>
      </c>
      <c r="BH77" s="10">
        <f>AD32+(IFERROR((AN77/inp_c1_util)*(AO77/inp_c1_rate),0))*AZ32-AY32</f>
        <v>2376863.3357009999</v>
      </c>
      <c r="BI77" s="10">
        <f>AD33+(IFERROR((AN77/inp_c1_util)*(AO77/inp_c1_rate),0))*AZ33-AY33</f>
        <v>2650973.6878080098</v>
      </c>
      <c r="BJ77" s="10">
        <f>AD34+(IFERROR((AN77/inp_c1_util)*(AO77/inp_c1_rate),0))*AZ34-AY34</f>
        <v>2935805.3934360901</v>
      </c>
      <c r="BK77" s="10">
        <f>AD35+(IFERROR((AN77/inp_c1_util)*(AO77/inp_c1_rate),0))*AZ35-AY35</f>
        <v>3231465.6661204509</v>
      </c>
      <c r="BL77" s="10">
        <f>AD36+(IFERROR((AN77/inp_c1_util)*(AO77/inp_c1_rate),0))*AZ36-AY36</f>
        <v>3538062.7915316559</v>
      </c>
      <c r="BM77" s="10">
        <f>AD37+(IFERROR((AN77/inp_c1_util)*(AO77/inp_c1_rate),0))*AZ37-AY37</f>
        <v>3855706.1381969722</v>
      </c>
      <c r="BN77" s="10">
        <f>AD38+(IFERROR((AN77/inp_c1_util)*(AO77/inp_c1_rate),0))*AZ38-AY38</f>
        <v>4184506.1683289418</v>
      </c>
      <c r="BO77" s="10">
        <f>AD39+(IFERROR((AN77/inp_c1_util)*(AO77/inp_c1_rate),0))*AZ39-AY39</f>
        <v>4524574.4487622315</v>
      </c>
      <c r="BP77" s="10">
        <f>AD40+(IFERROR((AN77/inp_c1_util)*(AO77/inp_c1_rate),0))*AZ40-AY40</f>
        <v>4876023.6619998543</v>
      </c>
      <c r="BQ77" s="10">
        <f>AD41+(IFERROR((AN77/inp_c1_util)*(AO77/inp_c1_rate),0))*AZ41-AY41</f>
        <v>5238967.617369853</v>
      </c>
      <c r="BR77" s="10">
        <f>AD42+(IFERROR((AN77/inp_c1_util)*(AO77/inp_c1_rate),0))*AZ42-AY42</f>
        <v>5613521.262293552</v>
      </c>
      <c r="BS77" s="10">
        <f>AD43+(IFERROR((AN77/inp_c1_util)*(AO77/inp_c1_rate),0))*AZ43-AY43</f>
        <v>5999800.6936664879</v>
      </c>
      <c r="BT77" s="10">
        <f>AD44+(IFERROR((AN77/inp_c1_util)*(AO77/inp_c1_rate),0))*AZ44-AY44</f>
        <v>6397923.1693531536</v>
      </c>
      <c r="BU77" s="10">
        <f>AD45+(IFERROR((AN77/inp_c1_util)*(AO77/inp_c1_rate),0))*AZ45-AY45</f>
        <v>6808007.1197966849</v>
      </c>
      <c r="BV77" s="10">
        <f>AD46+(IFERROR((AN77/inp_c1_util)*(AO77/inp_c1_rate),0))*AZ46-AY46</f>
        <v>7230172.159744652</v>
      </c>
      <c r="BW77" s="10">
        <f>AD47+(IFERROR((AN77/inp_c1_util)*(AO77/inp_c1_rate),0))*AZ47-AY47</f>
        <v>7664539.1000920981</v>
      </c>
      <c r="BX77" s="10">
        <f>AD48+(IFERROR((AN77/inp_c1_util)*(AO77/inp_c1_rate),0))*AZ48-AY48</f>
        <v>8111229.959843019</v>
      </c>
      <c r="BY77" s="10">
        <f>AD49+(IFERROR((AN77/inp_c1_util)*(AO77/inp_c1_rate),0))*AZ49-AY49</f>
        <v>8570367.9781914502</v>
      </c>
      <c r="BZ77" s="2"/>
      <c r="CA77" s="2"/>
      <c r="CB77" s="18">
        <f>IF(AND((IFERROR((AN77/sel_util)*(AO77/sel_rate),0))*AZ26-AY26&gt;=0,1&gt;=sel_start_m),1,9999)</f>
        <v>9999</v>
      </c>
      <c r="CC77" s="18">
        <f>IF(AND((IFERROR((AN77/sel_util)*(AO77/sel_rate),0))*AZ27-AY27&gt;=0,2&gt;=sel_start_m),2,9999)</f>
        <v>9999</v>
      </c>
      <c r="CD77" s="18">
        <f>IF(AND((IFERROR((AN77/sel_util)*(AO77/sel_rate),0))*AZ28-AY28&gt;=0,3&gt;=sel_start_m),3,9999)</f>
        <v>9999</v>
      </c>
      <c r="CE77" s="18">
        <f>IF(AND((IFERROR((AN77/sel_util)*(AO77/sel_rate),0))*AZ29-AY29&gt;=0,4&gt;=sel_start_m),4,9999)</f>
        <v>9999</v>
      </c>
      <c r="CF77" s="18">
        <f>IF(AND((IFERROR((AN77/sel_util)*(AO77/sel_rate),0))*AZ30-AY30&gt;=0,5&gt;=sel_start_m),5,9999)</f>
        <v>9999</v>
      </c>
      <c r="CG77" s="18">
        <f>IF(AND((IFERROR((AN77/sel_util)*(AO77/sel_rate),0))*AZ31-AY31&gt;=0,6&gt;=sel_start_m),6,9999)</f>
        <v>9999</v>
      </c>
      <c r="CH77" s="18">
        <f>IF(AND((IFERROR((AN77/sel_util)*(AO77/sel_rate),0))*AZ32-AY32&gt;=0,7&gt;=sel_start_m),7,9999)</f>
        <v>9999</v>
      </c>
      <c r="CI77" s="18">
        <f>IF(AND((IFERROR((AN77/sel_util)*(AO77/sel_rate),0))*AZ33-AY33&gt;=0,8&gt;=sel_start_m),8,9999)</f>
        <v>9999</v>
      </c>
      <c r="CJ77" s="18">
        <f>IF(AND((IFERROR((AN77/sel_util)*(AO77/sel_rate),0))*AZ34-AY34&gt;=0,9&gt;=sel_start_m),9,9999)</f>
        <v>9999</v>
      </c>
      <c r="CK77" s="18">
        <f>IF(AND((IFERROR((AN77/sel_util)*(AO77/sel_rate),0))*AZ35-AY35&gt;=0,10&gt;=sel_start_m),10,9999)</f>
        <v>9999</v>
      </c>
      <c r="CL77" s="18">
        <f>IF(AND((IFERROR((AN77/sel_util)*(AO77/sel_rate),0))*AZ36-AY36&gt;=0,11&gt;=sel_start_m),11,9999)</f>
        <v>9999</v>
      </c>
      <c r="CM77" s="18">
        <f>IF(AND((IFERROR((AN77/sel_util)*(AO77/sel_rate),0))*AZ37-AY37&gt;=0,12&gt;=sel_start_m),12,9999)</f>
        <v>9999</v>
      </c>
      <c r="CN77" s="18">
        <f>IF(AND((IFERROR((AN77/sel_util)*(AO77/sel_rate),0))*AZ38-AY38&gt;=0,13&gt;=sel_start_m),13,9999)</f>
        <v>9999</v>
      </c>
      <c r="CO77" s="18">
        <f>IF(AND((IFERROR((AN77/sel_util)*(AO77/sel_rate),0))*AZ39-AY39&gt;=0,14&gt;=sel_start_m),14,9999)</f>
        <v>9999</v>
      </c>
      <c r="CP77" s="18">
        <f>IF(AND((IFERROR((AN77/sel_util)*(AO77/sel_rate),0))*AZ40-AY40&gt;=0,15&gt;=sel_start_m),15,9999)</f>
        <v>9999</v>
      </c>
      <c r="CQ77" s="18">
        <f>IF(AND((IFERROR((AN77/sel_util)*(AO77/sel_rate),0))*AZ41-AY41&gt;=0,16&gt;=sel_start_m),16,9999)</f>
        <v>9999</v>
      </c>
      <c r="CR77" s="18">
        <f>IF(AND((IFERROR((AN77/sel_util)*(AO77/sel_rate),0))*AZ42-AY42&gt;=0,17&gt;=sel_start_m),17,9999)</f>
        <v>9999</v>
      </c>
      <c r="CS77" s="18">
        <f>IF(AND((IFERROR((AN77/sel_util)*(AO77/sel_rate),0))*AZ43-AY43&gt;=0,18&gt;=sel_start_m),18,9999)</f>
        <v>9999</v>
      </c>
      <c r="CT77" s="18">
        <f>IF(AND((IFERROR((AN77/sel_util)*(AO77/sel_rate),0))*AZ44-AY44&gt;=0,19&gt;=sel_start_m),19,9999)</f>
        <v>9999</v>
      </c>
      <c r="CU77" s="18">
        <f>IF(AND((IFERROR((AN77/sel_util)*(AO77/sel_rate),0))*AZ45-AY45&gt;=0,20&gt;=sel_start_m),20,9999)</f>
        <v>9999</v>
      </c>
      <c r="CV77" s="18">
        <f>IF(AND((IFERROR((AN77/sel_util)*(AO77/sel_rate),0))*AZ46-AY46&gt;=0,21&gt;=sel_start_m),21,9999)</f>
        <v>9999</v>
      </c>
      <c r="CW77" s="18">
        <f>IF(AND((IFERROR((AN77/sel_util)*(AO77/sel_rate),0))*AZ47-AY47&gt;=0,22&gt;=sel_start_m),22,9999)</f>
        <v>9999</v>
      </c>
      <c r="CX77" s="18">
        <f>IF(AND((IFERROR((AN77/sel_util)*(AO77/sel_rate),0))*AZ48-AY48&gt;=0,23&gt;=sel_start_m),23,9999)</f>
        <v>9999</v>
      </c>
      <c r="CY77" s="18">
        <f>IF(AND((IFERROR((AN77/sel_util)*(AO77/sel_rate),0))*AZ49-AY49&gt;=0,24&gt;=sel_start_m),24,9999)</f>
        <v>9999</v>
      </c>
      <c r="CZ77" s="2"/>
      <c r="DA77" s="2"/>
      <c r="DB77" s="2"/>
      <c r="DC77" s="2"/>
      <c r="DD77" s="2"/>
      <c r="DE77" s="2"/>
      <c r="DF77" s="2"/>
      <c r="DG77" s="2"/>
      <c r="DH77" s="2"/>
      <c r="DI77" s="2"/>
      <c r="DJ77" s="2"/>
      <c r="DK77" s="2"/>
      <c r="DL77" s="2"/>
      <c r="DM77" s="2"/>
    </row>
    <row r="78" spans="1:117" ht="32" customHeight="1" x14ac:dyDescent="0.2">
      <c r="A78" s="1"/>
      <c r="B78" s="91" t="str">
        <f>"Candidate 5 · "&amp;IF(inp_c5_role="","unnamed",inp_c5_role)&amp;" — "&amp;IF(NOT(inp_c5_active),"inactive. Toggle on in the roster to evaluate.",IF(R57&gt;=999,"does not pay back inside 24 months at current assumptions. ","pays back at month "&amp;R57&amp;". ")&amp;IF(R64&lt;0,"Cash trough breaches your floor by "&amp;TEXT(ABS(R64),"$#,##0")&amp;" in month "&amp;R63&amp;". ","Cash trough sits "&amp;TEXT(R64,"$#,##0")&amp;" above your floor at month "&amp;R63&amp;". ")&amp;"Flag: "&amp;R61&amp;".")</f>
        <v>Candidate 5 · Graduate Consultant — pays back at month 8. Cash trough sits $600,000 above your floor at month 1. Flag: PASS-fast.</v>
      </c>
      <c r="C78" s="91"/>
      <c r="D78" s="91"/>
      <c r="E78" s="91"/>
      <c r="F78" s="91"/>
      <c r="G78" s="91"/>
      <c r="H78" s="91"/>
      <c r="I78" s="91"/>
      <c r="J78" s="91"/>
      <c r="K78" s="1"/>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9">
        <v>0.5</v>
      </c>
      <c r="AO78" s="10">
        <v>300</v>
      </c>
      <c r="AP78" s="18">
        <f t="shared" si="184"/>
        <v>16</v>
      </c>
      <c r="AQ78" s="10">
        <f t="shared" si="185"/>
        <v>31312.499999999884</v>
      </c>
      <c r="AR78" s="10">
        <f t="shared" si="186"/>
        <v>31312.499999999884</v>
      </c>
      <c r="AS78" s="2"/>
      <c r="AT78" s="19">
        <f>CHOOSE($AT$70,inp_c1_ramp_m,inp_c2_ramp_m,inp_c3_ramp_m,inp_c4_ramp_m,inp_c5_ramp_m,inp_c6_ramp_m,inp_c7_ramp_m,inp_c8_ramp_m)</f>
        <v>3</v>
      </c>
      <c r="AU78" s="2"/>
      <c r="AV78" s="2"/>
      <c r="AW78" s="2"/>
      <c r="AX78" s="2"/>
      <c r="AY78" s="2"/>
      <c r="AZ78" s="2"/>
      <c r="BA78" s="2"/>
      <c r="BB78" s="10">
        <f>AD26+(IFERROR((AN78/inp_c1_util)*(AO78/inp_c1_rate),0))*AZ26-AY26</f>
        <v>984100</v>
      </c>
      <c r="BC78" s="10">
        <f>AD27+(IFERROR((AN78/inp_c1_util)*(AO78/inp_c1_rate),0))*AZ27-AY27</f>
        <v>1178200</v>
      </c>
      <c r="BD78" s="10">
        <f>AD28+(IFERROR((AN78/inp_c1_util)*(AO78/inp_c1_rate),0))*AZ28-AY28</f>
        <v>1391175</v>
      </c>
      <c r="BE78" s="10">
        <f>AD29+(IFERROR((AN78/inp_c1_util)*(AO78/inp_c1_rate),0))*AZ29-AY29</f>
        <v>1619713.5</v>
      </c>
      <c r="BF78" s="10">
        <f>AD30+(IFERROR((AN78/inp_c1_util)*(AO78/inp_c1_rate),0))*AZ30-AY30</f>
        <v>1863917.5099999998</v>
      </c>
      <c r="BG78" s="10">
        <f>AD31+(IFERROR((AN78/inp_c1_util)*(AO78/inp_c1_rate),0))*AZ31-AY31</f>
        <v>2118527.5600999994</v>
      </c>
      <c r="BH78" s="10">
        <f>AD32+(IFERROR((AN78/inp_c1_util)*(AO78/inp_c1_rate),0))*AZ32-AY32</f>
        <v>2383647.7107009999</v>
      </c>
      <c r="BI78" s="10">
        <f>AD33+(IFERROR((AN78/inp_c1_util)*(AO78/inp_c1_rate),0))*AZ33-AY33</f>
        <v>2659383.0628080098</v>
      </c>
      <c r="BJ78" s="10">
        <f>AD34+(IFERROR((AN78/inp_c1_util)*(AO78/inp_c1_rate),0))*AZ34-AY34</f>
        <v>2945839.7684360901</v>
      </c>
      <c r="BK78" s="10">
        <f>AD35+(IFERROR((AN78/inp_c1_util)*(AO78/inp_c1_rate),0))*AZ35-AY35</f>
        <v>3243125.0411204509</v>
      </c>
      <c r="BL78" s="10">
        <f>AD36+(IFERROR((AN78/inp_c1_util)*(AO78/inp_c1_rate),0))*AZ36-AY36</f>
        <v>3551347.1665316559</v>
      </c>
      <c r="BM78" s="10">
        <f>AD37+(IFERROR((AN78/inp_c1_util)*(AO78/inp_c1_rate),0))*AZ37-AY37</f>
        <v>3870615.5131969722</v>
      </c>
      <c r="BN78" s="10">
        <f>AD38+(IFERROR((AN78/inp_c1_util)*(AO78/inp_c1_rate),0))*AZ38-AY38</f>
        <v>4201040.5433289418</v>
      </c>
      <c r="BO78" s="10">
        <f>AD39+(IFERROR((AN78/inp_c1_util)*(AO78/inp_c1_rate),0))*AZ39-AY39</f>
        <v>4542733.8237622315</v>
      </c>
      <c r="BP78" s="10">
        <f>AD40+(IFERROR((AN78/inp_c1_util)*(AO78/inp_c1_rate),0))*AZ40-AY40</f>
        <v>4895808.0369998543</v>
      </c>
      <c r="BQ78" s="10">
        <f>AD41+(IFERROR((AN78/inp_c1_util)*(AO78/inp_c1_rate),0))*AZ41-AY41</f>
        <v>5260376.992369853</v>
      </c>
      <c r="BR78" s="10">
        <f>AD42+(IFERROR((AN78/inp_c1_util)*(AO78/inp_c1_rate),0))*AZ42-AY42</f>
        <v>5636555.637293552</v>
      </c>
      <c r="BS78" s="10">
        <f>AD43+(IFERROR((AN78/inp_c1_util)*(AO78/inp_c1_rate),0))*AZ43-AY43</f>
        <v>6024460.0686664879</v>
      </c>
      <c r="BT78" s="10">
        <f>AD44+(IFERROR((AN78/inp_c1_util)*(AO78/inp_c1_rate),0))*AZ44-AY44</f>
        <v>6424207.5443531536</v>
      </c>
      <c r="BU78" s="10">
        <f>AD45+(IFERROR((AN78/inp_c1_util)*(AO78/inp_c1_rate),0))*AZ45-AY45</f>
        <v>6835916.4947966849</v>
      </c>
      <c r="BV78" s="10">
        <f>AD46+(IFERROR((AN78/inp_c1_util)*(AO78/inp_c1_rate),0))*AZ46-AY46</f>
        <v>7259706.534744652</v>
      </c>
      <c r="BW78" s="10">
        <f>AD47+(IFERROR((AN78/inp_c1_util)*(AO78/inp_c1_rate),0))*AZ47-AY47</f>
        <v>7695698.4750920981</v>
      </c>
      <c r="BX78" s="10">
        <f>AD48+(IFERROR((AN78/inp_c1_util)*(AO78/inp_c1_rate),0))*AZ48-AY48</f>
        <v>8144014.334843019</v>
      </c>
      <c r="BY78" s="10">
        <f>AD49+(IFERROR((AN78/inp_c1_util)*(AO78/inp_c1_rate),0))*AZ49-AY49</f>
        <v>8604777.3531914502</v>
      </c>
      <c r="BZ78" s="2"/>
      <c r="CA78" s="2"/>
      <c r="CB78" s="18">
        <f>IF(AND((IFERROR((AN78/sel_util)*(AO78/sel_rate),0))*AZ26-AY26&gt;=0,1&gt;=sel_start_m),1,9999)</f>
        <v>9999</v>
      </c>
      <c r="CC78" s="18">
        <f>IF(AND((IFERROR((AN78/sel_util)*(AO78/sel_rate),0))*AZ27-AY27&gt;=0,2&gt;=sel_start_m),2,9999)</f>
        <v>9999</v>
      </c>
      <c r="CD78" s="18">
        <f>IF(AND((IFERROR((AN78/sel_util)*(AO78/sel_rate),0))*AZ28-AY28&gt;=0,3&gt;=sel_start_m),3,9999)</f>
        <v>9999</v>
      </c>
      <c r="CE78" s="18">
        <f>IF(AND((IFERROR((AN78/sel_util)*(AO78/sel_rate),0))*AZ29-AY29&gt;=0,4&gt;=sel_start_m),4,9999)</f>
        <v>9999</v>
      </c>
      <c r="CF78" s="18">
        <f>IF(AND((IFERROR((AN78/sel_util)*(AO78/sel_rate),0))*AZ30-AY30&gt;=0,5&gt;=sel_start_m),5,9999)</f>
        <v>9999</v>
      </c>
      <c r="CG78" s="18">
        <f>IF(AND((IFERROR((AN78/sel_util)*(AO78/sel_rate),0))*AZ31-AY31&gt;=0,6&gt;=sel_start_m),6,9999)</f>
        <v>9999</v>
      </c>
      <c r="CH78" s="18">
        <f>IF(AND((IFERROR((AN78/sel_util)*(AO78/sel_rate),0))*AZ32-AY32&gt;=0,7&gt;=sel_start_m),7,9999)</f>
        <v>9999</v>
      </c>
      <c r="CI78" s="18">
        <f>IF(AND((IFERROR((AN78/sel_util)*(AO78/sel_rate),0))*AZ33-AY33&gt;=0,8&gt;=sel_start_m),8,9999)</f>
        <v>9999</v>
      </c>
      <c r="CJ78" s="18">
        <f>IF(AND((IFERROR((AN78/sel_util)*(AO78/sel_rate),0))*AZ34-AY34&gt;=0,9&gt;=sel_start_m),9,9999)</f>
        <v>9999</v>
      </c>
      <c r="CK78" s="18">
        <f>IF(AND((IFERROR((AN78/sel_util)*(AO78/sel_rate),0))*AZ35-AY35&gt;=0,10&gt;=sel_start_m),10,9999)</f>
        <v>9999</v>
      </c>
      <c r="CL78" s="18">
        <f>IF(AND((IFERROR((AN78/sel_util)*(AO78/sel_rate),0))*AZ36-AY36&gt;=0,11&gt;=sel_start_m),11,9999)</f>
        <v>9999</v>
      </c>
      <c r="CM78" s="18">
        <f>IF(AND((IFERROR((AN78/sel_util)*(AO78/sel_rate),0))*AZ37-AY37&gt;=0,12&gt;=sel_start_m),12,9999)</f>
        <v>9999</v>
      </c>
      <c r="CN78" s="18">
        <f>IF(AND((IFERROR((AN78/sel_util)*(AO78/sel_rate),0))*AZ38-AY38&gt;=0,13&gt;=sel_start_m),13,9999)</f>
        <v>9999</v>
      </c>
      <c r="CO78" s="18">
        <f>IF(AND((IFERROR((AN78/sel_util)*(AO78/sel_rate),0))*AZ39-AY39&gt;=0,14&gt;=sel_start_m),14,9999)</f>
        <v>9999</v>
      </c>
      <c r="CP78" s="18">
        <f>IF(AND((IFERROR((AN78/sel_util)*(AO78/sel_rate),0))*AZ40-AY40&gt;=0,15&gt;=sel_start_m),15,9999)</f>
        <v>9999</v>
      </c>
      <c r="CQ78" s="18">
        <f>IF(AND((IFERROR((AN78/sel_util)*(AO78/sel_rate),0))*AZ41-AY41&gt;=0,16&gt;=sel_start_m),16,9999)</f>
        <v>16</v>
      </c>
      <c r="CR78" s="18">
        <f>IF(AND((IFERROR((AN78/sel_util)*(AO78/sel_rate),0))*AZ42-AY42&gt;=0,17&gt;=sel_start_m),17,9999)</f>
        <v>17</v>
      </c>
      <c r="CS78" s="18">
        <f>IF(AND((IFERROR((AN78/sel_util)*(AO78/sel_rate),0))*AZ43-AY43&gt;=0,18&gt;=sel_start_m),18,9999)</f>
        <v>18</v>
      </c>
      <c r="CT78" s="18">
        <f>IF(AND((IFERROR((AN78/sel_util)*(AO78/sel_rate),0))*AZ44-AY44&gt;=0,19&gt;=sel_start_m),19,9999)</f>
        <v>19</v>
      </c>
      <c r="CU78" s="18">
        <f>IF(AND((IFERROR((AN78/sel_util)*(AO78/sel_rate),0))*AZ45-AY45&gt;=0,20&gt;=sel_start_m),20,9999)</f>
        <v>20</v>
      </c>
      <c r="CV78" s="18">
        <f>IF(AND((IFERROR((AN78/sel_util)*(AO78/sel_rate),0))*AZ46-AY46&gt;=0,21&gt;=sel_start_m),21,9999)</f>
        <v>21</v>
      </c>
      <c r="CW78" s="18">
        <f>IF(AND((IFERROR((AN78/sel_util)*(AO78/sel_rate),0))*AZ47-AY47&gt;=0,22&gt;=sel_start_m),22,9999)</f>
        <v>22</v>
      </c>
      <c r="CX78" s="18">
        <f>IF(AND((IFERROR((AN78/sel_util)*(AO78/sel_rate),0))*AZ48-AY48&gt;=0,23&gt;=sel_start_m),23,9999)</f>
        <v>23</v>
      </c>
      <c r="CY78" s="18">
        <f>IF(AND((IFERROR((AN78/sel_util)*(AO78/sel_rate),0))*AZ49-AY49&gt;=0,24&gt;=sel_start_m),24,9999)</f>
        <v>24</v>
      </c>
      <c r="CZ78" s="2"/>
      <c r="DA78" s="2"/>
      <c r="DB78" s="2"/>
      <c r="DC78" s="2"/>
      <c r="DD78" s="2"/>
      <c r="DE78" s="2"/>
      <c r="DF78" s="2"/>
      <c r="DG78" s="2"/>
      <c r="DH78" s="2"/>
      <c r="DI78" s="2"/>
      <c r="DJ78" s="2"/>
      <c r="DK78" s="2"/>
      <c r="DL78" s="2"/>
      <c r="DM78" s="2"/>
    </row>
    <row r="79" spans="1:117" ht="32" customHeight="1" x14ac:dyDescent="0.2">
      <c r="A79" s="1"/>
      <c r="B79" s="91" t="str">
        <f>"Candidate 6 · "&amp;IF(inp_c6_role="","unnamed",inp_c6_role)&amp;" — "&amp;IF(NOT(inp_c6_active),"inactive. Toggle on in the roster to evaluate.",IF(S57&gt;=999,"does not pay back inside 24 months at current assumptions. ","pays back at month "&amp;S57&amp;". ")&amp;IF(S64&lt;0,"Cash trough breaches your floor by "&amp;TEXT(ABS(S64),"$#,##0")&amp;" in month "&amp;S63&amp;". ","Cash trough sits "&amp;TEXT(S64,"$#,##0")&amp;" above your floor at month "&amp;S63&amp;". ")&amp;"Flag: "&amp;S61&amp;".")</f>
        <v>Candidate 6 · Bid Manager — does not pay back inside 24 months at current assumptions. Cash trough sits $587,063 above your floor at month 1. Flag: FAIL.</v>
      </c>
      <c r="C79" s="91"/>
      <c r="D79" s="91"/>
      <c r="E79" s="91"/>
      <c r="F79" s="91"/>
      <c r="G79" s="91"/>
      <c r="H79" s="91"/>
      <c r="I79" s="91"/>
      <c r="J79" s="91"/>
      <c r="K79" s="1"/>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9">
        <v>0.6</v>
      </c>
      <c r="AO79" s="10">
        <v>150</v>
      </c>
      <c r="AP79" s="18">
        <f t="shared" si="184"/>
        <v>999</v>
      </c>
      <c r="AQ79" s="10">
        <f t="shared" si="185"/>
        <v>-133852.50000000009</v>
      </c>
      <c r="AR79" s="10">
        <f t="shared" si="186"/>
        <v>-133852.50000000009</v>
      </c>
      <c r="AS79" s="2"/>
      <c r="AT79" s="19">
        <f>CHOOSE($AT$70,inp_c1_start_m,inp_c2_start_m,inp_c3_start_m,inp_c4_start_m,inp_c5_start_m,inp_c6_start_m,inp_c7_start_m,inp_c8_start_m)</f>
        <v>1</v>
      </c>
      <c r="AU79" s="2"/>
      <c r="AV79" s="2"/>
      <c r="AW79" s="2"/>
      <c r="AX79" s="2"/>
      <c r="AY79" s="2"/>
      <c r="AZ79" s="2"/>
      <c r="BA79" s="2"/>
      <c r="BB79" s="10">
        <f>AD26+(IFERROR((AN79/inp_c1_util)*(AO79/inp_c1_rate),0))*AZ26-AY26</f>
        <v>984100</v>
      </c>
      <c r="BC79" s="10">
        <f>AD27+(IFERROR((AN79/inp_c1_util)*(AO79/inp_c1_rate),0))*AZ27-AY27</f>
        <v>1178200</v>
      </c>
      <c r="BD79" s="10">
        <f>AD28+(IFERROR((AN79/inp_c1_util)*(AO79/inp_c1_rate),0))*AZ28-AY28</f>
        <v>1387665</v>
      </c>
      <c r="BE79" s="10">
        <f>AD29+(IFERROR((AN79/inp_c1_util)*(AO79/inp_c1_rate),0))*AZ29-AY29</f>
        <v>1610548.5</v>
      </c>
      <c r="BF79" s="10">
        <f>AD30+(IFERROR((AN79/inp_c1_util)*(AO79/inp_c1_rate),0))*AZ30-AY30</f>
        <v>1846952.5099999998</v>
      </c>
      <c r="BG79" s="10">
        <f>AD31+(IFERROR((AN79/inp_c1_util)*(AO79/inp_c1_rate),0))*AZ31-AY31</f>
        <v>2093762.5600999994</v>
      </c>
      <c r="BH79" s="10">
        <f>AD32+(IFERROR((AN79/inp_c1_util)*(AO79/inp_c1_rate),0))*AZ32-AY32</f>
        <v>2351082.7107009999</v>
      </c>
      <c r="BI79" s="10">
        <f>AD33+(IFERROR((AN79/inp_c1_util)*(AO79/inp_c1_rate),0))*AZ33-AY33</f>
        <v>2619018.0628080098</v>
      </c>
      <c r="BJ79" s="10">
        <f>AD34+(IFERROR((AN79/inp_c1_util)*(AO79/inp_c1_rate),0))*AZ34-AY34</f>
        <v>2897674.7684360901</v>
      </c>
      <c r="BK79" s="10">
        <f>AD35+(IFERROR((AN79/inp_c1_util)*(AO79/inp_c1_rate),0))*AZ35-AY35</f>
        <v>3187160.0411204509</v>
      </c>
      <c r="BL79" s="10">
        <f>AD36+(IFERROR((AN79/inp_c1_util)*(AO79/inp_c1_rate),0))*AZ36-AY36</f>
        <v>3487582.1665316559</v>
      </c>
      <c r="BM79" s="10">
        <f>AD37+(IFERROR((AN79/inp_c1_util)*(AO79/inp_c1_rate),0))*AZ37-AY37</f>
        <v>3799050.5131969722</v>
      </c>
      <c r="BN79" s="10">
        <f>AD38+(IFERROR((AN79/inp_c1_util)*(AO79/inp_c1_rate),0))*AZ38-AY38</f>
        <v>4121675.5433289418</v>
      </c>
      <c r="BO79" s="10">
        <f>AD39+(IFERROR((AN79/inp_c1_util)*(AO79/inp_c1_rate),0))*AZ39-AY39</f>
        <v>4455568.8237622315</v>
      </c>
      <c r="BP79" s="10">
        <f>AD40+(IFERROR((AN79/inp_c1_util)*(AO79/inp_c1_rate),0))*AZ40-AY40</f>
        <v>4800843.0369998543</v>
      </c>
      <c r="BQ79" s="10">
        <f>AD41+(IFERROR((AN79/inp_c1_util)*(AO79/inp_c1_rate),0))*AZ41-AY41</f>
        <v>5157611.992369853</v>
      </c>
      <c r="BR79" s="10">
        <f>AD42+(IFERROR((AN79/inp_c1_util)*(AO79/inp_c1_rate),0))*AZ42-AY42</f>
        <v>5525990.637293552</v>
      </c>
      <c r="BS79" s="10">
        <f>AD43+(IFERROR((AN79/inp_c1_util)*(AO79/inp_c1_rate),0))*AZ43-AY43</f>
        <v>5906095.0686664879</v>
      </c>
      <c r="BT79" s="10">
        <f>AD44+(IFERROR((AN79/inp_c1_util)*(AO79/inp_c1_rate),0))*AZ44-AY44</f>
        <v>6298042.5443531536</v>
      </c>
      <c r="BU79" s="10">
        <f>AD45+(IFERROR((AN79/inp_c1_util)*(AO79/inp_c1_rate),0))*AZ45-AY45</f>
        <v>6701951.4947966849</v>
      </c>
      <c r="BV79" s="10">
        <f>AD46+(IFERROR((AN79/inp_c1_util)*(AO79/inp_c1_rate),0))*AZ46-AY46</f>
        <v>7117941.534744652</v>
      </c>
      <c r="BW79" s="10">
        <f>AD47+(IFERROR((AN79/inp_c1_util)*(AO79/inp_c1_rate),0))*AZ47-AY47</f>
        <v>7546133.4750920981</v>
      </c>
      <c r="BX79" s="10">
        <f>AD48+(IFERROR((AN79/inp_c1_util)*(AO79/inp_c1_rate),0))*AZ48-AY48</f>
        <v>7986649.334843019</v>
      </c>
      <c r="BY79" s="10">
        <f>AD49+(IFERROR((AN79/inp_c1_util)*(AO79/inp_c1_rate),0))*AZ49-AY49</f>
        <v>8439612.3531914502</v>
      </c>
      <c r="BZ79" s="2"/>
      <c r="CA79" s="2"/>
      <c r="CB79" s="18">
        <f>IF(AND((IFERROR((AN79/sel_util)*(AO79/sel_rate),0))*AZ26-AY26&gt;=0,1&gt;=sel_start_m),1,9999)</f>
        <v>9999</v>
      </c>
      <c r="CC79" s="18">
        <f>IF(AND((IFERROR((AN79/sel_util)*(AO79/sel_rate),0))*AZ27-AY27&gt;=0,2&gt;=sel_start_m),2,9999)</f>
        <v>9999</v>
      </c>
      <c r="CD79" s="18">
        <f>IF(AND((IFERROR((AN79/sel_util)*(AO79/sel_rate),0))*AZ28-AY28&gt;=0,3&gt;=sel_start_m),3,9999)</f>
        <v>9999</v>
      </c>
      <c r="CE79" s="18">
        <f>IF(AND((IFERROR((AN79/sel_util)*(AO79/sel_rate),0))*AZ29-AY29&gt;=0,4&gt;=sel_start_m),4,9999)</f>
        <v>9999</v>
      </c>
      <c r="CF79" s="18">
        <f>IF(AND((IFERROR((AN79/sel_util)*(AO79/sel_rate),0))*AZ30-AY30&gt;=0,5&gt;=sel_start_m),5,9999)</f>
        <v>9999</v>
      </c>
      <c r="CG79" s="18">
        <f>IF(AND((IFERROR((AN79/sel_util)*(AO79/sel_rate),0))*AZ31-AY31&gt;=0,6&gt;=sel_start_m),6,9999)</f>
        <v>9999</v>
      </c>
      <c r="CH79" s="18">
        <f>IF(AND((IFERROR((AN79/sel_util)*(AO79/sel_rate),0))*AZ32-AY32&gt;=0,7&gt;=sel_start_m),7,9999)</f>
        <v>9999</v>
      </c>
      <c r="CI79" s="18">
        <f>IF(AND((IFERROR((AN79/sel_util)*(AO79/sel_rate),0))*AZ33-AY33&gt;=0,8&gt;=sel_start_m),8,9999)</f>
        <v>9999</v>
      </c>
      <c r="CJ79" s="18">
        <f>IF(AND((IFERROR((AN79/sel_util)*(AO79/sel_rate),0))*AZ34-AY34&gt;=0,9&gt;=sel_start_m),9,9999)</f>
        <v>9999</v>
      </c>
      <c r="CK79" s="18">
        <f>IF(AND((IFERROR((AN79/sel_util)*(AO79/sel_rate),0))*AZ35-AY35&gt;=0,10&gt;=sel_start_m),10,9999)</f>
        <v>9999</v>
      </c>
      <c r="CL79" s="18">
        <f>IF(AND((IFERROR((AN79/sel_util)*(AO79/sel_rate),0))*AZ36-AY36&gt;=0,11&gt;=sel_start_m),11,9999)</f>
        <v>9999</v>
      </c>
      <c r="CM79" s="18">
        <f>IF(AND((IFERROR((AN79/sel_util)*(AO79/sel_rate),0))*AZ37-AY37&gt;=0,12&gt;=sel_start_m),12,9999)</f>
        <v>9999</v>
      </c>
      <c r="CN79" s="18">
        <f>IF(AND((IFERROR((AN79/sel_util)*(AO79/sel_rate),0))*AZ38-AY38&gt;=0,13&gt;=sel_start_m),13,9999)</f>
        <v>9999</v>
      </c>
      <c r="CO79" s="18">
        <f>IF(AND((IFERROR((AN79/sel_util)*(AO79/sel_rate),0))*AZ39-AY39&gt;=0,14&gt;=sel_start_m),14,9999)</f>
        <v>9999</v>
      </c>
      <c r="CP79" s="18">
        <f>IF(AND((IFERROR((AN79/sel_util)*(AO79/sel_rate),0))*AZ40-AY40&gt;=0,15&gt;=sel_start_m),15,9999)</f>
        <v>9999</v>
      </c>
      <c r="CQ79" s="18">
        <f>IF(AND((IFERROR((AN79/sel_util)*(AO79/sel_rate),0))*AZ41-AY41&gt;=0,16&gt;=sel_start_m),16,9999)</f>
        <v>9999</v>
      </c>
      <c r="CR79" s="18">
        <f>IF(AND((IFERROR((AN79/sel_util)*(AO79/sel_rate),0))*AZ42-AY42&gt;=0,17&gt;=sel_start_m),17,9999)</f>
        <v>9999</v>
      </c>
      <c r="CS79" s="18">
        <f>IF(AND((IFERROR((AN79/sel_util)*(AO79/sel_rate),0))*AZ43-AY43&gt;=0,18&gt;=sel_start_m),18,9999)</f>
        <v>9999</v>
      </c>
      <c r="CT79" s="18">
        <f>IF(AND((IFERROR((AN79/sel_util)*(AO79/sel_rate),0))*AZ44-AY44&gt;=0,19&gt;=sel_start_m),19,9999)</f>
        <v>9999</v>
      </c>
      <c r="CU79" s="18">
        <f>IF(AND((IFERROR((AN79/sel_util)*(AO79/sel_rate),0))*AZ45-AY45&gt;=0,20&gt;=sel_start_m),20,9999)</f>
        <v>9999</v>
      </c>
      <c r="CV79" s="18">
        <f>IF(AND((IFERROR((AN79/sel_util)*(AO79/sel_rate),0))*AZ46-AY46&gt;=0,21&gt;=sel_start_m),21,9999)</f>
        <v>9999</v>
      </c>
      <c r="CW79" s="18">
        <f>IF(AND((IFERROR((AN79/sel_util)*(AO79/sel_rate),0))*AZ47-AY47&gt;=0,22&gt;=sel_start_m),22,9999)</f>
        <v>9999</v>
      </c>
      <c r="CX79" s="18">
        <f>IF(AND((IFERROR((AN79/sel_util)*(AO79/sel_rate),0))*AZ48-AY48&gt;=0,23&gt;=sel_start_m),23,9999)</f>
        <v>9999</v>
      </c>
      <c r="CY79" s="18">
        <f>IF(AND((IFERROR((AN79/sel_util)*(AO79/sel_rate),0))*AZ49-AY49&gt;=0,24&gt;=sel_start_m),24,9999)</f>
        <v>9999</v>
      </c>
      <c r="CZ79" s="2"/>
      <c r="DA79" s="2"/>
      <c r="DB79" s="2"/>
      <c r="DC79" s="2"/>
      <c r="DD79" s="2"/>
      <c r="DE79" s="2"/>
      <c r="DF79" s="2"/>
      <c r="DG79" s="2"/>
      <c r="DH79" s="2"/>
      <c r="DI79" s="2"/>
      <c r="DJ79" s="2"/>
      <c r="DK79" s="2"/>
      <c r="DL79" s="2"/>
      <c r="DM79" s="2"/>
    </row>
    <row r="80" spans="1:117" ht="32" customHeight="1" x14ac:dyDescent="0.2">
      <c r="A80" s="1"/>
      <c r="B80" s="91" t="str">
        <f>"Candidate 7 · "&amp;IF(inp_c7_role="","unnamed",inp_c7_role)&amp;" — "&amp;IF(NOT(inp_c7_active),"inactive. Toggle on in the roster to evaluate.",IF(T57&gt;=999,"does not pay back inside 24 months at current assumptions. ","pays back at month "&amp;T57&amp;". ")&amp;IF(T64&lt;0,"Cash trough breaches your floor by "&amp;TEXT(ABS(T64),"$#,##0")&amp;" in month "&amp;T63&amp;". ","Cash trough sits "&amp;TEXT(T64,"$#,##0")&amp;" above your floor at month "&amp;T63&amp;". ")&amp;"Flag: "&amp;T61&amp;".")</f>
        <v>Candidate 7 · unnamed — inactive. Toggle on in the roster to evaluate.</v>
      </c>
      <c r="C80" s="91"/>
      <c r="D80" s="91"/>
      <c r="E80" s="91"/>
      <c r="F80" s="91"/>
      <c r="G80" s="91"/>
      <c r="H80" s="91"/>
      <c r="I80" s="91"/>
      <c r="J80" s="91"/>
      <c r="K80" s="1"/>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9">
        <v>0.6</v>
      </c>
      <c r="AO80" s="10">
        <v>175</v>
      </c>
      <c r="AP80" s="18">
        <f t="shared" si="184"/>
        <v>999</v>
      </c>
      <c r="AQ80" s="10">
        <f t="shared" si="185"/>
        <v>-92561.250000000058</v>
      </c>
      <c r="AR80" s="10">
        <f t="shared" si="186"/>
        <v>-92561.250000000058</v>
      </c>
      <c r="AS80" s="2"/>
      <c r="AT80" s="19">
        <f>CHOOSE($AT$70,inp_c1_collect_lag,inp_c2_collect_lag,inp_c3_collect_lag,inp_c4_collect_lag,inp_c5_collect_lag,inp_c6_collect_lag,inp_c7_collect_lag,inp_c8_collect_lag)</f>
        <v>2</v>
      </c>
      <c r="AU80" s="2"/>
      <c r="AV80" s="2"/>
      <c r="AW80" s="2"/>
      <c r="AX80" s="2"/>
      <c r="AY80" s="2"/>
      <c r="AZ80" s="2"/>
      <c r="BA80" s="2"/>
      <c r="BB80" s="10">
        <f>AD26+(IFERROR((AN80/inp_c1_util)*(AO80/inp_c1_rate),0))*AZ26-AY26</f>
        <v>984100</v>
      </c>
      <c r="BC80" s="10">
        <f>AD27+(IFERROR((AN80/inp_c1_util)*(AO80/inp_c1_rate),0))*AZ27-AY27</f>
        <v>1178200</v>
      </c>
      <c r="BD80" s="10">
        <f>AD28+(IFERROR((AN80/inp_c1_util)*(AO80/inp_c1_rate),0))*AZ28-AY28</f>
        <v>1388542.5</v>
      </c>
      <c r="BE80" s="10">
        <f>AD29+(IFERROR((AN80/inp_c1_util)*(AO80/inp_c1_rate),0))*AZ29-AY29</f>
        <v>1612839.75</v>
      </c>
      <c r="BF80" s="10">
        <f>AD30+(IFERROR((AN80/inp_c1_util)*(AO80/inp_c1_rate),0))*AZ30-AY30</f>
        <v>1851193.7599999998</v>
      </c>
      <c r="BG80" s="10">
        <f>AD31+(IFERROR((AN80/inp_c1_util)*(AO80/inp_c1_rate),0))*AZ31-AY31</f>
        <v>2099953.8100999994</v>
      </c>
      <c r="BH80" s="10">
        <f>AD32+(IFERROR((AN80/inp_c1_util)*(AO80/inp_c1_rate),0))*AZ32-AY32</f>
        <v>2359223.9607009999</v>
      </c>
      <c r="BI80" s="10">
        <f>AD33+(IFERROR((AN80/inp_c1_util)*(AO80/inp_c1_rate),0))*AZ33-AY33</f>
        <v>2629109.3128080098</v>
      </c>
      <c r="BJ80" s="10">
        <f>AD34+(IFERROR((AN80/inp_c1_util)*(AO80/inp_c1_rate),0))*AZ34-AY34</f>
        <v>2909716.0184360901</v>
      </c>
      <c r="BK80" s="10">
        <f>AD35+(IFERROR((AN80/inp_c1_util)*(AO80/inp_c1_rate),0))*AZ35-AY35</f>
        <v>3201151.2911204509</v>
      </c>
      <c r="BL80" s="10">
        <f>AD36+(IFERROR((AN80/inp_c1_util)*(AO80/inp_c1_rate),0))*AZ36-AY36</f>
        <v>3503523.4165316559</v>
      </c>
      <c r="BM80" s="10">
        <f>AD37+(IFERROR((AN80/inp_c1_util)*(AO80/inp_c1_rate),0))*AZ37-AY37</f>
        <v>3816941.7631969722</v>
      </c>
      <c r="BN80" s="10">
        <f>AD38+(IFERROR((AN80/inp_c1_util)*(AO80/inp_c1_rate),0))*AZ38-AY38</f>
        <v>4141516.7933289418</v>
      </c>
      <c r="BO80" s="10">
        <f>AD39+(IFERROR((AN80/inp_c1_util)*(AO80/inp_c1_rate),0))*AZ39-AY39</f>
        <v>4477360.0737622315</v>
      </c>
      <c r="BP80" s="10">
        <f>AD40+(IFERROR((AN80/inp_c1_util)*(AO80/inp_c1_rate),0))*AZ40-AY40</f>
        <v>4824584.2869998543</v>
      </c>
      <c r="BQ80" s="10">
        <f>AD41+(IFERROR((AN80/inp_c1_util)*(AO80/inp_c1_rate),0))*AZ41-AY41</f>
        <v>5183303.242369853</v>
      </c>
      <c r="BR80" s="10">
        <f>AD42+(IFERROR((AN80/inp_c1_util)*(AO80/inp_c1_rate),0))*AZ42-AY42</f>
        <v>5553631.887293552</v>
      </c>
      <c r="BS80" s="10">
        <f>AD43+(IFERROR((AN80/inp_c1_util)*(AO80/inp_c1_rate),0))*AZ43-AY43</f>
        <v>5935686.3186664879</v>
      </c>
      <c r="BT80" s="10">
        <f>AD44+(IFERROR((AN80/inp_c1_util)*(AO80/inp_c1_rate),0))*AZ44-AY44</f>
        <v>6329583.7943531536</v>
      </c>
      <c r="BU80" s="10">
        <f>AD45+(IFERROR((AN80/inp_c1_util)*(AO80/inp_c1_rate),0))*AZ45-AY45</f>
        <v>6735442.7447966849</v>
      </c>
      <c r="BV80" s="10">
        <f>AD46+(IFERROR((AN80/inp_c1_util)*(AO80/inp_c1_rate),0))*AZ46-AY46</f>
        <v>7153382.784744652</v>
      </c>
      <c r="BW80" s="10">
        <f>AD47+(IFERROR((AN80/inp_c1_util)*(AO80/inp_c1_rate),0))*AZ47-AY47</f>
        <v>7583524.7250920981</v>
      </c>
      <c r="BX80" s="10">
        <f>AD48+(IFERROR((AN80/inp_c1_util)*(AO80/inp_c1_rate),0))*AZ48-AY48</f>
        <v>8025990.584843019</v>
      </c>
      <c r="BY80" s="10">
        <f>AD49+(IFERROR((AN80/inp_c1_util)*(AO80/inp_c1_rate),0))*AZ49-AY49</f>
        <v>8480903.6031914502</v>
      </c>
      <c r="BZ80" s="2"/>
      <c r="CA80" s="2"/>
      <c r="CB80" s="18">
        <f>IF(AND((IFERROR((AN80/sel_util)*(AO80/sel_rate),0))*AZ26-AY26&gt;=0,1&gt;=sel_start_m),1,9999)</f>
        <v>9999</v>
      </c>
      <c r="CC80" s="18">
        <f>IF(AND((IFERROR((AN80/sel_util)*(AO80/sel_rate),0))*AZ27-AY27&gt;=0,2&gt;=sel_start_m),2,9999)</f>
        <v>9999</v>
      </c>
      <c r="CD80" s="18">
        <f>IF(AND((IFERROR((AN80/sel_util)*(AO80/sel_rate),0))*AZ28-AY28&gt;=0,3&gt;=sel_start_m),3,9999)</f>
        <v>9999</v>
      </c>
      <c r="CE80" s="18">
        <f>IF(AND((IFERROR((AN80/sel_util)*(AO80/sel_rate),0))*AZ29-AY29&gt;=0,4&gt;=sel_start_m),4,9999)</f>
        <v>9999</v>
      </c>
      <c r="CF80" s="18">
        <f>IF(AND((IFERROR((AN80/sel_util)*(AO80/sel_rate),0))*AZ30-AY30&gt;=0,5&gt;=sel_start_m),5,9999)</f>
        <v>9999</v>
      </c>
      <c r="CG80" s="18">
        <f>IF(AND((IFERROR((AN80/sel_util)*(AO80/sel_rate),0))*AZ31-AY31&gt;=0,6&gt;=sel_start_m),6,9999)</f>
        <v>9999</v>
      </c>
      <c r="CH80" s="18">
        <f>IF(AND((IFERROR((AN80/sel_util)*(AO80/sel_rate),0))*AZ32-AY32&gt;=0,7&gt;=sel_start_m),7,9999)</f>
        <v>9999</v>
      </c>
      <c r="CI80" s="18">
        <f>IF(AND((IFERROR((AN80/sel_util)*(AO80/sel_rate),0))*AZ33-AY33&gt;=0,8&gt;=sel_start_m),8,9999)</f>
        <v>9999</v>
      </c>
      <c r="CJ80" s="18">
        <f>IF(AND((IFERROR((AN80/sel_util)*(AO80/sel_rate),0))*AZ34-AY34&gt;=0,9&gt;=sel_start_m),9,9999)</f>
        <v>9999</v>
      </c>
      <c r="CK80" s="18">
        <f>IF(AND((IFERROR((AN80/sel_util)*(AO80/sel_rate),0))*AZ35-AY35&gt;=0,10&gt;=sel_start_m),10,9999)</f>
        <v>9999</v>
      </c>
      <c r="CL80" s="18">
        <f>IF(AND((IFERROR((AN80/sel_util)*(AO80/sel_rate),0))*AZ36-AY36&gt;=0,11&gt;=sel_start_m),11,9999)</f>
        <v>9999</v>
      </c>
      <c r="CM80" s="18">
        <f>IF(AND((IFERROR((AN80/sel_util)*(AO80/sel_rate),0))*AZ37-AY37&gt;=0,12&gt;=sel_start_m),12,9999)</f>
        <v>9999</v>
      </c>
      <c r="CN80" s="18">
        <f>IF(AND((IFERROR((AN80/sel_util)*(AO80/sel_rate),0))*AZ38-AY38&gt;=0,13&gt;=sel_start_m),13,9999)</f>
        <v>9999</v>
      </c>
      <c r="CO80" s="18">
        <f>IF(AND((IFERROR((AN80/sel_util)*(AO80/sel_rate),0))*AZ39-AY39&gt;=0,14&gt;=sel_start_m),14,9999)</f>
        <v>9999</v>
      </c>
      <c r="CP80" s="18">
        <f>IF(AND((IFERROR((AN80/sel_util)*(AO80/sel_rate),0))*AZ40-AY40&gt;=0,15&gt;=sel_start_m),15,9999)</f>
        <v>9999</v>
      </c>
      <c r="CQ80" s="18">
        <f>IF(AND((IFERROR((AN80/sel_util)*(AO80/sel_rate),0))*AZ41-AY41&gt;=0,16&gt;=sel_start_m),16,9999)</f>
        <v>9999</v>
      </c>
      <c r="CR80" s="18">
        <f>IF(AND((IFERROR((AN80/sel_util)*(AO80/sel_rate),0))*AZ42-AY42&gt;=0,17&gt;=sel_start_m),17,9999)</f>
        <v>9999</v>
      </c>
      <c r="CS80" s="18">
        <f>IF(AND((IFERROR((AN80/sel_util)*(AO80/sel_rate),0))*AZ43-AY43&gt;=0,18&gt;=sel_start_m),18,9999)</f>
        <v>9999</v>
      </c>
      <c r="CT80" s="18">
        <f>IF(AND((IFERROR((AN80/sel_util)*(AO80/sel_rate),0))*AZ44-AY44&gt;=0,19&gt;=sel_start_m),19,9999)</f>
        <v>9999</v>
      </c>
      <c r="CU80" s="18">
        <f>IF(AND((IFERROR((AN80/sel_util)*(AO80/sel_rate),0))*AZ45-AY45&gt;=0,20&gt;=sel_start_m),20,9999)</f>
        <v>9999</v>
      </c>
      <c r="CV80" s="18">
        <f>IF(AND((IFERROR((AN80/sel_util)*(AO80/sel_rate),0))*AZ46-AY46&gt;=0,21&gt;=sel_start_m),21,9999)</f>
        <v>9999</v>
      </c>
      <c r="CW80" s="18">
        <f>IF(AND((IFERROR((AN80/sel_util)*(AO80/sel_rate),0))*AZ47-AY47&gt;=0,22&gt;=sel_start_m),22,9999)</f>
        <v>9999</v>
      </c>
      <c r="CX80" s="18">
        <f>IF(AND((IFERROR((AN80/sel_util)*(AO80/sel_rate),0))*AZ48-AY48&gt;=0,23&gt;=sel_start_m),23,9999)</f>
        <v>9999</v>
      </c>
      <c r="CY80" s="18">
        <f>IF(AND((IFERROR((AN80/sel_util)*(AO80/sel_rate),0))*AZ49-AY49&gt;=0,24&gt;=sel_start_m),24,9999)</f>
        <v>9999</v>
      </c>
      <c r="CZ80" s="2"/>
      <c r="DA80" s="2"/>
      <c r="DB80" s="2"/>
      <c r="DC80" s="2"/>
      <c r="DD80" s="2"/>
      <c r="DE80" s="2"/>
      <c r="DF80" s="2"/>
      <c r="DG80" s="2"/>
      <c r="DH80" s="2"/>
      <c r="DI80" s="2"/>
      <c r="DJ80" s="2"/>
      <c r="DK80" s="2"/>
      <c r="DL80" s="2"/>
      <c r="DM80" s="2"/>
    </row>
    <row r="81" spans="1:117" ht="32" customHeight="1" x14ac:dyDescent="0.2">
      <c r="A81" s="1"/>
      <c r="B81" s="91" t="str">
        <f>"Candidate 8 · "&amp;IF(inp_c8_role="","unnamed",inp_c8_role)&amp;" — "&amp;IF(NOT(inp_c8_active),"inactive. Toggle on in the roster to evaluate.",IF(U57&gt;=999,"does not pay back inside 24 months at current assumptions. ","pays back at month "&amp;U57&amp;". ")&amp;IF(U64&lt;0,"Cash trough breaches your floor by "&amp;TEXT(ABS(U64),"$#,##0")&amp;" in month "&amp;U63&amp;". ","Cash trough sits "&amp;TEXT(U64,"$#,##0")&amp;" above your floor at month "&amp;U63&amp;". ")&amp;"Flag: "&amp;U61&amp;".")</f>
        <v>Candidate 8 · unnamed — inactive. Toggle on in the roster to evaluate.</v>
      </c>
      <c r="C81" s="91"/>
      <c r="D81" s="91"/>
      <c r="E81" s="91"/>
      <c r="F81" s="91"/>
      <c r="G81" s="91"/>
      <c r="H81" s="91"/>
      <c r="I81" s="91"/>
      <c r="J81" s="91"/>
      <c r="K81" s="1"/>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9">
        <v>0.6</v>
      </c>
      <c r="AO81" s="10">
        <v>200</v>
      </c>
      <c r="AP81" s="18">
        <f t="shared" si="184"/>
        <v>999</v>
      </c>
      <c r="AQ81" s="10">
        <f t="shared" si="185"/>
        <v>-51270.000000000116</v>
      </c>
      <c r="AR81" s="10">
        <f t="shared" si="186"/>
        <v>-51270.000000000116</v>
      </c>
      <c r="AS81" s="2"/>
      <c r="AT81" s="2"/>
      <c r="AU81" s="2"/>
      <c r="AV81" s="2"/>
      <c r="AW81" s="2"/>
      <c r="AX81" s="2"/>
      <c r="AY81" s="2"/>
      <c r="AZ81" s="2"/>
      <c r="BA81" s="2"/>
      <c r="BB81" s="10">
        <f>AD26+(IFERROR((AN81/inp_c1_util)*(AO81/inp_c1_rate),0))*AZ26-AY26</f>
        <v>984100</v>
      </c>
      <c r="BC81" s="10">
        <f>AD27+(IFERROR((AN81/inp_c1_util)*(AO81/inp_c1_rate),0))*AZ27-AY27</f>
        <v>1178200</v>
      </c>
      <c r="BD81" s="10">
        <f>AD28+(IFERROR((AN81/inp_c1_util)*(AO81/inp_c1_rate),0))*AZ28-AY28</f>
        <v>1389420</v>
      </c>
      <c r="BE81" s="10">
        <f>AD29+(IFERROR((AN81/inp_c1_util)*(AO81/inp_c1_rate),0))*AZ29-AY29</f>
        <v>1615131</v>
      </c>
      <c r="BF81" s="10">
        <f>AD30+(IFERROR((AN81/inp_c1_util)*(AO81/inp_c1_rate),0))*AZ30-AY30</f>
        <v>1855435.0099999998</v>
      </c>
      <c r="BG81" s="10">
        <f>AD31+(IFERROR((AN81/inp_c1_util)*(AO81/inp_c1_rate),0))*AZ31-AY31</f>
        <v>2106145.0600999994</v>
      </c>
      <c r="BH81" s="10">
        <f>AD32+(IFERROR((AN81/inp_c1_util)*(AO81/inp_c1_rate),0))*AZ32-AY32</f>
        <v>2367365.2107009999</v>
      </c>
      <c r="BI81" s="10">
        <f>AD33+(IFERROR((AN81/inp_c1_util)*(AO81/inp_c1_rate),0))*AZ33-AY33</f>
        <v>2639200.5628080098</v>
      </c>
      <c r="BJ81" s="10">
        <f>AD34+(IFERROR((AN81/inp_c1_util)*(AO81/inp_c1_rate),0))*AZ34-AY34</f>
        <v>2921757.2684360901</v>
      </c>
      <c r="BK81" s="10">
        <f>AD35+(IFERROR((AN81/inp_c1_util)*(AO81/inp_c1_rate),0))*AZ35-AY35</f>
        <v>3215142.5411204509</v>
      </c>
      <c r="BL81" s="10">
        <f>AD36+(IFERROR((AN81/inp_c1_util)*(AO81/inp_c1_rate),0))*AZ36-AY36</f>
        <v>3519464.6665316559</v>
      </c>
      <c r="BM81" s="10">
        <f>AD37+(IFERROR((AN81/inp_c1_util)*(AO81/inp_c1_rate),0))*AZ37-AY37</f>
        <v>3834833.0131969722</v>
      </c>
      <c r="BN81" s="10">
        <f>AD38+(IFERROR((AN81/inp_c1_util)*(AO81/inp_c1_rate),0))*AZ38-AY38</f>
        <v>4161358.0433289418</v>
      </c>
      <c r="BO81" s="10">
        <f>AD39+(IFERROR((AN81/inp_c1_util)*(AO81/inp_c1_rate),0))*AZ39-AY39</f>
        <v>4499151.3237622315</v>
      </c>
      <c r="BP81" s="10">
        <f>AD40+(IFERROR((AN81/inp_c1_util)*(AO81/inp_c1_rate),0))*AZ40-AY40</f>
        <v>4848325.5369998543</v>
      </c>
      <c r="BQ81" s="10">
        <f>AD41+(IFERROR((AN81/inp_c1_util)*(AO81/inp_c1_rate),0))*AZ41-AY41</f>
        <v>5208994.492369853</v>
      </c>
      <c r="BR81" s="10">
        <f>AD42+(IFERROR((AN81/inp_c1_util)*(AO81/inp_c1_rate),0))*AZ42-AY42</f>
        <v>5581273.137293552</v>
      </c>
      <c r="BS81" s="10">
        <f>AD43+(IFERROR((AN81/inp_c1_util)*(AO81/inp_c1_rate),0))*AZ43-AY43</f>
        <v>5965277.5686664879</v>
      </c>
      <c r="BT81" s="10">
        <f>AD44+(IFERROR((AN81/inp_c1_util)*(AO81/inp_c1_rate),0))*AZ44-AY44</f>
        <v>6361125.0443531536</v>
      </c>
      <c r="BU81" s="10">
        <f>AD45+(IFERROR((AN81/inp_c1_util)*(AO81/inp_c1_rate),0))*AZ45-AY45</f>
        <v>6768933.9947966849</v>
      </c>
      <c r="BV81" s="10">
        <f>AD46+(IFERROR((AN81/inp_c1_util)*(AO81/inp_c1_rate),0))*AZ46-AY46</f>
        <v>7188824.034744652</v>
      </c>
      <c r="BW81" s="10">
        <f>AD47+(IFERROR((AN81/inp_c1_util)*(AO81/inp_c1_rate),0))*AZ47-AY47</f>
        <v>7620915.9750920981</v>
      </c>
      <c r="BX81" s="10">
        <f>AD48+(IFERROR((AN81/inp_c1_util)*(AO81/inp_c1_rate),0))*AZ48-AY48</f>
        <v>8065331.834843019</v>
      </c>
      <c r="BY81" s="10">
        <f>AD49+(IFERROR((AN81/inp_c1_util)*(AO81/inp_c1_rate),0))*AZ49-AY49</f>
        <v>8522194.8531914502</v>
      </c>
      <c r="BZ81" s="2"/>
      <c r="CA81" s="2"/>
      <c r="CB81" s="18">
        <f>IF(AND((IFERROR((AN81/sel_util)*(AO81/sel_rate),0))*AZ26-AY26&gt;=0,1&gt;=sel_start_m),1,9999)</f>
        <v>9999</v>
      </c>
      <c r="CC81" s="18">
        <f>IF(AND((IFERROR((AN81/sel_util)*(AO81/sel_rate),0))*AZ27-AY27&gt;=0,2&gt;=sel_start_m),2,9999)</f>
        <v>9999</v>
      </c>
      <c r="CD81" s="18">
        <f>IF(AND((IFERROR((AN81/sel_util)*(AO81/sel_rate),0))*AZ28-AY28&gt;=0,3&gt;=sel_start_m),3,9999)</f>
        <v>9999</v>
      </c>
      <c r="CE81" s="18">
        <f>IF(AND((IFERROR((AN81/sel_util)*(AO81/sel_rate),0))*AZ29-AY29&gt;=0,4&gt;=sel_start_m),4,9999)</f>
        <v>9999</v>
      </c>
      <c r="CF81" s="18">
        <f>IF(AND((IFERROR((AN81/sel_util)*(AO81/sel_rate),0))*AZ30-AY30&gt;=0,5&gt;=sel_start_m),5,9999)</f>
        <v>9999</v>
      </c>
      <c r="CG81" s="18">
        <f>IF(AND((IFERROR((AN81/sel_util)*(AO81/sel_rate),0))*AZ31-AY31&gt;=0,6&gt;=sel_start_m),6,9999)</f>
        <v>9999</v>
      </c>
      <c r="CH81" s="18">
        <f>IF(AND((IFERROR((AN81/sel_util)*(AO81/sel_rate),0))*AZ32-AY32&gt;=0,7&gt;=sel_start_m),7,9999)</f>
        <v>9999</v>
      </c>
      <c r="CI81" s="18">
        <f>IF(AND((IFERROR((AN81/sel_util)*(AO81/sel_rate),0))*AZ33-AY33&gt;=0,8&gt;=sel_start_m),8,9999)</f>
        <v>9999</v>
      </c>
      <c r="CJ81" s="18">
        <f>IF(AND((IFERROR((AN81/sel_util)*(AO81/sel_rate),0))*AZ34-AY34&gt;=0,9&gt;=sel_start_m),9,9999)</f>
        <v>9999</v>
      </c>
      <c r="CK81" s="18">
        <f>IF(AND((IFERROR((AN81/sel_util)*(AO81/sel_rate),0))*AZ35-AY35&gt;=0,10&gt;=sel_start_m),10,9999)</f>
        <v>9999</v>
      </c>
      <c r="CL81" s="18">
        <f>IF(AND((IFERROR((AN81/sel_util)*(AO81/sel_rate),0))*AZ36-AY36&gt;=0,11&gt;=sel_start_m),11,9999)</f>
        <v>9999</v>
      </c>
      <c r="CM81" s="18">
        <f>IF(AND((IFERROR((AN81/sel_util)*(AO81/sel_rate),0))*AZ37-AY37&gt;=0,12&gt;=sel_start_m),12,9999)</f>
        <v>9999</v>
      </c>
      <c r="CN81" s="18">
        <f>IF(AND((IFERROR((AN81/sel_util)*(AO81/sel_rate),0))*AZ38-AY38&gt;=0,13&gt;=sel_start_m),13,9999)</f>
        <v>9999</v>
      </c>
      <c r="CO81" s="18">
        <f>IF(AND((IFERROR((AN81/sel_util)*(AO81/sel_rate),0))*AZ39-AY39&gt;=0,14&gt;=sel_start_m),14,9999)</f>
        <v>9999</v>
      </c>
      <c r="CP81" s="18">
        <f>IF(AND((IFERROR((AN81/sel_util)*(AO81/sel_rate),0))*AZ40-AY40&gt;=0,15&gt;=sel_start_m),15,9999)</f>
        <v>9999</v>
      </c>
      <c r="CQ81" s="18">
        <f>IF(AND((IFERROR((AN81/sel_util)*(AO81/sel_rate),0))*AZ41-AY41&gt;=0,16&gt;=sel_start_m),16,9999)</f>
        <v>9999</v>
      </c>
      <c r="CR81" s="18">
        <f>IF(AND((IFERROR((AN81/sel_util)*(AO81/sel_rate),0))*AZ42-AY42&gt;=0,17&gt;=sel_start_m),17,9999)</f>
        <v>9999</v>
      </c>
      <c r="CS81" s="18">
        <f>IF(AND((IFERROR((AN81/sel_util)*(AO81/sel_rate),0))*AZ43-AY43&gt;=0,18&gt;=sel_start_m),18,9999)</f>
        <v>9999</v>
      </c>
      <c r="CT81" s="18">
        <f>IF(AND((IFERROR((AN81/sel_util)*(AO81/sel_rate),0))*AZ44-AY44&gt;=0,19&gt;=sel_start_m),19,9999)</f>
        <v>9999</v>
      </c>
      <c r="CU81" s="18">
        <f>IF(AND((IFERROR((AN81/sel_util)*(AO81/sel_rate),0))*AZ45-AY45&gt;=0,20&gt;=sel_start_m),20,9999)</f>
        <v>9999</v>
      </c>
      <c r="CV81" s="18">
        <f>IF(AND((IFERROR((AN81/sel_util)*(AO81/sel_rate),0))*AZ46-AY46&gt;=0,21&gt;=sel_start_m),21,9999)</f>
        <v>9999</v>
      </c>
      <c r="CW81" s="18">
        <f>IF(AND((IFERROR((AN81/sel_util)*(AO81/sel_rate),0))*AZ47-AY47&gt;=0,22&gt;=sel_start_m),22,9999)</f>
        <v>9999</v>
      </c>
      <c r="CX81" s="18">
        <f>IF(AND((IFERROR((AN81/sel_util)*(AO81/sel_rate),0))*AZ48-AY48&gt;=0,23&gt;=sel_start_m),23,9999)</f>
        <v>9999</v>
      </c>
      <c r="CY81" s="18">
        <f>IF(AND((IFERROR((AN81/sel_util)*(AO81/sel_rate),0))*AZ49-AY49&gt;=0,24&gt;=sel_start_m),24,9999)</f>
        <v>9999</v>
      </c>
      <c r="CZ81" s="2"/>
      <c r="DA81" s="2"/>
      <c r="DB81" s="2"/>
      <c r="DC81" s="2"/>
      <c r="DD81" s="2"/>
      <c r="DE81" s="2"/>
      <c r="DF81" s="2"/>
      <c r="DG81" s="2"/>
      <c r="DH81" s="2"/>
      <c r="DI81" s="2"/>
      <c r="DJ81" s="2"/>
      <c r="DK81" s="2"/>
      <c r="DL81" s="2"/>
      <c r="DM81" s="2"/>
    </row>
    <row r="82" spans="1:117" x14ac:dyDescent="0.2">
      <c r="A82" s="1"/>
      <c r="B82" s="1"/>
      <c r="C82" s="1"/>
      <c r="D82" s="1"/>
      <c r="E82" s="1"/>
      <c r="F82" s="1"/>
      <c r="G82" s="1"/>
      <c r="H82" s="1"/>
      <c r="I82" s="1"/>
      <c r="J82" s="1"/>
      <c r="K82" s="1"/>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9">
        <v>0.6</v>
      </c>
      <c r="AO82" s="10">
        <v>225</v>
      </c>
      <c r="AP82" s="18">
        <f t="shared" si="184"/>
        <v>999</v>
      </c>
      <c r="AQ82" s="10">
        <f t="shared" si="185"/>
        <v>-9978.7500000001164</v>
      </c>
      <c r="AR82" s="10">
        <f t="shared" si="186"/>
        <v>-9978.7500000001164</v>
      </c>
      <c r="AS82" s="2"/>
      <c r="AT82" s="2"/>
      <c r="AU82" s="2"/>
      <c r="AV82" s="2"/>
      <c r="AW82" s="2"/>
      <c r="AX82" s="2"/>
      <c r="AY82" s="2"/>
      <c r="AZ82" s="2"/>
      <c r="BA82" s="2"/>
      <c r="BB82" s="10">
        <f>AD26+(IFERROR((AN82/inp_c1_util)*(AO82/inp_c1_rate),0))*AZ26-AY26</f>
        <v>984100</v>
      </c>
      <c r="BC82" s="10">
        <f>AD27+(IFERROR((AN82/inp_c1_util)*(AO82/inp_c1_rate),0))*AZ27-AY27</f>
        <v>1178200</v>
      </c>
      <c r="BD82" s="10">
        <f>AD28+(IFERROR((AN82/inp_c1_util)*(AO82/inp_c1_rate),0))*AZ28-AY28</f>
        <v>1390297.5</v>
      </c>
      <c r="BE82" s="10">
        <f>AD29+(IFERROR((AN82/inp_c1_util)*(AO82/inp_c1_rate),0))*AZ29-AY29</f>
        <v>1617422.25</v>
      </c>
      <c r="BF82" s="10">
        <f>AD30+(IFERROR((AN82/inp_c1_util)*(AO82/inp_c1_rate),0))*AZ30-AY30</f>
        <v>1859676.2599999998</v>
      </c>
      <c r="BG82" s="10">
        <f>AD31+(IFERROR((AN82/inp_c1_util)*(AO82/inp_c1_rate),0))*AZ31-AY31</f>
        <v>2112336.3100999994</v>
      </c>
      <c r="BH82" s="10">
        <f>AD32+(IFERROR((AN82/inp_c1_util)*(AO82/inp_c1_rate),0))*AZ32-AY32</f>
        <v>2375506.4607009999</v>
      </c>
      <c r="BI82" s="10">
        <f>AD33+(IFERROR((AN82/inp_c1_util)*(AO82/inp_c1_rate),0))*AZ33-AY33</f>
        <v>2649291.8128080098</v>
      </c>
      <c r="BJ82" s="10">
        <f>AD34+(IFERROR((AN82/inp_c1_util)*(AO82/inp_c1_rate),0))*AZ34-AY34</f>
        <v>2933798.5184360901</v>
      </c>
      <c r="BK82" s="10">
        <f>AD35+(IFERROR((AN82/inp_c1_util)*(AO82/inp_c1_rate),0))*AZ35-AY35</f>
        <v>3229133.7911204509</v>
      </c>
      <c r="BL82" s="10">
        <f>AD36+(IFERROR((AN82/inp_c1_util)*(AO82/inp_c1_rate),0))*AZ36-AY36</f>
        <v>3535405.9165316559</v>
      </c>
      <c r="BM82" s="10">
        <f>AD37+(IFERROR((AN82/inp_c1_util)*(AO82/inp_c1_rate),0))*AZ37-AY37</f>
        <v>3852724.2631969722</v>
      </c>
      <c r="BN82" s="10">
        <f>AD38+(IFERROR((AN82/inp_c1_util)*(AO82/inp_c1_rate),0))*AZ38-AY38</f>
        <v>4181199.2933289418</v>
      </c>
      <c r="BO82" s="10">
        <f>AD39+(IFERROR((AN82/inp_c1_util)*(AO82/inp_c1_rate),0))*AZ39-AY39</f>
        <v>4520942.5737622315</v>
      </c>
      <c r="BP82" s="10">
        <f>AD40+(IFERROR((AN82/inp_c1_util)*(AO82/inp_c1_rate),0))*AZ40-AY40</f>
        <v>4872066.7869998543</v>
      </c>
      <c r="BQ82" s="10">
        <f>AD41+(IFERROR((AN82/inp_c1_util)*(AO82/inp_c1_rate),0))*AZ41-AY41</f>
        <v>5234685.742369853</v>
      </c>
      <c r="BR82" s="10">
        <f>AD42+(IFERROR((AN82/inp_c1_util)*(AO82/inp_c1_rate),0))*AZ42-AY42</f>
        <v>5608914.387293552</v>
      </c>
      <c r="BS82" s="10">
        <f>AD43+(IFERROR((AN82/inp_c1_util)*(AO82/inp_c1_rate),0))*AZ43-AY43</f>
        <v>5994868.8186664879</v>
      </c>
      <c r="BT82" s="10">
        <f>AD44+(IFERROR((AN82/inp_c1_util)*(AO82/inp_c1_rate),0))*AZ44-AY44</f>
        <v>6392666.2943531536</v>
      </c>
      <c r="BU82" s="10">
        <f>AD45+(IFERROR((AN82/inp_c1_util)*(AO82/inp_c1_rate),0))*AZ45-AY45</f>
        <v>6802425.2447966849</v>
      </c>
      <c r="BV82" s="10">
        <f>AD46+(IFERROR((AN82/inp_c1_util)*(AO82/inp_c1_rate),0))*AZ46-AY46</f>
        <v>7224265.284744652</v>
      </c>
      <c r="BW82" s="10">
        <f>AD47+(IFERROR((AN82/inp_c1_util)*(AO82/inp_c1_rate),0))*AZ47-AY47</f>
        <v>7658307.2250920981</v>
      </c>
      <c r="BX82" s="10">
        <f>AD48+(IFERROR((AN82/inp_c1_util)*(AO82/inp_c1_rate),0))*AZ48-AY48</f>
        <v>8104673.084843019</v>
      </c>
      <c r="BY82" s="10">
        <f>AD49+(IFERROR((AN82/inp_c1_util)*(AO82/inp_c1_rate),0))*AZ49-AY49</f>
        <v>8563486.1031914502</v>
      </c>
      <c r="BZ82" s="2"/>
      <c r="CA82" s="2"/>
      <c r="CB82" s="18">
        <f>IF(AND((IFERROR((AN82/sel_util)*(AO82/sel_rate),0))*AZ26-AY26&gt;=0,1&gt;=sel_start_m),1,9999)</f>
        <v>9999</v>
      </c>
      <c r="CC82" s="18">
        <f>IF(AND((IFERROR((AN82/sel_util)*(AO82/sel_rate),0))*AZ27-AY27&gt;=0,2&gt;=sel_start_m),2,9999)</f>
        <v>9999</v>
      </c>
      <c r="CD82" s="18">
        <f>IF(AND((IFERROR((AN82/sel_util)*(AO82/sel_rate),0))*AZ28-AY28&gt;=0,3&gt;=sel_start_m),3,9999)</f>
        <v>9999</v>
      </c>
      <c r="CE82" s="18">
        <f>IF(AND((IFERROR((AN82/sel_util)*(AO82/sel_rate),0))*AZ29-AY29&gt;=0,4&gt;=sel_start_m),4,9999)</f>
        <v>9999</v>
      </c>
      <c r="CF82" s="18">
        <f>IF(AND((IFERROR((AN82/sel_util)*(AO82/sel_rate),0))*AZ30-AY30&gt;=0,5&gt;=sel_start_m),5,9999)</f>
        <v>9999</v>
      </c>
      <c r="CG82" s="18">
        <f>IF(AND((IFERROR((AN82/sel_util)*(AO82/sel_rate),0))*AZ31-AY31&gt;=0,6&gt;=sel_start_m),6,9999)</f>
        <v>9999</v>
      </c>
      <c r="CH82" s="18">
        <f>IF(AND((IFERROR((AN82/sel_util)*(AO82/sel_rate),0))*AZ32-AY32&gt;=0,7&gt;=sel_start_m),7,9999)</f>
        <v>9999</v>
      </c>
      <c r="CI82" s="18">
        <f>IF(AND((IFERROR((AN82/sel_util)*(AO82/sel_rate),0))*AZ33-AY33&gt;=0,8&gt;=sel_start_m),8,9999)</f>
        <v>9999</v>
      </c>
      <c r="CJ82" s="18">
        <f>IF(AND((IFERROR((AN82/sel_util)*(AO82/sel_rate),0))*AZ34-AY34&gt;=0,9&gt;=sel_start_m),9,9999)</f>
        <v>9999</v>
      </c>
      <c r="CK82" s="18">
        <f>IF(AND((IFERROR((AN82/sel_util)*(AO82/sel_rate),0))*AZ35-AY35&gt;=0,10&gt;=sel_start_m),10,9999)</f>
        <v>9999</v>
      </c>
      <c r="CL82" s="18">
        <f>IF(AND((IFERROR((AN82/sel_util)*(AO82/sel_rate),0))*AZ36-AY36&gt;=0,11&gt;=sel_start_m),11,9999)</f>
        <v>9999</v>
      </c>
      <c r="CM82" s="18">
        <f>IF(AND((IFERROR((AN82/sel_util)*(AO82/sel_rate),0))*AZ37-AY37&gt;=0,12&gt;=sel_start_m),12,9999)</f>
        <v>9999</v>
      </c>
      <c r="CN82" s="18">
        <f>IF(AND((IFERROR((AN82/sel_util)*(AO82/sel_rate),0))*AZ38-AY38&gt;=0,13&gt;=sel_start_m),13,9999)</f>
        <v>9999</v>
      </c>
      <c r="CO82" s="18">
        <f>IF(AND((IFERROR((AN82/sel_util)*(AO82/sel_rate),0))*AZ39-AY39&gt;=0,14&gt;=sel_start_m),14,9999)</f>
        <v>9999</v>
      </c>
      <c r="CP82" s="18">
        <f>IF(AND((IFERROR((AN82/sel_util)*(AO82/sel_rate),0))*AZ40-AY40&gt;=0,15&gt;=sel_start_m),15,9999)</f>
        <v>9999</v>
      </c>
      <c r="CQ82" s="18">
        <f>IF(AND((IFERROR((AN82/sel_util)*(AO82/sel_rate),0))*AZ41-AY41&gt;=0,16&gt;=sel_start_m),16,9999)</f>
        <v>9999</v>
      </c>
      <c r="CR82" s="18">
        <f>IF(AND((IFERROR((AN82/sel_util)*(AO82/sel_rate),0))*AZ42-AY42&gt;=0,17&gt;=sel_start_m),17,9999)</f>
        <v>9999</v>
      </c>
      <c r="CS82" s="18">
        <f>IF(AND((IFERROR((AN82/sel_util)*(AO82/sel_rate),0))*AZ43-AY43&gt;=0,18&gt;=sel_start_m),18,9999)</f>
        <v>9999</v>
      </c>
      <c r="CT82" s="18">
        <f>IF(AND((IFERROR((AN82/sel_util)*(AO82/sel_rate),0))*AZ44-AY44&gt;=0,19&gt;=sel_start_m),19,9999)</f>
        <v>9999</v>
      </c>
      <c r="CU82" s="18">
        <f>IF(AND((IFERROR((AN82/sel_util)*(AO82/sel_rate),0))*AZ45-AY45&gt;=0,20&gt;=sel_start_m),20,9999)</f>
        <v>9999</v>
      </c>
      <c r="CV82" s="18">
        <f>IF(AND((IFERROR((AN82/sel_util)*(AO82/sel_rate),0))*AZ46-AY46&gt;=0,21&gt;=sel_start_m),21,9999)</f>
        <v>9999</v>
      </c>
      <c r="CW82" s="18">
        <f>IF(AND((IFERROR((AN82/sel_util)*(AO82/sel_rate),0))*AZ47-AY47&gt;=0,22&gt;=sel_start_m),22,9999)</f>
        <v>9999</v>
      </c>
      <c r="CX82" s="18">
        <f>IF(AND((IFERROR((AN82/sel_util)*(AO82/sel_rate),0))*AZ48-AY48&gt;=0,23&gt;=sel_start_m),23,9999)</f>
        <v>9999</v>
      </c>
      <c r="CY82" s="18">
        <f>IF(AND((IFERROR((AN82/sel_util)*(AO82/sel_rate),0))*AZ49-AY49&gt;=0,24&gt;=sel_start_m),24,9999)</f>
        <v>9999</v>
      </c>
      <c r="CZ82" s="2"/>
      <c r="DA82" s="2"/>
      <c r="DB82" s="2"/>
      <c r="DC82" s="2"/>
      <c r="DD82" s="2"/>
      <c r="DE82" s="2"/>
      <c r="DF82" s="2"/>
      <c r="DG82" s="2"/>
      <c r="DH82" s="2"/>
      <c r="DI82" s="2"/>
      <c r="DJ82" s="2"/>
      <c r="DK82" s="2"/>
      <c r="DL82" s="2"/>
      <c r="DM82" s="2"/>
    </row>
    <row r="83" spans="1:117" ht="22" customHeight="1" x14ac:dyDescent="0.2">
      <c r="A83" s="1"/>
      <c r="B83" s="95" t="s">
        <v>258</v>
      </c>
      <c r="C83" s="92"/>
      <c r="D83" s="92"/>
      <c r="E83" s="92"/>
      <c r="F83" s="92"/>
      <c r="G83" s="92"/>
      <c r="H83" s="92"/>
      <c r="I83" s="92"/>
      <c r="J83" s="92"/>
      <c r="K83" s="1"/>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9">
        <v>0.6</v>
      </c>
      <c r="AO83" s="10">
        <v>250</v>
      </c>
      <c r="AP83" s="18">
        <f t="shared" si="184"/>
        <v>16</v>
      </c>
      <c r="AQ83" s="10">
        <f t="shared" si="185"/>
        <v>31312.499999999884</v>
      </c>
      <c r="AR83" s="10">
        <f t="shared" si="186"/>
        <v>31312.499999999884</v>
      </c>
      <c r="AS83" s="2"/>
      <c r="AT83" s="2"/>
      <c r="AU83" s="2"/>
      <c r="AV83" s="2"/>
      <c r="AW83" s="2"/>
      <c r="AX83" s="2"/>
      <c r="AY83" s="2"/>
      <c r="AZ83" s="2"/>
      <c r="BA83" s="2"/>
      <c r="BB83" s="10">
        <f>AD26+(IFERROR((AN83/inp_c1_util)*(AO83/inp_c1_rate),0))*AZ26-AY26</f>
        <v>984100</v>
      </c>
      <c r="BC83" s="10">
        <f>AD27+(IFERROR((AN83/inp_c1_util)*(AO83/inp_c1_rate),0))*AZ27-AY27</f>
        <v>1178200</v>
      </c>
      <c r="BD83" s="10">
        <f>AD28+(IFERROR((AN83/inp_c1_util)*(AO83/inp_c1_rate),0))*AZ28-AY28</f>
        <v>1391175</v>
      </c>
      <c r="BE83" s="10">
        <f>AD29+(IFERROR((AN83/inp_c1_util)*(AO83/inp_c1_rate),0))*AZ29-AY29</f>
        <v>1619713.5</v>
      </c>
      <c r="BF83" s="10">
        <f>AD30+(IFERROR((AN83/inp_c1_util)*(AO83/inp_c1_rate),0))*AZ30-AY30</f>
        <v>1863917.5099999998</v>
      </c>
      <c r="BG83" s="10">
        <f>AD31+(IFERROR((AN83/inp_c1_util)*(AO83/inp_c1_rate),0))*AZ31-AY31</f>
        <v>2118527.5600999994</v>
      </c>
      <c r="BH83" s="10">
        <f>AD32+(IFERROR((AN83/inp_c1_util)*(AO83/inp_c1_rate),0))*AZ32-AY32</f>
        <v>2383647.7107009999</v>
      </c>
      <c r="BI83" s="10">
        <f>AD33+(IFERROR((AN83/inp_c1_util)*(AO83/inp_c1_rate),0))*AZ33-AY33</f>
        <v>2659383.0628080098</v>
      </c>
      <c r="BJ83" s="10">
        <f>AD34+(IFERROR((AN83/inp_c1_util)*(AO83/inp_c1_rate),0))*AZ34-AY34</f>
        <v>2945839.7684360901</v>
      </c>
      <c r="BK83" s="10">
        <f>AD35+(IFERROR((AN83/inp_c1_util)*(AO83/inp_c1_rate),0))*AZ35-AY35</f>
        <v>3243125.0411204509</v>
      </c>
      <c r="BL83" s="10">
        <f>AD36+(IFERROR((AN83/inp_c1_util)*(AO83/inp_c1_rate),0))*AZ36-AY36</f>
        <v>3551347.1665316559</v>
      </c>
      <c r="BM83" s="10">
        <f>AD37+(IFERROR((AN83/inp_c1_util)*(AO83/inp_c1_rate),0))*AZ37-AY37</f>
        <v>3870615.5131969722</v>
      </c>
      <c r="BN83" s="10">
        <f>AD38+(IFERROR((AN83/inp_c1_util)*(AO83/inp_c1_rate),0))*AZ38-AY38</f>
        <v>4201040.5433289418</v>
      </c>
      <c r="BO83" s="10">
        <f>AD39+(IFERROR((AN83/inp_c1_util)*(AO83/inp_c1_rate),0))*AZ39-AY39</f>
        <v>4542733.8237622315</v>
      </c>
      <c r="BP83" s="10">
        <f>AD40+(IFERROR((AN83/inp_c1_util)*(AO83/inp_c1_rate),0))*AZ40-AY40</f>
        <v>4895808.0369998543</v>
      </c>
      <c r="BQ83" s="10">
        <f>AD41+(IFERROR((AN83/inp_c1_util)*(AO83/inp_c1_rate),0))*AZ41-AY41</f>
        <v>5260376.992369853</v>
      </c>
      <c r="BR83" s="10">
        <f>AD42+(IFERROR((AN83/inp_c1_util)*(AO83/inp_c1_rate),0))*AZ42-AY42</f>
        <v>5636555.637293552</v>
      </c>
      <c r="BS83" s="10">
        <f>AD43+(IFERROR((AN83/inp_c1_util)*(AO83/inp_c1_rate),0))*AZ43-AY43</f>
        <v>6024460.0686664879</v>
      </c>
      <c r="BT83" s="10">
        <f>AD44+(IFERROR((AN83/inp_c1_util)*(AO83/inp_c1_rate),0))*AZ44-AY44</f>
        <v>6424207.5443531536</v>
      </c>
      <c r="BU83" s="10">
        <f>AD45+(IFERROR((AN83/inp_c1_util)*(AO83/inp_c1_rate),0))*AZ45-AY45</f>
        <v>6835916.4947966849</v>
      </c>
      <c r="BV83" s="10">
        <f>AD46+(IFERROR((AN83/inp_c1_util)*(AO83/inp_c1_rate),0))*AZ46-AY46</f>
        <v>7259706.534744652</v>
      </c>
      <c r="BW83" s="10">
        <f>AD47+(IFERROR((AN83/inp_c1_util)*(AO83/inp_c1_rate),0))*AZ47-AY47</f>
        <v>7695698.4750920981</v>
      </c>
      <c r="BX83" s="10">
        <f>AD48+(IFERROR((AN83/inp_c1_util)*(AO83/inp_c1_rate),0))*AZ48-AY48</f>
        <v>8144014.334843019</v>
      </c>
      <c r="BY83" s="10">
        <f>AD49+(IFERROR((AN83/inp_c1_util)*(AO83/inp_c1_rate),0))*AZ49-AY49</f>
        <v>8604777.3531914502</v>
      </c>
      <c r="BZ83" s="2"/>
      <c r="CA83" s="2"/>
      <c r="CB83" s="18">
        <f>IF(AND((IFERROR((AN83/sel_util)*(AO83/sel_rate),0))*AZ26-AY26&gt;=0,1&gt;=sel_start_m),1,9999)</f>
        <v>9999</v>
      </c>
      <c r="CC83" s="18">
        <f>IF(AND((IFERROR((AN83/sel_util)*(AO83/sel_rate),0))*AZ27-AY27&gt;=0,2&gt;=sel_start_m),2,9999)</f>
        <v>9999</v>
      </c>
      <c r="CD83" s="18">
        <f>IF(AND((IFERROR((AN83/sel_util)*(AO83/sel_rate),0))*AZ28-AY28&gt;=0,3&gt;=sel_start_m),3,9999)</f>
        <v>9999</v>
      </c>
      <c r="CE83" s="18">
        <f>IF(AND((IFERROR((AN83/sel_util)*(AO83/sel_rate),0))*AZ29-AY29&gt;=0,4&gt;=sel_start_m),4,9999)</f>
        <v>9999</v>
      </c>
      <c r="CF83" s="18">
        <f>IF(AND((IFERROR((AN83/sel_util)*(AO83/sel_rate),0))*AZ30-AY30&gt;=0,5&gt;=sel_start_m),5,9999)</f>
        <v>9999</v>
      </c>
      <c r="CG83" s="18">
        <f>IF(AND((IFERROR((AN83/sel_util)*(AO83/sel_rate),0))*AZ31-AY31&gt;=0,6&gt;=sel_start_m),6,9999)</f>
        <v>9999</v>
      </c>
      <c r="CH83" s="18">
        <f>IF(AND((IFERROR((AN83/sel_util)*(AO83/sel_rate),0))*AZ32-AY32&gt;=0,7&gt;=sel_start_m),7,9999)</f>
        <v>9999</v>
      </c>
      <c r="CI83" s="18">
        <f>IF(AND((IFERROR((AN83/sel_util)*(AO83/sel_rate),0))*AZ33-AY33&gt;=0,8&gt;=sel_start_m),8,9999)</f>
        <v>9999</v>
      </c>
      <c r="CJ83" s="18">
        <f>IF(AND((IFERROR((AN83/sel_util)*(AO83/sel_rate),0))*AZ34-AY34&gt;=0,9&gt;=sel_start_m),9,9999)</f>
        <v>9999</v>
      </c>
      <c r="CK83" s="18">
        <f>IF(AND((IFERROR((AN83/sel_util)*(AO83/sel_rate),0))*AZ35-AY35&gt;=0,10&gt;=sel_start_m),10,9999)</f>
        <v>9999</v>
      </c>
      <c r="CL83" s="18">
        <f>IF(AND((IFERROR((AN83/sel_util)*(AO83/sel_rate),0))*AZ36-AY36&gt;=0,11&gt;=sel_start_m),11,9999)</f>
        <v>9999</v>
      </c>
      <c r="CM83" s="18">
        <f>IF(AND((IFERROR((AN83/sel_util)*(AO83/sel_rate),0))*AZ37-AY37&gt;=0,12&gt;=sel_start_m),12,9999)</f>
        <v>9999</v>
      </c>
      <c r="CN83" s="18">
        <f>IF(AND((IFERROR((AN83/sel_util)*(AO83/sel_rate),0))*AZ38-AY38&gt;=0,13&gt;=sel_start_m),13,9999)</f>
        <v>9999</v>
      </c>
      <c r="CO83" s="18">
        <f>IF(AND((IFERROR((AN83/sel_util)*(AO83/sel_rate),0))*AZ39-AY39&gt;=0,14&gt;=sel_start_m),14,9999)</f>
        <v>9999</v>
      </c>
      <c r="CP83" s="18">
        <f>IF(AND((IFERROR((AN83/sel_util)*(AO83/sel_rate),0))*AZ40-AY40&gt;=0,15&gt;=sel_start_m),15,9999)</f>
        <v>9999</v>
      </c>
      <c r="CQ83" s="18">
        <f>IF(AND((IFERROR((AN83/sel_util)*(AO83/sel_rate),0))*AZ41-AY41&gt;=0,16&gt;=sel_start_m),16,9999)</f>
        <v>16</v>
      </c>
      <c r="CR83" s="18">
        <f>IF(AND((IFERROR((AN83/sel_util)*(AO83/sel_rate),0))*AZ42-AY42&gt;=0,17&gt;=sel_start_m),17,9999)</f>
        <v>17</v>
      </c>
      <c r="CS83" s="18">
        <f>IF(AND((IFERROR((AN83/sel_util)*(AO83/sel_rate),0))*AZ43-AY43&gt;=0,18&gt;=sel_start_m),18,9999)</f>
        <v>18</v>
      </c>
      <c r="CT83" s="18">
        <f>IF(AND((IFERROR((AN83/sel_util)*(AO83/sel_rate),0))*AZ44-AY44&gt;=0,19&gt;=sel_start_m),19,9999)</f>
        <v>19</v>
      </c>
      <c r="CU83" s="18">
        <f>IF(AND((IFERROR((AN83/sel_util)*(AO83/sel_rate),0))*AZ45-AY45&gt;=0,20&gt;=sel_start_m),20,9999)</f>
        <v>20</v>
      </c>
      <c r="CV83" s="18">
        <f>IF(AND((IFERROR((AN83/sel_util)*(AO83/sel_rate),0))*AZ46-AY46&gt;=0,21&gt;=sel_start_m),21,9999)</f>
        <v>21</v>
      </c>
      <c r="CW83" s="18">
        <f>IF(AND((IFERROR((AN83/sel_util)*(AO83/sel_rate),0))*AZ47-AY47&gt;=0,22&gt;=sel_start_m),22,9999)</f>
        <v>22</v>
      </c>
      <c r="CX83" s="18">
        <f>IF(AND((IFERROR((AN83/sel_util)*(AO83/sel_rate),0))*AZ48-AY48&gt;=0,23&gt;=sel_start_m),23,9999)</f>
        <v>23</v>
      </c>
      <c r="CY83" s="18">
        <f>IF(AND((IFERROR((AN83/sel_util)*(AO83/sel_rate),0))*AZ49-AY49&gt;=0,24&gt;=sel_start_m),24,9999)</f>
        <v>24</v>
      </c>
      <c r="CZ83" s="2"/>
      <c r="DA83" s="2"/>
      <c r="DB83" s="2"/>
      <c r="DC83" s="2"/>
      <c r="DD83" s="2"/>
      <c r="DE83" s="2"/>
      <c r="DF83" s="2"/>
      <c r="DG83" s="2"/>
      <c r="DH83" s="2"/>
      <c r="DI83" s="2"/>
      <c r="DJ83" s="2"/>
      <c r="DK83" s="2"/>
      <c r="DL83" s="2"/>
      <c r="DM83" s="2"/>
    </row>
    <row r="84" spans="1:117" ht="22" customHeight="1" x14ac:dyDescent="0.2">
      <c r="A84" s="1"/>
      <c r="B84" s="82"/>
      <c r="C84" s="1"/>
      <c r="D84" s="1"/>
      <c r="E84" s="1"/>
      <c r="F84" s="1"/>
      <c r="G84" s="1"/>
      <c r="H84" s="1"/>
      <c r="I84" s="1"/>
      <c r="J84" s="1"/>
      <c r="K84" s="1"/>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9">
        <v>0.6</v>
      </c>
      <c r="AO84" s="10">
        <v>275</v>
      </c>
      <c r="AP84" s="18">
        <f t="shared" si="184"/>
        <v>11</v>
      </c>
      <c r="AQ84" s="10">
        <f t="shared" si="185"/>
        <v>72603.749999999884</v>
      </c>
      <c r="AR84" s="10">
        <f t="shared" si="186"/>
        <v>72603.749999999884</v>
      </c>
      <c r="AS84" s="2"/>
      <c r="AT84" s="2"/>
      <c r="AU84" s="2"/>
      <c r="AV84" s="2"/>
      <c r="AW84" s="2"/>
      <c r="AX84" s="2"/>
      <c r="AY84" s="2"/>
      <c r="AZ84" s="2"/>
      <c r="BA84" s="2"/>
      <c r="BB84" s="10">
        <f>AD26+(IFERROR((AN84/inp_c1_util)*(AO84/inp_c1_rate),0))*AZ26-AY26</f>
        <v>984100</v>
      </c>
      <c r="BC84" s="10">
        <f>AD27+(IFERROR((AN84/inp_c1_util)*(AO84/inp_c1_rate),0))*AZ27-AY27</f>
        <v>1178200</v>
      </c>
      <c r="BD84" s="10">
        <f>AD28+(IFERROR((AN84/inp_c1_util)*(AO84/inp_c1_rate),0))*AZ28-AY28</f>
        <v>1392052.5</v>
      </c>
      <c r="BE84" s="10">
        <f>AD29+(IFERROR((AN84/inp_c1_util)*(AO84/inp_c1_rate),0))*AZ29-AY29</f>
        <v>1622004.75</v>
      </c>
      <c r="BF84" s="10">
        <f>AD30+(IFERROR((AN84/inp_c1_util)*(AO84/inp_c1_rate),0))*AZ30-AY30</f>
        <v>1868158.7599999998</v>
      </c>
      <c r="BG84" s="10">
        <f>AD31+(IFERROR((AN84/inp_c1_util)*(AO84/inp_c1_rate),0))*AZ31-AY31</f>
        <v>2124718.8100999994</v>
      </c>
      <c r="BH84" s="10">
        <f>AD32+(IFERROR((AN84/inp_c1_util)*(AO84/inp_c1_rate),0))*AZ32-AY32</f>
        <v>2391788.9607009999</v>
      </c>
      <c r="BI84" s="10">
        <f>AD33+(IFERROR((AN84/inp_c1_util)*(AO84/inp_c1_rate),0))*AZ33-AY33</f>
        <v>2669474.3128080098</v>
      </c>
      <c r="BJ84" s="10">
        <f>AD34+(IFERROR((AN84/inp_c1_util)*(AO84/inp_c1_rate),0))*AZ34-AY34</f>
        <v>2957881.0184360901</v>
      </c>
      <c r="BK84" s="10">
        <f>AD35+(IFERROR((AN84/inp_c1_util)*(AO84/inp_c1_rate),0))*AZ35-AY35</f>
        <v>3257116.2911204509</v>
      </c>
      <c r="BL84" s="10">
        <f>AD36+(IFERROR((AN84/inp_c1_util)*(AO84/inp_c1_rate),0))*AZ36-AY36</f>
        <v>3567288.4165316559</v>
      </c>
      <c r="BM84" s="10">
        <f>AD37+(IFERROR((AN84/inp_c1_util)*(AO84/inp_c1_rate),0))*AZ37-AY37</f>
        <v>3888506.7631969722</v>
      </c>
      <c r="BN84" s="10">
        <f>AD38+(IFERROR((AN84/inp_c1_util)*(AO84/inp_c1_rate),0))*AZ38-AY38</f>
        <v>4220881.7933289418</v>
      </c>
      <c r="BO84" s="10">
        <f>AD39+(IFERROR((AN84/inp_c1_util)*(AO84/inp_c1_rate),0))*AZ39-AY39</f>
        <v>4564525.0737622315</v>
      </c>
      <c r="BP84" s="10">
        <f>AD40+(IFERROR((AN84/inp_c1_util)*(AO84/inp_c1_rate),0))*AZ40-AY40</f>
        <v>4919549.2869998543</v>
      </c>
      <c r="BQ84" s="10">
        <f>AD41+(IFERROR((AN84/inp_c1_util)*(AO84/inp_c1_rate),0))*AZ41-AY41</f>
        <v>5286068.242369853</v>
      </c>
      <c r="BR84" s="10">
        <f>AD42+(IFERROR((AN84/inp_c1_util)*(AO84/inp_c1_rate),0))*AZ42-AY42</f>
        <v>5664196.887293552</v>
      </c>
      <c r="BS84" s="10">
        <f>AD43+(IFERROR((AN84/inp_c1_util)*(AO84/inp_c1_rate),0))*AZ43-AY43</f>
        <v>6054051.3186664879</v>
      </c>
      <c r="BT84" s="10">
        <f>AD44+(IFERROR((AN84/inp_c1_util)*(AO84/inp_c1_rate),0))*AZ44-AY44</f>
        <v>6455748.7943531536</v>
      </c>
      <c r="BU84" s="10">
        <f>AD45+(IFERROR((AN84/inp_c1_util)*(AO84/inp_c1_rate),0))*AZ45-AY45</f>
        <v>6869407.7447966849</v>
      </c>
      <c r="BV84" s="10">
        <f>AD46+(IFERROR((AN84/inp_c1_util)*(AO84/inp_c1_rate),0))*AZ46-AY46</f>
        <v>7295147.784744652</v>
      </c>
      <c r="BW84" s="10">
        <f>AD47+(IFERROR((AN84/inp_c1_util)*(AO84/inp_c1_rate),0))*AZ47-AY47</f>
        <v>7733089.7250920981</v>
      </c>
      <c r="BX84" s="10">
        <f>AD48+(IFERROR((AN84/inp_c1_util)*(AO84/inp_c1_rate),0))*AZ48-AY48</f>
        <v>8183355.584843019</v>
      </c>
      <c r="BY84" s="10">
        <f>AD49+(IFERROR((AN84/inp_c1_util)*(AO84/inp_c1_rate),0))*AZ49-AY49</f>
        <v>8646068.6031914502</v>
      </c>
      <c r="BZ84" s="2"/>
      <c r="CA84" s="2"/>
      <c r="CB84" s="18">
        <f>IF(AND((IFERROR((AN84/sel_util)*(AO84/sel_rate),0))*AZ26-AY26&gt;=0,1&gt;=sel_start_m),1,9999)</f>
        <v>9999</v>
      </c>
      <c r="CC84" s="18">
        <f>IF(AND((IFERROR((AN84/sel_util)*(AO84/sel_rate),0))*AZ27-AY27&gt;=0,2&gt;=sel_start_m),2,9999)</f>
        <v>9999</v>
      </c>
      <c r="CD84" s="18">
        <f>IF(AND((IFERROR((AN84/sel_util)*(AO84/sel_rate),0))*AZ28-AY28&gt;=0,3&gt;=sel_start_m),3,9999)</f>
        <v>9999</v>
      </c>
      <c r="CE84" s="18">
        <f>IF(AND((IFERROR((AN84/sel_util)*(AO84/sel_rate),0))*AZ29-AY29&gt;=0,4&gt;=sel_start_m),4,9999)</f>
        <v>9999</v>
      </c>
      <c r="CF84" s="18">
        <f>IF(AND((IFERROR((AN84/sel_util)*(AO84/sel_rate),0))*AZ30-AY30&gt;=0,5&gt;=sel_start_m),5,9999)</f>
        <v>9999</v>
      </c>
      <c r="CG84" s="18">
        <f>IF(AND((IFERROR((AN84/sel_util)*(AO84/sel_rate),0))*AZ31-AY31&gt;=0,6&gt;=sel_start_m),6,9999)</f>
        <v>9999</v>
      </c>
      <c r="CH84" s="18">
        <f>IF(AND((IFERROR((AN84/sel_util)*(AO84/sel_rate),0))*AZ32-AY32&gt;=0,7&gt;=sel_start_m),7,9999)</f>
        <v>9999</v>
      </c>
      <c r="CI84" s="18">
        <f>IF(AND((IFERROR((AN84/sel_util)*(AO84/sel_rate),0))*AZ33-AY33&gt;=0,8&gt;=sel_start_m),8,9999)</f>
        <v>9999</v>
      </c>
      <c r="CJ84" s="18">
        <f>IF(AND((IFERROR((AN84/sel_util)*(AO84/sel_rate),0))*AZ34-AY34&gt;=0,9&gt;=sel_start_m),9,9999)</f>
        <v>9999</v>
      </c>
      <c r="CK84" s="18">
        <f>IF(AND((IFERROR((AN84/sel_util)*(AO84/sel_rate),0))*AZ35-AY35&gt;=0,10&gt;=sel_start_m),10,9999)</f>
        <v>9999</v>
      </c>
      <c r="CL84" s="18">
        <f>IF(AND((IFERROR((AN84/sel_util)*(AO84/sel_rate),0))*AZ36-AY36&gt;=0,11&gt;=sel_start_m),11,9999)</f>
        <v>11</v>
      </c>
      <c r="CM84" s="18">
        <f>IF(AND((IFERROR((AN84/sel_util)*(AO84/sel_rate),0))*AZ37-AY37&gt;=0,12&gt;=sel_start_m),12,9999)</f>
        <v>12</v>
      </c>
      <c r="CN84" s="18">
        <f>IF(AND((IFERROR((AN84/sel_util)*(AO84/sel_rate),0))*AZ38-AY38&gt;=0,13&gt;=sel_start_m),13,9999)</f>
        <v>13</v>
      </c>
      <c r="CO84" s="18">
        <f>IF(AND((IFERROR((AN84/sel_util)*(AO84/sel_rate),0))*AZ39-AY39&gt;=0,14&gt;=sel_start_m),14,9999)</f>
        <v>14</v>
      </c>
      <c r="CP84" s="18">
        <f>IF(AND((IFERROR((AN84/sel_util)*(AO84/sel_rate),0))*AZ40-AY40&gt;=0,15&gt;=sel_start_m),15,9999)</f>
        <v>15</v>
      </c>
      <c r="CQ84" s="18">
        <f>IF(AND((IFERROR((AN84/sel_util)*(AO84/sel_rate),0))*AZ41-AY41&gt;=0,16&gt;=sel_start_m),16,9999)</f>
        <v>16</v>
      </c>
      <c r="CR84" s="18">
        <f>IF(AND((IFERROR((AN84/sel_util)*(AO84/sel_rate),0))*AZ42-AY42&gt;=0,17&gt;=sel_start_m),17,9999)</f>
        <v>17</v>
      </c>
      <c r="CS84" s="18">
        <f>IF(AND((IFERROR((AN84/sel_util)*(AO84/sel_rate),0))*AZ43-AY43&gt;=0,18&gt;=sel_start_m),18,9999)</f>
        <v>18</v>
      </c>
      <c r="CT84" s="18">
        <f>IF(AND((IFERROR((AN84/sel_util)*(AO84/sel_rate),0))*AZ44-AY44&gt;=0,19&gt;=sel_start_m),19,9999)</f>
        <v>19</v>
      </c>
      <c r="CU84" s="18">
        <f>IF(AND((IFERROR((AN84/sel_util)*(AO84/sel_rate),0))*AZ45-AY45&gt;=0,20&gt;=sel_start_m),20,9999)</f>
        <v>20</v>
      </c>
      <c r="CV84" s="18">
        <f>IF(AND((IFERROR((AN84/sel_util)*(AO84/sel_rate),0))*AZ46-AY46&gt;=0,21&gt;=sel_start_m),21,9999)</f>
        <v>21</v>
      </c>
      <c r="CW84" s="18">
        <f>IF(AND((IFERROR((AN84/sel_util)*(AO84/sel_rate),0))*AZ47-AY47&gt;=0,22&gt;=sel_start_m),22,9999)</f>
        <v>22</v>
      </c>
      <c r="CX84" s="18">
        <f>IF(AND((IFERROR((AN84/sel_util)*(AO84/sel_rate),0))*AZ48-AY48&gt;=0,23&gt;=sel_start_m),23,9999)</f>
        <v>23</v>
      </c>
      <c r="CY84" s="18">
        <f>IF(AND((IFERROR((AN84/sel_util)*(AO84/sel_rate),0))*AZ49-AY49&gt;=0,24&gt;=sel_start_m),24,9999)</f>
        <v>24</v>
      </c>
      <c r="CZ84" s="2"/>
      <c r="DA84" s="2"/>
      <c r="DB84" s="2"/>
      <c r="DC84" s="2"/>
      <c r="DD84" s="2"/>
      <c r="DE84" s="2"/>
      <c r="DF84" s="2"/>
      <c r="DG84" s="2"/>
      <c r="DH84" s="2"/>
      <c r="DI84" s="2"/>
      <c r="DJ84" s="2"/>
      <c r="DK84" s="2"/>
      <c r="DL84" s="2"/>
      <c r="DM84" s="2"/>
    </row>
    <row r="85" spans="1:117" ht="22" customHeight="1" x14ac:dyDescent="0.2">
      <c r="A85" s="1"/>
      <c r="B85" s="5" t="str">
        <f>"SENSITIVITY · "&amp;UPPER(CHOOSE($AT$70,IF(inp_c1_role="","Candidate 1",inp_c1_role),IF(inp_c2_role="","Candidate 2",inp_c2_role),IF(inp_c3_role="","Candidate 3",inp_c3_role),IF(inp_c4_role="","Candidate 4",inp_c4_role),IF(inp_c5_role="","Candidate 5",inp_c5_role),IF(inp_c6_role="","Candidate 6",inp_c6_role),IF(inp_c7_role="","Candidate 7",inp_c7_role),IF(inp_c8_role="","Candidate 8",inp_c8_role)))&amp;IF(NOT(CHOOSE($AT$70,inp_c1_active,inp_c2_active,inp_c3_active,inp_c4_active,inp_c5_active,inp_c6_active,inp_c7_active,inp_c8_active))," (inactive)","")</f>
        <v>SENSITIVITY · SENIOR CONSULTANT</v>
      </c>
      <c r="C85" s="1"/>
      <c r="D85" s="1"/>
      <c r="E85" s="1"/>
      <c r="F85" s="1"/>
      <c r="G85" s="1"/>
      <c r="H85" s="1"/>
      <c r="I85" s="1"/>
      <c r="J85" s="29" t="s">
        <v>55</v>
      </c>
      <c r="K85" s="1"/>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9">
        <v>0.6</v>
      </c>
      <c r="AO85" s="10">
        <v>300</v>
      </c>
      <c r="AP85" s="18">
        <f t="shared" si="184"/>
        <v>9</v>
      </c>
      <c r="AQ85" s="10">
        <f t="shared" si="185"/>
        <v>113894.99999999988</v>
      </c>
      <c r="AR85" s="10">
        <f t="shared" si="186"/>
        <v>113894.99999999988</v>
      </c>
      <c r="AS85" s="2"/>
      <c r="AT85" s="2"/>
      <c r="AU85" s="2"/>
      <c r="AV85" s="2"/>
      <c r="AW85" s="2"/>
      <c r="AX85" s="2"/>
      <c r="AY85" s="2"/>
      <c r="AZ85" s="2"/>
      <c r="BA85" s="2"/>
      <c r="BB85" s="10">
        <f>AD26+(IFERROR((AN85/inp_c1_util)*(AO85/inp_c1_rate),0))*AZ26-AY26</f>
        <v>984100</v>
      </c>
      <c r="BC85" s="10">
        <f>AD27+(IFERROR((AN85/inp_c1_util)*(AO85/inp_c1_rate),0))*AZ27-AY27</f>
        <v>1178200</v>
      </c>
      <c r="BD85" s="10">
        <f>AD28+(IFERROR((AN85/inp_c1_util)*(AO85/inp_c1_rate),0))*AZ28-AY28</f>
        <v>1392930</v>
      </c>
      <c r="BE85" s="10">
        <f>AD29+(IFERROR((AN85/inp_c1_util)*(AO85/inp_c1_rate),0))*AZ29-AY29</f>
        <v>1624296</v>
      </c>
      <c r="BF85" s="10">
        <f>AD30+(IFERROR((AN85/inp_c1_util)*(AO85/inp_c1_rate),0))*AZ30-AY30</f>
        <v>1872400.0099999998</v>
      </c>
      <c r="BG85" s="10">
        <f>AD31+(IFERROR((AN85/inp_c1_util)*(AO85/inp_c1_rate),0))*AZ31-AY31</f>
        <v>2130910.0600999994</v>
      </c>
      <c r="BH85" s="10">
        <f>AD32+(IFERROR((AN85/inp_c1_util)*(AO85/inp_c1_rate),0))*AZ32-AY32</f>
        <v>2399930.2107009999</v>
      </c>
      <c r="BI85" s="10">
        <f>AD33+(IFERROR((AN85/inp_c1_util)*(AO85/inp_c1_rate),0))*AZ33-AY33</f>
        <v>2679565.5628080098</v>
      </c>
      <c r="BJ85" s="10">
        <f>AD34+(IFERROR((AN85/inp_c1_util)*(AO85/inp_c1_rate),0))*AZ34-AY34</f>
        <v>2969922.2684360901</v>
      </c>
      <c r="BK85" s="10">
        <f>AD35+(IFERROR((AN85/inp_c1_util)*(AO85/inp_c1_rate),0))*AZ35-AY35</f>
        <v>3271107.5411204509</v>
      </c>
      <c r="BL85" s="10">
        <f>AD36+(IFERROR((AN85/inp_c1_util)*(AO85/inp_c1_rate),0))*AZ36-AY36</f>
        <v>3583229.6665316559</v>
      </c>
      <c r="BM85" s="10">
        <f>AD37+(IFERROR((AN85/inp_c1_util)*(AO85/inp_c1_rate),0))*AZ37-AY37</f>
        <v>3906398.0131969722</v>
      </c>
      <c r="BN85" s="10">
        <f>AD38+(IFERROR((AN85/inp_c1_util)*(AO85/inp_c1_rate),0))*AZ38-AY38</f>
        <v>4240723.0433289418</v>
      </c>
      <c r="BO85" s="10">
        <f>AD39+(IFERROR((AN85/inp_c1_util)*(AO85/inp_c1_rate),0))*AZ39-AY39</f>
        <v>4586316.3237622315</v>
      </c>
      <c r="BP85" s="10">
        <f>AD40+(IFERROR((AN85/inp_c1_util)*(AO85/inp_c1_rate),0))*AZ40-AY40</f>
        <v>4943290.5369998543</v>
      </c>
      <c r="BQ85" s="10">
        <f>AD41+(IFERROR((AN85/inp_c1_util)*(AO85/inp_c1_rate),0))*AZ41-AY41</f>
        <v>5311759.492369853</v>
      </c>
      <c r="BR85" s="10">
        <f>AD42+(IFERROR((AN85/inp_c1_util)*(AO85/inp_c1_rate),0))*AZ42-AY42</f>
        <v>5691838.137293552</v>
      </c>
      <c r="BS85" s="10">
        <f>AD43+(IFERROR((AN85/inp_c1_util)*(AO85/inp_c1_rate),0))*AZ43-AY43</f>
        <v>6083642.5686664879</v>
      </c>
      <c r="BT85" s="10">
        <f>AD44+(IFERROR((AN85/inp_c1_util)*(AO85/inp_c1_rate),0))*AZ44-AY44</f>
        <v>6487290.0443531536</v>
      </c>
      <c r="BU85" s="10">
        <f>AD45+(IFERROR((AN85/inp_c1_util)*(AO85/inp_c1_rate),0))*AZ45-AY45</f>
        <v>6902898.9947966849</v>
      </c>
      <c r="BV85" s="10">
        <f>AD46+(IFERROR((AN85/inp_c1_util)*(AO85/inp_c1_rate),0))*AZ46-AY46</f>
        <v>7330589.034744652</v>
      </c>
      <c r="BW85" s="10">
        <f>AD47+(IFERROR((AN85/inp_c1_util)*(AO85/inp_c1_rate),0))*AZ47-AY47</f>
        <v>7770480.9750920981</v>
      </c>
      <c r="BX85" s="10">
        <f>AD48+(IFERROR((AN85/inp_c1_util)*(AO85/inp_c1_rate),0))*AZ48-AY48</f>
        <v>8222696.834843019</v>
      </c>
      <c r="BY85" s="10">
        <f>AD49+(IFERROR((AN85/inp_c1_util)*(AO85/inp_c1_rate),0))*AZ49-AY49</f>
        <v>8687359.8531914502</v>
      </c>
      <c r="BZ85" s="2"/>
      <c r="CA85" s="2"/>
      <c r="CB85" s="18">
        <f>IF(AND((IFERROR((AN85/sel_util)*(AO85/sel_rate),0))*AZ26-AY26&gt;=0,1&gt;=sel_start_m),1,9999)</f>
        <v>9999</v>
      </c>
      <c r="CC85" s="18">
        <f>IF(AND((IFERROR((AN85/sel_util)*(AO85/sel_rate),0))*AZ27-AY27&gt;=0,2&gt;=sel_start_m),2,9999)</f>
        <v>9999</v>
      </c>
      <c r="CD85" s="18">
        <f>IF(AND((IFERROR((AN85/sel_util)*(AO85/sel_rate),0))*AZ28-AY28&gt;=0,3&gt;=sel_start_m),3,9999)</f>
        <v>9999</v>
      </c>
      <c r="CE85" s="18">
        <f>IF(AND((IFERROR((AN85/sel_util)*(AO85/sel_rate),0))*AZ29-AY29&gt;=0,4&gt;=sel_start_m),4,9999)</f>
        <v>9999</v>
      </c>
      <c r="CF85" s="18">
        <f>IF(AND((IFERROR((AN85/sel_util)*(AO85/sel_rate),0))*AZ30-AY30&gt;=0,5&gt;=sel_start_m),5,9999)</f>
        <v>9999</v>
      </c>
      <c r="CG85" s="18">
        <f>IF(AND((IFERROR((AN85/sel_util)*(AO85/sel_rate),0))*AZ31-AY31&gt;=0,6&gt;=sel_start_m),6,9999)</f>
        <v>9999</v>
      </c>
      <c r="CH85" s="18">
        <f>IF(AND((IFERROR((AN85/sel_util)*(AO85/sel_rate),0))*AZ32-AY32&gt;=0,7&gt;=sel_start_m),7,9999)</f>
        <v>9999</v>
      </c>
      <c r="CI85" s="18">
        <f>IF(AND((IFERROR((AN85/sel_util)*(AO85/sel_rate),0))*AZ33-AY33&gt;=0,8&gt;=sel_start_m),8,9999)</f>
        <v>9999</v>
      </c>
      <c r="CJ85" s="18">
        <f>IF(AND((IFERROR((AN85/sel_util)*(AO85/sel_rate),0))*AZ34-AY34&gt;=0,9&gt;=sel_start_m),9,9999)</f>
        <v>9</v>
      </c>
      <c r="CK85" s="18">
        <f>IF(AND((IFERROR((AN85/sel_util)*(AO85/sel_rate),0))*AZ35-AY35&gt;=0,10&gt;=sel_start_m),10,9999)</f>
        <v>10</v>
      </c>
      <c r="CL85" s="18">
        <f>IF(AND((IFERROR((AN85/sel_util)*(AO85/sel_rate),0))*AZ36-AY36&gt;=0,11&gt;=sel_start_m),11,9999)</f>
        <v>11</v>
      </c>
      <c r="CM85" s="18">
        <f>IF(AND((IFERROR((AN85/sel_util)*(AO85/sel_rate),0))*AZ37-AY37&gt;=0,12&gt;=sel_start_m),12,9999)</f>
        <v>12</v>
      </c>
      <c r="CN85" s="18">
        <f>IF(AND((IFERROR((AN85/sel_util)*(AO85/sel_rate),0))*AZ38-AY38&gt;=0,13&gt;=sel_start_m),13,9999)</f>
        <v>13</v>
      </c>
      <c r="CO85" s="18">
        <f>IF(AND((IFERROR((AN85/sel_util)*(AO85/sel_rate),0))*AZ39-AY39&gt;=0,14&gt;=sel_start_m),14,9999)</f>
        <v>14</v>
      </c>
      <c r="CP85" s="18">
        <f>IF(AND((IFERROR((AN85/sel_util)*(AO85/sel_rate),0))*AZ40-AY40&gt;=0,15&gt;=sel_start_m),15,9999)</f>
        <v>15</v>
      </c>
      <c r="CQ85" s="18">
        <f>IF(AND((IFERROR((AN85/sel_util)*(AO85/sel_rate),0))*AZ41-AY41&gt;=0,16&gt;=sel_start_m),16,9999)</f>
        <v>16</v>
      </c>
      <c r="CR85" s="18">
        <f>IF(AND((IFERROR((AN85/sel_util)*(AO85/sel_rate),0))*AZ42-AY42&gt;=0,17&gt;=sel_start_m),17,9999)</f>
        <v>17</v>
      </c>
      <c r="CS85" s="18">
        <f>IF(AND((IFERROR((AN85/sel_util)*(AO85/sel_rate),0))*AZ43-AY43&gt;=0,18&gt;=sel_start_m),18,9999)</f>
        <v>18</v>
      </c>
      <c r="CT85" s="18">
        <f>IF(AND((IFERROR((AN85/sel_util)*(AO85/sel_rate),0))*AZ44-AY44&gt;=0,19&gt;=sel_start_m),19,9999)</f>
        <v>19</v>
      </c>
      <c r="CU85" s="18">
        <f>IF(AND((IFERROR((AN85/sel_util)*(AO85/sel_rate),0))*AZ45-AY45&gt;=0,20&gt;=sel_start_m),20,9999)</f>
        <v>20</v>
      </c>
      <c r="CV85" s="18">
        <f>IF(AND((IFERROR((AN85/sel_util)*(AO85/sel_rate),0))*AZ46-AY46&gt;=0,21&gt;=sel_start_m),21,9999)</f>
        <v>21</v>
      </c>
      <c r="CW85" s="18">
        <f>IF(AND((IFERROR((AN85/sel_util)*(AO85/sel_rate),0))*AZ47-AY47&gt;=0,22&gt;=sel_start_m),22,9999)</f>
        <v>22</v>
      </c>
      <c r="CX85" s="18">
        <f>IF(AND((IFERROR((AN85/sel_util)*(AO85/sel_rate),0))*AZ48-AY48&gt;=0,23&gt;=sel_start_m),23,9999)</f>
        <v>23</v>
      </c>
      <c r="CY85" s="18">
        <f>IF(AND((IFERROR((AN85/sel_util)*(AO85/sel_rate),0))*AZ49-AY49&gt;=0,24&gt;=sel_start_m),24,9999)</f>
        <v>24</v>
      </c>
      <c r="CZ85" s="2"/>
      <c r="DA85" s="2"/>
      <c r="DB85" s="2"/>
      <c r="DC85" s="2"/>
      <c r="DD85" s="2"/>
      <c r="DE85" s="2"/>
      <c r="DF85" s="2"/>
      <c r="DG85" s="2"/>
      <c r="DH85" s="2"/>
      <c r="DI85" s="2"/>
      <c r="DJ85" s="2"/>
      <c r="DK85" s="2"/>
      <c r="DL85" s="2"/>
      <c r="DM85" s="2"/>
    </row>
    <row r="86" spans="1:117" ht="22" customHeight="1" x14ac:dyDescent="0.2">
      <c r="A86" s="1"/>
      <c r="B86" s="6" t="s">
        <v>142</v>
      </c>
      <c r="C86" s="30">
        <v>150</v>
      </c>
      <c r="D86" s="30">
        <v>175</v>
      </c>
      <c r="E86" s="30">
        <v>200</v>
      </c>
      <c r="F86" s="30">
        <v>225</v>
      </c>
      <c r="G86" s="30">
        <v>250</v>
      </c>
      <c r="H86" s="30">
        <v>275</v>
      </c>
      <c r="I86" s="30">
        <v>300</v>
      </c>
      <c r="J86" s="1"/>
      <c r="K86" s="1"/>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9">
        <v>0.7</v>
      </c>
      <c r="AO86" s="10">
        <v>150</v>
      </c>
      <c r="AP86" s="18">
        <f t="shared" si="184"/>
        <v>999</v>
      </c>
      <c r="AQ86" s="10">
        <f t="shared" si="185"/>
        <v>-92561.250000000058</v>
      </c>
      <c r="AR86" s="10">
        <f t="shared" si="186"/>
        <v>-92561.250000000058</v>
      </c>
      <c r="AS86" s="2"/>
      <c r="AT86" s="2"/>
      <c r="AU86" s="2"/>
      <c r="AV86" s="2"/>
      <c r="AW86" s="2"/>
      <c r="AX86" s="2"/>
      <c r="AY86" s="2"/>
      <c r="AZ86" s="2"/>
      <c r="BA86" s="2"/>
      <c r="BB86" s="10">
        <f>AD26+(IFERROR((AN86/inp_c1_util)*(AO86/inp_c1_rate),0))*AZ26-AY26</f>
        <v>984100</v>
      </c>
      <c r="BC86" s="10">
        <f>AD27+(IFERROR((AN86/inp_c1_util)*(AO86/inp_c1_rate),0))*AZ27-AY27</f>
        <v>1178200</v>
      </c>
      <c r="BD86" s="10">
        <f>AD28+(IFERROR((AN86/inp_c1_util)*(AO86/inp_c1_rate),0))*AZ28-AY28</f>
        <v>1388542.5</v>
      </c>
      <c r="BE86" s="10">
        <f>AD29+(IFERROR((AN86/inp_c1_util)*(AO86/inp_c1_rate),0))*AZ29-AY29</f>
        <v>1612839.75</v>
      </c>
      <c r="BF86" s="10">
        <f>AD30+(IFERROR((AN86/inp_c1_util)*(AO86/inp_c1_rate),0))*AZ30-AY30</f>
        <v>1851193.7599999998</v>
      </c>
      <c r="BG86" s="10">
        <f>AD31+(IFERROR((AN86/inp_c1_util)*(AO86/inp_c1_rate),0))*AZ31-AY31</f>
        <v>2099953.8100999994</v>
      </c>
      <c r="BH86" s="10">
        <f>AD32+(IFERROR((AN86/inp_c1_util)*(AO86/inp_c1_rate),0))*AZ32-AY32</f>
        <v>2359223.9607009999</v>
      </c>
      <c r="BI86" s="10">
        <f>AD33+(IFERROR((AN86/inp_c1_util)*(AO86/inp_c1_rate),0))*AZ33-AY33</f>
        <v>2629109.3128080098</v>
      </c>
      <c r="BJ86" s="10">
        <f>AD34+(IFERROR((AN86/inp_c1_util)*(AO86/inp_c1_rate),0))*AZ34-AY34</f>
        <v>2909716.0184360901</v>
      </c>
      <c r="BK86" s="10">
        <f>AD35+(IFERROR((AN86/inp_c1_util)*(AO86/inp_c1_rate),0))*AZ35-AY35</f>
        <v>3201151.2911204509</v>
      </c>
      <c r="BL86" s="10">
        <f>AD36+(IFERROR((AN86/inp_c1_util)*(AO86/inp_c1_rate),0))*AZ36-AY36</f>
        <v>3503523.4165316559</v>
      </c>
      <c r="BM86" s="10">
        <f>AD37+(IFERROR((AN86/inp_c1_util)*(AO86/inp_c1_rate),0))*AZ37-AY37</f>
        <v>3816941.7631969722</v>
      </c>
      <c r="BN86" s="10">
        <f>AD38+(IFERROR((AN86/inp_c1_util)*(AO86/inp_c1_rate),0))*AZ38-AY38</f>
        <v>4141516.7933289418</v>
      </c>
      <c r="BO86" s="10">
        <f>AD39+(IFERROR((AN86/inp_c1_util)*(AO86/inp_c1_rate),0))*AZ39-AY39</f>
        <v>4477360.0737622315</v>
      </c>
      <c r="BP86" s="10">
        <f>AD40+(IFERROR((AN86/inp_c1_util)*(AO86/inp_c1_rate),0))*AZ40-AY40</f>
        <v>4824584.2869998543</v>
      </c>
      <c r="BQ86" s="10">
        <f>AD41+(IFERROR((AN86/inp_c1_util)*(AO86/inp_c1_rate),0))*AZ41-AY41</f>
        <v>5183303.242369853</v>
      </c>
      <c r="BR86" s="10">
        <f>AD42+(IFERROR((AN86/inp_c1_util)*(AO86/inp_c1_rate),0))*AZ42-AY42</f>
        <v>5553631.887293552</v>
      </c>
      <c r="BS86" s="10">
        <f>AD43+(IFERROR((AN86/inp_c1_util)*(AO86/inp_c1_rate),0))*AZ43-AY43</f>
        <v>5935686.3186664879</v>
      </c>
      <c r="BT86" s="10">
        <f>AD44+(IFERROR((AN86/inp_c1_util)*(AO86/inp_c1_rate),0))*AZ44-AY44</f>
        <v>6329583.7943531536</v>
      </c>
      <c r="BU86" s="10">
        <f>AD45+(IFERROR((AN86/inp_c1_util)*(AO86/inp_c1_rate),0))*AZ45-AY45</f>
        <v>6735442.7447966849</v>
      </c>
      <c r="BV86" s="10">
        <f>AD46+(IFERROR((AN86/inp_c1_util)*(AO86/inp_c1_rate),0))*AZ46-AY46</f>
        <v>7153382.784744652</v>
      </c>
      <c r="BW86" s="10">
        <f>AD47+(IFERROR((AN86/inp_c1_util)*(AO86/inp_c1_rate),0))*AZ47-AY47</f>
        <v>7583524.7250920981</v>
      </c>
      <c r="BX86" s="10">
        <f>AD48+(IFERROR((AN86/inp_c1_util)*(AO86/inp_c1_rate),0))*AZ48-AY48</f>
        <v>8025990.584843019</v>
      </c>
      <c r="BY86" s="10">
        <f>AD49+(IFERROR((AN86/inp_c1_util)*(AO86/inp_c1_rate),0))*AZ49-AY49</f>
        <v>8480903.6031914502</v>
      </c>
      <c r="BZ86" s="2"/>
      <c r="CA86" s="2"/>
      <c r="CB86" s="18">
        <f>IF(AND((IFERROR((AN86/sel_util)*(AO86/sel_rate),0))*AZ26-AY26&gt;=0,1&gt;=sel_start_m),1,9999)</f>
        <v>9999</v>
      </c>
      <c r="CC86" s="18">
        <f>IF(AND((IFERROR((AN86/sel_util)*(AO86/sel_rate),0))*AZ27-AY27&gt;=0,2&gt;=sel_start_m),2,9999)</f>
        <v>9999</v>
      </c>
      <c r="CD86" s="18">
        <f>IF(AND((IFERROR((AN86/sel_util)*(AO86/sel_rate),0))*AZ28-AY28&gt;=0,3&gt;=sel_start_m),3,9999)</f>
        <v>9999</v>
      </c>
      <c r="CE86" s="18">
        <f>IF(AND((IFERROR((AN86/sel_util)*(AO86/sel_rate),0))*AZ29-AY29&gt;=0,4&gt;=sel_start_m),4,9999)</f>
        <v>9999</v>
      </c>
      <c r="CF86" s="18">
        <f>IF(AND((IFERROR((AN86/sel_util)*(AO86/sel_rate),0))*AZ30-AY30&gt;=0,5&gt;=sel_start_m),5,9999)</f>
        <v>9999</v>
      </c>
      <c r="CG86" s="18">
        <f>IF(AND((IFERROR((AN86/sel_util)*(AO86/sel_rate),0))*AZ31-AY31&gt;=0,6&gt;=sel_start_m),6,9999)</f>
        <v>9999</v>
      </c>
      <c r="CH86" s="18">
        <f>IF(AND((IFERROR((AN86/sel_util)*(AO86/sel_rate),0))*AZ32-AY32&gt;=0,7&gt;=sel_start_m),7,9999)</f>
        <v>9999</v>
      </c>
      <c r="CI86" s="18">
        <f>IF(AND((IFERROR((AN86/sel_util)*(AO86/sel_rate),0))*AZ33-AY33&gt;=0,8&gt;=sel_start_m),8,9999)</f>
        <v>9999</v>
      </c>
      <c r="CJ86" s="18">
        <f>IF(AND((IFERROR((AN86/sel_util)*(AO86/sel_rate),0))*AZ34-AY34&gt;=0,9&gt;=sel_start_m),9,9999)</f>
        <v>9999</v>
      </c>
      <c r="CK86" s="18">
        <f>IF(AND((IFERROR((AN86/sel_util)*(AO86/sel_rate),0))*AZ35-AY35&gt;=0,10&gt;=sel_start_m),10,9999)</f>
        <v>9999</v>
      </c>
      <c r="CL86" s="18">
        <f>IF(AND((IFERROR((AN86/sel_util)*(AO86/sel_rate),0))*AZ36-AY36&gt;=0,11&gt;=sel_start_m),11,9999)</f>
        <v>9999</v>
      </c>
      <c r="CM86" s="18">
        <f>IF(AND((IFERROR((AN86/sel_util)*(AO86/sel_rate),0))*AZ37-AY37&gt;=0,12&gt;=sel_start_m),12,9999)</f>
        <v>9999</v>
      </c>
      <c r="CN86" s="18">
        <f>IF(AND((IFERROR((AN86/sel_util)*(AO86/sel_rate),0))*AZ38-AY38&gt;=0,13&gt;=sel_start_m),13,9999)</f>
        <v>9999</v>
      </c>
      <c r="CO86" s="18">
        <f>IF(AND((IFERROR((AN86/sel_util)*(AO86/sel_rate),0))*AZ39-AY39&gt;=0,14&gt;=sel_start_m),14,9999)</f>
        <v>9999</v>
      </c>
      <c r="CP86" s="18">
        <f>IF(AND((IFERROR((AN86/sel_util)*(AO86/sel_rate),0))*AZ40-AY40&gt;=0,15&gt;=sel_start_m),15,9999)</f>
        <v>9999</v>
      </c>
      <c r="CQ86" s="18">
        <f>IF(AND((IFERROR((AN86/sel_util)*(AO86/sel_rate),0))*AZ41-AY41&gt;=0,16&gt;=sel_start_m),16,9999)</f>
        <v>9999</v>
      </c>
      <c r="CR86" s="18">
        <f>IF(AND((IFERROR((AN86/sel_util)*(AO86/sel_rate),0))*AZ42-AY42&gt;=0,17&gt;=sel_start_m),17,9999)</f>
        <v>9999</v>
      </c>
      <c r="CS86" s="18">
        <f>IF(AND((IFERROR((AN86/sel_util)*(AO86/sel_rate),0))*AZ43-AY43&gt;=0,18&gt;=sel_start_m),18,9999)</f>
        <v>9999</v>
      </c>
      <c r="CT86" s="18">
        <f>IF(AND((IFERROR((AN86/sel_util)*(AO86/sel_rate),0))*AZ44-AY44&gt;=0,19&gt;=sel_start_m),19,9999)</f>
        <v>9999</v>
      </c>
      <c r="CU86" s="18">
        <f>IF(AND((IFERROR((AN86/sel_util)*(AO86/sel_rate),0))*AZ45-AY45&gt;=0,20&gt;=sel_start_m),20,9999)</f>
        <v>9999</v>
      </c>
      <c r="CV86" s="18">
        <f>IF(AND((IFERROR((AN86/sel_util)*(AO86/sel_rate),0))*AZ46-AY46&gt;=0,21&gt;=sel_start_m),21,9999)</f>
        <v>9999</v>
      </c>
      <c r="CW86" s="18">
        <f>IF(AND((IFERROR((AN86/sel_util)*(AO86/sel_rate),0))*AZ47-AY47&gt;=0,22&gt;=sel_start_m),22,9999)</f>
        <v>9999</v>
      </c>
      <c r="CX86" s="18">
        <f>IF(AND((IFERROR((AN86/sel_util)*(AO86/sel_rate),0))*AZ48-AY48&gt;=0,23&gt;=sel_start_m),23,9999)</f>
        <v>9999</v>
      </c>
      <c r="CY86" s="18">
        <f>IF(AND((IFERROR((AN86/sel_util)*(AO86/sel_rate),0))*AZ49-AY49&gt;=0,24&gt;=sel_start_m),24,9999)</f>
        <v>9999</v>
      </c>
      <c r="CZ86" s="2"/>
      <c r="DA86" s="2"/>
      <c r="DB86" s="2"/>
      <c r="DC86" s="2"/>
      <c r="DD86" s="2"/>
      <c r="DE86" s="2"/>
      <c r="DF86" s="2"/>
      <c r="DG86" s="2"/>
      <c r="DH86" s="2"/>
      <c r="DI86" s="2"/>
      <c r="DJ86" s="2"/>
      <c r="DK86" s="2"/>
      <c r="DL86" s="2"/>
      <c r="DM86" s="2"/>
    </row>
    <row r="87" spans="1:117" ht="22" customHeight="1" x14ac:dyDescent="0.2">
      <c r="A87" s="1"/>
      <c r="B87" s="31">
        <v>0.5</v>
      </c>
      <c r="C87" s="32">
        <f>AP72</f>
        <v>999</v>
      </c>
      <c r="D87" s="32">
        <f>AP73</f>
        <v>999</v>
      </c>
      <c r="E87" s="32">
        <f>AP74</f>
        <v>999</v>
      </c>
      <c r="F87" s="32">
        <f>AP75</f>
        <v>999</v>
      </c>
      <c r="G87" s="32">
        <f>AP76</f>
        <v>999</v>
      </c>
      <c r="H87" s="32">
        <f>AP77</f>
        <v>999</v>
      </c>
      <c r="I87" s="32">
        <f>AP78</f>
        <v>16</v>
      </c>
      <c r="J87" s="1"/>
      <c r="K87" s="1"/>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9">
        <v>0.7</v>
      </c>
      <c r="AO87" s="10">
        <v>175</v>
      </c>
      <c r="AP87" s="18">
        <f t="shared" si="184"/>
        <v>999</v>
      </c>
      <c r="AQ87" s="10">
        <f t="shared" si="185"/>
        <v>-44388.125000000058</v>
      </c>
      <c r="AR87" s="10">
        <f t="shared" si="186"/>
        <v>-44388.125000000058</v>
      </c>
      <c r="AS87" s="2"/>
      <c r="AT87" s="2"/>
      <c r="AU87" s="2"/>
      <c r="AV87" s="2"/>
      <c r="AW87" s="2"/>
      <c r="AX87" s="2"/>
      <c r="AY87" s="2"/>
      <c r="AZ87" s="2"/>
      <c r="BA87" s="2"/>
      <c r="BB87" s="10">
        <f>AD26+(IFERROR((AN87/inp_c1_util)*(AO87/inp_c1_rate),0))*AZ26-AY26</f>
        <v>984100</v>
      </c>
      <c r="BC87" s="10">
        <f>AD27+(IFERROR((AN87/inp_c1_util)*(AO87/inp_c1_rate),0))*AZ27-AY27</f>
        <v>1178200</v>
      </c>
      <c r="BD87" s="10">
        <f>AD28+(IFERROR((AN87/inp_c1_util)*(AO87/inp_c1_rate),0))*AZ28-AY28</f>
        <v>1389566.25</v>
      </c>
      <c r="BE87" s="10">
        <f>AD29+(IFERROR((AN87/inp_c1_util)*(AO87/inp_c1_rate),0))*AZ29-AY29</f>
        <v>1615512.875</v>
      </c>
      <c r="BF87" s="10">
        <f>AD30+(IFERROR((AN87/inp_c1_util)*(AO87/inp_c1_rate),0))*AZ30-AY30</f>
        <v>1856141.8849999998</v>
      </c>
      <c r="BG87" s="10">
        <f>AD31+(IFERROR((AN87/inp_c1_util)*(AO87/inp_c1_rate),0))*AZ31-AY31</f>
        <v>2107176.9350999994</v>
      </c>
      <c r="BH87" s="10">
        <f>AD32+(IFERROR((AN87/inp_c1_util)*(AO87/inp_c1_rate),0))*AZ32-AY32</f>
        <v>2368722.0857009999</v>
      </c>
      <c r="BI87" s="10">
        <f>AD33+(IFERROR((AN87/inp_c1_util)*(AO87/inp_c1_rate),0))*AZ33-AY33</f>
        <v>2640882.4378080098</v>
      </c>
      <c r="BJ87" s="10">
        <f>AD34+(IFERROR((AN87/inp_c1_util)*(AO87/inp_c1_rate),0))*AZ34-AY34</f>
        <v>2923764.1434360901</v>
      </c>
      <c r="BK87" s="10">
        <f>AD35+(IFERROR((AN87/inp_c1_util)*(AO87/inp_c1_rate),0))*AZ35-AY35</f>
        <v>3217474.4161204509</v>
      </c>
      <c r="BL87" s="10">
        <f>AD36+(IFERROR((AN87/inp_c1_util)*(AO87/inp_c1_rate),0))*AZ36-AY36</f>
        <v>3522121.5415316559</v>
      </c>
      <c r="BM87" s="10">
        <f>AD37+(IFERROR((AN87/inp_c1_util)*(AO87/inp_c1_rate),0))*AZ37-AY37</f>
        <v>3837814.8881969722</v>
      </c>
      <c r="BN87" s="10">
        <f>AD38+(IFERROR((AN87/inp_c1_util)*(AO87/inp_c1_rate),0))*AZ38-AY38</f>
        <v>4164664.9183289418</v>
      </c>
      <c r="BO87" s="10">
        <f>AD39+(IFERROR((AN87/inp_c1_util)*(AO87/inp_c1_rate),0))*AZ39-AY39</f>
        <v>4502783.1987622315</v>
      </c>
      <c r="BP87" s="10">
        <f>AD40+(IFERROR((AN87/inp_c1_util)*(AO87/inp_c1_rate),0))*AZ40-AY40</f>
        <v>4852282.4119998543</v>
      </c>
      <c r="BQ87" s="10">
        <f>AD41+(IFERROR((AN87/inp_c1_util)*(AO87/inp_c1_rate),0))*AZ41-AY41</f>
        <v>5213276.367369853</v>
      </c>
      <c r="BR87" s="10">
        <f>AD42+(IFERROR((AN87/inp_c1_util)*(AO87/inp_c1_rate),0))*AZ42-AY42</f>
        <v>5585880.012293552</v>
      </c>
      <c r="BS87" s="10">
        <f>AD43+(IFERROR((AN87/inp_c1_util)*(AO87/inp_c1_rate),0))*AZ43-AY43</f>
        <v>5970209.4436664879</v>
      </c>
      <c r="BT87" s="10">
        <f>AD44+(IFERROR((AN87/inp_c1_util)*(AO87/inp_c1_rate),0))*AZ44-AY44</f>
        <v>6366381.9193531536</v>
      </c>
      <c r="BU87" s="10">
        <f>AD45+(IFERROR((AN87/inp_c1_util)*(AO87/inp_c1_rate),0))*AZ45-AY45</f>
        <v>6774515.8697966849</v>
      </c>
      <c r="BV87" s="10">
        <f>AD46+(IFERROR((AN87/inp_c1_util)*(AO87/inp_c1_rate),0))*AZ46-AY46</f>
        <v>7194730.909744652</v>
      </c>
      <c r="BW87" s="10">
        <f>AD47+(IFERROR((AN87/inp_c1_util)*(AO87/inp_c1_rate),0))*AZ47-AY47</f>
        <v>7627147.8500920981</v>
      </c>
      <c r="BX87" s="10">
        <f>AD48+(IFERROR((AN87/inp_c1_util)*(AO87/inp_c1_rate),0))*AZ48-AY48</f>
        <v>8071888.709843019</v>
      </c>
      <c r="BY87" s="10">
        <f>AD49+(IFERROR((AN87/inp_c1_util)*(AO87/inp_c1_rate),0))*AZ49-AY49</f>
        <v>8529076.7281914502</v>
      </c>
      <c r="BZ87" s="2"/>
      <c r="CA87" s="2"/>
      <c r="CB87" s="18">
        <f>IF(AND((IFERROR((AN87/sel_util)*(AO87/sel_rate),0))*AZ26-AY26&gt;=0,1&gt;=sel_start_m),1,9999)</f>
        <v>9999</v>
      </c>
      <c r="CC87" s="18">
        <f>IF(AND((IFERROR((AN87/sel_util)*(AO87/sel_rate),0))*AZ27-AY27&gt;=0,2&gt;=sel_start_m),2,9999)</f>
        <v>9999</v>
      </c>
      <c r="CD87" s="18">
        <f>IF(AND((IFERROR((AN87/sel_util)*(AO87/sel_rate),0))*AZ28-AY28&gt;=0,3&gt;=sel_start_m),3,9999)</f>
        <v>9999</v>
      </c>
      <c r="CE87" s="18">
        <f>IF(AND((IFERROR((AN87/sel_util)*(AO87/sel_rate),0))*AZ29-AY29&gt;=0,4&gt;=sel_start_m),4,9999)</f>
        <v>9999</v>
      </c>
      <c r="CF87" s="18">
        <f>IF(AND((IFERROR((AN87/sel_util)*(AO87/sel_rate),0))*AZ30-AY30&gt;=0,5&gt;=sel_start_m),5,9999)</f>
        <v>9999</v>
      </c>
      <c r="CG87" s="18">
        <f>IF(AND((IFERROR((AN87/sel_util)*(AO87/sel_rate),0))*AZ31-AY31&gt;=0,6&gt;=sel_start_m),6,9999)</f>
        <v>9999</v>
      </c>
      <c r="CH87" s="18">
        <f>IF(AND((IFERROR((AN87/sel_util)*(AO87/sel_rate),0))*AZ32-AY32&gt;=0,7&gt;=sel_start_m),7,9999)</f>
        <v>9999</v>
      </c>
      <c r="CI87" s="18">
        <f>IF(AND((IFERROR((AN87/sel_util)*(AO87/sel_rate),0))*AZ33-AY33&gt;=0,8&gt;=sel_start_m),8,9999)</f>
        <v>9999</v>
      </c>
      <c r="CJ87" s="18">
        <f>IF(AND((IFERROR((AN87/sel_util)*(AO87/sel_rate),0))*AZ34-AY34&gt;=0,9&gt;=sel_start_m),9,9999)</f>
        <v>9999</v>
      </c>
      <c r="CK87" s="18">
        <f>IF(AND((IFERROR((AN87/sel_util)*(AO87/sel_rate),0))*AZ35-AY35&gt;=0,10&gt;=sel_start_m),10,9999)</f>
        <v>9999</v>
      </c>
      <c r="CL87" s="18">
        <f>IF(AND((IFERROR((AN87/sel_util)*(AO87/sel_rate),0))*AZ36-AY36&gt;=0,11&gt;=sel_start_m),11,9999)</f>
        <v>9999</v>
      </c>
      <c r="CM87" s="18">
        <f>IF(AND((IFERROR((AN87/sel_util)*(AO87/sel_rate),0))*AZ37-AY37&gt;=0,12&gt;=sel_start_m),12,9999)</f>
        <v>9999</v>
      </c>
      <c r="CN87" s="18">
        <f>IF(AND((IFERROR((AN87/sel_util)*(AO87/sel_rate),0))*AZ38-AY38&gt;=0,13&gt;=sel_start_m),13,9999)</f>
        <v>9999</v>
      </c>
      <c r="CO87" s="18">
        <f>IF(AND((IFERROR((AN87/sel_util)*(AO87/sel_rate),0))*AZ39-AY39&gt;=0,14&gt;=sel_start_m),14,9999)</f>
        <v>9999</v>
      </c>
      <c r="CP87" s="18">
        <f>IF(AND((IFERROR((AN87/sel_util)*(AO87/sel_rate),0))*AZ40-AY40&gt;=0,15&gt;=sel_start_m),15,9999)</f>
        <v>9999</v>
      </c>
      <c r="CQ87" s="18">
        <f>IF(AND((IFERROR((AN87/sel_util)*(AO87/sel_rate),0))*AZ41-AY41&gt;=0,16&gt;=sel_start_m),16,9999)</f>
        <v>9999</v>
      </c>
      <c r="CR87" s="18">
        <f>IF(AND((IFERROR((AN87/sel_util)*(AO87/sel_rate),0))*AZ42-AY42&gt;=0,17&gt;=sel_start_m),17,9999)</f>
        <v>9999</v>
      </c>
      <c r="CS87" s="18">
        <f>IF(AND((IFERROR((AN87/sel_util)*(AO87/sel_rate),0))*AZ43-AY43&gt;=0,18&gt;=sel_start_m),18,9999)</f>
        <v>9999</v>
      </c>
      <c r="CT87" s="18">
        <f>IF(AND((IFERROR((AN87/sel_util)*(AO87/sel_rate),0))*AZ44-AY44&gt;=0,19&gt;=sel_start_m),19,9999)</f>
        <v>9999</v>
      </c>
      <c r="CU87" s="18">
        <f>IF(AND((IFERROR((AN87/sel_util)*(AO87/sel_rate),0))*AZ45-AY45&gt;=0,20&gt;=sel_start_m),20,9999)</f>
        <v>9999</v>
      </c>
      <c r="CV87" s="18">
        <f>IF(AND((IFERROR((AN87/sel_util)*(AO87/sel_rate),0))*AZ46-AY46&gt;=0,21&gt;=sel_start_m),21,9999)</f>
        <v>9999</v>
      </c>
      <c r="CW87" s="18">
        <f>IF(AND((IFERROR((AN87/sel_util)*(AO87/sel_rate),0))*AZ47-AY47&gt;=0,22&gt;=sel_start_m),22,9999)</f>
        <v>9999</v>
      </c>
      <c r="CX87" s="18">
        <f>IF(AND((IFERROR((AN87/sel_util)*(AO87/sel_rate),0))*AZ48-AY48&gt;=0,23&gt;=sel_start_m),23,9999)</f>
        <v>9999</v>
      </c>
      <c r="CY87" s="18">
        <f>IF(AND((IFERROR((AN87/sel_util)*(AO87/sel_rate),0))*AZ49-AY49&gt;=0,24&gt;=sel_start_m),24,9999)</f>
        <v>9999</v>
      </c>
      <c r="CZ87" s="2"/>
      <c r="DA87" s="2"/>
      <c r="DB87" s="2"/>
      <c r="DC87" s="2"/>
      <c r="DD87" s="2"/>
      <c r="DE87" s="2"/>
      <c r="DF87" s="2"/>
      <c r="DG87" s="2"/>
      <c r="DH87" s="2"/>
      <c r="DI87" s="2"/>
      <c r="DJ87" s="2"/>
      <c r="DK87" s="2"/>
      <c r="DL87" s="2"/>
      <c r="DM87" s="2"/>
    </row>
    <row r="88" spans="1:117" ht="22" customHeight="1" x14ac:dyDescent="0.2">
      <c r="A88" s="1"/>
      <c r="B88" s="31">
        <v>0.6</v>
      </c>
      <c r="C88" s="32">
        <f>AP79</f>
        <v>999</v>
      </c>
      <c r="D88" s="32">
        <f>AP80</f>
        <v>999</v>
      </c>
      <c r="E88" s="32">
        <f>AP81</f>
        <v>999</v>
      </c>
      <c r="F88" s="32">
        <f>AP82</f>
        <v>999</v>
      </c>
      <c r="G88" s="32">
        <f>AP83</f>
        <v>16</v>
      </c>
      <c r="H88" s="32">
        <f>AP84</f>
        <v>11</v>
      </c>
      <c r="I88" s="32">
        <f>AP85</f>
        <v>9</v>
      </c>
      <c r="J88" s="1"/>
      <c r="K88" s="1"/>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9">
        <v>0.7</v>
      </c>
      <c r="AO88" s="10">
        <v>200</v>
      </c>
      <c r="AP88" s="18">
        <f t="shared" si="184"/>
        <v>23</v>
      </c>
      <c r="AQ88" s="10">
        <f t="shared" si="185"/>
        <v>3784.9999999999418</v>
      </c>
      <c r="AR88" s="10">
        <f t="shared" si="186"/>
        <v>3784.9999999999418</v>
      </c>
      <c r="AS88" s="2"/>
      <c r="AT88" s="2"/>
      <c r="AU88" s="2"/>
      <c r="AV88" s="2"/>
      <c r="AW88" s="2"/>
      <c r="AX88" s="2"/>
      <c r="AY88" s="2"/>
      <c r="AZ88" s="2"/>
      <c r="BA88" s="2"/>
      <c r="BB88" s="10">
        <f>AD26+(IFERROR((AN88/inp_c1_util)*(AO88/inp_c1_rate),0))*AZ26-AY26</f>
        <v>984100</v>
      </c>
      <c r="BC88" s="10">
        <f>AD27+(IFERROR((AN88/inp_c1_util)*(AO88/inp_c1_rate),0))*AZ27-AY27</f>
        <v>1178200</v>
      </c>
      <c r="BD88" s="10">
        <f>AD28+(IFERROR((AN88/inp_c1_util)*(AO88/inp_c1_rate),0))*AZ28-AY28</f>
        <v>1390590</v>
      </c>
      <c r="BE88" s="10">
        <f>AD29+(IFERROR((AN88/inp_c1_util)*(AO88/inp_c1_rate),0))*AZ29-AY29</f>
        <v>1618186</v>
      </c>
      <c r="BF88" s="10">
        <f>AD30+(IFERROR((AN88/inp_c1_util)*(AO88/inp_c1_rate),0))*AZ30-AY30</f>
        <v>1861090.0099999998</v>
      </c>
      <c r="BG88" s="10">
        <f>AD31+(IFERROR((AN88/inp_c1_util)*(AO88/inp_c1_rate),0))*AZ31-AY31</f>
        <v>2114400.0600999994</v>
      </c>
      <c r="BH88" s="10">
        <f>AD32+(IFERROR((AN88/inp_c1_util)*(AO88/inp_c1_rate),0))*AZ32-AY32</f>
        <v>2378220.2107009999</v>
      </c>
      <c r="BI88" s="10">
        <f>AD33+(IFERROR((AN88/inp_c1_util)*(AO88/inp_c1_rate),0))*AZ33-AY33</f>
        <v>2652655.5628080098</v>
      </c>
      <c r="BJ88" s="10">
        <f>AD34+(IFERROR((AN88/inp_c1_util)*(AO88/inp_c1_rate),0))*AZ34-AY34</f>
        <v>2937812.2684360901</v>
      </c>
      <c r="BK88" s="10">
        <f>AD35+(IFERROR((AN88/inp_c1_util)*(AO88/inp_c1_rate),0))*AZ35-AY35</f>
        <v>3233797.5411204509</v>
      </c>
      <c r="BL88" s="10">
        <f>AD36+(IFERROR((AN88/inp_c1_util)*(AO88/inp_c1_rate),0))*AZ36-AY36</f>
        <v>3540719.6665316559</v>
      </c>
      <c r="BM88" s="10">
        <f>AD37+(IFERROR((AN88/inp_c1_util)*(AO88/inp_c1_rate),0))*AZ37-AY37</f>
        <v>3858688.0131969722</v>
      </c>
      <c r="BN88" s="10">
        <f>AD38+(IFERROR((AN88/inp_c1_util)*(AO88/inp_c1_rate),0))*AZ38-AY38</f>
        <v>4187813.0433289418</v>
      </c>
      <c r="BO88" s="10">
        <f>AD39+(IFERROR((AN88/inp_c1_util)*(AO88/inp_c1_rate),0))*AZ39-AY39</f>
        <v>4528206.3237622315</v>
      </c>
      <c r="BP88" s="10">
        <f>AD40+(IFERROR((AN88/inp_c1_util)*(AO88/inp_c1_rate),0))*AZ40-AY40</f>
        <v>4879980.5369998543</v>
      </c>
      <c r="BQ88" s="10">
        <f>AD41+(IFERROR((AN88/inp_c1_util)*(AO88/inp_c1_rate),0))*AZ41-AY41</f>
        <v>5243249.492369853</v>
      </c>
      <c r="BR88" s="10">
        <f>AD42+(IFERROR((AN88/inp_c1_util)*(AO88/inp_c1_rate),0))*AZ42-AY42</f>
        <v>5618128.137293552</v>
      </c>
      <c r="BS88" s="10">
        <f>AD43+(IFERROR((AN88/inp_c1_util)*(AO88/inp_c1_rate),0))*AZ43-AY43</f>
        <v>6004732.5686664879</v>
      </c>
      <c r="BT88" s="10">
        <f>AD44+(IFERROR((AN88/inp_c1_util)*(AO88/inp_c1_rate),0))*AZ44-AY44</f>
        <v>6403180.0443531536</v>
      </c>
      <c r="BU88" s="10">
        <f>AD45+(IFERROR((AN88/inp_c1_util)*(AO88/inp_c1_rate),0))*AZ45-AY45</f>
        <v>6813588.9947966849</v>
      </c>
      <c r="BV88" s="10">
        <f>AD46+(IFERROR((AN88/inp_c1_util)*(AO88/inp_c1_rate),0))*AZ46-AY46</f>
        <v>7236079.034744652</v>
      </c>
      <c r="BW88" s="10">
        <f>AD47+(IFERROR((AN88/inp_c1_util)*(AO88/inp_c1_rate),0))*AZ47-AY47</f>
        <v>7670770.9750920981</v>
      </c>
      <c r="BX88" s="10">
        <f>AD48+(IFERROR((AN88/inp_c1_util)*(AO88/inp_c1_rate),0))*AZ48-AY48</f>
        <v>8117786.834843019</v>
      </c>
      <c r="BY88" s="10">
        <f>AD49+(IFERROR((AN88/inp_c1_util)*(AO88/inp_c1_rate),0))*AZ49-AY49</f>
        <v>8577249.8531914502</v>
      </c>
      <c r="BZ88" s="2"/>
      <c r="CA88" s="2"/>
      <c r="CB88" s="18">
        <f>IF(AND((IFERROR((AN88/sel_util)*(AO88/sel_rate),0))*AZ26-AY26&gt;=0,1&gt;=sel_start_m),1,9999)</f>
        <v>9999</v>
      </c>
      <c r="CC88" s="18">
        <f>IF(AND((IFERROR((AN88/sel_util)*(AO88/sel_rate),0))*AZ27-AY27&gt;=0,2&gt;=sel_start_m),2,9999)</f>
        <v>9999</v>
      </c>
      <c r="CD88" s="18">
        <f>IF(AND((IFERROR((AN88/sel_util)*(AO88/sel_rate),0))*AZ28-AY28&gt;=0,3&gt;=sel_start_m),3,9999)</f>
        <v>9999</v>
      </c>
      <c r="CE88" s="18">
        <f>IF(AND((IFERROR((AN88/sel_util)*(AO88/sel_rate),0))*AZ29-AY29&gt;=0,4&gt;=sel_start_m),4,9999)</f>
        <v>9999</v>
      </c>
      <c r="CF88" s="18">
        <f>IF(AND((IFERROR((AN88/sel_util)*(AO88/sel_rate),0))*AZ30-AY30&gt;=0,5&gt;=sel_start_m),5,9999)</f>
        <v>9999</v>
      </c>
      <c r="CG88" s="18">
        <f>IF(AND((IFERROR((AN88/sel_util)*(AO88/sel_rate),0))*AZ31-AY31&gt;=0,6&gt;=sel_start_m),6,9999)</f>
        <v>9999</v>
      </c>
      <c r="CH88" s="18">
        <f>IF(AND((IFERROR((AN88/sel_util)*(AO88/sel_rate),0))*AZ32-AY32&gt;=0,7&gt;=sel_start_m),7,9999)</f>
        <v>9999</v>
      </c>
      <c r="CI88" s="18">
        <f>IF(AND((IFERROR((AN88/sel_util)*(AO88/sel_rate),0))*AZ33-AY33&gt;=0,8&gt;=sel_start_m),8,9999)</f>
        <v>9999</v>
      </c>
      <c r="CJ88" s="18">
        <f>IF(AND((IFERROR((AN88/sel_util)*(AO88/sel_rate),0))*AZ34-AY34&gt;=0,9&gt;=sel_start_m),9,9999)</f>
        <v>9999</v>
      </c>
      <c r="CK88" s="18">
        <f>IF(AND((IFERROR((AN88/sel_util)*(AO88/sel_rate),0))*AZ35-AY35&gt;=0,10&gt;=sel_start_m),10,9999)</f>
        <v>9999</v>
      </c>
      <c r="CL88" s="18">
        <f>IF(AND((IFERROR((AN88/sel_util)*(AO88/sel_rate),0))*AZ36-AY36&gt;=0,11&gt;=sel_start_m),11,9999)</f>
        <v>9999</v>
      </c>
      <c r="CM88" s="18">
        <f>IF(AND((IFERROR((AN88/sel_util)*(AO88/sel_rate),0))*AZ37-AY37&gt;=0,12&gt;=sel_start_m),12,9999)</f>
        <v>9999</v>
      </c>
      <c r="CN88" s="18">
        <f>IF(AND((IFERROR((AN88/sel_util)*(AO88/sel_rate),0))*AZ38-AY38&gt;=0,13&gt;=sel_start_m),13,9999)</f>
        <v>9999</v>
      </c>
      <c r="CO88" s="18">
        <f>IF(AND((IFERROR((AN88/sel_util)*(AO88/sel_rate),0))*AZ39-AY39&gt;=0,14&gt;=sel_start_m),14,9999)</f>
        <v>9999</v>
      </c>
      <c r="CP88" s="18">
        <f>IF(AND((IFERROR((AN88/sel_util)*(AO88/sel_rate),0))*AZ40-AY40&gt;=0,15&gt;=sel_start_m),15,9999)</f>
        <v>9999</v>
      </c>
      <c r="CQ88" s="18">
        <f>IF(AND((IFERROR((AN88/sel_util)*(AO88/sel_rate),0))*AZ41-AY41&gt;=0,16&gt;=sel_start_m),16,9999)</f>
        <v>9999</v>
      </c>
      <c r="CR88" s="18">
        <f>IF(AND((IFERROR((AN88/sel_util)*(AO88/sel_rate),0))*AZ42-AY42&gt;=0,17&gt;=sel_start_m),17,9999)</f>
        <v>9999</v>
      </c>
      <c r="CS88" s="18">
        <f>IF(AND((IFERROR((AN88/sel_util)*(AO88/sel_rate),0))*AZ43-AY43&gt;=0,18&gt;=sel_start_m),18,9999)</f>
        <v>9999</v>
      </c>
      <c r="CT88" s="18">
        <f>IF(AND((IFERROR((AN88/sel_util)*(AO88/sel_rate),0))*AZ44-AY44&gt;=0,19&gt;=sel_start_m),19,9999)</f>
        <v>9999</v>
      </c>
      <c r="CU88" s="18">
        <f>IF(AND((IFERROR((AN88/sel_util)*(AO88/sel_rate),0))*AZ45-AY45&gt;=0,20&gt;=sel_start_m),20,9999)</f>
        <v>9999</v>
      </c>
      <c r="CV88" s="18">
        <f>IF(AND((IFERROR((AN88/sel_util)*(AO88/sel_rate),0))*AZ46-AY46&gt;=0,21&gt;=sel_start_m),21,9999)</f>
        <v>9999</v>
      </c>
      <c r="CW88" s="18">
        <f>IF(AND((IFERROR((AN88/sel_util)*(AO88/sel_rate),0))*AZ47-AY47&gt;=0,22&gt;=sel_start_m),22,9999)</f>
        <v>9999</v>
      </c>
      <c r="CX88" s="18">
        <f>IF(AND((IFERROR((AN88/sel_util)*(AO88/sel_rate),0))*AZ48-AY48&gt;=0,23&gt;=sel_start_m),23,9999)</f>
        <v>23</v>
      </c>
      <c r="CY88" s="18">
        <f>IF(AND((IFERROR((AN88/sel_util)*(AO88/sel_rate),0))*AZ49-AY49&gt;=0,24&gt;=sel_start_m),24,9999)</f>
        <v>24</v>
      </c>
      <c r="CZ88" s="2"/>
      <c r="DA88" s="2"/>
      <c r="DB88" s="2"/>
      <c r="DC88" s="2"/>
      <c r="DD88" s="2"/>
      <c r="DE88" s="2"/>
      <c r="DF88" s="2"/>
      <c r="DG88" s="2"/>
      <c r="DH88" s="2"/>
      <c r="DI88" s="2"/>
      <c r="DJ88" s="2"/>
      <c r="DK88" s="2"/>
      <c r="DL88" s="2"/>
      <c r="DM88" s="2"/>
    </row>
    <row r="89" spans="1:117" x14ac:dyDescent="0.2">
      <c r="A89" s="1"/>
      <c r="B89" s="31">
        <v>0.7</v>
      </c>
      <c r="C89" s="32">
        <f>AP86</f>
        <v>999</v>
      </c>
      <c r="D89" s="32">
        <f>AP87</f>
        <v>999</v>
      </c>
      <c r="E89" s="32">
        <f>AP88</f>
        <v>23</v>
      </c>
      <c r="F89" s="32">
        <f>AP89</f>
        <v>13</v>
      </c>
      <c r="G89" s="32">
        <f>AP90</f>
        <v>10</v>
      </c>
      <c r="H89" s="32">
        <f>AP91</f>
        <v>8</v>
      </c>
      <c r="I89" s="32">
        <f>AP92</f>
        <v>7</v>
      </c>
      <c r="J89" s="1"/>
      <c r="K89" s="1"/>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9">
        <v>0.7</v>
      </c>
      <c r="AO89" s="10">
        <v>225</v>
      </c>
      <c r="AP89" s="18">
        <f t="shared" si="184"/>
        <v>13</v>
      </c>
      <c r="AQ89" s="10">
        <f t="shared" si="185"/>
        <v>51958.124999999942</v>
      </c>
      <c r="AR89" s="10">
        <f t="shared" si="186"/>
        <v>51958.124999999942</v>
      </c>
      <c r="AS89" s="2"/>
      <c r="AT89" s="2"/>
      <c r="AU89" s="2"/>
      <c r="AV89" s="2"/>
      <c r="AW89" s="2"/>
      <c r="AX89" s="2"/>
      <c r="AY89" s="2"/>
      <c r="AZ89" s="2"/>
      <c r="BA89" s="2"/>
      <c r="BB89" s="10">
        <f>AD26+(IFERROR((AN89/inp_c1_util)*(AO89/inp_c1_rate),0))*AZ26-AY26</f>
        <v>984100</v>
      </c>
      <c r="BC89" s="10">
        <f>AD27+(IFERROR((AN89/inp_c1_util)*(AO89/inp_c1_rate),0))*AZ27-AY27</f>
        <v>1178200</v>
      </c>
      <c r="BD89" s="10">
        <f>AD28+(IFERROR((AN89/inp_c1_util)*(AO89/inp_c1_rate),0))*AZ28-AY28</f>
        <v>1391613.75</v>
      </c>
      <c r="BE89" s="10">
        <f>AD29+(IFERROR((AN89/inp_c1_util)*(AO89/inp_c1_rate),0))*AZ29-AY29</f>
        <v>1620859.125</v>
      </c>
      <c r="BF89" s="10">
        <f>AD30+(IFERROR((AN89/inp_c1_util)*(AO89/inp_c1_rate),0))*AZ30-AY30</f>
        <v>1866038.1349999998</v>
      </c>
      <c r="BG89" s="10">
        <f>AD31+(IFERROR((AN89/inp_c1_util)*(AO89/inp_c1_rate),0))*AZ31-AY31</f>
        <v>2121623.1850999994</v>
      </c>
      <c r="BH89" s="10">
        <f>AD32+(IFERROR((AN89/inp_c1_util)*(AO89/inp_c1_rate),0))*AZ32-AY32</f>
        <v>2387718.3357009999</v>
      </c>
      <c r="BI89" s="10">
        <f>AD33+(IFERROR((AN89/inp_c1_util)*(AO89/inp_c1_rate),0))*AZ33-AY33</f>
        <v>2664428.6878080098</v>
      </c>
      <c r="BJ89" s="10">
        <f>AD34+(IFERROR((AN89/inp_c1_util)*(AO89/inp_c1_rate),0))*AZ34-AY34</f>
        <v>2951860.3934360901</v>
      </c>
      <c r="BK89" s="10">
        <f>AD35+(IFERROR((AN89/inp_c1_util)*(AO89/inp_c1_rate),0))*AZ35-AY35</f>
        <v>3250120.6661204509</v>
      </c>
      <c r="BL89" s="10">
        <f>AD36+(IFERROR((AN89/inp_c1_util)*(AO89/inp_c1_rate),0))*AZ36-AY36</f>
        <v>3559317.7915316559</v>
      </c>
      <c r="BM89" s="10">
        <f>AD37+(IFERROR((AN89/inp_c1_util)*(AO89/inp_c1_rate),0))*AZ37-AY37</f>
        <v>3879561.1381969722</v>
      </c>
      <c r="BN89" s="10">
        <f>AD38+(IFERROR((AN89/inp_c1_util)*(AO89/inp_c1_rate),0))*AZ38-AY38</f>
        <v>4210961.1683289418</v>
      </c>
      <c r="BO89" s="10">
        <f>AD39+(IFERROR((AN89/inp_c1_util)*(AO89/inp_c1_rate),0))*AZ39-AY39</f>
        <v>4553629.4487622315</v>
      </c>
      <c r="BP89" s="10">
        <f>AD40+(IFERROR((AN89/inp_c1_util)*(AO89/inp_c1_rate),0))*AZ40-AY40</f>
        <v>4907678.6619998543</v>
      </c>
      <c r="BQ89" s="10">
        <f>AD41+(IFERROR((AN89/inp_c1_util)*(AO89/inp_c1_rate),0))*AZ41-AY41</f>
        <v>5273222.617369853</v>
      </c>
      <c r="BR89" s="10">
        <f>AD42+(IFERROR((AN89/inp_c1_util)*(AO89/inp_c1_rate),0))*AZ42-AY42</f>
        <v>5650376.262293552</v>
      </c>
      <c r="BS89" s="10">
        <f>AD43+(IFERROR((AN89/inp_c1_util)*(AO89/inp_c1_rate),0))*AZ43-AY43</f>
        <v>6039255.6936664879</v>
      </c>
      <c r="BT89" s="10">
        <f>AD44+(IFERROR((AN89/inp_c1_util)*(AO89/inp_c1_rate),0))*AZ44-AY44</f>
        <v>6439978.1693531536</v>
      </c>
      <c r="BU89" s="10">
        <f>AD45+(IFERROR((AN89/inp_c1_util)*(AO89/inp_c1_rate),0))*AZ45-AY45</f>
        <v>6852662.1197966849</v>
      </c>
      <c r="BV89" s="10">
        <f>AD46+(IFERROR((AN89/inp_c1_util)*(AO89/inp_c1_rate),0))*AZ46-AY46</f>
        <v>7277427.159744652</v>
      </c>
      <c r="BW89" s="10">
        <f>AD47+(IFERROR((AN89/inp_c1_util)*(AO89/inp_c1_rate),0))*AZ47-AY47</f>
        <v>7714394.1000920981</v>
      </c>
      <c r="BX89" s="10">
        <f>AD48+(IFERROR((AN89/inp_c1_util)*(AO89/inp_c1_rate),0))*AZ48-AY48</f>
        <v>8163684.959843019</v>
      </c>
      <c r="BY89" s="10">
        <f>AD49+(IFERROR((AN89/inp_c1_util)*(AO89/inp_c1_rate),0))*AZ49-AY49</f>
        <v>8625422.9781914502</v>
      </c>
      <c r="BZ89" s="2"/>
      <c r="CA89" s="2"/>
      <c r="CB89" s="18">
        <f>IF(AND((IFERROR((AN89/sel_util)*(AO89/sel_rate),0))*AZ26-AY26&gt;=0,1&gt;=sel_start_m),1,9999)</f>
        <v>9999</v>
      </c>
      <c r="CC89" s="18">
        <f>IF(AND((IFERROR((AN89/sel_util)*(AO89/sel_rate),0))*AZ27-AY27&gt;=0,2&gt;=sel_start_m),2,9999)</f>
        <v>9999</v>
      </c>
      <c r="CD89" s="18">
        <f>IF(AND((IFERROR((AN89/sel_util)*(AO89/sel_rate),0))*AZ28-AY28&gt;=0,3&gt;=sel_start_m),3,9999)</f>
        <v>9999</v>
      </c>
      <c r="CE89" s="18">
        <f>IF(AND((IFERROR((AN89/sel_util)*(AO89/sel_rate),0))*AZ29-AY29&gt;=0,4&gt;=sel_start_m),4,9999)</f>
        <v>9999</v>
      </c>
      <c r="CF89" s="18">
        <f>IF(AND((IFERROR((AN89/sel_util)*(AO89/sel_rate),0))*AZ30-AY30&gt;=0,5&gt;=sel_start_m),5,9999)</f>
        <v>9999</v>
      </c>
      <c r="CG89" s="18">
        <f>IF(AND((IFERROR((AN89/sel_util)*(AO89/sel_rate),0))*AZ31-AY31&gt;=0,6&gt;=sel_start_m),6,9999)</f>
        <v>9999</v>
      </c>
      <c r="CH89" s="18">
        <f>IF(AND((IFERROR((AN89/sel_util)*(AO89/sel_rate),0))*AZ32-AY32&gt;=0,7&gt;=sel_start_m),7,9999)</f>
        <v>9999</v>
      </c>
      <c r="CI89" s="18">
        <f>IF(AND((IFERROR((AN89/sel_util)*(AO89/sel_rate),0))*AZ33-AY33&gt;=0,8&gt;=sel_start_m),8,9999)</f>
        <v>9999</v>
      </c>
      <c r="CJ89" s="18">
        <f>IF(AND((IFERROR((AN89/sel_util)*(AO89/sel_rate),0))*AZ34-AY34&gt;=0,9&gt;=sel_start_m),9,9999)</f>
        <v>9999</v>
      </c>
      <c r="CK89" s="18">
        <f>IF(AND((IFERROR((AN89/sel_util)*(AO89/sel_rate),0))*AZ35-AY35&gt;=0,10&gt;=sel_start_m),10,9999)</f>
        <v>9999</v>
      </c>
      <c r="CL89" s="18">
        <f>IF(AND((IFERROR((AN89/sel_util)*(AO89/sel_rate),0))*AZ36-AY36&gt;=0,11&gt;=sel_start_m),11,9999)</f>
        <v>9999</v>
      </c>
      <c r="CM89" s="18">
        <f>IF(AND((IFERROR((AN89/sel_util)*(AO89/sel_rate),0))*AZ37-AY37&gt;=0,12&gt;=sel_start_m),12,9999)</f>
        <v>9999</v>
      </c>
      <c r="CN89" s="18">
        <f>IF(AND((IFERROR((AN89/sel_util)*(AO89/sel_rate),0))*AZ38-AY38&gt;=0,13&gt;=sel_start_m),13,9999)</f>
        <v>13</v>
      </c>
      <c r="CO89" s="18">
        <f>IF(AND((IFERROR((AN89/sel_util)*(AO89/sel_rate),0))*AZ39-AY39&gt;=0,14&gt;=sel_start_m),14,9999)</f>
        <v>14</v>
      </c>
      <c r="CP89" s="18">
        <f>IF(AND((IFERROR((AN89/sel_util)*(AO89/sel_rate),0))*AZ40-AY40&gt;=0,15&gt;=sel_start_m),15,9999)</f>
        <v>15</v>
      </c>
      <c r="CQ89" s="18">
        <f>IF(AND((IFERROR((AN89/sel_util)*(AO89/sel_rate),0))*AZ41-AY41&gt;=0,16&gt;=sel_start_m),16,9999)</f>
        <v>16</v>
      </c>
      <c r="CR89" s="18">
        <f>IF(AND((IFERROR((AN89/sel_util)*(AO89/sel_rate),0))*AZ42-AY42&gt;=0,17&gt;=sel_start_m),17,9999)</f>
        <v>17</v>
      </c>
      <c r="CS89" s="18">
        <f>IF(AND((IFERROR((AN89/sel_util)*(AO89/sel_rate),0))*AZ43-AY43&gt;=0,18&gt;=sel_start_m),18,9999)</f>
        <v>18</v>
      </c>
      <c r="CT89" s="18">
        <f>IF(AND((IFERROR((AN89/sel_util)*(AO89/sel_rate),0))*AZ44-AY44&gt;=0,19&gt;=sel_start_m),19,9999)</f>
        <v>19</v>
      </c>
      <c r="CU89" s="18">
        <f>IF(AND((IFERROR((AN89/sel_util)*(AO89/sel_rate),0))*AZ45-AY45&gt;=0,20&gt;=sel_start_m),20,9999)</f>
        <v>20</v>
      </c>
      <c r="CV89" s="18">
        <f>IF(AND((IFERROR((AN89/sel_util)*(AO89/sel_rate),0))*AZ46-AY46&gt;=0,21&gt;=sel_start_m),21,9999)</f>
        <v>21</v>
      </c>
      <c r="CW89" s="18">
        <f>IF(AND((IFERROR((AN89/sel_util)*(AO89/sel_rate),0))*AZ47-AY47&gt;=0,22&gt;=sel_start_m),22,9999)</f>
        <v>22</v>
      </c>
      <c r="CX89" s="18">
        <f>IF(AND((IFERROR((AN89/sel_util)*(AO89/sel_rate),0))*AZ48-AY48&gt;=0,23&gt;=sel_start_m),23,9999)</f>
        <v>23</v>
      </c>
      <c r="CY89" s="18">
        <f>IF(AND((IFERROR((AN89/sel_util)*(AO89/sel_rate),0))*AZ49-AY49&gt;=0,24&gt;=sel_start_m),24,9999)</f>
        <v>24</v>
      </c>
      <c r="CZ89" s="2"/>
      <c r="DA89" s="2"/>
      <c r="DB89" s="2"/>
      <c r="DC89" s="2"/>
      <c r="DD89" s="2"/>
      <c r="DE89" s="2"/>
      <c r="DF89" s="2"/>
      <c r="DG89" s="2"/>
      <c r="DH89" s="2"/>
      <c r="DI89" s="2"/>
      <c r="DJ89" s="2"/>
      <c r="DK89" s="2"/>
      <c r="DL89" s="2"/>
      <c r="DM89" s="2"/>
    </row>
    <row r="90" spans="1:117" x14ac:dyDescent="0.2">
      <c r="A90" s="1"/>
      <c r="B90" s="31">
        <v>0.75</v>
      </c>
      <c r="C90" s="32">
        <f>AP93</f>
        <v>999</v>
      </c>
      <c r="D90" s="32">
        <f>AP94</f>
        <v>999</v>
      </c>
      <c r="E90" s="32">
        <f>AP95</f>
        <v>16</v>
      </c>
      <c r="F90" s="32">
        <f>AP96</f>
        <v>11</v>
      </c>
      <c r="G90" s="32">
        <f>AP97</f>
        <v>9</v>
      </c>
      <c r="H90" s="32">
        <f>AP98</f>
        <v>7</v>
      </c>
      <c r="I90" s="32">
        <f>AP99</f>
        <v>7</v>
      </c>
      <c r="J90" s="1"/>
      <c r="K90" s="1"/>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9">
        <v>0.7</v>
      </c>
      <c r="AO90" s="10">
        <v>250</v>
      </c>
      <c r="AP90" s="18">
        <f t="shared" si="184"/>
        <v>10</v>
      </c>
      <c r="AQ90" s="10">
        <f t="shared" si="185"/>
        <v>100131.24999999994</v>
      </c>
      <c r="AR90" s="10">
        <f t="shared" si="186"/>
        <v>100131.24999999994</v>
      </c>
      <c r="AS90" s="2"/>
      <c r="AT90" s="2"/>
      <c r="AU90" s="2"/>
      <c r="AV90" s="2"/>
      <c r="AW90" s="2"/>
      <c r="AX90" s="2"/>
      <c r="AY90" s="2"/>
      <c r="AZ90" s="2"/>
      <c r="BA90" s="2"/>
      <c r="BB90" s="10">
        <f>AD26+(IFERROR((AN90/inp_c1_util)*(AO90/inp_c1_rate),0))*AZ26-AY26</f>
        <v>984100</v>
      </c>
      <c r="BC90" s="10">
        <f>AD27+(IFERROR((AN90/inp_c1_util)*(AO90/inp_c1_rate),0))*AZ27-AY27</f>
        <v>1178200</v>
      </c>
      <c r="BD90" s="10">
        <f>AD28+(IFERROR((AN90/inp_c1_util)*(AO90/inp_c1_rate),0))*AZ28-AY28</f>
        <v>1392637.5</v>
      </c>
      <c r="BE90" s="10">
        <f>AD29+(IFERROR((AN90/inp_c1_util)*(AO90/inp_c1_rate),0))*AZ29-AY29</f>
        <v>1623532.25</v>
      </c>
      <c r="BF90" s="10">
        <f>AD30+(IFERROR((AN90/inp_c1_util)*(AO90/inp_c1_rate),0))*AZ30-AY30</f>
        <v>1870986.2599999998</v>
      </c>
      <c r="BG90" s="10">
        <f>AD31+(IFERROR((AN90/inp_c1_util)*(AO90/inp_c1_rate),0))*AZ31-AY31</f>
        <v>2128846.3100999994</v>
      </c>
      <c r="BH90" s="10">
        <f>AD32+(IFERROR((AN90/inp_c1_util)*(AO90/inp_c1_rate),0))*AZ32-AY32</f>
        <v>2397216.4607009999</v>
      </c>
      <c r="BI90" s="10">
        <f>AD33+(IFERROR((AN90/inp_c1_util)*(AO90/inp_c1_rate),0))*AZ33-AY33</f>
        <v>2676201.8128080098</v>
      </c>
      <c r="BJ90" s="10">
        <f>AD34+(IFERROR((AN90/inp_c1_util)*(AO90/inp_c1_rate),0))*AZ34-AY34</f>
        <v>2965908.5184360901</v>
      </c>
      <c r="BK90" s="10">
        <f>AD35+(IFERROR((AN90/inp_c1_util)*(AO90/inp_c1_rate),0))*AZ35-AY35</f>
        <v>3266443.7911204509</v>
      </c>
      <c r="BL90" s="10">
        <f>AD36+(IFERROR((AN90/inp_c1_util)*(AO90/inp_c1_rate),0))*AZ36-AY36</f>
        <v>3577915.9165316559</v>
      </c>
      <c r="BM90" s="10">
        <f>AD37+(IFERROR((AN90/inp_c1_util)*(AO90/inp_c1_rate),0))*AZ37-AY37</f>
        <v>3900434.2631969722</v>
      </c>
      <c r="BN90" s="10">
        <f>AD38+(IFERROR((AN90/inp_c1_util)*(AO90/inp_c1_rate),0))*AZ38-AY38</f>
        <v>4234109.2933289418</v>
      </c>
      <c r="BO90" s="10">
        <f>AD39+(IFERROR((AN90/inp_c1_util)*(AO90/inp_c1_rate),0))*AZ39-AY39</f>
        <v>4579052.5737622315</v>
      </c>
      <c r="BP90" s="10">
        <f>AD40+(IFERROR((AN90/inp_c1_util)*(AO90/inp_c1_rate),0))*AZ40-AY40</f>
        <v>4935376.7869998543</v>
      </c>
      <c r="BQ90" s="10">
        <f>AD41+(IFERROR((AN90/inp_c1_util)*(AO90/inp_c1_rate),0))*AZ41-AY41</f>
        <v>5303195.742369853</v>
      </c>
      <c r="BR90" s="10">
        <f>AD42+(IFERROR((AN90/inp_c1_util)*(AO90/inp_c1_rate),0))*AZ42-AY42</f>
        <v>5682624.387293552</v>
      </c>
      <c r="BS90" s="10">
        <f>AD43+(IFERROR((AN90/inp_c1_util)*(AO90/inp_c1_rate),0))*AZ43-AY43</f>
        <v>6073778.8186664879</v>
      </c>
      <c r="BT90" s="10">
        <f>AD44+(IFERROR((AN90/inp_c1_util)*(AO90/inp_c1_rate),0))*AZ44-AY44</f>
        <v>6476776.2943531536</v>
      </c>
      <c r="BU90" s="10">
        <f>AD45+(IFERROR((AN90/inp_c1_util)*(AO90/inp_c1_rate),0))*AZ45-AY45</f>
        <v>6891735.2447966849</v>
      </c>
      <c r="BV90" s="10">
        <f>AD46+(IFERROR((AN90/inp_c1_util)*(AO90/inp_c1_rate),0))*AZ46-AY46</f>
        <v>7318775.284744652</v>
      </c>
      <c r="BW90" s="10">
        <f>AD47+(IFERROR((AN90/inp_c1_util)*(AO90/inp_c1_rate),0))*AZ47-AY47</f>
        <v>7758017.2250920981</v>
      </c>
      <c r="BX90" s="10">
        <f>AD48+(IFERROR((AN90/inp_c1_util)*(AO90/inp_c1_rate),0))*AZ48-AY48</f>
        <v>8209583.084843019</v>
      </c>
      <c r="BY90" s="10">
        <f>AD49+(IFERROR((AN90/inp_c1_util)*(AO90/inp_c1_rate),0))*AZ49-AY49</f>
        <v>8673596.1031914502</v>
      </c>
      <c r="BZ90" s="2"/>
      <c r="CA90" s="2"/>
      <c r="CB90" s="18">
        <f>IF(AND((IFERROR((AN90/sel_util)*(AO90/sel_rate),0))*AZ26-AY26&gt;=0,1&gt;=sel_start_m),1,9999)</f>
        <v>9999</v>
      </c>
      <c r="CC90" s="18">
        <f>IF(AND((IFERROR((AN90/sel_util)*(AO90/sel_rate),0))*AZ27-AY27&gt;=0,2&gt;=sel_start_m),2,9999)</f>
        <v>9999</v>
      </c>
      <c r="CD90" s="18">
        <f>IF(AND((IFERROR((AN90/sel_util)*(AO90/sel_rate),0))*AZ28-AY28&gt;=0,3&gt;=sel_start_m),3,9999)</f>
        <v>9999</v>
      </c>
      <c r="CE90" s="18">
        <f>IF(AND((IFERROR((AN90/sel_util)*(AO90/sel_rate),0))*AZ29-AY29&gt;=0,4&gt;=sel_start_m),4,9999)</f>
        <v>9999</v>
      </c>
      <c r="CF90" s="18">
        <f>IF(AND((IFERROR((AN90/sel_util)*(AO90/sel_rate),0))*AZ30-AY30&gt;=0,5&gt;=sel_start_m),5,9999)</f>
        <v>9999</v>
      </c>
      <c r="CG90" s="18">
        <f>IF(AND((IFERROR((AN90/sel_util)*(AO90/sel_rate),0))*AZ31-AY31&gt;=0,6&gt;=sel_start_m),6,9999)</f>
        <v>9999</v>
      </c>
      <c r="CH90" s="18">
        <f>IF(AND((IFERROR((AN90/sel_util)*(AO90/sel_rate),0))*AZ32-AY32&gt;=0,7&gt;=sel_start_m),7,9999)</f>
        <v>9999</v>
      </c>
      <c r="CI90" s="18">
        <f>IF(AND((IFERROR((AN90/sel_util)*(AO90/sel_rate),0))*AZ33-AY33&gt;=0,8&gt;=sel_start_m),8,9999)</f>
        <v>9999</v>
      </c>
      <c r="CJ90" s="18">
        <f>IF(AND((IFERROR((AN90/sel_util)*(AO90/sel_rate),0))*AZ34-AY34&gt;=0,9&gt;=sel_start_m),9,9999)</f>
        <v>9999</v>
      </c>
      <c r="CK90" s="18">
        <f>IF(AND((IFERROR((AN90/sel_util)*(AO90/sel_rate),0))*AZ35-AY35&gt;=0,10&gt;=sel_start_m),10,9999)</f>
        <v>10</v>
      </c>
      <c r="CL90" s="18">
        <f>IF(AND((IFERROR((AN90/sel_util)*(AO90/sel_rate),0))*AZ36-AY36&gt;=0,11&gt;=sel_start_m),11,9999)</f>
        <v>11</v>
      </c>
      <c r="CM90" s="18">
        <f>IF(AND((IFERROR((AN90/sel_util)*(AO90/sel_rate),0))*AZ37-AY37&gt;=0,12&gt;=sel_start_m),12,9999)</f>
        <v>12</v>
      </c>
      <c r="CN90" s="18">
        <f>IF(AND((IFERROR((AN90/sel_util)*(AO90/sel_rate),0))*AZ38-AY38&gt;=0,13&gt;=sel_start_m),13,9999)</f>
        <v>13</v>
      </c>
      <c r="CO90" s="18">
        <f>IF(AND((IFERROR((AN90/sel_util)*(AO90/sel_rate),0))*AZ39-AY39&gt;=0,14&gt;=sel_start_m),14,9999)</f>
        <v>14</v>
      </c>
      <c r="CP90" s="18">
        <f>IF(AND((IFERROR((AN90/sel_util)*(AO90/sel_rate),0))*AZ40-AY40&gt;=0,15&gt;=sel_start_m),15,9999)</f>
        <v>15</v>
      </c>
      <c r="CQ90" s="18">
        <f>IF(AND((IFERROR((AN90/sel_util)*(AO90/sel_rate),0))*AZ41-AY41&gt;=0,16&gt;=sel_start_m),16,9999)</f>
        <v>16</v>
      </c>
      <c r="CR90" s="18">
        <f>IF(AND((IFERROR((AN90/sel_util)*(AO90/sel_rate),0))*AZ42-AY42&gt;=0,17&gt;=sel_start_m),17,9999)</f>
        <v>17</v>
      </c>
      <c r="CS90" s="18">
        <f>IF(AND((IFERROR((AN90/sel_util)*(AO90/sel_rate),0))*AZ43-AY43&gt;=0,18&gt;=sel_start_m),18,9999)</f>
        <v>18</v>
      </c>
      <c r="CT90" s="18">
        <f>IF(AND((IFERROR((AN90/sel_util)*(AO90/sel_rate),0))*AZ44-AY44&gt;=0,19&gt;=sel_start_m),19,9999)</f>
        <v>19</v>
      </c>
      <c r="CU90" s="18">
        <f>IF(AND((IFERROR((AN90/sel_util)*(AO90/sel_rate),0))*AZ45-AY45&gt;=0,20&gt;=sel_start_m),20,9999)</f>
        <v>20</v>
      </c>
      <c r="CV90" s="18">
        <f>IF(AND((IFERROR((AN90/sel_util)*(AO90/sel_rate),0))*AZ46-AY46&gt;=0,21&gt;=sel_start_m),21,9999)</f>
        <v>21</v>
      </c>
      <c r="CW90" s="18">
        <f>IF(AND((IFERROR((AN90/sel_util)*(AO90/sel_rate),0))*AZ47-AY47&gt;=0,22&gt;=sel_start_m),22,9999)</f>
        <v>22</v>
      </c>
      <c r="CX90" s="18">
        <f>IF(AND((IFERROR((AN90/sel_util)*(AO90/sel_rate),0))*AZ48-AY48&gt;=0,23&gt;=sel_start_m),23,9999)</f>
        <v>23</v>
      </c>
      <c r="CY90" s="18">
        <f>IF(AND((IFERROR((AN90/sel_util)*(AO90/sel_rate),0))*AZ49-AY49&gt;=0,24&gt;=sel_start_m),24,9999)</f>
        <v>24</v>
      </c>
      <c r="CZ90" s="2"/>
      <c r="DA90" s="2"/>
      <c r="DB90" s="2"/>
      <c r="DC90" s="2"/>
      <c r="DD90" s="2"/>
      <c r="DE90" s="2"/>
      <c r="DF90" s="2"/>
      <c r="DG90" s="2"/>
      <c r="DH90" s="2"/>
      <c r="DI90" s="2"/>
      <c r="DJ90" s="2"/>
      <c r="DK90" s="2"/>
      <c r="DL90" s="2"/>
      <c r="DM90" s="2"/>
    </row>
    <row r="91" spans="1:117" ht="22" customHeight="1" x14ac:dyDescent="0.2">
      <c r="A91" s="1"/>
      <c r="B91" s="31">
        <v>0.8</v>
      </c>
      <c r="C91" s="32">
        <f>AP100</f>
        <v>999</v>
      </c>
      <c r="D91" s="32">
        <f>AP101</f>
        <v>23</v>
      </c>
      <c r="E91" s="32">
        <f>AP102</f>
        <v>12</v>
      </c>
      <c r="F91" s="32">
        <f>AP103</f>
        <v>9</v>
      </c>
      <c r="G91" s="32">
        <f>AP104</f>
        <v>8</v>
      </c>
      <c r="H91" s="32">
        <f>AP105</f>
        <v>7</v>
      </c>
      <c r="I91" s="32">
        <f>AP106</f>
        <v>6</v>
      </c>
      <c r="J91" s="1"/>
      <c r="K91" s="1"/>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9">
        <v>0.7</v>
      </c>
      <c r="AO91" s="10">
        <v>275</v>
      </c>
      <c r="AP91" s="18">
        <f t="shared" si="184"/>
        <v>8</v>
      </c>
      <c r="AQ91" s="10">
        <f t="shared" si="185"/>
        <v>148304.37499999994</v>
      </c>
      <c r="AR91" s="10">
        <f t="shared" si="186"/>
        <v>148304.37499999994</v>
      </c>
      <c r="AS91" s="2"/>
      <c r="AT91" s="2"/>
      <c r="AU91" s="2"/>
      <c r="AV91" s="2"/>
      <c r="AW91" s="2"/>
      <c r="AX91" s="2"/>
      <c r="AY91" s="2"/>
      <c r="AZ91" s="2"/>
      <c r="BA91" s="2"/>
      <c r="BB91" s="10">
        <f>AD26+(IFERROR((AN91/inp_c1_util)*(AO91/inp_c1_rate),0))*AZ26-AY26</f>
        <v>984100</v>
      </c>
      <c r="BC91" s="10">
        <f>AD27+(IFERROR((AN91/inp_c1_util)*(AO91/inp_c1_rate),0))*AZ27-AY27</f>
        <v>1178200</v>
      </c>
      <c r="BD91" s="10">
        <f>AD28+(IFERROR((AN91/inp_c1_util)*(AO91/inp_c1_rate),0))*AZ28-AY28</f>
        <v>1393661.25</v>
      </c>
      <c r="BE91" s="10">
        <f>AD29+(IFERROR((AN91/inp_c1_util)*(AO91/inp_c1_rate),0))*AZ29-AY29</f>
        <v>1626205.375</v>
      </c>
      <c r="BF91" s="10">
        <f>AD30+(IFERROR((AN91/inp_c1_util)*(AO91/inp_c1_rate),0))*AZ30-AY30</f>
        <v>1875934.3849999998</v>
      </c>
      <c r="BG91" s="10">
        <f>AD31+(IFERROR((AN91/inp_c1_util)*(AO91/inp_c1_rate),0))*AZ31-AY31</f>
        <v>2136069.4350999994</v>
      </c>
      <c r="BH91" s="10">
        <f>AD32+(IFERROR((AN91/inp_c1_util)*(AO91/inp_c1_rate),0))*AZ32-AY32</f>
        <v>2406714.5857009999</v>
      </c>
      <c r="BI91" s="10">
        <f>AD33+(IFERROR((AN91/inp_c1_util)*(AO91/inp_c1_rate),0))*AZ33-AY33</f>
        <v>2687974.9378080098</v>
      </c>
      <c r="BJ91" s="10">
        <f>AD34+(IFERROR((AN91/inp_c1_util)*(AO91/inp_c1_rate),0))*AZ34-AY34</f>
        <v>2979956.6434360901</v>
      </c>
      <c r="BK91" s="10">
        <f>AD35+(IFERROR((AN91/inp_c1_util)*(AO91/inp_c1_rate),0))*AZ35-AY35</f>
        <v>3282766.9161204509</v>
      </c>
      <c r="BL91" s="10">
        <f>AD36+(IFERROR((AN91/inp_c1_util)*(AO91/inp_c1_rate),0))*AZ36-AY36</f>
        <v>3596514.0415316559</v>
      </c>
      <c r="BM91" s="10">
        <f>AD37+(IFERROR((AN91/inp_c1_util)*(AO91/inp_c1_rate),0))*AZ37-AY37</f>
        <v>3921307.3881969722</v>
      </c>
      <c r="BN91" s="10">
        <f>AD38+(IFERROR((AN91/inp_c1_util)*(AO91/inp_c1_rate),0))*AZ38-AY38</f>
        <v>4257257.4183289418</v>
      </c>
      <c r="BO91" s="10">
        <f>AD39+(IFERROR((AN91/inp_c1_util)*(AO91/inp_c1_rate),0))*AZ39-AY39</f>
        <v>4604475.6987622315</v>
      </c>
      <c r="BP91" s="10">
        <f>AD40+(IFERROR((AN91/inp_c1_util)*(AO91/inp_c1_rate),0))*AZ40-AY40</f>
        <v>4963074.9119998543</v>
      </c>
      <c r="BQ91" s="10">
        <f>AD41+(IFERROR((AN91/inp_c1_util)*(AO91/inp_c1_rate),0))*AZ41-AY41</f>
        <v>5333168.867369853</v>
      </c>
      <c r="BR91" s="10">
        <f>AD42+(IFERROR((AN91/inp_c1_util)*(AO91/inp_c1_rate),0))*AZ42-AY42</f>
        <v>5714872.512293552</v>
      </c>
      <c r="BS91" s="10">
        <f>AD43+(IFERROR((AN91/inp_c1_util)*(AO91/inp_c1_rate),0))*AZ43-AY43</f>
        <v>6108301.9436664879</v>
      </c>
      <c r="BT91" s="10">
        <f>AD44+(IFERROR((AN91/inp_c1_util)*(AO91/inp_c1_rate),0))*AZ44-AY44</f>
        <v>6513574.4193531536</v>
      </c>
      <c r="BU91" s="10">
        <f>AD45+(IFERROR((AN91/inp_c1_util)*(AO91/inp_c1_rate),0))*AZ45-AY45</f>
        <v>6930808.3697966849</v>
      </c>
      <c r="BV91" s="10">
        <f>AD46+(IFERROR((AN91/inp_c1_util)*(AO91/inp_c1_rate),0))*AZ46-AY46</f>
        <v>7360123.409744652</v>
      </c>
      <c r="BW91" s="10">
        <f>AD47+(IFERROR((AN91/inp_c1_util)*(AO91/inp_c1_rate),0))*AZ47-AY47</f>
        <v>7801640.3500920981</v>
      </c>
      <c r="BX91" s="10">
        <f>AD48+(IFERROR((AN91/inp_c1_util)*(AO91/inp_c1_rate),0))*AZ48-AY48</f>
        <v>8255481.209843019</v>
      </c>
      <c r="BY91" s="10">
        <f>AD49+(IFERROR((AN91/inp_c1_util)*(AO91/inp_c1_rate),0))*AZ49-AY49</f>
        <v>8721769.2281914502</v>
      </c>
      <c r="BZ91" s="2"/>
      <c r="CA91" s="2"/>
      <c r="CB91" s="18">
        <f>IF(AND((IFERROR((AN91/sel_util)*(AO91/sel_rate),0))*AZ26-AY26&gt;=0,1&gt;=sel_start_m),1,9999)</f>
        <v>9999</v>
      </c>
      <c r="CC91" s="18">
        <f>IF(AND((IFERROR((AN91/sel_util)*(AO91/sel_rate),0))*AZ27-AY27&gt;=0,2&gt;=sel_start_m),2,9999)</f>
        <v>9999</v>
      </c>
      <c r="CD91" s="18">
        <f>IF(AND((IFERROR((AN91/sel_util)*(AO91/sel_rate),0))*AZ28-AY28&gt;=0,3&gt;=sel_start_m),3,9999)</f>
        <v>9999</v>
      </c>
      <c r="CE91" s="18">
        <f>IF(AND((IFERROR((AN91/sel_util)*(AO91/sel_rate),0))*AZ29-AY29&gt;=0,4&gt;=sel_start_m),4,9999)</f>
        <v>9999</v>
      </c>
      <c r="CF91" s="18">
        <f>IF(AND((IFERROR((AN91/sel_util)*(AO91/sel_rate),0))*AZ30-AY30&gt;=0,5&gt;=sel_start_m),5,9999)</f>
        <v>9999</v>
      </c>
      <c r="CG91" s="18">
        <f>IF(AND((IFERROR((AN91/sel_util)*(AO91/sel_rate),0))*AZ31-AY31&gt;=0,6&gt;=sel_start_m),6,9999)</f>
        <v>9999</v>
      </c>
      <c r="CH91" s="18">
        <f>IF(AND((IFERROR((AN91/sel_util)*(AO91/sel_rate),0))*AZ32-AY32&gt;=0,7&gt;=sel_start_m),7,9999)</f>
        <v>9999</v>
      </c>
      <c r="CI91" s="18">
        <f>IF(AND((IFERROR((AN91/sel_util)*(AO91/sel_rate),0))*AZ33-AY33&gt;=0,8&gt;=sel_start_m),8,9999)</f>
        <v>8</v>
      </c>
      <c r="CJ91" s="18">
        <f>IF(AND((IFERROR((AN91/sel_util)*(AO91/sel_rate),0))*AZ34-AY34&gt;=0,9&gt;=sel_start_m),9,9999)</f>
        <v>9</v>
      </c>
      <c r="CK91" s="18">
        <f>IF(AND((IFERROR((AN91/sel_util)*(AO91/sel_rate),0))*AZ35-AY35&gt;=0,10&gt;=sel_start_m),10,9999)</f>
        <v>10</v>
      </c>
      <c r="CL91" s="18">
        <f>IF(AND((IFERROR((AN91/sel_util)*(AO91/sel_rate),0))*AZ36-AY36&gt;=0,11&gt;=sel_start_m),11,9999)</f>
        <v>11</v>
      </c>
      <c r="CM91" s="18">
        <f>IF(AND((IFERROR((AN91/sel_util)*(AO91/sel_rate),0))*AZ37-AY37&gt;=0,12&gt;=sel_start_m),12,9999)</f>
        <v>12</v>
      </c>
      <c r="CN91" s="18">
        <f>IF(AND((IFERROR((AN91/sel_util)*(AO91/sel_rate),0))*AZ38-AY38&gt;=0,13&gt;=sel_start_m),13,9999)</f>
        <v>13</v>
      </c>
      <c r="CO91" s="18">
        <f>IF(AND((IFERROR((AN91/sel_util)*(AO91/sel_rate),0))*AZ39-AY39&gt;=0,14&gt;=sel_start_m),14,9999)</f>
        <v>14</v>
      </c>
      <c r="CP91" s="18">
        <f>IF(AND((IFERROR((AN91/sel_util)*(AO91/sel_rate),0))*AZ40-AY40&gt;=0,15&gt;=sel_start_m),15,9999)</f>
        <v>15</v>
      </c>
      <c r="CQ91" s="18">
        <f>IF(AND((IFERROR((AN91/sel_util)*(AO91/sel_rate),0))*AZ41-AY41&gt;=0,16&gt;=sel_start_m),16,9999)</f>
        <v>16</v>
      </c>
      <c r="CR91" s="18">
        <f>IF(AND((IFERROR((AN91/sel_util)*(AO91/sel_rate),0))*AZ42-AY42&gt;=0,17&gt;=sel_start_m),17,9999)</f>
        <v>17</v>
      </c>
      <c r="CS91" s="18">
        <f>IF(AND((IFERROR((AN91/sel_util)*(AO91/sel_rate),0))*AZ43-AY43&gt;=0,18&gt;=sel_start_m),18,9999)</f>
        <v>18</v>
      </c>
      <c r="CT91" s="18">
        <f>IF(AND((IFERROR((AN91/sel_util)*(AO91/sel_rate),0))*AZ44-AY44&gt;=0,19&gt;=sel_start_m),19,9999)</f>
        <v>19</v>
      </c>
      <c r="CU91" s="18">
        <f>IF(AND((IFERROR((AN91/sel_util)*(AO91/sel_rate),0))*AZ45-AY45&gt;=0,20&gt;=sel_start_m),20,9999)</f>
        <v>20</v>
      </c>
      <c r="CV91" s="18">
        <f>IF(AND((IFERROR((AN91/sel_util)*(AO91/sel_rate),0))*AZ46-AY46&gt;=0,21&gt;=sel_start_m),21,9999)</f>
        <v>21</v>
      </c>
      <c r="CW91" s="18">
        <f>IF(AND((IFERROR((AN91/sel_util)*(AO91/sel_rate),0))*AZ47-AY47&gt;=0,22&gt;=sel_start_m),22,9999)</f>
        <v>22</v>
      </c>
      <c r="CX91" s="18">
        <f>IF(AND((IFERROR((AN91/sel_util)*(AO91/sel_rate),0))*AZ48-AY48&gt;=0,23&gt;=sel_start_m),23,9999)</f>
        <v>23</v>
      </c>
      <c r="CY91" s="18">
        <f>IF(AND((IFERROR((AN91/sel_util)*(AO91/sel_rate),0))*AZ49-AY49&gt;=0,24&gt;=sel_start_m),24,9999)</f>
        <v>24</v>
      </c>
      <c r="CZ91" s="2"/>
      <c r="DA91" s="2"/>
      <c r="DB91" s="2"/>
      <c r="DC91" s="2"/>
      <c r="DD91" s="2"/>
      <c r="DE91" s="2"/>
      <c r="DF91" s="2"/>
      <c r="DG91" s="2"/>
      <c r="DH91" s="2"/>
      <c r="DI91" s="2"/>
      <c r="DJ91" s="2"/>
      <c r="DK91" s="2"/>
      <c r="DL91" s="2"/>
      <c r="DM91" s="2"/>
    </row>
    <row r="92" spans="1:117" ht="22" customHeight="1" x14ac:dyDescent="0.2">
      <c r="A92" s="1"/>
      <c r="B92" s="1"/>
      <c r="C92" s="1"/>
      <c r="D92" s="1"/>
      <c r="E92" s="1"/>
      <c r="F92" s="1"/>
      <c r="G92" s="1"/>
      <c r="H92" s="1"/>
      <c r="I92" s="1"/>
      <c r="J92" s="1"/>
      <c r="K92" s="1"/>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9">
        <v>0.7</v>
      </c>
      <c r="AO92" s="10">
        <v>300</v>
      </c>
      <c r="AP92" s="18">
        <f t="shared" si="184"/>
        <v>7</v>
      </c>
      <c r="AQ92" s="10">
        <f t="shared" si="185"/>
        <v>196477.49999999994</v>
      </c>
      <c r="AR92" s="10">
        <f t="shared" si="186"/>
        <v>196477.49999999994</v>
      </c>
      <c r="AS92" s="2"/>
      <c r="AT92" s="2"/>
      <c r="AU92" s="2"/>
      <c r="AV92" s="2"/>
      <c r="AW92" s="2"/>
      <c r="AX92" s="2"/>
      <c r="AY92" s="2"/>
      <c r="AZ92" s="2"/>
      <c r="BA92" s="2"/>
      <c r="BB92" s="10">
        <f>AD26+(IFERROR((AN92/inp_c1_util)*(AO92/inp_c1_rate),0))*AZ26-AY26</f>
        <v>984100</v>
      </c>
      <c r="BC92" s="10">
        <f>AD27+(IFERROR((AN92/inp_c1_util)*(AO92/inp_c1_rate),0))*AZ27-AY27</f>
        <v>1178200</v>
      </c>
      <c r="BD92" s="10">
        <f>AD28+(IFERROR((AN92/inp_c1_util)*(AO92/inp_c1_rate),0))*AZ28-AY28</f>
        <v>1394685</v>
      </c>
      <c r="BE92" s="10">
        <f>AD29+(IFERROR((AN92/inp_c1_util)*(AO92/inp_c1_rate),0))*AZ29-AY29</f>
        <v>1628878.5</v>
      </c>
      <c r="BF92" s="10">
        <f>AD30+(IFERROR((AN92/inp_c1_util)*(AO92/inp_c1_rate),0))*AZ30-AY30</f>
        <v>1880882.5099999998</v>
      </c>
      <c r="BG92" s="10">
        <f>AD31+(IFERROR((AN92/inp_c1_util)*(AO92/inp_c1_rate),0))*AZ31-AY31</f>
        <v>2143292.5600999994</v>
      </c>
      <c r="BH92" s="10">
        <f>AD32+(IFERROR((AN92/inp_c1_util)*(AO92/inp_c1_rate),0))*AZ32-AY32</f>
        <v>2416212.7107009999</v>
      </c>
      <c r="BI92" s="10">
        <f>AD33+(IFERROR((AN92/inp_c1_util)*(AO92/inp_c1_rate),0))*AZ33-AY33</f>
        <v>2699748.0628080098</v>
      </c>
      <c r="BJ92" s="10">
        <f>AD34+(IFERROR((AN92/inp_c1_util)*(AO92/inp_c1_rate),0))*AZ34-AY34</f>
        <v>2994004.7684360901</v>
      </c>
      <c r="BK92" s="10">
        <f>AD35+(IFERROR((AN92/inp_c1_util)*(AO92/inp_c1_rate),0))*AZ35-AY35</f>
        <v>3299090.0411204509</v>
      </c>
      <c r="BL92" s="10">
        <f>AD36+(IFERROR((AN92/inp_c1_util)*(AO92/inp_c1_rate),0))*AZ36-AY36</f>
        <v>3615112.1665316559</v>
      </c>
      <c r="BM92" s="10">
        <f>AD37+(IFERROR((AN92/inp_c1_util)*(AO92/inp_c1_rate),0))*AZ37-AY37</f>
        <v>3942180.5131969722</v>
      </c>
      <c r="BN92" s="10">
        <f>AD38+(IFERROR((AN92/inp_c1_util)*(AO92/inp_c1_rate),0))*AZ38-AY38</f>
        <v>4280405.5433289418</v>
      </c>
      <c r="BO92" s="10">
        <f>AD39+(IFERROR((AN92/inp_c1_util)*(AO92/inp_c1_rate),0))*AZ39-AY39</f>
        <v>4629898.8237622315</v>
      </c>
      <c r="BP92" s="10">
        <f>AD40+(IFERROR((AN92/inp_c1_util)*(AO92/inp_c1_rate),0))*AZ40-AY40</f>
        <v>4990773.0369998543</v>
      </c>
      <c r="BQ92" s="10">
        <f>AD41+(IFERROR((AN92/inp_c1_util)*(AO92/inp_c1_rate),0))*AZ41-AY41</f>
        <v>5363141.992369853</v>
      </c>
      <c r="BR92" s="10">
        <f>AD42+(IFERROR((AN92/inp_c1_util)*(AO92/inp_c1_rate),0))*AZ42-AY42</f>
        <v>5747120.637293552</v>
      </c>
      <c r="BS92" s="10">
        <f>AD43+(IFERROR((AN92/inp_c1_util)*(AO92/inp_c1_rate),0))*AZ43-AY43</f>
        <v>6142825.0686664879</v>
      </c>
      <c r="BT92" s="10">
        <f>AD44+(IFERROR((AN92/inp_c1_util)*(AO92/inp_c1_rate),0))*AZ44-AY44</f>
        <v>6550372.5443531536</v>
      </c>
      <c r="BU92" s="10">
        <f>AD45+(IFERROR((AN92/inp_c1_util)*(AO92/inp_c1_rate),0))*AZ45-AY45</f>
        <v>6969881.4947966849</v>
      </c>
      <c r="BV92" s="10">
        <f>AD46+(IFERROR((AN92/inp_c1_util)*(AO92/inp_c1_rate),0))*AZ46-AY46</f>
        <v>7401471.534744652</v>
      </c>
      <c r="BW92" s="10">
        <f>AD47+(IFERROR((AN92/inp_c1_util)*(AO92/inp_c1_rate),0))*AZ47-AY47</f>
        <v>7845263.4750920981</v>
      </c>
      <c r="BX92" s="10">
        <f>AD48+(IFERROR((AN92/inp_c1_util)*(AO92/inp_c1_rate),0))*AZ48-AY48</f>
        <v>8301379.334843019</v>
      </c>
      <c r="BY92" s="10">
        <f>AD49+(IFERROR((AN92/inp_c1_util)*(AO92/inp_c1_rate),0))*AZ49-AY49</f>
        <v>8769942.3531914502</v>
      </c>
      <c r="BZ92" s="2"/>
      <c r="CA92" s="2"/>
      <c r="CB92" s="18">
        <f>IF(AND((IFERROR((AN92/sel_util)*(AO92/sel_rate),0))*AZ26-AY26&gt;=0,1&gt;=sel_start_m),1,9999)</f>
        <v>9999</v>
      </c>
      <c r="CC92" s="18">
        <f>IF(AND((IFERROR((AN92/sel_util)*(AO92/sel_rate),0))*AZ27-AY27&gt;=0,2&gt;=sel_start_m),2,9999)</f>
        <v>9999</v>
      </c>
      <c r="CD92" s="18">
        <f>IF(AND((IFERROR((AN92/sel_util)*(AO92/sel_rate),0))*AZ28-AY28&gt;=0,3&gt;=sel_start_m),3,9999)</f>
        <v>9999</v>
      </c>
      <c r="CE92" s="18">
        <f>IF(AND((IFERROR((AN92/sel_util)*(AO92/sel_rate),0))*AZ29-AY29&gt;=0,4&gt;=sel_start_m),4,9999)</f>
        <v>9999</v>
      </c>
      <c r="CF92" s="18">
        <f>IF(AND((IFERROR((AN92/sel_util)*(AO92/sel_rate),0))*AZ30-AY30&gt;=0,5&gt;=sel_start_m),5,9999)</f>
        <v>9999</v>
      </c>
      <c r="CG92" s="18">
        <f>IF(AND((IFERROR((AN92/sel_util)*(AO92/sel_rate),0))*AZ31-AY31&gt;=0,6&gt;=sel_start_m),6,9999)</f>
        <v>9999</v>
      </c>
      <c r="CH92" s="18">
        <f>IF(AND((IFERROR((AN92/sel_util)*(AO92/sel_rate),0))*AZ32-AY32&gt;=0,7&gt;=sel_start_m),7,9999)</f>
        <v>7</v>
      </c>
      <c r="CI92" s="18">
        <f>IF(AND((IFERROR((AN92/sel_util)*(AO92/sel_rate),0))*AZ33-AY33&gt;=0,8&gt;=sel_start_m),8,9999)</f>
        <v>8</v>
      </c>
      <c r="CJ92" s="18">
        <f>IF(AND((IFERROR((AN92/sel_util)*(AO92/sel_rate),0))*AZ34-AY34&gt;=0,9&gt;=sel_start_m),9,9999)</f>
        <v>9</v>
      </c>
      <c r="CK92" s="18">
        <f>IF(AND((IFERROR((AN92/sel_util)*(AO92/sel_rate),0))*AZ35-AY35&gt;=0,10&gt;=sel_start_m),10,9999)</f>
        <v>10</v>
      </c>
      <c r="CL92" s="18">
        <f>IF(AND((IFERROR((AN92/sel_util)*(AO92/sel_rate),0))*AZ36-AY36&gt;=0,11&gt;=sel_start_m),11,9999)</f>
        <v>11</v>
      </c>
      <c r="CM92" s="18">
        <f>IF(AND((IFERROR((AN92/sel_util)*(AO92/sel_rate),0))*AZ37-AY37&gt;=0,12&gt;=sel_start_m),12,9999)</f>
        <v>12</v>
      </c>
      <c r="CN92" s="18">
        <f>IF(AND((IFERROR((AN92/sel_util)*(AO92/sel_rate),0))*AZ38-AY38&gt;=0,13&gt;=sel_start_m),13,9999)</f>
        <v>13</v>
      </c>
      <c r="CO92" s="18">
        <f>IF(AND((IFERROR((AN92/sel_util)*(AO92/sel_rate),0))*AZ39-AY39&gt;=0,14&gt;=sel_start_m),14,9999)</f>
        <v>14</v>
      </c>
      <c r="CP92" s="18">
        <f>IF(AND((IFERROR((AN92/sel_util)*(AO92/sel_rate),0))*AZ40-AY40&gt;=0,15&gt;=sel_start_m),15,9999)</f>
        <v>15</v>
      </c>
      <c r="CQ92" s="18">
        <f>IF(AND((IFERROR((AN92/sel_util)*(AO92/sel_rate),0))*AZ41-AY41&gt;=0,16&gt;=sel_start_m),16,9999)</f>
        <v>16</v>
      </c>
      <c r="CR92" s="18">
        <f>IF(AND((IFERROR((AN92/sel_util)*(AO92/sel_rate),0))*AZ42-AY42&gt;=0,17&gt;=sel_start_m),17,9999)</f>
        <v>17</v>
      </c>
      <c r="CS92" s="18">
        <f>IF(AND((IFERROR((AN92/sel_util)*(AO92/sel_rate),0))*AZ43-AY43&gt;=0,18&gt;=sel_start_m),18,9999)</f>
        <v>18</v>
      </c>
      <c r="CT92" s="18">
        <f>IF(AND((IFERROR((AN92/sel_util)*(AO92/sel_rate),0))*AZ44-AY44&gt;=0,19&gt;=sel_start_m),19,9999)</f>
        <v>19</v>
      </c>
      <c r="CU92" s="18">
        <f>IF(AND((IFERROR((AN92/sel_util)*(AO92/sel_rate),0))*AZ45-AY45&gt;=0,20&gt;=sel_start_m),20,9999)</f>
        <v>20</v>
      </c>
      <c r="CV92" s="18">
        <f>IF(AND((IFERROR((AN92/sel_util)*(AO92/sel_rate),0))*AZ46-AY46&gt;=0,21&gt;=sel_start_m),21,9999)</f>
        <v>21</v>
      </c>
      <c r="CW92" s="18">
        <f>IF(AND((IFERROR((AN92/sel_util)*(AO92/sel_rate),0))*AZ47-AY47&gt;=0,22&gt;=sel_start_m),22,9999)</f>
        <v>22</v>
      </c>
      <c r="CX92" s="18">
        <f>IF(AND((IFERROR((AN92/sel_util)*(AO92/sel_rate),0))*AZ48-AY48&gt;=0,23&gt;=sel_start_m),23,9999)</f>
        <v>23</v>
      </c>
      <c r="CY92" s="18">
        <f>IF(AND((IFERROR((AN92/sel_util)*(AO92/sel_rate),0))*AZ49-AY49&gt;=0,24&gt;=sel_start_m),24,9999)</f>
        <v>24</v>
      </c>
      <c r="CZ92" s="2"/>
      <c r="DA92" s="2"/>
      <c r="DB92" s="2"/>
      <c r="DC92" s="2"/>
      <c r="DD92" s="2"/>
      <c r="DE92" s="2"/>
      <c r="DF92" s="2"/>
      <c r="DG92" s="2"/>
      <c r="DH92" s="2"/>
      <c r="DI92" s="2"/>
      <c r="DJ92" s="2"/>
      <c r="DK92" s="2"/>
      <c r="DL92" s="2"/>
      <c r="DM92" s="2"/>
    </row>
    <row r="93" spans="1:117" ht="20" customHeight="1" x14ac:dyDescent="0.2">
      <c r="A93" s="1"/>
      <c r="B93" s="1"/>
      <c r="C93" s="1"/>
      <c r="D93" s="1"/>
      <c r="E93" s="1"/>
      <c r="F93" s="1"/>
      <c r="G93" s="1"/>
      <c r="H93" s="1"/>
      <c r="I93" s="1"/>
      <c r="J93" s="1"/>
      <c r="K93" s="1"/>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9">
        <v>0.75</v>
      </c>
      <c r="AO93" s="10">
        <v>150</v>
      </c>
      <c r="AP93" s="18">
        <f t="shared" si="184"/>
        <v>999</v>
      </c>
      <c r="AQ93" s="10">
        <f t="shared" si="185"/>
        <v>-71915.625000000058</v>
      </c>
      <c r="AR93" s="10">
        <f t="shared" si="186"/>
        <v>-71915.625000000058</v>
      </c>
      <c r="AS93" s="2"/>
      <c r="AT93" s="2"/>
      <c r="AU93" s="2"/>
      <c r="AV93" s="2"/>
      <c r="AW93" s="2"/>
      <c r="AX93" s="2"/>
      <c r="AY93" s="2"/>
      <c r="AZ93" s="2"/>
      <c r="BA93" s="2"/>
      <c r="BB93" s="10">
        <f>AD26+(IFERROR((AN93/inp_c1_util)*(AO93/inp_c1_rate),0))*AZ26-AY26</f>
        <v>984100</v>
      </c>
      <c r="BC93" s="10">
        <f>AD27+(IFERROR((AN93/inp_c1_util)*(AO93/inp_c1_rate),0))*AZ27-AY27</f>
        <v>1178200</v>
      </c>
      <c r="BD93" s="10">
        <f>AD28+(IFERROR((AN93/inp_c1_util)*(AO93/inp_c1_rate),0))*AZ28-AY28</f>
        <v>1388981.25</v>
      </c>
      <c r="BE93" s="10">
        <f>AD29+(IFERROR((AN93/inp_c1_util)*(AO93/inp_c1_rate),0))*AZ29-AY29</f>
        <v>1613985.375</v>
      </c>
      <c r="BF93" s="10">
        <f>AD30+(IFERROR((AN93/inp_c1_util)*(AO93/inp_c1_rate),0))*AZ30-AY30</f>
        <v>1853314.3849999998</v>
      </c>
      <c r="BG93" s="10">
        <f>AD31+(IFERROR((AN93/inp_c1_util)*(AO93/inp_c1_rate),0))*AZ31-AY31</f>
        <v>2103049.4350999994</v>
      </c>
      <c r="BH93" s="10">
        <f>AD32+(IFERROR((AN93/inp_c1_util)*(AO93/inp_c1_rate),0))*AZ32-AY32</f>
        <v>2363294.5857009999</v>
      </c>
      <c r="BI93" s="10">
        <f>AD33+(IFERROR((AN93/inp_c1_util)*(AO93/inp_c1_rate),0))*AZ33-AY33</f>
        <v>2634154.9378080098</v>
      </c>
      <c r="BJ93" s="10">
        <f>AD34+(IFERROR((AN93/inp_c1_util)*(AO93/inp_c1_rate),0))*AZ34-AY34</f>
        <v>2915736.6434360901</v>
      </c>
      <c r="BK93" s="10">
        <f>AD35+(IFERROR((AN93/inp_c1_util)*(AO93/inp_c1_rate),0))*AZ35-AY35</f>
        <v>3208146.9161204509</v>
      </c>
      <c r="BL93" s="10">
        <f>AD36+(IFERROR((AN93/inp_c1_util)*(AO93/inp_c1_rate),0))*AZ36-AY36</f>
        <v>3511494.0415316559</v>
      </c>
      <c r="BM93" s="10">
        <f>AD37+(IFERROR((AN93/inp_c1_util)*(AO93/inp_c1_rate),0))*AZ37-AY37</f>
        <v>3825887.3881969722</v>
      </c>
      <c r="BN93" s="10">
        <f>AD38+(IFERROR((AN93/inp_c1_util)*(AO93/inp_c1_rate),0))*AZ38-AY38</f>
        <v>4151437.4183289418</v>
      </c>
      <c r="BO93" s="10">
        <f>AD39+(IFERROR((AN93/inp_c1_util)*(AO93/inp_c1_rate),0))*AZ39-AY39</f>
        <v>4488255.6987622315</v>
      </c>
      <c r="BP93" s="10">
        <f>AD40+(IFERROR((AN93/inp_c1_util)*(AO93/inp_c1_rate),0))*AZ40-AY40</f>
        <v>4836454.9119998543</v>
      </c>
      <c r="BQ93" s="10">
        <f>AD41+(IFERROR((AN93/inp_c1_util)*(AO93/inp_c1_rate),0))*AZ41-AY41</f>
        <v>5196148.867369853</v>
      </c>
      <c r="BR93" s="10">
        <f>AD42+(IFERROR((AN93/inp_c1_util)*(AO93/inp_c1_rate),0))*AZ42-AY42</f>
        <v>5567452.512293552</v>
      </c>
      <c r="BS93" s="10">
        <f>AD43+(IFERROR((AN93/inp_c1_util)*(AO93/inp_c1_rate),0))*AZ43-AY43</f>
        <v>5950481.9436664879</v>
      </c>
      <c r="BT93" s="10">
        <f>AD44+(IFERROR((AN93/inp_c1_util)*(AO93/inp_c1_rate),0))*AZ44-AY44</f>
        <v>6345354.4193531536</v>
      </c>
      <c r="BU93" s="10">
        <f>AD45+(IFERROR((AN93/inp_c1_util)*(AO93/inp_c1_rate),0))*AZ45-AY45</f>
        <v>6752188.3697966849</v>
      </c>
      <c r="BV93" s="10">
        <f>AD46+(IFERROR((AN93/inp_c1_util)*(AO93/inp_c1_rate),0))*AZ46-AY46</f>
        <v>7171103.409744652</v>
      </c>
      <c r="BW93" s="10">
        <f>AD47+(IFERROR((AN93/inp_c1_util)*(AO93/inp_c1_rate),0))*AZ47-AY47</f>
        <v>7602220.3500920981</v>
      </c>
      <c r="BX93" s="10">
        <f>AD48+(IFERROR((AN93/inp_c1_util)*(AO93/inp_c1_rate),0))*AZ48-AY48</f>
        <v>8045661.209843019</v>
      </c>
      <c r="BY93" s="10">
        <f>AD49+(IFERROR((AN93/inp_c1_util)*(AO93/inp_c1_rate),0))*AZ49-AY49</f>
        <v>8501549.2281914502</v>
      </c>
      <c r="BZ93" s="2"/>
      <c r="CA93" s="2"/>
      <c r="CB93" s="18">
        <f>IF(AND((IFERROR((AN93/sel_util)*(AO93/sel_rate),0))*AZ26-AY26&gt;=0,1&gt;=sel_start_m),1,9999)</f>
        <v>9999</v>
      </c>
      <c r="CC93" s="18">
        <f>IF(AND((IFERROR((AN93/sel_util)*(AO93/sel_rate),0))*AZ27-AY27&gt;=0,2&gt;=sel_start_m),2,9999)</f>
        <v>9999</v>
      </c>
      <c r="CD93" s="18">
        <f>IF(AND((IFERROR((AN93/sel_util)*(AO93/sel_rate),0))*AZ28-AY28&gt;=0,3&gt;=sel_start_m),3,9999)</f>
        <v>9999</v>
      </c>
      <c r="CE93" s="18">
        <f>IF(AND((IFERROR((AN93/sel_util)*(AO93/sel_rate),0))*AZ29-AY29&gt;=0,4&gt;=sel_start_m),4,9999)</f>
        <v>9999</v>
      </c>
      <c r="CF93" s="18">
        <f>IF(AND((IFERROR((AN93/sel_util)*(AO93/sel_rate),0))*AZ30-AY30&gt;=0,5&gt;=sel_start_m),5,9999)</f>
        <v>9999</v>
      </c>
      <c r="CG93" s="18">
        <f>IF(AND((IFERROR((AN93/sel_util)*(AO93/sel_rate),0))*AZ31-AY31&gt;=0,6&gt;=sel_start_m),6,9999)</f>
        <v>9999</v>
      </c>
      <c r="CH93" s="18">
        <f>IF(AND((IFERROR((AN93/sel_util)*(AO93/sel_rate),0))*AZ32-AY32&gt;=0,7&gt;=sel_start_m),7,9999)</f>
        <v>9999</v>
      </c>
      <c r="CI93" s="18">
        <f>IF(AND((IFERROR((AN93/sel_util)*(AO93/sel_rate),0))*AZ33-AY33&gt;=0,8&gt;=sel_start_m),8,9999)</f>
        <v>9999</v>
      </c>
      <c r="CJ93" s="18">
        <f>IF(AND((IFERROR((AN93/sel_util)*(AO93/sel_rate),0))*AZ34-AY34&gt;=0,9&gt;=sel_start_m),9,9999)</f>
        <v>9999</v>
      </c>
      <c r="CK93" s="18">
        <f>IF(AND((IFERROR((AN93/sel_util)*(AO93/sel_rate),0))*AZ35-AY35&gt;=0,10&gt;=sel_start_m),10,9999)</f>
        <v>9999</v>
      </c>
      <c r="CL93" s="18">
        <f>IF(AND((IFERROR((AN93/sel_util)*(AO93/sel_rate),0))*AZ36-AY36&gt;=0,11&gt;=sel_start_m),11,9999)</f>
        <v>9999</v>
      </c>
      <c r="CM93" s="18">
        <f>IF(AND((IFERROR((AN93/sel_util)*(AO93/sel_rate),0))*AZ37-AY37&gt;=0,12&gt;=sel_start_m),12,9999)</f>
        <v>9999</v>
      </c>
      <c r="CN93" s="18">
        <f>IF(AND((IFERROR((AN93/sel_util)*(AO93/sel_rate),0))*AZ38-AY38&gt;=0,13&gt;=sel_start_m),13,9999)</f>
        <v>9999</v>
      </c>
      <c r="CO93" s="18">
        <f>IF(AND((IFERROR((AN93/sel_util)*(AO93/sel_rate),0))*AZ39-AY39&gt;=0,14&gt;=sel_start_m),14,9999)</f>
        <v>9999</v>
      </c>
      <c r="CP93" s="18">
        <f>IF(AND((IFERROR((AN93/sel_util)*(AO93/sel_rate),0))*AZ40-AY40&gt;=0,15&gt;=sel_start_m),15,9999)</f>
        <v>9999</v>
      </c>
      <c r="CQ93" s="18">
        <f>IF(AND((IFERROR((AN93/sel_util)*(AO93/sel_rate),0))*AZ41-AY41&gt;=0,16&gt;=sel_start_m),16,9999)</f>
        <v>9999</v>
      </c>
      <c r="CR93" s="18">
        <f>IF(AND((IFERROR((AN93/sel_util)*(AO93/sel_rate),0))*AZ42-AY42&gt;=0,17&gt;=sel_start_m),17,9999)</f>
        <v>9999</v>
      </c>
      <c r="CS93" s="18">
        <f>IF(AND((IFERROR((AN93/sel_util)*(AO93/sel_rate),0))*AZ43-AY43&gt;=0,18&gt;=sel_start_m),18,9999)</f>
        <v>9999</v>
      </c>
      <c r="CT93" s="18">
        <f>IF(AND((IFERROR((AN93/sel_util)*(AO93/sel_rate),0))*AZ44-AY44&gt;=0,19&gt;=sel_start_m),19,9999)</f>
        <v>9999</v>
      </c>
      <c r="CU93" s="18">
        <f>IF(AND((IFERROR((AN93/sel_util)*(AO93/sel_rate),0))*AZ45-AY45&gt;=0,20&gt;=sel_start_m),20,9999)</f>
        <v>9999</v>
      </c>
      <c r="CV93" s="18">
        <f>IF(AND((IFERROR((AN93/sel_util)*(AO93/sel_rate),0))*AZ46-AY46&gt;=0,21&gt;=sel_start_m),21,9999)</f>
        <v>9999</v>
      </c>
      <c r="CW93" s="18">
        <f>IF(AND((IFERROR((AN93/sel_util)*(AO93/sel_rate),0))*AZ47-AY47&gt;=0,22&gt;=sel_start_m),22,9999)</f>
        <v>9999</v>
      </c>
      <c r="CX93" s="18">
        <f>IF(AND((IFERROR((AN93/sel_util)*(AO93/sel_rate),0))*AZ48-AY48&gt;=0,23&gt;=sel_start_m),23,9999)</f>
        <v>9999</v>
      </c>
      <c r="CY93" s="18">
        <f>IF(AND((IFERROR((AN93/sel_util)*(AO93/sel_rate),0))*AZ49-AY49&gt;=0,24&gt;=sel_start_m),24,9999)</f>
        <v>9999</v>
      </c>
      <c r="CZ93" s="2"/>
      <c r="DA93" s="2"/>
      <c r="DB93" s="2"/>
      <c r="DC93" s="2"/>
      <c r="DD93" s="2"/>
      <c r="DE93" s="2"/>
      <c r="DF93" s="2"/>
      <c r="DG93" s="2"/>
      <c r="DH93" s="2"/>
      <c r="DI93" s="2"/>
      <c r="DJ93" s="2"/>
      <c r="DK93" s="2"/>
      <c r="DL93" s="2"/>
      <c r="DM93" s="2"/>
    </row>
    <row r="94" spans="1:117" ht="20" customHeight="1" x14ac:dyDescent="0.2">
      <c r="A94" s="1"/>
      <c r="B94" s="6" t="s">
        <v>126</v>
      </c>
      <c r="C94" s="30">
        <v>150</v>
      </c>
      <c r="D94" s="30">
        <v>175</v>
      </c>
      <c r="E94" s="30">
        <v>200</v>
      </c>
      <c r="F94" s="30">
        <v>225</v>
      </c>
      <c r="G94" s="30">
        <v>250</v>
      </c>
      <c r="H94" s="30">
        <v>275</v>
      </c>
      <c r="I94" s="30">
        <v>300</v>
      </c>
      <c r="J94" s="1"/>
      <c r="K94" s="1"/>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9">
        <v>0.75</v>
      </c>
      <c r="AO94" s="10">
        <v>175</v>
      </c>
      <c r="AP94" s="18">
        <f t="shared" si="184"/>
        <v>999</v>
      </c>
      <c r="AQ94" s="10">
        <f t="shared" si="185"/>
        <v>-20301.562500000058</v>
      </c>
      <c r="AR94" s="10">
        <f t="shared" si="186"/>
        <v>-20301.562500000058</v>
      </c>
      <c r="AS94" s="2"/>
      <c r="AT94" s="2"/>
      <c r="AU94" s="2"/>
      <c r="AV94" s="2"/>
      <c r="AW94" s="2"/>
      <c r="AX94" s="2"/>
      <c r="AY94" s="2"/>
      <c r="AZ94" s="2"/>
      <c r="BA94" s="2"/>
      <c r="BB94" s="10">
        <f>AD26+(IFERROR((AN94/inp_c1_util)*(AO94/inp_c1_rate),0))*AZ26-AY26</f>
        <v>984100</v>
      </c>
      <c r="BC94" s="10">
        <f>AD27+(IFERROR((AN94/inp_c1_util)*(AO94/inp_c1_rate),0))*AZ27-AY27</f>
        <v>1178200</v>
      </c>
      <c r="BD94" s="10">
        <f>AD28+(IFERROR((AN94/inp_c1_util)*(AO94/inp_c1_rate),0))*AZ28-AY28</f>
        <v>1390078.125</v>
      </c>
      <c r="BE94" s="10">
        <f>AD29+(IFERROR((AN94/inp_c1_util)*(AO94/inp_c1_rate),0))*AZ29-AY29</f>
        <v>1616849.4375</v>
      </c>
      <c r="BF94" s="10">
        <f>AD30+(IFERROR((AN94/inp_c1_util)*(AO94/inp_c1_rate),0))*AZ30-AY30</f>
        <v>1858615.9474999998</v>
      </c>
      <c r="BG94" s="10">
        <f>AD31+(IFERROR((AN94/inp_c1_util)*(AO94/inp_c1_rate),0))*AZ31-AY31</f>
        <v>2110788.4975999994</v>
      </c>
      <c r="BH94" s="10">
        <f>AD32+(IFERROR((AN94/inp_c1_util)*(AO94/inp_c1_rate),0))*AZ32-AY32</f>
        <v>2373471.1482009999</v>
      </c>
      <c r="BI94" s="10">
        <f>AD33+(IFERROR((AN94/inp_c1_util)*(AO94/inp_c1_rate),0))*AZ33-AY33</f>
        <v>2646769.0003080098</v>
      </c>
      <c r="BJ94" s="10">
        <f>AD34+(IFERROR((AN94/inp_c1_util)*(AO94/inp_c1_rate),0))*AZ34-AY34</f>
        <v>2930788.2059360901</v>
      </c>
      <c r="BK94" s="10">
        <f>AD35+(IFERROR((AN94/inp_c1_util)*(AO94/inp_c1_rate),0))*AZ35-AY35</f>
        <v>3225635.9786204509</v>
      </c>
      <c r="BL94" s="10">
        <f>AD36+(IFERROR((AN94/inp_c1_util)*(AO94/inp_c1_rate),0))*AZ36-AY36</f>
        <v>3531420.6040316559</v>
      </c>
      <c r="BM94" s="10">
        <f>AD37+(IFERROR((AN94/inp_c1_util)*(AO94/inp_c1_rate),0))*AZ37-AY37</f>
        <v>3848251.4506969722</v>
      </c>
      <c r="BN94" s="10">
        <f>AD38+(IFERROR((AN94/inp_c1_util)*(AO94/inp_c1_rate),0))*AZ38-AY38</f>
        <v>4176238.9808289418</v>
      </c>
      <c r="BO94" s="10">
        <f>AD39+(IFERROR((AN94/inp_c1_util)*(AO94/inp_c1_rate),0))*AZ39-AY39</f>
        <v>4515494.7612622315</v>
      </c>
      <c r="BP94" s="10">
        <f>AD40+(IFERROR((AN94/inp_c1_util)*(AO94/inp_c1_rate),0))*AZ40-AY40</f>
        <v>4866131.4744998543</v>
      </c>
      <c r="BQ94" s="10">
        <f>AD41+(IFERROR((AN94/inp_c1_util)*(AO94/inp_c1_rate),0))*AZ41-AY41</f>
        <v>5228262.929869853</v>
      </c>
      <c r="BR94" s="10">
        <f>AD42+(IFERROR((AN94/inp_c1_util)*(AO94/inp_c1_rate),0))*AZ42-AY42</f>
        <v>5602004.074793552</v>
      </c>
      <c r="BS94" s="10">
        <f>AD43+(IFERROR((AN94/inp_c1_util)*(AO94/inp_c1_rate),0))*AZ43-AY43</f>
        <v>5987471.0061664879</v>
      </c>
      <c r="BT94" s="10">
        <f>AD44+(IFERROR((AN94/inp_c1_util)*(AO94/inp_c1_rate),0))*AZ44-AY44</f>
        <v>6384780.9818531536</v>
      </c>
      <c r="BU94" s="10">
        <f>AD45+(IFERROR((AN94/inp_c1_util)*(AO94/inp_c1_rate),0))*AZ45-AY45</f>
        <v>6794052.4322966849</v>
      </c>
      <c r="BV94" s="10">
        <f>AD46+(IFERROR((AN94/inp_c1_util)*(AO94/inp_c1_rate),0))*AZ46-AY46</f>
        <v>7215404.972244652</v>
      </c>
      <c r="BW94" s="10">
        <f>AD47+(IFERROR((AN94/inp_c1_util)*(AO94/inp_c1_rate),0))*AZ47-AY47</f>
        <v>7648959.4125920981</v>
      </c>
      <c r="BX94" s="10">
        <f>AD48+(IFERROR((AN94/inp_c1_util)*(AO94/inp_c1_rate),0))*AZ48-AY48</f>
        <v>8094837.772343019</v>
      </c>
      <c r="BY94" s="10">
        <f>AD49+(IFERROR((AN94/inp_c1_util)*(AO94/inp_c1_rate),0))*AZ49-AY49</f>
        <v>8553163.2906914502</v>
      </c>
      <c r="BZ94" s="2"/>
      <c r="CA94" s="2"/>
      <c r="CB94" s="18">
        <f>IF(AND((IFERROR((AN94/sel_util)*(AO94/sel_rate),0))*AZ26-AY26&gt;=0,1&gt;=sel_start_m),1,9999)</f>
        <v>9999</v>
      </c>
      <c r="CC94" s="18">
        <f>IF(AND((IFERROR((AN94/sel_util)*(AO94/sel_rate),0))*AZ27-AY27&gt;=0,2&gt;=sel_start_m),2,9999)</f>
        <v>9999</v>
      </c>
      <c r="CD94" s="18">
        <f>IF(AND((IFERROR((AN94/sel_util)*(AO94/sel_rate),0))*AZ28-AY28&gt;=0,3&gt;=sel_start_m),3,9999)</f>
        <v>9999</v>
      </c>
      <c r="CE94" s="18">
        <f>IF(AND((IFERROR((AN94/sel_util)*(AO94/sel_rate),0))*AZ29-AY29&gt;=0,4&gt;=sel_start_m),4,9999)</f>
        <v>9999</v>
      </c>
      <c r="CF94" s="18">
        <f>IF(AND((IFERROR((AN94/sel_util)*(AO94/sel_rate),0))*AZ30-AY30&gt;=0,5&gt;=sel_start_m),5,9999)</f>
        <v>9999</v>
      </c>
      <c r="CG94" s="18">
        <f>IF(AND((IFERROR((AN94/sel_util)*(AO94/sel_rate),0))*AZ31-AY31&gt;=0,6&gt;=sel_start_m),6,9999)</f>
        <v>9999</v>
      </c>
      <c r="CH94" s="18">
        <f>IF(AND((IFERROR((AN94/sel_util)*(AO94/sel_rate),0))*AZ32-AY32&gt;=0,7&gt;=sel_start_m),7,9999)</f>
        <v>9999</v>
      </c>
      <c r="CI94" s="18">
        <f>IF(AND((IFERROR((AN94/sel_util)*(AO94/sel_rate),0))*AZ33-AY33&gt;=0,8&gt;=sel_start_m),8,9999)</f>
        <v>9999</v>
      </c>
      <c r="CJ94" s="18">
        <f>IF(AND((IFERROR((AN94/sel_util)*(AO94/sel_rate),0))*AZ34-AY34&gt;=0,9&gt;=sel_start_m),9,9999)</f>
        <v>9999</v>
      </c>
      <c r="CK94" s="18">
        <f>IF(AND((IFERROR((AN94/sel_util)*(AO94/sel_rate),0))*AZ35-AY35&gt;=0,10&gt;=sel_start_m),10,9999)</f>
        <v>9999</v>
      </c>
      <c r="CL94" s="18">
        <f>IF(AND((IFERROR((AN94/sel_util)*(AO94/sel_rate),0))*AZ36-AY36&gt;=0,11&gt;=sel_start_m),11,9999)</f>
        <v>9999</v>
      </c>
      <c r="CM94" s="18">
        <f>IF(AND((IFERROR((AN94/sel_util)*(AO94/sel_rate),0))*AZ37-AY37&gt;=0,12&gt;=sel_start_m),12,9999)</f>
        <v>9999</v>
      </c>
      <c r="CN94" s="18">
        <f>IF(AND((IFERROR((AN94/sel_util)*(AO94/sel_rate),0))*AZ38-AY38&gt;=0,13&gt;=sel_start_m),13,9999)</f>
        <v>9999</v>
      </c>
      <c r="CO94" s="18">
        <f>IF(AND((IFERROR((AN94/sel_util)*(AO94/sel_rate),0))*AZ39-AY39&gt;=0,14&gt;=sel_start_m),14,9999)</f>
        <v>9999</v>
      </c>
      <c r="CP94" s="18">
        <f>IF(AND((IFERROR((AN94/sel_util)*(AO94/sel_rate),0))*AZ40-AY40&gt;=0,15&gt;=sel_start_m),15,9999)</f>
        <v>9999</v>
      </c>
      <c r="CQ94" s="18">
        <f>IF(AND((IFERROR((AN94/sel_util)*(AO94/sel_rate),0))*AZ41-AY41&gt;=0,16&gt;=sel_start_m),16,9999)</f>
        <v>9999</v>
      </c>
      <c r="CR94" s="18">
        <f>IF(AND((IFERROR((AN94/sel_util)*(AO94/sel_rate),0))*AZ42-AY42&gt;=0,17&gt;=sel_start_m),17,9999)</f>
        <v>9999</v>
      </c>
      <c r="CS94" s="18">
        <f>IF(AND((IFERROR((AN94/sel_util)*(AO94/sel_rate),0))*AZ43-AY43&gt;=0,18&gt;=sel_start_m),18,9999)</f>
        <v>9999</v>
      </c>
      <c r="CT94" s="18">
        <f>IF(AND((IFERROR((AN94/sel_util)*(AO94/sel_rate),0))*AZ44-AY44&gt;=0,19&gt;=sel_start_m),19,9999)</f>
        <v>9999</v>
      </c>
      <c r="CU94" s="18">
        <f>IF(AND((IFERROR((AN94/sel_util)*(AO94/sel_rate),0))*AZ45-AY45&gt;=0,20&gt;=sel_start_m),20,9999)</f>
        <v>9999</v>
      </c>
      <c r="CV94" s="18">
        <f>IF(AND((IFERROR((AN94/sel_util)*(AO94/sel_rate),0))*AZ46-AY46&gt;=0,21&gt;=sel_start_m),21,9999)</f>
        <v>9999</v>
      </c>
      <c r="CW94" s="18">
        <f>IF(AND((IFERROR((AN94/sel_util)*(AO94/sel_rate),0))*AZ47-AY47&gt;=0,22&gt;=sel_start_m),22,9999)</f>
        <v>9999</v>
      </c>
      <c r="CX94" s="18">
        <f>IF(AND((IFERROR((AN94/sel_util)*(AO94/sel_rate),0))*AZ48-AY48&gt;=0,23&gt;=sel_start_m),23,9999)</f>
        <v>9999</v>
      </c>
      <c r="CY94" s="18">
        <f>IF(AND((IFERROR((AN94/sel_util)*(AO94/sel_rate),0))*AZ49-AY49&gt;=0,24&gt;=sel_start_m),24,9999)</f>
        <v>9999</v>
      </c>
      <c r="CZ94" s="2"/>
      <c r="DA94" s="2"/>
      <c r="DB94" s="2"/>
      <c r="DC94" s="2"/>
      <c r="DD94" s="2"/>
      <c r="DE94" s="2"/>
      <c r="DF94" s="2"/>
      <c r="DG94" s="2"/>
      <c r="DH94" s="2"/>
      <c r="DI94" s="2"/>
      <c r="DJ94" s="2"/>
      <c r="DK94" s="2"/>
      <c r="DL94" s="2"/>
      <c r="DM94" s="2"/>
    </row>
    <row r="95" spans="1:117" ht="20" customHeight="1" x14ac:dyDescent="0.2">
      <c r="A95" s="1"/>
      <c r="B95" s="31">
        <v>0.5</v>
      </c>
      <c r="C95" s="33">
        <f>AR72</f>
        <v>-175143.75000000009</v>
      </c>
      <c r="D95" s="33">
        <f>AR73</f>
        <v>-140734.37500000009</v>
      </c>
      <c r="E95" s="33">
        <f>AR74</f>
        <v>-106325.00000000012</v>
      </c>
      <c r="F95" s="33">
        <f>AR75</f>
        <v>-71915.625000000116</v>
      </c>
      <c r="G95" s="33">
        <f>AR76</f>
        <v>-37506.250000000116</v>
      </c>
      <c r="H95" s="33">
        <f>AR77</f>
        <v>-3096.8750000001164</v>
      </c>
      <c r="I95" s="33">
        <f>AR78</f>
        <v>31312.499999999884</v>
      </c>
      <c r="J95" s="1"/>
      <c r="K95" s="1"/>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9">
        <v>0.75</v>
      </c>
      <c r="AO95" s="10">
        <v>200</v>
      </c>
      <c r="AP95" s="18">
        <f t="shared" si="184"/>
        <v>16</v>
      </c>
      <c r="AQ95" s="10">
        <f t="shared" si="185"/>
        <v>31312.499999999942</v>
      </c>
      <c r="AR95" s="10">
        <f t="shared" si="186"/>
        <v>31312.499999999942</v>
      </c>
      <c r="AS95" s="2"/>
      <c r="AT95" s="2"/>
      <c r="AU95" s="2"/>
      <c r="AV95" s="2"/>
      <c r="AW95" s="2"/>
      <c r="AX95" s="2"/>
      <c r="AY95" s="2"/>
      <c r="AZ95" s="2"/>
      <c r="BA95" s="2"/>
      <c r="BB95" s="10">
        <f>AD26+(IFERROR((AN95/inp_c1_util)*(AO95/inp_c1_rate),0))*AZ26-AY26</f>
        <v>984100</v>
      </c>
      <c r="BC95" s="10">
        <f>AD27+(IFERROR((AN95/inp_c1_util)*(AO95/inp_c1_rate),0))*AZ27-AY27</f>
        <v>1178200</v>
      </c>
      <c r="BD95" s="10">
        <f>AD28+(IFERROR((AN95/inp_c1_util)*(AO95/inp_c1_rate),0))*AZ28-AY28</f>
        <v>1391175</v>
      </c>
      <c r="BE95" s="10">
        <f>AD29+(IFERROR((AN95/inp_c1_util)*(AO95/inp_c1_rate),0))*AZ29-AY29</f>
        <v>1619713.5</v>
      </c>
      <c r="BF95" s="10">
        <f>AD30+(IFERROR((AN95/inp_c1_util)*(AO95/inp_c1_rate),0))*AZ30-AY30</f>
        <v>1863917.5099999998</v>
      </c>
      <c r="BG95" s="10">
        <f>AD31+(IFERROR((AN95/inp_c1_util)*(AO95/inp_c1_rate),0))*AZ31-AY31</f>
        <v>2118527.5600999994</v>
      </c>
      <c r="BH95" s="10">
        <f>AD32+(IFERROR((AN95/inp_c1_util)*(AO95/inp_c1_rate),0))*AZ32-AY32</f>
        <v>2383647.7107009999</v>
      </c>
      <c r="BI95" s="10">
        <f>AD33+(IFERROR((AN95/inp_c1_util)*(AO95/inp_c1_rate),0))*AZ33-AY33</f>
        <v>2659383.0628080098</v>
      </c>
      <c r="BJ95" s="10">
        <f>AD34+(IFERROR((AN95/inp_c1_util)*(AO95/inp_c1_rate),0))*AZ34-AY34</f>
        <v>2945839.7684360901</v>
      </c>
      <c r="BK95" s="10">
        <f>AD35+(IFERROR((AN95/inp_c1_util)*(AO95/inp_c1_rate),0))*AZ35-AY35</f>
        <v>3243125.0411204509</v>
      </c>
      <c r="BL95" s="10">
        <f>AD36+(IFERROR((AN95/inp_c1_util)*(AO95/inp_c1_rate),0))*AZ36-AY36</f>
        <v>3551347.1665316559</v>
      </c>
      <c r="BM95" s="10">
        <f>AD37+(IFERROR((AN95/inp_c1_util)*(AO95/inp_c1_rate),0))*AZ37-AY37</f>
        <v>3870615.5131969722</v>
      </c>
      <c r="BN95" s="10">
        <f>AD38+(IFERROR((AN95/inp_c1_util)*(AO95/inp_c1_rate),0))*AZ38-AY38</f>
        <v>4201040.5433289418</v>
      </c>
      <c r="BO95" s="10">
        <f>AD39+(IFERROR((AN95/inp_c1_util)*(AO95/inp_c1_rate),0))*AZ39-AY39</f>
        <v>4542733.8237622315</v>
      </c>
      <c r="BP95" s="10">
        <f>AD40+(IFERROR((AN95/inp_c1_util)*(AO95/inp_c1_rate),0))*AZ40-AY40</f>
        <v>4895808.0369998543</v>
      </c>
      <c r="BQ95" s="10">
        <f>AD41+(IFERROR((AN95/inp_c1_util)*(AO95/inp_c1_rate),0))*AZ41-AY41</f>
        <v>5260376.992369853</v>
      </c>
      <c r="BR95" s="10">
        <f>AD42+(IFERROR((AN95/inp_c1_util)*(AO95/inp_c1_rate),0))*AZ42-AY42</f>
        <v>5636555.637293552</v>
      </c>
      <c r="BS95" s="10">
        <f>AD43+(IFERROR((AN95/inp_c1_util)*(AO95/inp_c1_rate),0))*AZ43-AY43</f>
        <v>6024460.0686664879</v>
      </c>
      <c r="BT95" s="10">
        <f>AD44+(IFERROR((AN95/inp_c1_util)*(AO95/inp_c1_rate),0))*AZ44-AY44</f>
        <v>6424207.5443531536</v>
      </c>
      <c r="BU95" s="10">
        <f>AD45+(IFERROR((AN95/inp_c1_util)*(AO95/inp_c1_rate),0))*AZ45-AY45</f>
        <v>6835916.4947966849</v>
      </c>
      <c r="BV95" s="10">
        <f>AD46+(IFERROR((AN95/inp_c1_util)*(AO95/inp_c1_rate),0))*AZ46-AY46</f>
        <v>7259706.534744652</v>
      </c>
      <c r="BW95" s="10">
        <f>AD47+(IFERROR((AN95/inp_c1_util)*(AO95/inp_c1_rate),0))*AZ47-AY47</f>
        <v>7695698.4750920981</v>
      </c>
      <c r="BX95" s="10">
        <f>AD48+(IFERROR((AN95/inp_c1_util)*(AO95/inp_c1_rate),0))*AZ48-AY48</f>
        <v>8144014.334843019</v>
      </c>
      <c r="BY95" s="10">
        <f>AD49+(IFERROR((AN95/inp_c1_util)*(AO95/inp_c1_rate),0))*AZ49-AY49</f>
        <v>8604777.3531914502</v>
      </c>
      <c r="BZ95" s="2"/>
      <c r="CA95" s="2"/>
      <c r="CB95" s="18">
        <f>IF(AND((IFERROR((AN95/sel_util)*(AO95/sel_rate),0))*AZ26-AY26&gt;=0,1&gt;=sel_start_m),1,9999)</f>
        <v>9999</v>
      </c>
      <c r="CC95" s="18">
        <f>IF(AND((IFERROR((AN95/sel_util)*(AO95/sel_rate),0))*AZ27-AY27&gt;=0,2&gt;=sel_start_m),2,9999)</f>
        <v>9999</v>
      </c>
      <c r="CD95" s="18">
        <f>IF(AND((IFERROR((AN95/sel_util)*(AO95/sel_rate),0))*AZ28-AY28&gt;=0,3&gt;=sel_start_m),3,9999)</f>
        <v>9999</v>
      </c>
      <c r="CE95" s="18">
        <f>IF(AND((IFERROR((AN95/sel_util)*(AO95/sel_rate),0))*AZ29-AY29&gt;=0,4&gt;=sel_start_m),4,9999)</f>
        <v>9999</v>
      </c>
      <c r="CF95" s="18">
        <f>IF(AND((IFERROR((AN95/sel_util)*(AO95/sel_rate),0))*AZ30-AY30&gt;=0,5&gt;=sel_start_m),5,9999)</f>
        <v>9999</v>
      </c>
      <c r="CG95" s="18">
        <f>IF(AND((IFERROR((AN95/sel_util)*(AO95/sel_rate),0))*AZ31-AY31&gt;=0,6&gt;=sel_start_m),6,9999)</f>
        <v>9999</v>
      </c>
      <c r="CH95" s="18">
        <f>IF(AND((IFERROR((AN95/sel_util)*(AO95/sel_rate),0))*AZ32-AY32&gt;=0,7&gt;=sel_start_m),7,9999)</f>
        <v>9999</v>
      </c>
      <c r="CI95" s="18">
        <f>IF(AND((IFERROR((AN95/sel_util)*(AO95/sel_rate),0))*AZ33-AY33&gt;=0,8&gt;=sel_start_m),8,9999)</f>
        <v>9999</v>
      </c>
      <c r="CJ95" s="18">
        <f>IF(AND((IFERROR((AN95/sel_util)*(AO95/sel_rate),0))*AZ34-AY34&gt;=0,9&gt;=sel_start_m),9,9999)</f>
        <v>9999</v>
      </c>
      <c r="CK95" s="18">
        <f>IF(AND((IFERROR((AN95/sel_util)*(AO95/sel_rate),0))*AZ35-AY35&gt;=0,10&gt;=sel_start_m),10,9999)</f>
        <v>9999</v>
      </c>
      <c r="CL95" s="18">
        <f>IF(AND((IFERROR((AN95/sel_util)*(AO95/sel_rate),0))*AZ36-AY36&gt;=0,11&gt;=sel_start_m),11,9999)</f>
        <v>9999</v>
      </c>
      <c r="CM95" s="18">
        <f>IF(AND((IFERROR((AN95/sel_util)*(AO95/sel_rate),0))*AZ37-AY37&gt;=0,12&gt;=sel_start_m),12,9999)</f>
        <v>9999</v>
      </c>
      <c r="CN95" s="18">
        <f>IF(AND((IFERROR((AN95/sel_util)*(AO95/sel_rate),0))*AZ38-AY38&gt;=0,13&gt;=sel_start_m),13,9999)</f>
        <v>9999</v>
      </c>
      <c r="CO95" s="18">
        <f>IF(AND((IFERROR((AN95/sel_util)*(AO95/sel_rate),0))*AZ39-AY39&gt;=0,14&gt;=sel_start_m),14,9999)</f>
        <v>9999</v>
      </c>
      <c r="CP95" s="18">
        <f>IF(AND((IFERROR((AN95/sel_util)*(AO95/sel_rate),0))*AZ40-AY40&gt;=0,15&gt;=sel_start_m),15,9999)</f>
        <v>9999</v>
      </c>
      <c r="CQ95" s="18">
        <f>IF(AND((IFERROR((AN95/sel_util)*(AO95/sel_rate),0))*AZ41-AY41&gt;=0,16&gt;=sel_start_m),16,9999)</f>
        <v>16</v>
      </c>
      <c r="CR95" s="18">
        <f>IF(AND((IFERROR((AN95/sel_util)*(AO95/sel_rate),0))*AZ42-AY42&gt;=0,17&gt;=sel_start_m),17,9999)</f>
        <v>17</v>
      </c>
      <c r="CS95" s="18">
        <f>IF(AND((IFERROR((AN95/sel_util)*(AO95/sel_rate),0))*AZ43-AY43&gt;=0,18&gt;=sel_start_m),18,9999)</f>
        <v>18</v>
      </c>
      <c r="CT95" s="18">
        <f>IF(AND((IFERROR((AN95/sel_util)*(AO95/sel_rate),0))*AZ44-AY44&gt;=0,19&gt;=sel_start_m),19,9999)</f>
        <v>19</v>
      </c>
      <c r="CU95" s="18">
        <f>IF(AND((IFERROR((AN95/sel_util)*(AO95/sel_rate),0))*AZ45-AY45&gt;=0,20&gt;=sel_start_m),20,9999)</f>
        <v>20</v>
      </c>
      <c r="CV95" s="18">
        <f>IF(AND((IFERROR((AN95/sel_util)*(AO95/sel_rate),0))*AZ46-AY46&gt;=0,21&gt;=sel_start_m),21,9999)</f>
        <v>21</v>
      </c>
      <c r="CW95" s="18">
        <f>IF(AND((IFERROR((AN95/sel_util)*(AO95/sel_rate),0))*AZ47-AY47&gt;=0,22&gt;=sel_start_m),22,9999)</f>
        <v>22</v>
      </c>
      <c r="CX95" s="18">
        <f>IF(AND((IFERROR((AN95/sel_util)*(AO95/sel_rate),0))*AZ48-AY48&gt;=0,23&gt;=sel_start_m),23,9999)</f>
        <v>23</v>
      </c>
      <c r="CY95" s="18">
        <f>IF(AND((IFERROR((AN95/sel_util)*(AO95/sel_rate),0))*AZ49-AY49&gt;=0,24&gt;=sel_start_m),24,9999)</f>
        <v>24</v>
      </c>
      <c r="CZ95" s="2"/>
      <c r="DA95" s="2"/>
      <c r="DB95" s="2"/>
      <c r="DC95" s="2"/>
      <c r="DD95" s="2"/>
      <c r="DE95" s="2"/>
      <c r="DF95" s="2"/>
      <c r="DG95" s="2"/>
      <c r="DH95" s="2"/>
      <c r="DI95" s="2"/>
      <c r="DJ95" s="2"/>
      <c r="DK95" s="2"/>
      <c r="DL95" s="2"/>
      <c r="DM95" s="2"/>
    </row>
    <row r="96" spans="1:117" ht="20" customHeight="1" x14ac:dyDescent="0.2">
      <c r="A96" s="1"/>
      <c r="B96" s="31">
        <v>0.6</v>
      </c>
      <c r="C96" s="33">
        <f>AR79</f>
        <v>-133852.50000000009</v>
      </c>
      <c r="D96" s="33">
        <f>AR80</f>
        <v>-92561.250000000058</v>
      </c>
      <c r="E96" s="33">
        <f>AR81</f>
        <v>-51270.000000000116</v>
      </c>
      <c r="F96" s="33">
        <f>AR82</f>
        <v>-9978.7500000001164</v>
      </c>
      <c r="G96" s="33">
        <f>AR83</f>
        <v>31312.499999999884</v>
      </c>
      <c r="H96" s="33">
        <f>AR84</f>
        <v>72603.749999999884</v>
      </c>
      <c r="I96" s="33">
        <f>AR85</f>
        <v>113894.99999999988</v>
      </c>
      <c r="J96" s="1"/>
      <c r="K96" s="1"/>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9">
        <v>0.75</v>
      </c>
      <c r="AO96" s="10">
        <v>225</v>
      </c>
      <c r="AP96" s="18">
        <f t="shared" si="184"/>
        <v>11</v>
      </c>
      <c r="AQ96" s="10">
        <f t="shared" si="185"/>
        <v>82926.562499999942</v>
      </c>
      <c r="AR96" s="10">
        <f t="shared" si="186"/>
        <v>82926.562499999942</v>
      </c>
      <c r="AS96" s="2"/>
      <c r="AT96" s="2"/>
      <c r="AU96" s="2"/>
      <c r="AV96" s="2"/>
      <c r="AW96" s="2"/>
      <c r="AX96" s="2"/>
      <c r="AY96" s="2"/>
      <c r="AZ96" s="2"/>
      <c r="BA96" s="2"/>
      <c r="BB96" s="10">
        <f>AD26+(IFERROR((AN96/inp_c1_util)*(AO96/inp_c1_rate),0))*AZ26-AY26</f>
        <v>984100</v>
      </c>
      <c r="BC96" s="10">
        <f>AD27+(IFERROR((AN96/inp_c1_util)*(AO96/inp_c1_rate),0))*AZ27-AY27</f>
        <v>1178200</v>
      </c>
      <c r="BD96" s="10">
        <f>AD28+(IFERROR((AN96/inp_c1_util)*(AO96/inp_c1_rate),0))*AZ28-AY28</f>
        <v>1392271.875</v>
      </c>
      <c r="BE96" s="10">
        <f>AD29+(IFERROR((AN96/inp_c1_util)*(AO96/inp_c1_rate),0))*AZ29-AY29</f>
        <v>1622577.5625</v>
      </c>
      <c r="BF96" s="10">
        <f>AD30+(IFERROR((AN96/inp_c1_util)*(AO96/inp_c1_rate),0))*AZ30-AY30</f>
        <v>1869219.0724999998</v>
      </c>
      <c r="BG96" s="10">
        <f>AD31+(IFERROR((AN96/inp_c1_util)*(AO96/inp_c1_rate),0))*AZ31-AY31</f>
        <v>2126266.6225999994</v>
      </c>
      <c r="BH96" s="10">
        <f>AD32+(IFERROR((AN96/inp_c1_util)*(AO96/inp_c1_rate),0))*AZ32-AY32</f>
        <v>2393824.2732009999</v>
      </c>
      <c r="BI96" s="10">
        <f>AD33+(IFERROR((AN96/inp_c1_util)*(AO96/inp_c1_rate),0))*AZ33-AY33</f>
        <v>2671997.1253080098</v>
      </c>
      <c r="BJ96" s="10">
        <f>AD34+(IFERROR((AN96/inp_c1_util)*(AO96/inp_c1_rate),0))*AZ34-AY34</f>
        <v>2960891.3309360901</v>
      </c>
      <c r="BK96" s="10">
        <f>AD35+(IFERROR((AN96/inp_c1_util)*(AO96/inp_c1_rate),0))*AZ35-AY35</f>
        <v>3260614.1036204509</v>
      </c>
      <c r="BL96" s="10">
        <f>AD36+(IFERROR((AN96/inp_c1_util)*(AO96/inp_c1_rate),0))*AZ36-AY36</f>
        <v>3571273.7290316559</v>
      </c>
      <c r="BM96" s="10">
        <f>AD37+(IFERROR((AN96/inp_c1_util)*(AO96/inp_c1_rate),0))*AZ37-AY37</f>
        <v>3892979.5756969722</v>
      </c>
      <c r="BN96" s="10">
        <f>AD38+(IFERROR((AN96/inp_c1_util)*(AO96/inp_c1_rate),0))*AZ38-AY38</f>
        <v>4225842.1058289418</v>
      </c>
      <c r="BO96" s="10">
        <f>AD39+(IFERROR((AN96/inp_c1_util)*(AO96/inp_c1_rate),0))*AZ39-AY39</f>
        <v>4569972.8862622315</v>
      </c>
      <c r="BP96" s="10">
        <f>AD40+(IFERROR((AN96/inp_c1_util)*(AO96/inp_c1_rate),0))*AZ40-AY40</f>
        <v>4925484.5994998543</v>
      </c>
      <c r="BQ96" s="10">
        <f>AD41+(IFERROR((AN96/inp_c1_util)*(AO96/inp_c1_rate),0))*AZ41-AY41</f>
        <v>5292491.054869853</v>
      </c>
      <c r="BR96" s="10">
        <f>AD42+(IFERROR((AN96/inp_c1_util)*(AO96/inp_c1_rate),0))*AZ42-AY42</f>
        <v>5671107.199793552</v>
      </c>
      <c r="BS96" s="10">
        <f>AD43+(IFERROR((AN96/inp_c1_util)*(AO96/inp_c1_rate),0))*AZ43-AY43</f>
        <v>6061449.1311664879</v>
      </c>
      <c r="BT96" s="10">
        <f>AD44+(IFERROR((AN96/inp_c1_util)*(AO96/inp_c1_rate),0))*AZ44-AY44</f>
        <v>6463634.1068531536</v>
      </c>
      <c r="BU96" s="10">
        <f>AD45+(IFERROR((AN96/inp_c1_util)*(AO96/inp_c1_rate),0))*AZ45-AY45</f>
        <v>6877780.5572966849</v>
      </c>
      <c r="BV96" s="10">
        <f>AD46+(IFERROR((AN96/inp_c1_util)*(AO96/inp_c1_rate),0))*AZ46-AY46</f>
        <v>7304008.097244652</v>
      </c>
      <c r="BW96" s="10">
        <f>AD47+(IFERROR((AN96/inp_c1_util)*(AO96/inp_c1_rate),0))*AZ47-AY47</f>
        <v>7742437.5375920981</v>
      </c>
      <c r="BX96" s="10">
        <f>AD48+(IFERROR((AN96/inp_c1_util)*(AO96/inp_c1_rate),0))*AZ48-AY48</f>
        <v>8193190.897343019</v>
      </c>
      <c r="BY96" s="10">
        <f>AD49+(IFERROR((AN96/inp_c1_util)*(AO96/inp_c1_rate),0))*AZ49-AY49</f>
        <v>8656391.4156914502</v>
      </c>
      <c r="BZ96" s="2"/>
      <c r="CA96" s="2"/>
      <c r="CB96" s="18">
        <f>IF(AND((IFERROR((AN96/sel_util)*(AO96/sel_rate),0))*AZ26-AY26&gt;=0,1&gt;=sel_start_m),1,9999)</f>
        <v>9999</v>
      </c>
      <c r="CC96" s="18">
        <f>IF(AND((IFERROR((AN96/sel_util)*(AO96/sel_rate),0))*AZ27-AY27&gt;=0,2&gt;=sel_start_m),2,9999)</f>
        <v>9999</v>
      </c>
      <c r="CD96" s="18">
        <f>IF(AND((IFERROR((AN96/sel_util)*(AO96/sel_rate),0))*AZ28-AY28&gt;=0,3&gt;=sel_start_m),3,9999)</f>
        <v>9999</v>
      </c>
      <c r="CE96" s="18">
        <f>IF(AND((IFERROR((AN96/sel_util)*(AO96/sel_rate),0))*AZ29-AY29&gt;=0,4&gt;=sel_start_m),4,9999)</f>
        <v>9999</v>
      </c>
      <c r="CF96" s="18">
        <f>IF(AND((IFERROR((AN96/sel_util)*(AO96/sel_rate),0))*AZ30-AY30&gt;=0,5&gt;=sel_start_m),5,9999)</f>
        <v>9999</v>
      </c>
      <c r="CG96" s="18">
        <f>IF(AND((IFERROR((AN96/sel_util)*(AO96/sel_rate),0))*AZ31-AY31&gt;=0,6&gt;=sel_start_m),6,9999)</f>
        <v>9999</v>
      </c>
      <c r="CH96" s="18">
        <f>IF(AND((IFERROR((AN96/sel_util)*(AO96/sel_rate),0))*AZ32-AY32&gt;=0,7&gt;=sel_start_m),7,9999)</f>
        <v>9999</v>
      </c>
      <c r="CI96" s="18">
        <f>IF(AND((IFERROR((AN96/sel_util)*(AO96/sel_rate),0))*AZ33-AY33&gt;=0,8&gt;=sel_start_m),8,9999)</f>
        <v>9999</v>
      </c>
      <c r="CJ96" s="18">
        <f>IF(AND((IFERROR((AN96/sel_util)*(AO96/sel_rate),0))*AZ34-AY34&gt;=0,9&gt;=sel_start_m),9,9999)</f>
        <v>9999</v>
      </c>
      <c r="CK96" s="18">
        <f>IF(AND((IFERROR((AN96/sel_util)*(AO96/sel_rate),0))*AZ35-AY35&gt;=0,10&gt;=sel_start_m),10,9999)</f>
        <v>9999</v>
      </c>
      <c r="CL96" s="18">
        <f>IF(AND((IFERROR((AN96/sel_util)*(AO96/sel_rate),0))*AZ36-AY36&gt;=0,11&gt;=sel_start_m),11,9999)</f>
        <v>11</v>
      </c>
      <c r="CM96" s="18">
        <f>IF(AND((IFERROR((AN96/sel_util)*(AO96/sel_rate),0))*AZ37-AY37&gt;=0,12&gt;=sel_start_m),12,9999)</f>
        <v>12</v>
      </c>
      <c r="CN96" s="18">
        <f>IF(AND((IFERROR((AN96/sel_util)*(AO96/sel_rate),0))*AZ38-AY38&gt;=0,13&gt;=sel_start_m),13,9999)</f>
        <v>13</v>
      </c>
      <c r="CO96" s="18">
        <f>IF(AND((IFERROR((AN96/sel_util)*(AO96/sel_rate),0))*AZ39-AY39&gt;=0,14&gt;=sel_start_m),14,9999)</f>
        <v>14</v>
      </c>
      <c r="CP96" s="18">
        <f>IF(AND((IFERROR((AN96/sel_util)*(AO96/sel_rate),0))*AZ40-AY40&gt;=0,15&gt;=sel_start_m),15,9999)</f>
        <v>15</v>
      </c>
      <c r="CQ96" s="18">
        <f>IF(AND((IFERROR((AN96/sel_util)*(AO96/sel_rate),0))*AZ41-AY41&gt;=0,16&gt;=sel_start_m),16,9999)</f>
        <v>16</v>
      </c>
      <c r="CR96" s="18">
        <f>IF(AND((IFERROR((AN96/sel_util)*(AO96/sel_rate),0))*AZ42-AY42&gt;=0,17&gt;=sel_start_m),17,9999)</f>
        <v>17</v>
      </c>
      <c r="CS96" s="18">
        <f>IF(AND((IFERROR((AN96/sel_util)*(AO96/sel_rate),0))*AZ43-AY43&gt;=0,18&gt;=sel_start_m),18,9999)</f>
        <v>18</v>
      </c>
      <c r="CT96" s="18">
        <f>IF(AND((IFERROR((AN96/sel_util)*(AO96/sel_rate),0))*AZ44-AY44&gt;=0,19&gt;=sel_start_m),19,9999)</f>
        <v>19</v>
      </c>
      <c r="CU96" s="18">
        <f>IF(AND((IFERROR((AN96/sel_util)*(AO96/sel_rate),0))*AZ45-AY45&gt;=0,20&gt;=sel_start_m),20,9999)</f>
        <v>20</v>
      </c>
      <c r="CV96" s="18">
        <f>IF(AND((IFERROR((AN96/sel_util)*(AO96/sel_rate),0))*AZ46-AY46&gt;=0,21&gt;=sel_start_m),21,9999)</f>
        <v>21</v>
      </c>
      <c r="CW96" s="18">
        <f>IF(AND((IFERROR((AN96/sel_util)*(AO96/sel_rate),0))*AZ47-AY47&gt;=0,22&gt;=sel_start_m),22,9999)</f>
        <v>22</v>
      </c>
      <c r="CX96" s="18">
        <f>IF(AND((IFERROR((AN96/sel_util)*(AO96/sel_rate),0))*AZ48-AY48&gt;=0,23&gt;=sel_start_m),23,9999)</f>
        <v>23</v>
      </c>
      <c r="CY96" s="18">
        <f>IF(AND((IFERROR((AN96/sel_util)*(AO96/sel_rate),0))*AZ49-AY49&gt;=0,24&gt;=sel_start_m),24,9999)</f>
        <v>24</v>
      </c>
      <c r="CZ96" s="2"/>
      <c r="DA96" s="2"/>
      <c r="DB96" s="2"/>
      <c r="DC96" s="2"/>
      <c r="DD96" s="2"/>
      <c r="DE96" s="2"/>
      <c r="DF96" s="2"/>
      <c r="DG96" s="2"/>
      <c r="DH96" s="2"/>
      <c r="DI96" s="2"/>
      <c r="DJ96" s="2"/>
      <c r="DK96" s="2"/>
      <c r="DL96" s="2"/>
      <c r="DM96" s="2"/>
    </row>
    <row r="97" spans="1:117" ht="20" customHeight="1" x14ac:dyDescent="0.2">
      <c r="A97" s="1"/>
      <c r="B97" s="31">
        <v>0.7</v>
      </c>
      <c r="C97" s="33">
        <f>AR86</f>
        <v>-92561.250000000058</v>
      </c>
      <c r="D97" s="33">
        <f>AR87</f>
        <v>-44388.125000000058</v>
      </c>
      <c r="E97" s="33">
        <f>AR88</f>
        <v>3784.9999999999418</v>
      </c>
      <c r="F97" s="33">
        <f>AR89</f>
        <v>51958.124999999942</v>
      </c>
      <c r="G97" s="33">
        <f>AR90</f>
        <v>100131.24999999994</v>
      </c>
      <c r="H97" s="33">
        <f>AR91</f>
        <v>148304.37499999994</v>
      </c>
      <c r="I97" s="33">
        <f>AR92</f>
        <v>196477.49999999994</v>
      </c>
      <c r="J97" s="1"/>
      <c r="K97" s="1"/>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9">
        <v>0.75</v>
      </c>
      <c r="AO97" s="10">
        <v>250</v>
      </c>
      <c r="AP97" s="18">
        <f t="shared" si="184"/>
        <v>9</v>
      </c>
      <c r="AQ97" s="10">
        <f t="shared" si="185"/>
        <v>134540.62499999994</v>
      </c>
      <c r="AR97" s="10">
        <f t="shared" si="186"/>
        <v>134540.62499999994</v>
      </c>
      <c r="AS97" s="2"/>
      <c r="AT97" s="2"/>
      <c r="AU97" s="2"/>
      <c r="AV97" s="2"/>
      <c r="AW97" s="2"/>
      <c r="AX97" s="2"/>
      <c r="AY97" s="2"/>
      <c r="AZ97" s="2"/>
      <c r="BA97" s="2"/>
      <c r="BB97" s="10">
        <f>AD26+(IFERROR((AN97/inp_c1_util)*(AO97/inp_c1_rate),0))*AZ26-AY26</f>
        <v>984100</v>
      </c>
      <c r="BC97" s="10">
        <f>AD27+(IFERROR((AN97/inp_c1_util)*(AO97/inp_c1_rate),0))*AZ27-AY27</f>
        <v>1178200</v>
      </c>
      <c r="BD97" s="10">
        <f>AD28+(IFERROR((AN97/inp_c1_util)*(AO97/inp_c1_rate),0))*AZ28-AY28</f>
        <v>1393368.75</v>
      </c>
      <c r="BE97" s="10">
        <f>AD29+(IFERROR((AN97/inp_c1_util)*(AO97/inp_c1_rate),0))*AZ29-AY29</f>
        <v>1625441.625</v>
      </c>
      <c r="BF97" s="10">
        <f>AD30+(IFERROR((AN97/inp_c1_util)*(AO97/inp_c1_rate),0))*AZ30-AY30</f>
        <v>1874520.6349999998</v>
      </c>
      <c r="BG97" s="10">
        <f>AD31+(IFERROR((AN97/inp_c1_util)*(AO97/inp_c1_rate),0))*AZ31-AY31</f>
        <v>2134005.6850999994</v>
      </c>
      <c r="BH97" s="10">
        <f>AD32+(IFERROR((AN97/inp_c1_util)*(AO97/inp_c1_rate),0))*AZ32-AY32</f>
        <v>2404000.8357009999</v>
      </c>
      <c r="BI97" s="10">
        <f>AD33+(IFERROR((AN97/inp_c1_util)*(AO97/inp_c1_rate),0))*AZ33-AY33</f>
        <v>2684611.1878080098</v>
      </c>
      <c r="BJ97" s="10">
        <f>AD34+(IFERROR((AN97/inp_c1_util)*(AO97/inp_c1_rate),0))*AZ34-AY34</f>
        <v>2975942.8934360901</v>
      </c>
      <c r="BK97" s="10">
        <f>AD35+(IFERROR((AN97/inp_c1_util)*(AO97/inp_c1_rate),0))*AZ35-AY35</f>
        <v>3278103.1661204509</v>
      </c>
      <c r="BL97" s="10">
        <f>AD36+(IFERROR((AN97/inp_c1_util)*(AO97/inp_c1_rate),0))*AZ36-AY36</f>
        <v>3591200.2915316559</v>
      </c>
      <c r="BM97" s="10">
        <f>AD37+(IFERROR((AN97/inp_c1_util)*(AO97/inp_c1_rate),0))*AZ37-AY37</f>
        <v>3915343.6381969722</v>
      </c>
      <c r="BN97" s="10">
        <f>AD38+(IFERROR((AN97/inp_c1_util)*(AO97/inp_c1_rate),0))*AZ38-AY38</f>
        <v>4250643.6683289418</v>
      </c>
      <c r="BO97" s="10">
        <f>AD39+(IFERROR((AN97/inp_c1_util)*(AO97/inp_c1_rate),0))*AZ39-AY39</f>
        <v>4597211.9487622315</v>
      </c>
      <c r="BP97" s="10">
        <f>AD40+(IFERROR((AN97/inp_c1_util)*(AO97/inp_c1_rate),0))*AZ40-AY40</f>
        <v>4955161.1619998543</v>
      </c>
      <c r="BQ97" s="10">
        <f>AD41+(IFERROR((AN97/inp_c1_util)*(AO97/inp_c1_rate),0))*AZ41-AY41</f>
        <v>5324605.117369853</v>
      </c>
      <c r="BR97" s="10">
        <f>AD42+(IFERROR((AN97/inp_c1_util)*(AO97/inp_c1_rate),0))*AZ42-AY42</f>
        <v>5705658.762293552</v>
      </c>
      <c r="BS97" s="10">
        <f>AD43+(IFERROR((AN97/inp_c1_util)*(AO97/inp_c1_rate),0))*AZ43-AY43</f>
        <v>6098438.1936664879</v>
      </c>
      <c r="BT97" s="10">
        <f>AD44+(IFERROR((AN97/inp_c1_util)*(AO97/inp_c1_rate),0))*AZ44-AY44</f>
        <v>6503060.6693531536</v>
      </c>
      <c r="BU97" s="10">
        <f>AD45+(IFERROR((AN97/inp_c1_util)*(AO97/inp_c1_rate),0))*AZ45-AY45</f>
        <v>6919644.6197966849</v>
      </c>
      <c r="BV97" s="10">
        <f>AD46+(IFERROR((AN97/inp_c1_util)*(AO97/inp_c1_rate),0))*AZ46-AY46</f>
        <v>7348309.659744652</v>
      </c>
      <c r="BW97" s="10">
        <f>AD47+(IFERROR((AN97/inp_c1_util)*(AO97/inp_c1_rate),0))*AZ47-AY47</f>
        <v>7789176.6000920981</v>
      </c>
      <c r="BX97" s="10">
        <f>AD48+(IFERROR((AN97/inp_c1_util)*(AO97/inp_c1_rate),0))*AZ48-AY48</f>
        <v>8242367.459843019</v>
      </c>
      <c r="BY97" s="10">
        <f>AD49+(IFERROR((AN97/inp_c1_util)*(AO97/inp_c1_rate),0))*AZ49-AY49</f>
        <v>8708005.4781914502</v>
      </c>
      <c r="BZ97" s="2"/>
      <c r="CA97" s="2"/>
      <c r="CB97" s="18">
        <f>IF(AND((IFERROR((AN97/sel_util)*(AO97/sel_rate),0))*AZ26-AY26&gt;=0,1&gt;=sel_start_m),1,9999)</f>
        <v>9999</v>
      </c>
      <c r="CC97" s="18">
        <f>IF(AND((IFERROR((AN97/sel_util)*(AO97/sel_rate),0))*AZ27-AY27&gt;=0,2&gt;=sel_start_m),2,9999)</f>
        <v>9999</v>
      </c>
      <c r="CD97" s="18">
        <f>IF(AND((IFERROR((AN97/sel_util)*(AO97/sel_rate),0))*AZ28-AY28&gt;=0,3&gt;=sel_start_m),3,9999)</f>
        <v>9999</v>
      </c>
      <c r="CE97" s="18">
        <f>IF(AND((IFERROR((AN97/sel_util)*(AO97/sel_rate),0))*AZ29-AY29&gt;=0,4&gt;=sel_start_m),4,9999)</f>
        <v>9999</v>
      </c>
      <c r="CF97" s="18">
        <f>IF(AND((IFERROR((AN97/sel_util)*(AO97/sel_rate),0))*AZ30-AY30&gt;=0,5&gt;=sel_start_m),5,9999)</f>
        <v>9999</v>
      </c>
      <c r="CG97" s="18">
        <f>IF(AND((IFERROR((AN97/sel_util)*(AO97/sel_rate),0))*AZ31-AY31&gt;=0,6&gt;=sel_start_m),6,9999)</f>
        <v>9999</v>
      </c>
      <c r="CH97" s="18">
        <f>IF(AND((IFERROR((AN97/sel_util)*(AO97/sel_rate),0))*AZ32-AY32&gt;=0,7&gt;=sel_start_m),7,9999)</f>
        <v>9999</v>
      </c>
      <c r="CI97" s="18">
        <f>IF(AND((IFERROR((AN97/sel_util)*(AO97/sel_rate),0))*AZ33-AY33&gt;=0,8&gt;=sel_start_m),8,9999)</f>
        <v>9999</v>
      </c>
      <c r="CJ97" s="18">
        <f>IF(AND((IFERROR((AN97/sel_util)*(AO97/sel_rate),0))*AZ34-AY34&gt;=0,9&gt;=sel_start_m),9,9999)</f>
        <v>9</v>
      </c>
      <c r="CK97" s="18">
        <f>IF(AND((IFERROR((AN97/sel_util)*(AO97/sel_rate),0))*AZ35-AY35&gt;=0,10&gt;=sel_start_m),10,9999)</f>
        <v>10</v>
      </c>
      <c r="CL97" s="18">
        <f>IF(AND((IFERROR((AN97/sel_util)*(AO97/sel_rate),0))*AZ36-AY36&gt;=0,11&gt;=sel_start_m),11,9999)</f>
        <v>11</v>
      </c>
      <c r="CM97" s="18">
        <f>IF(AND((IFERROR((AN97/sel_util)*(AO97/sel_rate),0))*AZ37-AY37&gt;=0,12&gt;=sel_start_m),12,9999)</f>
        <v>12</v>
      </c>
      <c r="CN97" s="18">
        <f>IF(AND((IFERROR((AN97/sel_util)*(AO97/sel_rate),0))*AZ38-AY38&gt;=0,13&gt;=sel_start_m),13,9999)</f>
        <v>13</v>
      </c>
      <c r="CO97" s="18">
        <f>IF(AND((IFERROR((AN97/sel_util)*(AO97/sel_rate),0))*AZ39-AY39&gt;=0,14&gt;=sel_start_m),14,9999)</f>
        <v>14</v>
      </c>
      <c r="CP97" s="18">
        <f>IF(AND((IFERROR((AN97/sel_util)*(AO97/sel_rate),0))*AZ40-AY40&gt;=0,15&gt;=sel_start_m),15,9999)</f>
        <v>15</v>
      </c>
      <c r="CQ97" s="18">
        <f>IF(AND((IFERROR((AN97/sel_util)*(AO97/sel_rate),0))*AZ41-AY41&gt;=0,16&gt;=sel_start_m),16,9999)</f>
        <v>16</v>
      </c>
      <c r="CR97" s="18">
        <f>IF(AND((IFERROR((AN97/sel_util)*(AO97/sel_rate),0))*AZ42-AY42&gt;=0,17&gt;=sel_start_m),17,9999)</f>
        <v>17</v>
      </c>
      <c r="CS97" s="18">
        <f>IF(AND((IFERROR((AN97/sel_util)*(AO97/sel_rate),0))*AZ43-AY43&gt;=0,18&gt;=sel_start_m),18,9999)</f>
        <v>18</v>
      </c>
      <c r="CT97" s="18">
        <f>IF(AND((IFERROR((AN97/sel_util)*(AO97/sel_rate),0))*AZ44-AY44&gt;=0,19&gt;=sel_start_m),19,9999)</f>
        <v>19</v>
      </c>
      <c r="CU97" s="18">
        <f>IF(AND((IFERROR((AN97/sel_util)*(AO97/sel_rate),0))*AZ45-AY45&gt;=0,20&gt;=sel_start_m),20,9999)</f>
        <v>20</v>
      </c>
      <c r="CV97" s="18">
        <f>IF(AND((IFERROR((AN97/sel_util)*(AO97/sel_rate),0))*AZ46-AY46&gt;=0,21&gt;=sel_start_m),21,9999)</f>
        <v>21</v>
      </c>
      <c r="CW97" s="18">
        <f>IF(AND((IFERROR((AN97/sel_util)*(AO97/sel_rate),0))*AZ47-AY47&gt;=0,22&gt;=sel_start_m),22,9999)</f>
        <v>22</v>
      </c>
      <c r="CX97" s="18">
        <f>IF(AND((IFERROR((AN97/sel_util)*(AO97/sel_rate),0))*AZ48-AY48&gt;=0,23&gt;=sel_start_m),23,9999)</f>
        <v>23</v>
      </c>
      <c r="CY97" s="18">
        <f>IF(AND((IFERROR((AN97/sel_util)*(AO97/sel_rate),0))*AZ49-AY49&gt;=0,24&gt;=sel_start_m),24,9999)</f>
        <v>24</v>
      </c>
      <c r="CZ97" s="2"/>
      <c r="DA97" s="2"/>
      <c r="DB97" s="2"/>
      <c r="DC97" s="2"/>
      <c r="DD97" s="2"/>
      <c r="DE97" s="2"/>
      <c r="DF97" s="2"/>
      <c r="DG97" s="2"/>
      <c r="DH97" s="2"/>
      <c r="DI97" s="2"/>
      <c r="DJ97" s="2"/>
      <c r="DK97" s="2"/>
      <c r="DL97" s="2"/>
      <c r="DM97" s="2"/>
    </row>
    <row r="98" spans="1:117" ht="20" customHeight="1" x14ac:dyDescent="0.2">
      <c r="A98" s="1"/>
      <c r="B98" s="31">
        <v>0.75</v>
      </c>
      <c r="C98" s="33">
        <f>AR93</f>
        <v>-71915.625000000058</v>
      </c>
      <c r="D98" s="33">
        <f>AR94</f>
        <v>-20301.562500000058</v>
      </c>
      <c r="E98" s="33">
        <f>AR95</f>
        <v>31312.499999999942</v>
      </c>
      <c r="F98" s="33">
        <f>AR96</f>
        <v>82926.562499999942</v>
      </c>
      <c r="G98" s="33">
        <f>AR97</f>
        <v>134540.62499999994</v>
      </c>
      <c r="H98" s="33">
        <f>AR98</f>
        <v>186154.68749999994</v>
      </c>
      <c r="I98" s="33">
        <f>AR99</f>
        <v>237768.74999999994</v>
      </c>
      <c r="J98" s="1"/>
      <c r="K98" s="1"/>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9">
        <v>0.75</v>
      </c>
      <c r="AO98" s="10">
        <v>275</v>
      </c>
      <c r="AP98" s="18">
        <f t="shared" si="184"/>
        <v>7</v>
      </c>
      <c r="AQ98" s="10">
        <f t="shared" si="185"/>
        <v>186154.68749999994</v>
      </c>
      <c r="AR98" s="10">
        <f t="shared" si="186"/>
        <v>186154.68749999994</v>
      </c>
      <c r="AS98" s="2"/>
      <c r="AT98" s="2"/>
      <c r="AU98" s="2"/>
      <c r="AV98" s="2"/>
      <c r="AW98" s="2"/>
      <c r="AX98" s="2"/>
      <c r="AY98" s="2"/>
      <c r="AZ98" s="2"/>
      <c r="BA98" s="2"/>
      <c r="BB98" s="10">
        <f>AD26+(IFERROR((AN98/inp_c1_util)*(AO98/inp_c1_rate),0))*AZ26-AY26</f>
        <v>984100</v>
      </c>
      <c r="BC98" s="10">
        <f>AD27+(IFERROR((AN98/inp_c1_util)*(AO98/inp_c1_rate),0))*AZ27-AY27</f>
        <v>1178200</v>
      </c>
      <c r="BD98" s="10">
        <f>AD28+(IFERROR((AN98/inp_c1_util)*(AO98/inp_c1_rate),0))*AZ28-AY28</f>
        <v>1394465.625</v>
      </c>
      <c r="BE98" s="10">
        <f>AD29+(IFERROR((AN98/inp_c1_util)*(AO98/inp_c1_rate),0))*AZ29-AY29</f>
        <v>1628305.6875</v>
      </c>
      <c r="BF98" s="10">
        <f>AD30+(IFERROR((AN98/inp_c1_util)*(AO98/inp_c1_rate),0))*AZ30-AY30</f>
        <v>1879822.1974999998</v>
      </c>
      <c r="BG98" s="10">
        <f>AD31+(IFERROR((AN98/inp_c1_util)*(AO98/inp_c1_rate),0))*AZ31-AY31</f>
        <v>2141744.7475999994</v>
      </c>
      <c r="BH98" s="10">
        <f>AD32+(IFERROR((AN98/inp_c1_util)*(AO98/inp_c1_rate),0))*AZ32-AY32</f>
        <v>2414177.3982009999</v>
      </c>
      <c r="BI98" s="10">
        <f>AD33+(IFERROR((AN98/inp_c1_util)*(AO98/inp_c1_rate),0))*AZ33-AY33</f>
        <v>2697225.2503080098</v>
      </c>
      <c r="BJ98" s="10">
        <f>AD34+(IFERROR((AN98/inp_c1_util)*(AO98/inp_c1_rate),0))*AZ34-AY34</f>
        <v>2990994.4559360901</v>
      </c>
      <c r="BK98" s="10">
        <f>AD35+(IFERROR((AN98/inp_c1_util)*(AO98/inp_c1_rate),0))*AZ35-AY35</f>
        <v>3295592.2286204509</v>
      </c>
      <c r="BL98" s="10">
        <f>AD36+(IFERROR((AN98/inp_c1_util)*(AO98/inp_c1_rate),0))*AZ36-AY36</f>
        <v>3611126.8540316559</v>
      </c>
      <c r="BM98" s="10">
        <f>AD37+(IFERROR((AN98/inp_c1_util)*(AO98/inp_c1_rate),0))*AZ37-AY37</f>
        <v>3937707.7006969722</v>
      </c>
      <c r="BN98" s="10">
        <f>AD38+(IFERROR((AN98/inp_c1_util)*(AO98/inp_c1_rate),0))*AZ38-AY38</f>
        <v>4275445.2308289418</v>
      </c>
      <c r="BO98" s="10">
        <f>AD39+(IFERROR((AN98/inp_c1_util)*(AO98/inp_c1_rate),0))*AZ39-AY39</f>
        <v>4624451.0112622315</v>
      </c>
      <c r="BP98" s="10">
        <f>AD40+(IFERROR((AN98/inp_c1_util)*(AO98/inp_c1_rate),0))*AZ40-AY40</f>
        <v>4984837.7244998543</v>
      </c>
      <c r="BQ98" s="10">
        <f>AD41+(IFERROR((AN98/inp_c1_util)*(AO98/inp_c1_rate),0))*AZ41-AY41</f>
        <v>5356719.179869853</v>
      </c>
      <c r="BR98" s="10">
        <f>AD42+(IFERROR((AN98/inp_c1_util)*(AO98/inp_c1_rate),0))*AZ42-AY42</f>
        <v>5740210.324793552</v>
      </c>
      <c r="BS98" s="10">
        <f>AD43+(IFERROR((AN98/inp_c1_util)*(AO98/inp_c1_rate),0))*AZ43-AY43</f>
        <v>6135427.2561664879</v>
      </c>
      <c r="BT98" s="10">
        <f>AD44+(IFERROR((AN98/inp_c1_util)*(AO98/inp_c1_rate),0))*AZ44-AY44</f>
        <v>6542487.2318531536</v>
      </c>
      <c r="BU98" s="10">
        <f>AD45+(IFERROR((AN98/inp_c1_util)*(AO98/inp_c1_rate),0))*AZ45-AY45</f>
        <v>6961508.6822966849</v>
      </c>
      <c r="BV98" s="10">
        <f>AD46+(IFERROR((AN98/inp_c1_util)*(AO98/inp_c1_rate),0))*AZ46-AY46</f>
        <v>7392611.222244652</v>
      </c>
      <c r="BW98" s="10">
        <f>AD47+(IFERROR((AN98/inp_c1_util)*(AO98/inp_c1_rate),0))*AZ47-AY47</f>
        <v>7835915.6625920981</v>
      </c>
      <c r="BX98" s="10">
        <f>AD48+(IFERROR((AN98/inp_c1_util)*(AO98/inp_c1_rate),0))*AZ48-AY48</f>
        <v>8291544.022343019</v>
      </c>
      <c r="BY98" s="10">
        <f>AD49+(IFERROR((AN98/inp_c1_util)*(AO98/inp_c1_rate),0))*AZ49-AY49</f>
        <v>8759619.5406914502</v>
      </c>
      <c r="BZ98" s="2"/>
      <c r="CA98" s="2"/>
      <c r="CB98" s="18">
        <f>IF(AND((IFERROR((AN98/sel_util)*(AO98/sel_rate),0))*AZ26-AY26&gt;=0,1&gt;=sel_start_m),1,9999)</f>
        <v>9999</v>
      </c>
      <c r="CC98" s="18">
        <f>IF(AND((IFERROR((AN98/sel_util)*(AO98/sel_rate),0))*AZ27-AY27&gt;=0,2&gt;=sel_start_m),2,9999)</f>
        <v>9999</v>
      </c>
      <c r="CD98" s="18">
        <f>IF(AND((IFERROR((AN98/sel_util)*(AO98/sel_rate),0))*AZ28-AY28&gt;=0,3&gt;=sel_start_m),3,9999)</f>
        <v>9999</v>
      </c>
      <c r="CE98" s="18">
        <f>IF(AND((IFERROR((AN98/sel_util)*(AO98/sel_rate),0))*AZ29-AY29&gt;=0,4&gt;=sel_start_m),4,9999)</f>
        <v>9999</v>
      </c>
      <c r="CF98" s="18">
        <f>IF(AND((IFERROR((AN98/sel_util)*(AO98/sel_rate),0))*AZ30-AY30&gt;=0,5&gt;=sel_start_m),5,9999)</f>
        <v>9999</v>
      </c>
      <c r="CG98" s="18">
        <f>IF(AND((IFERROR((AN98/sel_util)*(AO98/sel_rate),0))*AZ31-AY31&gt;=0,6&gt;=sel_start_m),6,9999)</f>
        <v>9999</v>
      </c>
      <c r="CH98" s="18">
        <f>IF(AND((IFERROR((AN98/sel_util)*(AO98/sel_rate),0))*AZ32-AY32&gt;=0,7&gt;=sel_start_m),7,9999)</f>
        <v>7</v>
      </c>
      <c r="CI98" s="18">
        <f>IF(AND((IFERROR((AN98/sel_util)*(AO98/sel_rate),0))*AZ33-AY33&gt;=0,8&gt;=sel_start_m),8,9999)</f>
        <v>8</v>
      </c>
      <c r="CJ98" s="18">
        <f>IF(AND((IFERROR((AN98/sel_util)*(AO98/sel_rate),0))*AZ34-AY34&gt;=0,9&gt;=sel_start_m),9,9999)</f>
        <v>9</v>
      </c>
      <c r="CK98" s="18">
        <f>IF(AND((IFERROR((AN98/sel_util)*(AO98/sel_rate),0))*AZ35-AY35&gt;=0,10&gt;=sel_start_m),10,9999)</f>
        <v>10</v>
      </c>
      <c r="CL98" s="18">
        <f>IF(AND((IFERROR((AN98/sel_util)*(AO98/sel_rate),0))*AZ36-AY36&gt;=0,11&gt;=sel_start_m),11,9999)</f>
        <v>11</v>
      </c>
      <c r="CM98" s="18">
        <f>IF(AND((IFERROR((AN98/sel_util)*(AO98/sel_rate),0))*AZ37-AY37&gt;=0,12&gt;=sel_start_m),12,9999)</f>
        <v>12</v>
      </c>
      <c r="CN98" s="18">
        <f>IF(AND((IFERROR((AN98/sel_util)*(AO98/sel_rate),0))*AZ38-AY38&gt;=0,13&gt;=sel_start_m),13,9999)</f>
        <v>13</v>
      </c>
      <c r="CO98" s="18">
        <f>IF(AND((IFERROR((AN98/sel_util)*(AO98/sel_rate),0))*AZ39-AY39&gt;=0,14&gt;=sel_start_m),14,9999)</f>
        <v>14</v>
      </c>
      <c r="CP98" s="18">
        <f>IF(AND((IFERROR((AN98/sel_util)*(AO98/sel_rate),0))*AZ40-AY40&gt;=0,15&gt;=sel_start_m),15,9999)</f>
        <v>15</v>
      </c>
      <c r="CQ98" s="18">
        <f>IF(AND((IFERROR((AN98/sel_util)*(AO98/sel_rate),0))*AZ41-AY41&gt;=0,16&gt;=sel_start_m),16,9999)</f>
        <v>16</v>
      </c>
      <c r="CR98" s="18">
        <f>IF(AND((IFERROR((AN98/sel_util)*(AO98/sel_rate),0))*AZ42-AY42&gt;=0,17&gt;=sel_start_m),17,9999)</f>
        <v>17</v>
      </c>
      <c r="CS98" s="18">
        <f>IF(AND((IFERROR((AN98/sel_util)*(AO98/sel_rate),0))*AZ43-AY43&gt;=0,18&gt;=sel_start_m),18,9999)</f>
        <v>18</v>
      </c>
      <c r="CT98" s="18">
        <f>IF(AND((IFERROR((AN98/sel_util)*(AO98/sel_rate),0))*AZ44-AY44&gt;=0,19&gt;=sel_start_m),19,9999)</f>
        <v>19</v>
      </c>
      <c r="CU98" s="18">
        <f>IF(AND((IFERROR((AN98/sel_util)*(AO98/sel_rate),0))*AZ45-AY45&gt;=0,20&gt;=sel_start_m),20,9999)</f>
        <v>20</v>
      </c>
      <c r="CV98" s="18">
        <f>IF(AND((IFERROR((AN98/sel_util)*(AO98/sel_rate),0))*AZ46-AY46&gt;=0,21&gt;=sel_start_m),21,9999)</f>
        <v>21</v>
      </c>
      <c r="CW98" s="18">
        <f>IF(AND((IFERROR((AN98/sel_util)*(AO98/sel_rate),0))*AZ47-AY47&gt;=0,22&gt;=sel_start_m),22,9999)</f>
        <v>22</v>
      </c>
      <c r="CX98" s="18">
        <f>IF(AND((IFERROR((AN98/sel_util)*(AO98/sel_rate),0))*AZ48-AY48&gt;=0,23&gt;=sel_start_m),23,9999)</f>
        <v>23</v>
      </c>
      <c r="CY98" s="18">
        <f>IF(AND((IFERROR((AN98/sel_util)*(AO98/sel_rate),0))*AZ49-AY49&gt;=0,24&gt;=sel_start_m),24,9999)</f>
        <v>24</v>
      </c>
      <c r="CZ98" s="2"/>
      <c r="DA98" s="2"/>
      <c r="DB98" s="2"/>
      <c r="DC98" s="2"/>
      <c r="DD98" s="2"/>
      <c r="DE98" s="2"/>
      <c r="DF98" s="2"/>
      <c r="DG98" s="2"/>
      <c r="DH98" s="2"/>
      <c r="DI98" s="2"/>
      <c r="DJ98" s="2"/>
      <c r="DK98" s="2"/>
      <c r="DL98" s="2"/>
      <c r="DM98" s="2"/>
    </row>
    <row r="99" spans="1:117" ht="20" customHeight="1" x14ac:dyDescent="0.2">
      <c r="A99" s="1"/>
      <c r="B99" s="31">
        <v>0.8</v>
      </c>
      <c r="C99" s="33">
        <f>AR100</f>
        <v>-51270</v>
      </c>
      <c r="D99" s="33">
        <f>AR101</f>
        <v>3785.0000000000582</v>
      </c>
      <c r="E99" s="33">
        <f>AR102</f>
        <v>58840</v>
      </c>
      <c r="F99" s="33">
        <f>AR103</f>
        <v>113895.00000000006</v>
      </c>
      <c r="G99" s="33">
        <f>AR104</f>
        <v>168950.00000000006</v>
      </c>
      <c r="H99" s="33">
        <f>AR105</f>
        <v>224005.00000000006</v>
      </c>
      <c r="I99" s="33">
        <f>AR106</f>
        <v>279060.00000000006</v>
      </c>
      <c r="J99" s="1"/>
      <c r="K99" s="1"/>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9">
        <v>0.75</v>
      </c>
      <c r="AO99" s="10">
        <v>300</v>
      </c>
      <c r="AP99" s="18">
        <f t="shared" si="184"/>
        <v>7</v>
      </c>
      <c r="AQ99" s="10">
        <f t="shared" si="185"/>
        <v>237768.74999999994</v>
      </c>
      <c r="AR99" s="10">
        <f t="shared" si="186"/>
        <v>237768.74999999994</v>
      </c>
      <c r="AS99" s="2"/>
      <c r="AT99" s="2"/>
      <c r="AU99" s="2"/>
      <c r="AV99" s="2"/>
      <c r="AW99" s="2"/>
      <c r="AX99" s="2"/>
      <c r="AY99" s="2"/>
      <c r="AZ99" s="2"/>
      <c r="BA99" s="2"/>
      <c r="BB99" s="10">
        <f>AD26+(IFERROR((AN99/inp_c1_util)*(AO99/inp_c1_rate),0))*AZ26-AY26</f>
        <v>984100</v>
      </c>
      <c r="BC99" s="10">
        <f>AD27+(IFERROR((AN99/inp_c1_util)*(AO99/inp_c1_rate),0))*AZ27-AY27</f>
        <v>1178200</v>
      </c>
      <c r="BD99" s="10">
        <f>AD28+(IFERROR((AN99/inp_c1_util)*(AO99/inp_c1_rate),0))*AZ28-AY28</f>
        <v>1395562.5</v>
      </c>
      <c r="BE99" s="10">
        <f>AD29+(IFERROR((AN99/inp_c1_util)*(AO99/inp_c1_rate),0))*AZ29-AY29</f>
        <v>1631169.75</v>
      </c>
      <c r="BF99" s="10">
        <f>AD30+(IFERROR((AN99/inp_c1_util)*(AO99/inp_c1_rate),0))*AZ30-AY30</f>
        <v>1885123.7599999998</v>
      </c>
      <c r="BG99" s="10">
        <f>AD31+(IFERROR((AN99/inp_c1_util)*(AO99/inp_c1_rate),0))*AZ31-AY31</f>
        <v>2149483.8100999994</v>
      </c>
      <c r="BH99" s="10">
        <f>AD32+(IFERROR((AN99/inp_c1_util)*(AO99/inp_c1_rate),0))*AZ32-AY32</f>
        <v>2424353.9607009999</v>
      </c>
      <c r="BI99" s="10">
        <f>AD33+(IFERROR((AN99/inp_c1_util)*(AO99/inp_c1_rate),0))*AZ33-AY33</f>
        <v>2709839.3128080098</v>
      </c>
      <c r="BJ99" s="10">
        <f>AD34+(IFERROR((AN99/inp_c1_util)*(AO99/inp_c1_rate),0))*AZ34-AY34</f>
        <v>3006046.0184360901</v>
      </c>
      <c r="BK99" s="10">
        <f>AD35+(IFERROR((AN99/inp_c1_util)*(AO99/inp_c1_rate),0))*AZ35-AY35</f>
        <v>3313081.2911204509</v>
      </c>
      <c r="BL99" s="10">
        <f>AD36+(IFERROR((AN99/inp_c1_util)*(AO99/inp_c1_rate),0))*AZ36-AY36</f>
        <v>3631053.4165316559</v>
      </c>
      <c r="BM99" s="10">
        <f>AD37+(IFERROR((AN99/inp_c1_util)*(AO99/inp_c1_rate),0))*AZ37-AY37</f>
        <v>3960071.7631969722</v>
      </c>
      <c r="BN99" s="10">
        <f>AD38+(IFERROR((AN99/inp_c1_util)*(AO99/inp_c1_rate),0))*AZ38-AY38</f>
        <v>4300246.7933289418</v>
      </c>
      <c r="BO99" s="10">
        <f>AD39+(IFERROR((AN99/inp_c1_util)*(AO99/inp_c1_rate),0))*AZ39-AY39</f>
        <v>4651690.0737622315</v>
      </c>
      <c r="BP99" s="10">
        <f>AD40+(IFERROR((AN99/inp_c1_util)*(AO99/inp_c1_rate),0))*AZ40-AY40</f>
        <v>5014514.2869998543</v>
      </c>
      <c r="BQ99" s="10">
        <f>AD41+(IFERROR((AN99/inp_c1_util)*(AO99/inp_c1_rate),0))*AZ41-AY41</f>
        <v>5388833.242369853</v>
      </c>
      <c r="BR99" s="10">
        <f>AD42+(IFERROR((AN99/inp_c1_util)*(AO99/inp_c1_rate),0))*AZ42-AY42</f>
        <v>5774761.887293552</v>
      </c>
      <c r="BS99" s="10">
        <f>AD43+(IFERROR((AN99/inp_c1_util)*(AO99/inp_c1_rate),0))*AZ43-AY43</f>
        <v>6172416.3186664879</v>
      </c>
      <c r="BT99" s="10">
        <f>AD44+(IFERROR((AN99/inp_c1_util)*(AO99/inp_c1_rate),0))*AZ44-AY44</f>
        <v>6581913.7943531536</v>
      </c>
      <c r="BU99" s="10">
        <f>AD45+(IFERROR((AN99/inp_c1_util)*(AO99/inp_c1_rate),0))*AZ45-AY45</f>
        <v>7003372.7447966849</v>
      </c>
      <c r="BV99" s="10">
        <f>AD46+(IFERROR((AN99/inp_c1_util)*(AO99/inp_c1_rate),0))*AZ46-AY46</f>
        <v>7436912.784744652</v>
      </c>
      <c r="BW99" s="10">
        <f>AD47+(IFERROR((AN99/inp_c1_util)*(AO99/inp_c1_rate),0))*AZ47-AY47</f>
        <v>7882654.7250920981</v>
      </c>
      <c r="BX99" s="10">
        <f>AD48+(IFERROR((AN99/inp_c1_util)*(AO99/inp_c1_rate),0))*AZ48-AY48</f>
        <v>8340720.584843019</v>
      </c>
      <c r="BY99" s="10">
        <f>AD49+(IFERROR((AN99/inp_c1_util)*(AO99/inp_c1_rate),0))*AZ49-AY49</f>
        <v>8811233.6031914502</v>
      </c>
      <c r="BZ99" s="2"/>
      <c r="CA99" s="2"/>
      <c r="CB99" s="18">
        <f>IF(AND((IFERROR((AN99/sel_util)*(AO99/sel_rate),0))*AZ26-AY26&gt;=0,1&gt;=sel_start_m),1,9999)</f>
        <v>9999</v>
      </c>
      <c r="CC99" s="18">
        <f>IF(AND((IFERROR((AN99/sel_util)*(AO99/sel_rate),0))*AZ27-AY27&gt;=0,2&gt;=sel_start_m),2,9999)</f>
        <v>9999</v>
      </c>
      <c r="CD99" s="18">
        <f>IF(AND((IFERROR((AN99/sel_util)*(AO99/sel_rate),0))*AZ28-AY28&gt;=0,3&gt;=sel_start_m),3,9999)</f>
        <v>9999</v>
      </c>
      <c r="CE99" s="18">
        <f>IF(AND((IFERROR((AN99/sel_util)*(AO99/sel_rate),0))*AZ29-AY29&gt;=0,4&gt;=sel_start_m),4,9999)</f>
        <v>9999</v>
      </c>
      <c r="CF99" s="18">
        <f>IF(AND((IFERROR((AN99/sel_util)*(AO99/sel_rate),0))*AZ30-AY30&gt;=0,5&gt;=sel_start_m),5,9999)</f>
        <v>9999</v>
      </c>
      <c r="CG99" s="18">
        <f>IF(AND((IFERROR((AN99/sel_util)*(AO99/sel_rate),0))*AZ31-AY31&gt;=0,6&gt;=sel_start_m),6,9999)</f>
        <v>9999</v>
      </c>
      <c r="CH99" s="18">
        <f>IF(AND((IFERROR((AN99/sel_util)*(AO99/sel_rate),0))*AZ32-AY32&gt;=0,7&gt;=sel_start_m),7,9999)</f>
        <v>7</v>
      </c>
      <c r="CI99" s="18">
        <f>IF(AND((IFERROR((AN99/sel_util)*(AO99/sel_rate),0))*AZ33-AY33&gt;=0,8&gt;=sel_start_m),8,9999)</f>
        <v>8</v>
      </c>
      <c r="CJ99" s="18">
        <f>IF(AND((IFERROR((AN99/sel_util)*(AO99/sel_rate),0))*AZ34-AY34&gt;=0,9&gt;=sel_start_m),9,9999)</f>
        <v>9</v>
      </c>
      <c r="CK99" s="18">
        <f>IF(AND((IFERROR((AN99/sel_util)*(AO99/sel_rate),0))*AZ35-AY35&gt;=0,10&gt;=sel_start_m),10,9999)</f>
        <v>10</v>
      </c>
      <c r="CL99" s="18">
        <f>IF(AND((IFERROR((AN99/sel_util)*(AO99/sel_rate),0))*AZ36-AY36&gt;=0,11&gt;=sel_start_m),11,9999)</f>
        <v>11</v>
      </c>
      <c r="CM99" s="18">
        <f>IF(AND((IFERROR((AN99/sel_util)*(AO99/sel_rate),0))*AZ37-AY37&gt;=0,12&gt;=sel_start_m),12,9999)</f>
        <v>12</v>
      </c>
      <c r="CN99" s="18">
        <f>IF(AND((IFERROR((AN99/sel_util)*(AO99/sel_rate),0))*AZ38-AY38&gt;=0,13&gt;=sel_start_m),13,9999)</f>
        <v>13</v>
      </c>
      <c r="CO99" s="18">
        <f>IF(AND((IFERROR((AN99/sel_util)*(AO99/sel_rate),0))*AZ39-AY39&gt;=0,14&gt;=sel_start_m),14,9999)</f>
        <v>14</v>
      </c>
      <c r="CP99" s="18">
        <f>IF(AND((IFERROR((AN99/sel_util)*(AO99/sel_rate),0))*AZ40-AY40&gt;=0,15&gt;=sel_start_m),15,9999)</f>
        <v>15</v>
      </c>
      <c r="CQ99" s="18">
        <f>IF(AND((IFERROR((AN99/sel_util)*(AO99/sel_rate),0))*AZ41-AY41&gt;=0,16&gt;=sel_start_m),16,9999)</f>
        <v>16</v>
      </c>
      <c r="CR99" s="18">
        <f>IF(AND((IFERROR((AN99/sel_util)*(AO99/sel_rate),0))*AZ42-AY42&gt;=0,17&gt;=sel_start_m),17,9999)</f>
        <v>17</v>
      </c>
      <c r="CS99" s="18">
        <f>IF(AND((IFERROR((AN99/sel_util)*(AO99/sel_rate),0))*AZ43-AY43&gt;=0,18&gt;=sel_start_m),18,9999)</f>
        <v>18</v>
      </c>
      <c r="CT99" s="18">
        <f>IF(AND((IFERROR((AN99/sel_util)*(AO99/sel_rate),0))*AZ44-AY44&gt;=0,19&gt;=sel_start_m),19,9999)</f>
        <v>19</v>
      </c>
      <c r="CU99" s="18">
        <f>IF(AND((IFERROR((AN99/sel_util)*(AO99/sel_rate),0))*AZ45-AY45&gt;=0,20&gt;=sel_start_m),20,9999)</f>
        <v>20</v>
      </c>
      <c r="CV99" s="18">
        <f>IF(AND((IFERROR((AN99/sel_util)*(AO99/sel_rate),0))*AZ46-AY46&gt;=0,21&gt;=sel_start_m),21,9999)</f>
        <v>21</v>
      </c>
      <c r="CW99" s="18">
        <f>IF(AND((IFERROR((AN99/sel_util)*(AO99/sel_rate),0))*AZ47-AY47&gt;=0,22&gt;=sel_start_m),22,9999)</f>
        <v>22</v>
      </c>
      <c r="CX99" s="18">
        <f>IF(AND((IFERROR((AN99/sel_util)*(AO99/sel_rate),0))*AZ48-AY48&gt;=0,23&gt;=sel_start_m),23,9999)</f>
        <v>23</v>
      </c>
      <c r="CY99" s="18">
        <f>IF(AND((IFERROR((AN99/sel_util)*(AO99/sel_rate),0))*AZ49-AY49&gt;=0,24&gt;=sel_start_m),24,9999)</f>
        <v>24</v>
      </c>
      <c r="CZ99" s="2"/>
      <c r="DA99" s="2"/>
      <c r="DB99" s="2"/>
      <c r="DC99" s="2"/>
      <c r="DD99" s="2"/>
      <c r="DE99" s="2"/>
      <c r="DF99" s="2"/>
      <c r="DG99" s="2"/>
      <c r="DH99" s="2"/>
      <c r="DI99" s="2"/>
      <c r="DJ99" s="2"/>
      <c r="DK99" s="2"/>
      <c r="DL99" s="2"/>
      <c r="DM99" s="2"/>
    </row>
    <row r="100" spans="1:117" ht="20" customHeight="1" x14ac:dyDescent="0.2">
      <c r="A100" s="1"/>
      <c r="B100" s="1"/>
      <c r="C100" s="1"/>
      <c r="D100" s="1"/>
      <c r="E100" s="1"/>
      <c r="F100" s="1"/>
      <c r="G100" s="1"/>
      <c r="H100" s="1"/>
      <c r="I100" s="1"/>
      <c r="J100" s="1"/>
      <c r="K100" s="1"/>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9">
        <v>0.8</v>
      </c>
      <c r="AO100" s="10">
        <v>150</v>
      </c>
      <c r="AP100" s="18">
        <f t="shared" si="184"/>
        <v>999</v>
      </c>
      <c r="AQ100" s="10">
        <f t="shared" si="185"/>
        <v>-51270</v>
      </c>
      <c r="AR100" s="10">
        <f t="shared" si="186"/>
        <v>-51270</v>
      </c>
      <c r="AS100" s="2"/>
      <c r="AT100" s="2"/>
      <c r="AU100" s="2"/>
      <c r="AV100" s="2"/>
      <c r="AW100" s="2"/>
      <c r="AX100" s="2"/>
      <c r="AY100" s="2"/>
      <c r="AZ100" s="2"/>
      <c r="BA100" s="2"/>
      <c r="BB100" s="10">
        <f>AD26+(IFERROR((AN100/inp_c1_util)*(AO100/inp_c1_rate),0))*AZ26-AY26</f>
        <v>984100</v>
      </c>
      <c r="BC100" s="10">
        <f>AD27+(IFERROR((AN100/inp_c1_util)*(AO100/inp_c1_rate),0))*AZ27-AY27</f>
        <v>1178200</v>
      </c>
      <c r="BD100" s="10">
        <f>AD28+(IFERROR((AN100/inp_c1_util)*(AO100/inp_c1_rate),0))*AZ28-AY28</f>
        <v>1389420</v>
      </c>
      <c r="BE100" s="10">
        <f>AD29+(IFERROR((AN100/inp_c1_util)*(AO100/inp_c1_rate),0))*AZ29-AY29</f>
        <v>1615131</v>
      </c>
      <c r="BF100" s="10">
        <f>AD30+(IFERROR((AN100/inp_c1_util)*(AO100/inp_c1_rate),0))*AZ30-AY30</f>
        <v>1855435.0099999998</v>
      </c>
      <c r="BG100" s="10">
        <f>AD31+(IFERROR((AN100/inp_c1_util)*(AO100/inp_c1_rate),0))*AZ31-AY31</f>
        <v>2106145.0600999994</v>
      </c>
      <c r="BH100" s="10">
        <f>AD32+(IFERROR((AN100/inp_c1_util)*(AO100/inp_c1_rate),0))*AZ32-AY32</f>
        <v>2367365.2107009999</v>
      </c>
      <c r="BI100" s="10">
        <f>AD33+(IFERROR((AN100/inp_c1_util)*(AO100/inp_c1_rate),0))*AZ33-AY33</f>
        <v>2639200.5628080098</v>
      </c>
      <c r="BJ100" s="10">
        <f>AD34+(IFERROR((AN100/inp_c1_util)*(AO100/inp_c1_rate),0))*AZ34-AY34</f>
        <v>2921757.2684360901</v>
      </c>
      <c r="BK100" s="10">
        <f>AD35+(IFERROR((AN100/inp_c1_util)*(AO100/inp_c1_rate),0))*AZ35-AY35</f>
        <v>3215142.5411204509</v>
      </c>
      <c r="BL100" s="10">
        <f>AD36+(IFERROR((AN100/inp_c1_util)*(AO100/inp_c1_rate),0))*AZ36-AY36</f>
        <v>3519464.6665316559</v>
      </c>
      <c r="BM100" s="10">
        <f>AD37+(IFERROR((AN100/inp_c1_util)*(AO100/inp_c1_rate),0))*AZ37-AY37</f>
        <v>3834833.0131969722</v>
      </c>
      <c r="BN100" s="10">
        <f>AD38+(IFERROR((AN100/inp_c1_util)*(AO100/inp_c1_rate),0))*AZ38-AY38</f>
        <v>4161358.0433289418</v>
      </c>
      <c r="BO100" s="10">
        <f>AD39+(IFERROR((AN100/inp_c1_util)*(AO100/inp_c1_rate),0))*AZ39-AY39</f>
        <v>4499151.3237622315</v>
      </c>
      <c r="BP100" s="10">
        <f>AD40+(IFERROR((AN100/inp_c1_util)*(AO100/inp_c1_rate),0))*AZ40-AY40</f>
        <v>4848325.5369998543</v>
      </c>
      <c r="BQ100" s="10">
        <f>AD41+(IFERROR((AN100/inp_c1_util)*(AO100/inp_c1_rate),0))*AZ41-AY41</f>
        <v>5208994.492369853</v>
      </c>
      <c r="BR100" s="10">
        <f>AD42+(IFERROR((AN100/inp_c1_util)*(AO100/inp_c1_rate),0))*AZ42-AY42</f>
        <v>5581273.137293552</v>
      </c>
      <c r="BS100" s="10">
        <f>AD43+(IFERROR((AN100/inp_c1_util)*(AO100/inp_c1_rate),0))*AZ43-AY43</f>
        <v>5965277.5686664879</v>
      </c>
      <c r="BT100" s="10">
        <f>AD44+(IFERROR((AN100/inp_c1_util)*(AO100/inp_c1_rate),0))*AZ44-AY44</f>
        <v>6361125.0443531536</v>
      </c>
      <c r="BU100" s="10">
        <f>AD45+(IFERROR((AN100/inp_c1_util)*(AO100/inp_c1_rate),0))*AZ45-AY45</f>
        <v>6768933.9947966849</v>
      </c>
      <c r="BV100" s="10">
        <f>AD46+(IFERROR((AN100/inp_c1_util)*(AO100/inp_c1_rate),0))*AZ46-AY46</f>
        <v>7188824.034744652</v>
      </c>
      <c r="BW100" s="10">
        <f>AD47+(IFERROR((AN100/inp_c1_util)*(AO100/inp_c1_rate),0))*AZ47-AY47</f>
        <v>7620915.9750920981</v>
      </c>
      <c r="BX100" s="10">
        <f>AD48+(IFERROR((AN100/inp_c1_util)*(AO100/inp_c1_rate),0))*AZ48-AY48</f>
        <v>8065331.834843019</v>
      </c>
      <c r="BY100" s="10">
        <f>AD49+(IFERROR((AN100/inp_c1_util)*(AO100/inp_c1_rate),0))*AZ49-AY49</f>
        <v>8522194.8531914502</v>
      </c>
      <c r="BZ100" s="2"/>
      <c r="CA100" s="2"/>
      <c r="CB100" s="18">
        <f>IF(AND((IFERROR((AN100/sel_util)*(AO100/sel_rate),0))*AZ26-AY26&gt;=0,1&gt;=sel_start_m),1,9999)</f>
        <v>9999</v>
      </c>
      <c r="CC100" s="18">
        <f>IF(AND((IFERROR((AN100/sel_util)*(AO100/sel_rate),0))*AZ27-AY27&gt;=0,2&gt;=sel_start_m),2,9999)</f>
        <v>9999</v>
      </c>
      <c r="CD100" s="18">
        <f>IF(AND((IFERROR((AN100/sel_util)*(AO100/sel_rate),0))*AZ28-AY28&gt;=0,3&gt;=sel_start_m),3,9999)</f>
        <v>9999</v>
      </c>
      <c r="CE100" s="18">
        <f>IF(AND((IFERROR((AN100/sel_util)*(AO100/sel_rate),0))*AZ29-AY29&gt;=0,4&gt;=sel_start_m),4,9999)</f>
        <v>9999</v>
      </c>
      <c r="CF100" s="18">
        <f>IF(AND((IFERROR((AN100/sel_util)*(AO100/sel_rate),0))*AZ30-AY30&gt;=0,5&gt;=sel_start_m),5,9999)</f>
        <v>9999</v>
      </c>
      <c r="CG100" s="18">
        <f>IF(AND((IFERROR((AN100/sel_util)*(AO100/sel_rate),0))*AZ31-AY31&gt;=0,6&gt;=sel_start_m),6,9999)</f>
        <v>9999</v>
      </c>
      <c r="CH100" s="18">
        <f>IF(AND((IFERROR((AN100/sel_util)*(AO100/sel_rate),0))*AZ32-AY32&gt;=0,7&gt;=sel_start_m),7,9999)</f>
        <v>9999</v>
      </c>
      <c r="CI100" s="18">
        <f>IF(AND((IFERROR((AN100/sel_util)*(AO100/sel_rate),0))*AZ33-AY33&gt;=0,8&gt;=sel_start_m),8,9999)</f>
        <v>9999</v>
      </c>
      <c r="CJ100" s="18">
        <f>IF(AND((IFERROR((AN100/sel_util)*(AO100/sel_rate),0))*AZ34-AY34&gt;=0,9&gt;=sel_start_m),9,9999)</f>
        <v>9999</v>
      </c>
      <c r="CK100" s="18">
        <f>IF(AND((IFERROR((AN100/sel_util)*(AO100/sel_rate),0))*AZ35-AY35&gt;=0,10&gt;=sel_start_m),10,9999)</f>
        <v>9999</v>
      </c>
      <c r="CL100" s="18">
        <f>IF(AND((IFERROR((AN100/sel_util)*(AO100/sel_rate),0))*AZ36-AY36&gt;=0,11&gt;=sel_start_m),11,9999)</f>
        <v>9999</v>
      </c>
      <c r="CM100" s="18">
        <f>IF(AND((IFERROR((AN100/sel_util)*(AO100/sel_rate),0))*AZ37-AY37&gt;=0,12&gt;=sel_start_m),12,9999)</f>
        <v>9999</v>
      </c>
      <c r="CN100" s="18">
        <f>IF(AND((IFERROR((AN100/sel_util)*(AO100/sel_rate),0))*AZ38-AY38&gt;=0,13&gt;=sel_start_m),13,9999)</f>
        <v>9999</v>
      </c>
      <c r="CO100" s="18">
        <f>IF(AND((IFERROR((AN100/sel_util)*(AO100/sel_rate),0))*AZ39-AY39&gt;=0,14&gt;=sel_start_m),14,9999)</f>
        <v>9999</v>
      </c>
      <c r="CP100" s="18">
        <f>IF(AND((IFERROR((AN100/sel_util)*(AO100/sel_rate),0))*AZ40-AY40&gt;=0,15&gt;=sel_start_m),15,9999)</f>
        <v>9999</v>
      </c>
      <c r="CQ100" s="18">
        <f>IF(AND((IFERROR((AN100/sel_util)*(AO100/sel_rate),0))*AZ41-AY41&gt;=0,16&gt;=sel_start_m),16,9999)</f>
        <v>9999</v>
      </c>
      <c r="CR100" s="18">
        <f>IF(AND((IFERROR((AN100/sel_util)*(AO100/sel_rate),0))*AZ42-AY42&gt;=0,17&gt;=sel_start_m),17,9999)</f>
        <v>9999</v>
      </c>
      <c r="CS100" s="18">
        <f>IF(AND((IFERROR((AN100/sel_util)*(AO100/sel_rate),0))*AZ43-AY43&gt;=0,18&gt;=sel_start_m),18,9999)</f>
        <v>9999</v>
      </c>
      <c r="CT100" s="18">
        <f>IF(AND((IFERROR((AN100/sel_util)*(AO100/sel_rate),0))*AZ44-AY44&gt;=0,19&gt;=sel_start_m),19,9999)</f>
        <v>9999</v>
      </c>
      <c r="CU100" s="18">
        <f>IF(AND((IFERROR((AN100/sel_util)*(AO100/sel_rate),0))*AZ45-AY45&gt;=0,20&gt;=sel_start_m),20,9999)</f>
        <v>9999</v>
      </c>
      <c r="CV100" s="18">
        <f>IF(AND((IFERROR((AN100/sel_util)*(AO100/sel_rate),0))*AZ46-AY46&gt;=0,21&gt;=sel_start_m),21,9999)</f>
        <v>9999</v>
      </c>
      <c r="CW100" s="18">
        <f>IF(AND((IFERROR((AN100/sel_util)*(AO100/sel_rate),0))*AZ47-AY47&gt;=0,22&gt;=sel_start_m),22,9999)</f>
        <v>9999</v>
      </c>
      <c r="CX100" s="18">
        <f>IF(AND((IFERROR((AN100/sel_util)*(AO100/sel_rate),0))*AZ48-AY48&gt;=0,23&gt;=sel_start_m),23,9999)</f>
        <v>9999</v>
      </c>
      <c r="CY100" s="18">
        <f>IF(AND((IFERROR((AN100/sel_util)*(AO100/sel_rate),0))*AZ49-AY49&gt;=0,24&gt;=sel_start_m),24,9999)</f>
        <v>9999</v>
      </c>
      <c r="CZ100" s="2"/>
      <c r="DA100" s="2"/>
      <c r="DB100" s="2"/>
      <c r="DC100" s="2"/>
      <c r="DD100" s="2"/>
      <c r="DE100" s="2"/>
      <c r="DF100" s="2"/>
      <c r="DG100" s="2"/>
      <c r="DH100" s="2"/>
      <c r="DI100" s="2"/>
      <c r="DJ100" s="2"/>
      <c r="DK100" s="2"/>
      <c r="DL100" s="2"/>
      <c r="DM100" s="2"/>
    </row>
    <row r="101" spans="1:117" ht="20" customHeight="1" x14ac:dyDescent="0.2">
      <c r="A101" s="1"/>
      <c r="B101" s="1"/>
      <c r="C101" s="1"/>
      <c r="D101" s="1"/>
      <c r="E101" s="1"/>
      <c r="F101" s="1"/>
      <c r="G101" s="1"/>
      <c r="H101" s="1"/>
      <c r="I101" s="1"/>
      <c r="J101" s="1"/>
      <c r="K101" s="1"/>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9">
        <v>0.8</v>
      </c>
      <c r="AO101" s="10">
        <v>175</v>
      </c>
      <c r="AP101" s="18">
        <f t="shared" si="184"/>
        <v>23</v>
      </c>
      <c r="AQ101" s="10">
        <f t="shared" si="185"/>
        <v>3785.0000000000582</v>
      </c>
      <c r="AR101" s="10">
        <f t="shared" si="186"/>
        <v>3785.0000000000582</v>
      </c>
      <c r="AS101" s="2"/>
      <c r="AT101" s="2"/>
      <c r="AU101" s="2"/>
      <c r="AV101" s="2"/>
      <c r="AW101" s="2"/>
      <c r="AX101" s="2"/>
      <c r="AY101" s="2"/>
      <c r="AZ101" s="2"/>
      <c r="BA101" s="2"/>
      <c r="BB101" s="10">
        <f>AD26+(IFERROR((AN101/inp_c1_util)*(AO101/inp_c1_rate),0))*AZ26-AY26</f>
        <v>984100</v>
      </c>
      <c r="BC101" s="10">
        <f>AD27+(IFERROR((AN101/inp_c1_util)*(AO101/inp_c1_rate),0))*AZ27-AY27</f>
        <v>1178200</v>
      </c>
      <c r="BD101" s="10">
        <f>AD28+(IFERROR((AN101/inp_c1_util)*(AO101/inp_c1_rate),0))*AZ28-AY28</f>
        <v>1390590</v>
      </c>
      <c r="BE101" s="10">
        <f>AD29+(IFERROR((AN101/inp_c1_util)*(AO101/inp_c1_rate),0))*AZ29-AY29</f>
        <v>1618186</v>
      </c>
      <c r="BF101" s="10">
        <f>AD30+(IFERROR((AN101/inp_c1_util)*(AO101/inp_c1_rate),0))*AZ30-AY30</f>
        <v>1861090.0099999998</v>
      </c>
      <c r="BG101" s="10">
        <f>AD31+(IFERROR((AN101/inp_c1_util)*(AO101/inp_c1_rate),0))*AZ31-AY31</f>
        <v>2114400.0600999994</v>
      </c>
      <c r="BH101" s="10">
        <f>AD32+(IFERROR((AN101/inp_c1_util)*(AO101/inp_c1_rate),0))*AZ32-AY32</f>
        <v>2378220.2107009999</v>
      </c>
      <c r="BI101" s="10">
        <f>AD33+(IFERROR((AN101/inp_c1_util)*(AO101/inp_c1_rate),0))*AZ33-AY33</f>
        <v>2652655.5628080098</v>
      </c>
      <c r="BJ101" s="10">
        <f>AD34+(IFERROR((AN101/inp_c1_util)*(AO101/inp_c1_rate),0))*AZ34-AY34</f>
        <v>2937812.2684360901</v>
      </c>
      <c r="BK101" s="10">
        <f>AD35+(IFERROR((AN101/inp_c1_util)*(AO101/inp_c1_rate),0))*AZ35-AY35</f>
        <v>3233797.5411204509</v>
      </c>
      <c r="BL101" s="10">
        <f>AD36+(IFERROR((AN101/inp_c1_util)*(AO101/inp_c1_rate),0))*AZ36-AY36</f>
        <v>3540719.6665316559</v>
      </c>
      <c r="BM101" s="10">
        <f>AD37+(IFERROR((AN101/inp_c1_util)*(AO101/inp_c1_rate),0))*AZ37-AY37</f>
        <v>3858688.0131969722</v>
      </c>
      <c r="BN101" s="10">
        <f>AD38+(IFERROR((AN101/inp_c1_util)*(AO101/inp_c1_rate),0))*AZ38-AY38</f>
        <v>4187813.0433289418</v>
      </c>
      <c r="BO101" s="10">
        <f>AD39+(IFERROR((AN101/inp_c1_util)*(AO101/inp_c1_rate),0))*AZ39-AY39</f>
        <v>4528206.3237622315</v>
      </c>
      <c r="BP101" s="10">
        <f>AD40+(IFERROR((AN101/inp_c1_util)*(AO101/inp_c1_rate),0))*AZ40-AY40</f>
        <v>4879980.5369998543</v>
      </c>
      <c r="BQ101" s="10">
        <f>AD41+(IFERROR((AN101/inp_c1_util)*(AO101/inp_c1_rate),0))*AZ41-AY41</f>
        <v>5243249.492369853</v>
      </c>
      <c r="BR101" s="10">
        <f>AD42+(IFERROR((AN101/inp_c1_util)*(AO101/inp_c1_rate),0))*AZ42-AY42</f>
        <v>5618128.137293552</v>
      </c>
      <c r="BS101" s="10">
        <f>AD43+(IFERROR((AN101/inp_c1_util)*(AO101/inp_c1_rate),0))*AZ43-AY43</f>
        <v>6004732.5686664879</v>
      </c>
      <c r="BT101" s="10">
        <f>AD44+(IFERROR((AN101/inp_c1_util)*(AO101/inp_c1_rate),0))*AZ44-AY44</f>
        <v>6403180.0443531536</v>
      </c>
      <c r="BU101" s="10">
        <f>AD45+(IFERROR((AN101/inp_c1_util)*(AO101/inp_c1_rate),0))*AZ45-AY45</f>
        <v>6813588.9947966849</v>
      </c>
      <c r="BV101" s="10">
        <f>AD46+(IFERROR((AN101/inp_c1_util)*(AO101/inp_c1_rate),0))*AZ46-AY46</f>
        <v>7236079.034744652</v>
      </c>
      <c r="BW101" s="10">
        <f>AD47+(IFERROR((AN101/inp_c1_util)*(AO101/inp_c1_rate),0))*AZ47-AY47</f>
        <v>7670770.9750920981</v>
      </c>
      <c r="BX101" s="10">
        <f>AD48+(IFERROR((AN101/inp_c1_util)*(AO101/inp_c1_rate),0))*AZ48-AY48</f>
        <v>8117786.834843019</v>
      </c>
      <c r="BY101" s="10">
        <f>AD49+(IFERROR((AN101/inp_c1_util)*(AO101/inp_c1_rate),0))*AZ49-AY49</f>
        <v>8577249.8531914502</v>
      </c>
      <c r="BZ101" s="2"/>
      <c r="CA101" s="2"/>
      <c r="CB101" s="18">
        <f>IF(AND((IFERROR((AN101/sel_util)*(AO101/sel_rate),0))*AZ26-AY26&gt;=0,1&gt;=sel_start_m),1,9999)</f>
        <v>9999</v>
      </c>
      <c r="CC101" s="18">
        <f>IF(AND((IFERROR((AN101/sel_util)*(AO101/sel_rate),0))*AZ27-AY27&gt;=0,2&gt;=sel_start_m),2,9999)</f>
        <v>9999</v>
      </c>
      <c r="CD101" s="18">
        <f>IF(AND((IFERROR((AN101/sel_util)*(AO101/sel_rate),0))*AZ28-AY28&gt;=0,3&gt;=sel_start_m),3,9999)</f>
        <v>9999</v>
      </c>
      <c r="CE101" s="18">
        <f>IF(AND((IFERROR((AN101/sel_util)*(AO101/sel_rate),0))*AZ29-AY29&gt;=0,4&gt;=sel_start_m),4,9999)</f>
        <v>9999</v>
      </c>
      <c r="CF101" s="18">
        <f>IF(AND((IFERROR((AN101/sel_util)*(AO101/sel_rate),0))*AZ30-AY30&gt;=0,5&gt;=sel_start_m),5,9999)</f>
        <v>9999</v>
      </c>
      <c r="CG101" s="18">
        <f>IF(AND((IFERROR((AN101/sel_util)*(AO101/sel_rate),0))*AZ31-AY31&gt;=0,6&gt;=sel_start_m),6,9999)</f>
        <v>9999</v>
      </c>
      <c r="CH101" s="18">
        <f>IF(AND((IFERROR((AN101/sel_util)*(AO101/sel_rate),0))*AZ32-AY32&gt;=0,7&gt;=sel_start_m),7,9999)</f>
        <v>9999</v>
      </c>
      <c r="CI101" s="18">
        <f>IF(AND((IFERROR((AN101/sel_util)*(AO101/sel_rate),0))*AZ33-AY33&gt;=0,8&gt;=sel_start_m),8,9999)</f>
        <v>9999</v>
      </c>
      <c r="CJ101" s="18">
        <f>IF(AND((IFERROR((AN101/sel_util)*(AO101/sel_rate),0))*AZ34-AY34&gt;=0,9&gt;=sel_start_m),9,9999)</f>
        <v>9999</v>
      </c>
      <c r="CK101" s="18">
        <f>IF(AND((IFERROR((AN101/sel_util)*(AO101/sel_rate),0))*AZ35-AY35&gt;=0,10&gt;=sel_start_m),10,9999)</f>
        <v>9999</v>
      </c>
      <c r="CL101" s="18">
        <f>IF(AND((IFERROR((AN101/sel_util)*(AO101/sel_rate),0))*AZ36-AY36&gt;=0,11&gt;=sel_start_m),11,9999)</f>
        <v>9999</v>
      </c>
      <c r="CM101" s="18">
        <f>IF(AND((IFERROR((AN101/sel_util)*(AO101/sel_rate),0))*AZ37-AY37&gt;=0,12&gt;=sel_start_m),12,9999)</f>
        <v>9999</v>
      </c>
      <c r="CN101" s="18">
        <f>IF(AND((IFERROR((AN101/sel_util)*(AO101/sel_rate),0))*AZ38-AY38&gt;=0,13&gt;=sel_start_m),13,9999)</f>
        <v>9999</v>
      </c>
      <c r="CO101" s="18">
        <f>IF(AND((IFERROR((AN101/sel_util)*(AO101/sel_rate),0))*AZ39-AY39&gt;=0,14&gt;=sel_start_m),14,9999)</f>
        <v>9999</v>
      </c>
      <c r="CP101" s="18">
        <f>IF(AND((IFERROR((AN101/sel_util)*(AO101/sel_rate),0))*AZ40-AY40&gt;=0,15&gt;=sel_start_m),15,9999)</f>
        <v>9999</v>
      </c>
      <c r="CQ101" s="18">
        <f>IF(AND((IFERROR((AN101/sel_util)*(AO101/sel_rate),0))*AZ41-AY41&gt;=0,16&gt;=sel_start_m),16,9999)</f>
        <v>9999</v>
      </c>
      <c r="CR101" s="18">
        <f>IF(AND((IFERROR((AN101/sel_util)*(AO101/sel_rate),0))*AZ42-AY42&gt;=0,17&gt;=sel_start_m),17,9999)</f>
        <v>9999</v>
      </c>
      <c r="CS101" s="18">
        <f>IF(AND((IFERROR((AN101/sel_util)*(AO101/sel_rate),0))*AZ43-AY43&gt;=0,18&gt;=sel_start_m),18,9999)</f>
        <v>9999</v>
      </c>
      <c r="CT101" s="18">
        <f>IF(AND((IFERROR((AN101/sel_util)*(AO101/sel_rate),0))*AZ44-AY44&gt;=0,19&gt;=sel_start_m),19,9999)</f>
        <v>9999</v>
      </c>
      <c r="CU101" s="18">
        <f>IF(AND((IFERROR((AN101/sel_util)*(AO101/sel_rate),0))*AZ45-AY45&gt;=0,20&gt;=sel_start_m),20,9999)</f>
        <v>9999</v>
      </c>
      <c r="CV101" s="18">
        <f>IF(AND((IFERROR((AN101/sel_util)*(AO101/sel_rate),0))*AZ46-AY46&gt;=0,21&gt;=sel_start_m),21,9999)</f>
        <v>9999</v>
      </c>
      <c r="CW101" s="18">
        <f>IF(AND((IFERROR((AN101/sel_util)*(AO101/sel_rate),0))*AZ47-AY47&gt;=0,22&gt;=sel_start_m),22,9999)</f>
        <v>9999</v>
      </c>
      <c r="CX101" s="18">
        <f>IF(AND((IFERROR((AN101/sel_util)*(AO101/sel_rate),0))*AZ48-AY48&gt;=0,23&gt;=sel_start_m),23,9999)</f>
        <v>23</v>
      </c>
      <c r="CY101" s="18">
        <f>IF(AND((IFERROR((AN101/sel_util)*(AO101/sel_rate),0))*AZ49-AY49&gt;=0,24&gt;=sel_start_m),24,9999)</f>
        <v>24</v>
      </c>
      <c r="CZ101" s="2"/>
      <c r="DA101" s="2"/>
      <c r="DB101" s="2"/>
      <c r="DC101" s="2"/>
      <c r="DD101" s="2"/>
      <c r="DE101" s="2"/>
      <c r="DF101" s="2"/>
      <c r="DG101" s="2"/>
      <c r="DH101" s="2"/>
      <c r="DI101" s="2"/>
      <c r="DJ101" s="2"/>
      <c r="DK101" s="2"/>
      <c r="DL101" s="2"/>
      <c r="DM101" s="2"/>
    </row>
    <row r="102" spans="1:117" ht="20" customHeight="1" x14ac:dyDescent="0.2">
      <c r="A102" s="1"/>
      <c r="B102" s="5" t="s">
        <v>143</v>
      </c>
      <c r="C102" s="1"/>
      <c r="D102" s="1"/>
      <c r="E102" s="1"/>
      <c r="F102" s="1"/>
      <c r="G102" s="1"/>
      <c r="H102" s="1"/>
      <c r="I102" s="3" t="s">
        <v>144</v>
      </c>
      <c r="J102" s="34" t="str">
        <f>IF(COUNTIF(J104:J131,"FAIL")=0,"PASS","FAIL ("&amp;COUNTIF(J104:J131,"FAIL")&amp;")")</f>
        <v>PASS</v>
      </c>
      <c r="K102" s="1"/>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9">
        <v>0.8</v>
      </c>
      <c r="AO102" s="10">
        <v>200</v>
      </c>
      <c r="AP102" s="18">
        <f t="shared" si="184"/>
        <v>12</v>
      </c>
      <c r="AQ102" s="10">
        <f t="shared" si="185"/>
        <v>58840</v>
      </c>
      <c r="AR102" s="10">
        <f t="shared" si="186"/>
        <v>58840</v>
      </c>
      <c r="AS102" s="2"/>
      <c r="AT102" s="2"/>
      <c r="AU102" s="2"/>
      <c r="AV102" s="2"/>
      <c r="AW102" s="2"/>
      <c r="AX102" s="2"/>
      <c r="AY102" s="2"/>
      <c r="AZ102" s="2"/>
      <c r="BA102" s="2"/>
      <c r="BB102" s="10">
        <f>AD26+(IFERROR((AN102/inp_c1_util)*(AO102/inp_c1_rate),0))*AZ26-AY26</f>
        <v>984100</v>
      </c>
      <c r="BC102" s="10">
        <f>AD27+(IFERROR((AN102/inp_c1_util)*(AO102/inp_c1_rate),0))*AZ27-AY27</f>
        <v>1178200</v>
      </c>
      <c r="BD102" s="10">
        <f>AD28+(IFERROR((AN102/inp_c1_util)*(AO102/inp_c1_rate),0))*AZ28-AY28</f>
        <v>1391760</v>
      </c>
      <c r="BE102" s="10">
        <f>AD29+(IFERROR((AN102/inp_c1_util)*(AO102/inp_c1_rate),0))*AZ29-AY29</f>
        <v>1621241</v>
      </c>
      <c r="BF102" s="10">
        <f>AD30+(IFERROR((AN102/inp_c1_util)*(AO102/inp_c1_rate),0))*AZ30-AY30</f>
        <v>1866745.0099999998</v>
      </c>
      <c r="BG102" s="10">
        <f>AD31+(IFERROR((AN102/inp_c1_util)*(AO102/inp_c1_rate),0))*AZ31-AY31</f>
        <v>2122655.0600999994</v>
      </c>
      <c r="BH102" s="10">
        <f>AD32+(IFERROR((AN102/inp_c1_util)*(AO102/inp_c1_rate),0))*AZ32-AY32</f>
        <v>2389075.2107009999</v>
      </c>
      <c r="BI102" s="10">
        <f>AD33+(IFERROR((AN102/inp_c1_util)*(AO102/inp_c1_rate),0))*AZ33-AY33</f>
        <v>2666110.5628080098</v>
      </c>
      <c r="BJ102" s="10">
        <f>AD34+(IFERROR((AN102/inp_c1_util)*(AO102/inp_c1_rate),0))*AZ34-AY34</f>
        <v>2953867.2684360901</v>
      </c>
      <c r="BK102" s="10">
        <f>AD35+(IFERROR((AN102/inp_c1_util)*(AO102/inp_c1_rate),0))*AZ35-AY35</f>
        <v>3252452.5411204509</v>
      </c>
      <c r="BL102" s="10">
        <f>AD36+(IFERROR((AN102/inp_c1_util)*(AO102/inp_c1_rate),0))*AZ36-AY36</f>
        <v>3561974.6665316559</v>
      </c>
      <c r="BM102" s="10">
        <f>AD37+(IFERROR((AN102/inp_c1_util)*(AO102/inp_c1_rate),0))*AZ37-AY37</f>
        <v>3882543.0131969722</v>
      </c>
      <c r="BN102" s="10">
        <f>AD38+(IFERROR((AN102/inp_c1_util)*(AO102/inp_c1_rate),0))*AZ38-AY38</f>
        <v>4214268.0433289418</v>
      </c>
      <c r="BO102" s="10">
        <f>AD39+(IFERROR((AN102/inp_c1_util)*(AO102/inp_c1_rate),0))*AZ39-AY39</f>
        <v>4557261.3237622315</v>
      </c>
      <c r="BP102" s="10">
        <f>AD40+(IFERROR((AN102/inp_c1_util)*(AO102/inp_c1_rate),0))*AZ40-AY40</f>
        <v>4911635.5369998543</v>
      </c>
      <c r="BQ102" s="10">
        <f>AD41+(IFERROR((AN102/inp_c1_util)*(AO102/inp_c1_rate),0))*AZ41-AY41</f>
        <v>5277504.492369853</v>
      </c>
      <c r="BR102" s="10">
        <f>AD42+(IFERROR((AN102/inp_c1_util)*(AO102/inp_c1_rate),0))*AZ42-AY42</f>
        <v>5654983.137293552</v>
      </c>
      <c r="BS102" s="10">
        <f>AD43+(IFERROR((AN102/inp_c1_util)*(AO102/inp_c1_rate),0))*AZ43-AY43</f>
        <v>6044187.5686664879</v>
      </c>
      <c r="BT102" s="10">
        <f>AD44+(IFERROR((AN102/inp_c1_util)*(AO102/inp_c1_rate),0))*AZ44-AY44</f>
        <v>6445235.0443531536</v>
      </c>
      <c r="BU102" s="10">
        <f>AD45+(IFERROR((AN102/inp_c1_util)*(AO102/inp_c1_rate),0))*AZ45-AY45</f>
        <v>6858243.9947966849</v>
      </c>
      <c r="BV102" s="10">
        <f>AD46+(IFERROR((AN102/inp_c1_util)*(AO102/inp_c1_rate),0))*AZ46-AY46</f>
        <v>7283334.034744652</v>
      </c>
      <c r="BW102" s="10">
        <f>AD47+(IFERROR((AN102/inp_c1_util)*(AO102/inp_c1_rate),0))*AZ47-AY47</f>
        <v>7720625.9750920981</v>
      </c>
      <c r="BX102" s="10">
        <f>AD48+(IFERROR((AN102/inp_c1_util)*(AO102/inp_c1_rate),0))*AZ48-AY48</f>
        <v>8170241.834843019</v>
      </c>
      <c r="BY102" s="10">
        <f>AD49+(IFERROR((AN102/inp_c1_util)*(AO102/inp_c1_rate),0))*AZ49-AY49</f>
        <v>8632304.8531914502</v>
      </c>
      <c r="BZ102" s="2"/>
      <c r="CA102" s="2"/>
      <c r="CB102" s="18">
        <f>IF(AND((IFERROR((AN102/sel_util)*(AO102/sel_rate),0))*AZ26-AY26&gt;=0,1&gt;=sel_start_m),1,9999)</f>
        <v>9999</v>
      </c>
      <c r="CC102" s="18">
        <f>IF(AND((IFERROR((AN102/sel_util)*(AO102/sel_rate),0))*AZ27-AY27&gt;=0,2&gt;=sel_start_m),2,9999)</f>
        <v>9999</v>
      </c>
      <c r="CD102" s="18">
        <f>IF(AND((IFERROR((AN102/sel_util)*(AO102/sel_rate),0))*AZ28-AY28&gt;=0,3&gt;=sel_start_m),3,9999)</f>
        <v>9999</v>
      </c>
      <c r="CE102" s="18">
        <f>IF(AND((IFERROR((AN102/sel_util)*(AO102/sel_rate),0))*AZ29-AY29&gt;=0,4&gt;=sel_start_m),4,9999)</f>
        <v>9999</v>
      </c>
      <c r="CF102" s="18">
        <f>IF(AND((IFERROR((AN102/sel_util)*(AO102/sel_rate),0))*AZ30-AY30&gt;=0,5&gt;=sel_start_m),5,9999)</f>
        <v>9999</v>
      </c>
      <c r="CG102" s="18">
        <f>IF(AND((IFERROR((AN102/sel_util)*(AO102/sel_rate),0))*AZ31-AY31&gt;=0,6&gt;=sel_start_m),6,9999)</f>
        <v>9999</v>
      </c>
      <c r="CH102" s="18">
        <f>IF(AND((IFERROR((AN102/sel_util)*(AO102/sel_rate),0))*AZ32-AY32&gt;=0,7&gt;=sel_start_m),7,9999)</f>
        <v>9999</v>
      </c>
      <c r="CI102" s="18">
        <f>IF(AND((IFERROR((AN102/sel_util)*(AO102/sel_rate),0))*AZ33-AY33&gt;=0,8&gt;=sel_start_m),8,9999)</f>
        <v>9999</v>
      </c>
      <c r="CJ102" s="18">
        <f>IF(AND((IFERROR((AN102/sel_util)*(AO102/sel_rate),0))*AZ34-AY34&gt;=0,9&gt;=sel_start_m),9,9999)</f>
        <v>9999</v>
      </c>
      <c r="CK102" s="18">
        <f>IF(AND((IFERROR((AN102/sel_util)*(AO102/sel_rate),0))*AZ35-AY35&gt;=0,10&gt;=sel_start_m),10,9999)</f>
        <v>9999</v>
      </c>
      <c r="CL102" s="18">
        <f>IF(AND((IFERROR((AN102/sel_util)*(AO102/sel_rate),0))*AZ36-AY36&gt;=0,11&gt;=sel_start_m),11,9999)</f>
        <v>9999</v>
      </c>
      <c r="CM102" s="18">
        <f>IF(AND((IFERROR((AN102/sel_util)*(AO102/sel_rate),0))*AZ37-AY37&gt;=0,12&gt;=sel_start_m),12,9999)</f>
        <v>12</v>
      </c>
      <c r="CN102" s="18">
        <f>IF(AND((IFERROR((AN102/sel_util)*(AO102/sel_rate),0))*AZ38-AY38&gt;=0,13&gt;=sel_start_m),13,9999)</f>
        <v>13</v>
      </c>
      <c r="CO102" s="18">
        <f>IF(AND((IFERROR((AN102/sel_util)*(AO102/sel_rate),0))*AZ39-AY39&gt;=0,14&gt;=sel_start_m),14,9999)</f>
        <v>14</v>
      </c>
      <c r="CP102" s="18">
        <f>IF(AND((IFERROR((AN102/sel_util)*(AO102/sel_rate),0))*AZ40-AY40&gt;=0,15&gt;=sel_start_m),15,9999)</f>
        <v>15</v>
      </c>
      <c r="CQ102" s="18">
        <f>IF(AND((IFERROR((AN102/sel_util)*(AO102/sel_rate),0))*AZ41-AY41&gt;=0,16&gt;=sel_start_m),16,9999)</f>
        <v>16</v>
      </c>
      <c r="CR102" s="18">
        <f>IF(AND((IFERROR((AN102/sel_util)*(AO102/sel_rate),0))*AZ42-AY42&gt;=0,17&gt;=sel_start_m),17,9999)</f>
        <v>17</v>
      </c>
      <c r="CS102" s="18">
        <f>IF(AND((IFERROR((AN102/sel_util)*(AO102/sel_rate),0))*AZ43-AY43&gt;=0,18&gt;=sel_start_m),18,9999)</f>
        <v>18</v>
      </c>
      <c r="CT102" s="18">
        <f>IF(AND((IFERROR((AN102/sel_util)*(AO102/sel_rate),0))*AZ44-AY44&gt;=0,19&gt;=sel_start_m),19,9999)</f>
        <v>19</v>
      </c>
      <c r="CU102" s="18">
        <f>IF(AND((IFERROR((AN102/sel_util)*(AO102/sel_rate),0))*AZ45-AY45&gt;=0,20&gt;=sel_start_m),20,9999)</f>
        <v>20</v>
      </c>
      <c r="CV102" s="18">
        <f>IF(AND((IFERROR((AN102/sel_util)*(AO102/sel_rate),0))*AZ46-AY46&gt;=0,21&gt;=sel_start_m),21,9999)</f>
        <v>21</v>
      </c>
      <c r="CW102" s="18">
        <f>IF(AND((IFERROR((AN102/sel_util)*(AO102/sel_rate),0))*AZ47-AY47&gt;=0,22&gt;=sel_start_m),22,9999)</f>
        <v>22</v>
      </c>
      <c r="CX102" s="18">
        <f>IF(AND((IFERROR((AN102/sel_util)*(AO102/sel_rate),0))*AZ48-AY48&gt;=0,23&gt;=sel_start_m),23,9999)</f>
        <v>23</v>
      </c>
      <c r="CY102" s="18">
        <f>IF(AND((IFERROR((AN102/sel_util)*(AO102/sel_rate),0))*AZ49-AY49&gt;=0,24&gt;=sel_start_m),24,9999)</f>
        <v>24</v>
      </c>
      <c r="CZ102" s="2"/>
      <c r="DA102" s="2"/>
      <c r="DB102" s="2"/>
      <c r="DC102" s="2"/>
      <c r="DD102" s="2"/>
      <c r="DE102" s="2"/>
      <c r="DF102" s="2"/>
      <c r="DG102" s="2"/>
      <c r="DH102" s="2"/>
      <c r="DI102" s="2"/>
      <c r="DJ102" s="2"/>
      <c r="DK102" s="2"/>
      <c r="DL102" s="2"/>
      <c r="DM102" s="2"/>
    </row>
    <row r="103" spans="1:117" ht="20" customHeight="1" x14ac:dyDescent="0.2">
      <c r="A103" s="1"/>
      <c r="B103" s="6" t="s">
        <v>145</v>
      </c>
      <c r="C103" s="93" t="s">
        <v>146</v>
      </c>
      <c r="D103" s="94"/>
      <c r="E103" s="94"/>
      <c r="F103" s="94"/>
      <c r="G103" s="94"/>
      <c r="H103" s="7" t="s">
        <v>147</v>
      </c>
      <c r="I103" s="7" t="s">
        <v>148</v>
      </c>
      <c r="J103" s="21" t="s">
        <v>149</v>
      </c>
      <c r="K103" s="1"/>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9">
        <v>0.8</v>
      </c>
      <c r="AO103" s="10">
        <v>225</v>
      </c>
      <c r="AP103" s="18">
        <f t="shared" si="184"/>
        <v>9</v>
      </c>
      <c r="AQ103" s="10">
        <f t="shared" si="185"/>
        <v>113895.00000000006</v>
      </c>
      <c r="AR103" s="10">
        <f t="shared" si="186"/>
        <v>113895.00000000006</v>
      </c>
      <c r="AS103" s="2"/>
      <c r="AT103" s="2"/>
      <c r="AU103" s="2"/>
      <c r="AV103" s="2"/>
      <c r="AW103" s="2"/>
      <c r="AX103" s="2"/>
      <c r="AY103" s="2"/>
      <c r="AZ103" s="2"/>
      <c r="BA103" s="2"/>
      <c r="BB103" s="10">
        <f>AD26+(IFERROR((AN103/inp_c1_util)*(AO103/inp_c1_rate),0))*AZ26-AY26</f>
        <v>984100</v>
      </c>
      <c r="BC103" s="10">
        <f>AD27+(IFERROR((AN103/inp_c1_util)*(AO103/inp_c1_rate),0))*AZ27-AY27</f>
        <v>1178200</v>
      </c>
      <c r="BD103" s="10">
        <f>AD28+(IFERROR((AN103/inp_c1_util)*(AO103/inp_c1_rate),0))*AZ28-AY28</f>
        <v>1392930</v>
      </c>
      <c r="BE103" s="10">
        <f>AD29+(IFERROR((AN103/inp_c1_util)*(AO103/inp_c1_rate),0))*AZ29-AY29</f>
        <v>1624296</v>
      </c>
      <c r="BF103" s="10">
        <f>AD30+(IFERROR((AN103/inp_c1_util)*(AO103/inp_c1_rate),0))*AZ30-AY30</f>
        <v>1872400.0099999998</v>
      </c>
      <c r="BG103" s="10">
        <f>AD31+(IFERROR((AN103/inp_c1_util)*(AO103/inp_c1_rate),0))*AZ31-AY31</f>
        <v>2130910.0600999994</v>
      </c>
      <c r="BH103" s="10">
        <f>AD32+(IFERROR((AN103/inp_c1_util)*(AO103/inp_c1_rate),0))*AZ32-AY32</f>
        <v>2399930.2107009999</v>
      </c>
      <c r="BI103" s="10">
        <f>AD33+(IFERROR((AN103/inp_c1_util)*(AO103/inp_c1_rate),0))*AZ33-AY33</f>
        <v>2679565.5628080098</v>
      </c>
      <c r="BJ103" s="10">
        <f>AD34+(IFERROR((AN103/inp_c1_util)*(AO103/inp_c1_rate),0))*AZ34-AY34</f>
        <v>2969922.2684360901</v>
      </c>
      <c r="BK103" s="10">
        <f>AD35+(IFERROR((AN103/inp_c1_util)*(AO103/inp_c1_rate),0))*AZ35-AY35</f>
        <v>3271107.5411204509</v>
      </c>
      <c r="BL103" s="10">
        <f>AD36+(IFERROR((AN103/inp_c1_util)*(AO103/inp_c1_rate),0))*AZ36-AY36</f>
        <v>3583229.6665316559</v>
      </c>
      <c r="BM103" s="10">
        <f>AD37+(IFERROR((AN103/inp_c1_util)*(AO103/inp_c1_rate),0))*AZ37-AY37</f>
        <v>3906398.0131969722</v>
      </c>
      <c r="BN103" s="10">
        <f>AD38+(IFERROR((AN103/inp_c1_util)*(AO103/inp_c1_rate),0))*AZ38-AY38</f>
        <v>4240723.0433289418</v>
      </c>
      <c r="BO103" s="10">
        <f>AD39+(IFERROR((AN103/inp_c1_util)*(AO103/inp_c1_rate),0))*AZ39-AY39</f>
        <v>4586316.3237622315</v>
      </c>
      <c r="BP103" s="10">
        <f>AD40+(IFERROR((AN103/inp_c1_util)*(AO103/inp_c1_rate),0))*AZ40-AY40</f>
        <v>4943290.5369998543</v>
      </c>
      <c r="BQ103" s="10">
        <f>AD41+(IFERROR((AN103/inp_c1_util)*(AO103/inp_c1_rate),0))*AZ41-AY41</f>
        <v>5311759.492369853</v>
      </c>
      <c r="BR103" s="10">
        <f>AD42+(IFERROR((AN103/inp_c1_util)*(AO103/inp_c1_rate),0))*AZ42-AY42</f>
        <v>5691838.137293552</v>
      </c>
      <c r="BS103" s="10">
        <f>AD43+(IFERROR((AN103/inp_c1_util)*(AO103/inp_c1_rate),0))*AZ43-AY43</f>
        <v>6083642.5686664879</v>
      </c>
      <c r="BT103" s="10">
        <f>AD44+(IFERROR((AN103/inp_c1_util)*(AO103/inp_c1_rate),0))*AZ44-AY44</f>
        <v>6487290.0443531536</v>
      </c>
      <c r="BU103" s="10">
        <f>AD45+(IFERROR((AN103/inp_c1_util)*(AO103/inp_c1_rate),0))*AZ45-AY45</f>
        <v>6902898.9947966849</v>
      </c>
      <c r="BV103" s="10">
        <f>AD46+(IFERROR((AN103/inp_c1_util)*(AO103/inp_c1_rate),0))*AZ46-AY46</f>
        <v>7330589.034744652</v>
      </c>
      <c r="BW103" s="10">
        <f>AD47+(IFERROR((AN103/inp_c1_util)*(AO103/inp_c1_rate),0))*AZ47-AY47</f>
        <v>7770480.9750920981</v>
      </c>
      <c r="BX103" s="10">
        <f>AD48+(IFERROR((AN103/inp_c1_util)*(AO103/inp_c1_rate),0))*AZ48-AY48</f>
        <v>8222696.834843019</v>
      </c>
      <c r="BY103" s="10">
        <f>AD49+(IFERROR((AN103/inp_c1_util)*(AO103/inp_c1_rate),0))*AZ49-AY49</f>
        <v>8687359.8531914502</v>
      </c>
      <c r="BZ103" s="2"/>
      <c r="CA103" s="2"/>
      <c r="CB103" s="18">
        <f>IF(AND((IFERROR((AN103/sel_util)*(AO103/sel_rate),0))*AZ26-AY26&gt;=0,1&gt;=sel_start_m),1,9999)</f>
        <v>9999</v>
      </c>
      <c r="CC103" s="18">
        <f>IF(AND((IFERROR((AN103/sel_util)*(AO103/sel_rate),0))*AZ27-AY27&gt;=0,2&gt;=sel_start_m),2,9999)</f>
        <v>9999</v>
      </c>
      <c r="CD103" s="18">
        <f>IF(AND((IFERROR((AN103/sel_util)*(AO103/sel_rate),0))*AZ28-AY28&gt;=0,3&gt;=sel_start_m),3,9999)</f>
        <v>9999</v>
      </c>
      <c r="CE103" s="18">
        <f>IF(AND((IFERROR((AN103/sel_util)*(AO103/sel_rate),0))*AZ29-AY29&gt;=0,4&gt;=sel_start_m),4,9999)</f>
        <v>9999</v>
      </c>
      <c r="CF103" s="18">
        <f>IF(AND((IFERROR((AN103/sel_util)*(AO103/sel_rate),0))*AZ30-AY30&gt;=0,5&gt;=sel_start_m),5,9999)</f>
        <v>9999</v>
      </c>
      <c r="CG103" s="18">
        <f>IF(AND((IFERROR((AN103/sel_util)*(AO103/sel_rate),0))*AZ31-AY31&gt;=0,6&gt;=sel_start_m),6,9999)</f>
        <v>9999</v>
      </c>
      <c r="CH103" s="18">
        <f>IF(AND((IFERROR((AN103/sel_util)*(AO103/sel_rate),0))*AZ32-AY32&gt;=0,7&gt;=sel_start_m),7,9999)</f>
        <v>9999</v>
      </c>
      <c r="CI103" s="18">
        <f>IF(AND((IFERROR((AN103/sel_util)*(AO103/sel_rate),0))*AZ33-AY33&gt;=0,8&gt;=sel_start_m),8,9999)</f>
        <v>9999</v>
      </c>
      <c r="CJ103" s="18">
        <f>IF(AND((IFERROR((AN103/sel_util)*(AO103/sel_rate),0))*AZ34-AY34&gt;=0,9&gt;=sel_start_m),9,9999)</f>
        <v>9</v>
      </c>
      <c r="CK103" s="18">
        <f>IF(AND((IFERROR((AN103/sel_util)*(AO103/sel_rate),0))*AZ35-AY35&gt;=0,10&gt;=sel_start_m),10,9999)</f>
        <v>10</v>
      </c>
      <c r="CL103" s="18">
        <f>IF(AND((IFERROR((AN103/sel_util)*(AO103/sel_rate),0))*AZ36-AY36&gt;=0,11&gt;=sel_start_m),11,9999)</f>
        <v>11</v>
      </c>
      <c r="CM103" s="18">
        <f>IF(AND((IFERROR((AN103/sel_util)*(AO103/sel_rate),0))*AZ37-AY37&gt;=0,12&gt;=sel_start_m),12,9999)</f>
        <v>12</v>
      </c>
      <c r="CN103" s="18">
        <f>IF(AND((IFERROR((AN103/sel_util)*(AO103/sel_rate),0))*AZ38-AY38&gt;=0,13&gt;=sel_start_m),13,9999)</f>
        <v>13</v>
      </c>
      <c r="CO103" s="18">
        <f>IF(AND((IFERROR((AN103/sel_util)*(AO103/sel_rate),0))*AZ39-AY39&gt;=0,14&gt;=sel_start_m),14,9999)</f>
        <v>14</v>
      </c>
      <c r="CP103" s="18">
        <f>IF(AND((IFERROR((AN103/sel_util)*(AO103/sel_rate),0))*AZ40-AY40&gt;=0,15&gt;=sel_start_m),15,9999)</f>
        <v>15</v>
      </c>
      <c r="CQ103" s="18">
        <f>IF(AND((IFERROR((AN103/sel_util)*(AO103/sel_rate),0))*AZ41-AY41&gt;=0,16&gt;=sel_start_m),16,9999)</f>
        <v>16</v>
      </c>
      <c r="CR103" s="18">
        <f>IF(AND((IFERROR((AN103/sel_util)*(AO103/sel_rate),0))*AZ42-AY42&gt;=0,17&gt;=sel_start_m),17,9999)</f>
        <v>17</v>
      </c>
      <c r="CS103" s="18">
        <f>IF(AND((IFERROR((AN103/sel_util)*(AO103/sel_rate),0))*AZ43-AY43&gt;=0,18&gt;=sel_start_m),18,9999)</f>
        <v>18</v>
      </c>
      <c r="CT103" s="18">
        <f>IF(AND((IFERROR((AN103/sel_util)*(AO103/sel_rate),0))*AZ44-AY44&gt;=0,19&gt;=sel_start_m),19,9999)</f>
        <v>19</v>
      </c>
      <c r="CU103" s="18">
        <f>IF(AND((IFERROR((AN103/sel_util)*(AO103/sel_rate),0))*AZ45-AY45&gt;=0,20&gt;=sel_start_m),20,9999)</f>
        <v>20</v>
      </c>
      <c r="CV103" s="18">
        <f>IF(AND((IFERROR((AN103/sel_util)*(AO103/sel_rate),0))*AZ46-AY46&gt;=0,21&gt;=sel_start_m),21,9999)</f>
        <v>21</v>
      </c>
      <c r="CW103" s="18">
        <f>IF(AND((IFERROR((AN103/sel_util)*(AO103/sel_rate),0))*AZ47-AY47&gt;=0,22&gt;=sel_start_m),22,9999)</f>
        <v>22</v>
      </c>
      <c r="CX103" s="18">
        <f>IF(AND((IFERROR((AN103/sel_util)*(AO103/sel_rate),0))*AZ48-AY48&gt;=0,23&gt;=sel_start_m),23,9999)</f>
        <v>23</v>
      </c>
      <c r="CY103" s="18">
        <f>IF(AND((IFERROR((AN103/sel_util)*(AO103/sel_rate),0))*AZ49-AY49&gt;=0,24&gt;=sel_start_m),24,9999)</f>
        <v>24</v>
      </c>
      <c r="CZ103" s="2"/>
      <c r="DA103" s="2"/>
      <c r="DB103" s="2"/>
      <c r="DC103" s="2"/>
      <c r="DD103" s="2"/>
      <c r="DE103" s="2"/>
      <c r="DF103" s="2"/>
      <c r="DG103" s="2"/>
      <c r="DH103" s="2"/>
      <c r="DI103" s="2"/>
      <c r="DJ103" s="2"/>
      <c r="DK103" s="2"/>
      <c r="DL103" s="2"/>
      <c r="DM103" s="2"/>
    </row>
    <row r="104" spans="1:117" ht="20" customHeight="1" x14ac:dyDescent="0.2">
      <c r="A104" s="1"/>
      <c r="B104" s="35" t="s">
        <v>150</v>
      </c>
      <c r="C104" s="89" t="s">
        <v>151</v>
      </c>
      <c r="D104" s="85"/>
      <c r="E104" s="85"/>
      <c r="F104" s="85"/>
      <c r="G104" s="85"/>
      <c r="H104" s="36">
        <f>SUM(BD26:BD49)</f>
        <v>381600.00000000006</v>
      </c>
      <c r="I104" s="37">
        <f>N54</f>
        <v>381600.00000000006</v>
      </c>
      <c r="J104" s="27" t="str">
        <f t="shared" ref="J104:J121" si="187">IF(ABS(I104-H104)&lt;=1,"PASS","FAIL")</f>
        <v>PASS</v>
      </c>
      <c r="K104" s="1"/>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9">
        <v>0.8</v>
      </c>
      <c r="AO104" s="10">
        <v>250</v>
      </c>
      <c r="AP104" s="18">
        <f t="shared" si="184"/>
        <v>8</v>
      </c>
      <c r="AQ104" s="10">
        <f t="shared" si="185"/>
        <v>168950.00000000006</v>
      </c>
      <c r="AR104" s="10">
        <f t="shared" si="186"/>
        <v>168950.00000000006</v>
      </c>
      <c r="AS104" s="2"/>
      <c r="AT104" s="2"/>
      <c r="AU104" s="2"/>
      <c r="AV104" s="2"/>
      <c r="AW104" s="2"/>
      <c r="AX104" s="2"/>
      <c r="AY104" s="2"/>
      <c r="AZ104" s="2"/>
      <c r="BA104" s="2"/>
      <c r="BB104" s="10">
        <f>AD26+(IFERROR((AN104/inp_c1_util)*(AO104/inp_c1_rate),0))*AZ26-AY26</f>
        <v>984100</v>
      </c>
      <c r="BC104" s="10">
        <f>AD27+(IFERROR((AN104/inp_c1_util)*(AO104/inp_c1_rate),0))*AZ27-AY27</f>
        <v>1178200</v>
      </c>
      <c r="BD104" s="10">
        <f>AD28+(IFERROR((AN104/inp_c1_util)*(AO104/inp_c1_rate),0))*AZ28-AY28</f>
        <v>1394100</v>
      </c>
      <c r="BE104" s="10">
        <f>AD29+(IFERROR((AN104/inp_c1_util)*(AO104/inp_c1_rate),0))*AZ29-AY29</f>
        <v>1627351</v>
      </c>
      <c r="BF104" s="10">
        <f>AD30+(IFERROR((AN104/inp_c1_util)*(AO104/inp_c1_rate),0))*AZ30-AY30</f>
        <v>1878055.0099999998</v>
      </c>
      <c r="BG104" s="10">
        <f>AD31+(IFERROR((AN104/inp_c1_util)*(AO104/inp_c1_rate),0))*AZ31-AY31</f>
        <v>2139165.0600999994</v>
      </c>
      <c r="BH104" s="10">
        <f>AD32+(IFERROR((AN104/inp_c1_util)*(AO104/inp_c1_rate),0))*AZ32-AY32</f>
        <v>2410785.2107009999</v>
      </c>
      <c r="BI104" s="10">
        <f>AD33+(IFERROR((AN104/inp_c1_util)*(AO104/inp_c1_rate),0))*AZ33-AY33</f>
        <v>2693020.5628080098</v>
      </c>
      <c r="BJ104" s="10">
        <f>AD34+(IFERROR((AN104/inp_c1_util)*(AO104/inp_c1_rate),0))*AZ34-AY34</f>
        <v>2985977.2684360901</v>
      </c>
      <c r="BK104" s="10">
        <f>AD35+(IFERROR((AN104/inp_c1_util)*(AO104/inp_c1_rate),0))*AZ35-AY35</f>
        <v>3289762.5411204509</v>
      </c>
      <c r="BL104" s="10">
        <f>AD36+(IFERROR((AN104/inp_c1_util)*(AO104/inp_c1_rate),0))*AZ36-AY36</f>
        <v>3604484.6665316559</v>
      </c>
      <c r="BM104" s="10">
        <f>AD37+(IFERROR((AN104/inp_c1_util)*(AO104/inp_c1_rate),0))*AZ37-AY37</f>
        <v>3930253.0131969722</v>
      </c>
      <c r="BN104" s="10">
        <f>AD38+(IFERROR((AN104/inp_c1_util)*(AO104/inp_c1_rate),0))*AZ38-AY38</f>
        <v>4267178.0433289418</v>
      </c>
      <c r="BO104" s="10">
        <f>AD39+(IFERROR((AN104/inp_c1_util)*(AO104/inp_c1_rate),0))*AZ39-AY39</f>
        <v>4615371.3237622315</v>
      </c>
      <c r="BP104" s="10">
        <f>AD40+(IFERROR((AN104/inp_c1_util)*(AO104/inp_c1_rate),0))*AZ40-AY40</f>
        <v>4974945.5369998543</v>
      </c>
      <c r="BQ104" s="10">
        <f>AD41+(IFERROR((AN104/inp_c1_util)*(AO104/inp_c1_rate),0))*AZ41-AY41</f>
        <v>5346014.492369853</v>
      </c>
      <c r="BR104" s="10">
        <f>AD42+(IFERROR((AN104/inp_c1_util)*(AO104/inp_c1_rate),0))*AZ42-AY42</f>
        <v>5728693.137293552</v>
      </c>
      <c r="BS104" s="10">
        <f>AD43+(IFERROR((AN104/inp_c1_util)*(AO104/inp_c1_rate),0))*AZ43-AY43</f>
        <v>6123097.5686664879</v>
      </c>
      <c r="BT104" s="10">
        <f>AD44+(IFERROR((AN104/inp_c1_util)*(AO104/inp_c1_rate),0))*AZ44-AY44</f>
        <v>6529345.0443531536</v>
      </c>
      <c r="BU104" s="10">
        <f>AD45+(IFERROR((AN104/inp_c1_util)*(AO104/inp_c1_rate),0))*AZ45-AY45</f>
        <v>6947553.9947966849</v>
      </c>
      <c r="BV104" s="10">
        <f>AD46+(IFERROR((AN104/inp_c1_util)*(AO104/inp_c1_rate),0))*AZ46-AY46</f>
        <v>7377844.034744652</v>
      </c>
      <c r="BW104" s="10">
        <f>AD47+(IFERROR((AN104/inp_c1_util)*(AO104/inp_c1_rate),0))*AZ47-AY47</f>
        <v>7820335.9750920981</v>
      </c>
      <c r="BX104" s="10">
        <f>AD48+(IFERROR((AN104/inp_c1_util)*(AO104/inp_c1_rate),0))*AZ48-AY48</f>
        <v>8275151.834843019</v>
      </c>
      <c r="BY104" s="10">
        <f>AD49+(IFERROR((AN104/inp_c1_util)*(AO104/inp_c1_rate),0))*AZ49-AY49</f>
        <v>8742414.8531914502</v>
      </c>
      <c r="BZ104" s="2"/>
      <c r="CA104" s="2"/>
      <c r="CB104" s="18">
        <f>IF(AND((IFERROR((AN104/sel_util)*(AO104/sel_rate),0))*AZ26-AY26&gt;=0,1&gt;=sel_start_m),1,9999)</f>
        <v>9999</v>
      </c>
      <c r="CC104" s="18">
        <f>IF(AND((IFERROR((AN104/sel_util)*(AO104/sel_rate),0))*AZ27-AY27&gt;=0,2&gt;=sel_start_m),2,9999)</f>
        <v>9999</v>
      </c>
      <c r="CD104" s="18">
        <f>IF(AND((IFERROR((AN104/sel_util)*(AO104/sel_rate),0))*AZ28-AY28&gt;=0,3&gt;=sel_start_m),3,9999)</f>
        <v>9999</v>
      </c>
      <c r="CE104" s="18">
        <f>IF(AND((IFERROR((AN104/sel_util)*(AO104/sel_rate),0))*AZ29-AY29&gt;=0,4&gt;=sel_start_m),4,9999)</f>
        <v>9999</v>
      </c>
      <c r="CF104" s="18">
        <f>IF(AND((IFERROR((AN104/sel_util)*(AO104/sel_rate),0))*AZ30-AY30&gt;=0,5&gt;=sel_start_m),5,9999)</f>
        <v>9999</v>
      </c>
      <c r="CG104" s="18">
        <f>IF(AND((IFERROR((AN104/sel_util)*(AO104/sel_rate),0))*AZ31-AY31&gt;=0,6&gt;=sel_start_m),6,9999)</f>
        <v>9999</v>
      </c>
      <c r="CH104" s="18">
        <f>IF(AND((IFERROR((AN104/sel_util)*(AO104/sel_rate),0))*AZ32-AY32&gt;=0,7&gt;=sel_start_m),7,9999)</f>
        <v>9999</v>
      </c>
      <c r="CI104" s="18">
        <f>IF(AND((IFERROR((AN104/sel_util)*(AO104/sel_rate),0))*AZ33-AY33&gt;=0,8&gt;=sel_start_m),8,9999)</f>
        <v>8</v>
      </c>
      <c r="CJ104" s="18">
        <f>IF(AND((IFERROR((AN104/sel_util)*(AO104/sel_rate),0))*AZ34-AY34&gt;=0,9&gt;=sel_start_m),9,9999)</f>
        <v>9</v>
      </c>
      <c r="CK104" s="18">
        <f>IF(AND((IFERROR((AN104/sel_util)*(AO104/sel_rate),0))*AZ35-AY35&gt;=0,10&gt;=sel_start_m),10,9999)</f>
        <v>10</v>
      </c>
      <c r="CL104" s="18">
        <f>IF(AND((IFERROR((AN104/sel_util)*(AO104/sel_rate),0))*AZ36-AY36&gt;=0,11&gt;=sel_start_m),11,9999)</f>
        <v>11</v>
      </c>
      <c r="CM104" s="18">
        <f>IF(AND((IFERROR((AN104/sel_util)*(AO104/sel_rate),0))*AZ37-AY37&gt;=0,12&gt;=sel_start_m),12,9999)</f>
        <v>12</v>
      </c>
      <c r="CN104" s="18">
        <f>IF(AND((IFERROR((AN104/sel_util)*(AO104/sel_rate),0))*AZ38-AY38&gt;=0,13&gt;=sel_start_m),13,9999)</f>
        <v>13</v>
      </c>
      <c r="CO104" s="18">
        <f>IF(AND((IFERROR((AN104/sel_util)*(AO104/sel_rate),0))*AZ39-AY39&gt;=0,14&gt;=sel_start_m),14,9999)</f>
        <v>14</v>
      </c>
      <c r="CP104" s="18">
        <f>IF(AND((IFERROR((AN104/sel_util)*(AO104/sel_rate),0))*AZ40-AY40&gt;=0,15&gt;=sel_start_m),15,9999)</f>
        <v>15</v>
      </c>
      <c r="CQ104" s="18">
        <f>IF(AND((IFERROR((AN104/sel_util)*(AO104/sel_rate),0))*AZ41-AY41&gt;=0,16&gt;=sel_start_m),16,9999)</f>
        <v>16</v>
      </c>
      <c r="CR104" s="18">
        <f>IF(AND((IFERROR((AN104/sel_util)*(AO104/sel_rate),0))*AZ42-AY42&gt;=0,17&gt;=sel_start_m),17,9999)</f>
        <v>17</v>
      </c>
      <c r="CS104" s="18">
        <f>IF(AND((IFERROR((AN104/sel_util)*(AO104/sel_rate),0))*AZ43-AY43&gt;=0,18&gt;=sel_start_m),18,9999)</f>
        <v>18</v>
      </c>
      <c r="CT104" s="18">
        <f>IF(AND((IFERROR((AN104/sel_util)*(AO104/sel_rate),0))*AZ44-AY44&gt;=0,19&gt;=sel_start_m),19,9999)</f>
        <v>19</v>
      </c>
      <c r="CU104" s="18">
        <f>IF(AND((IFERROR((AN104/sel_util)*(AO104/sel_rate),0))*AZ45-AY45&gt;=0,20&gt;=sel_start_m),20,9999)</f>
        <v>20</v>
      </c>
      <c r="CV104" s="18">
        <f>IF(AND((IFERROR((AN104/sel_util)*(AO104/sel_rate),0))*AZ46-AY46&gt;=0,21&gt;=sel_start_m),21,9999)</f>
        <v>21</v>
      </c>
      <c r="CW104" s="18">
        <f>IF(AND((IFERROR((AN104/sel_util)*(AO104/sel_rate),0))*AZ47-AY47&gt;=0,22&gt;=sel_start_m),22,9999)</f>
        <v>22</v>
      </c>
      <c r="CX104" s="18">
        <f>IF(AND((IFERROR((AN104/sel_util)*(AO104/sel_rate),0))*AZ48-AY48&gt;=0,23&gt;=sel_start_m),23,9999)</f>
        <v>23</v>
      </c>
      <c r="CY104" s="18">
        <f>IF(AND((IFERROR((AN104/sel_util)*(AO104/sel_rate),0))*AZ49-AY49&gt;=0,24&gt;=sel_start_m),24,9999)</f>
        <v>24</v>
      </c>
      <c r="CZ104" s="2"/>
      <c r="DA104" s="2"/>
      <c r="DB104" s="2"/>
      <c r="DC104" s="2"/>
      <c r="DD104" s="2"/>
      <c r="DE104" s="2"/>
      <c r="DF104" s="2"/>
      <c r="DG104" s="2"/>
      <c r="DH104" s="2"/>
      <c r="DI104" s="2"/>
      <c r="DJ104" s="2"/>
      <c r="DK104" s="2"/>
      <c r="DL104" s="2"/>
      <c r="DM104" s="2"/>
    </row>
    <row r="105" spans="1:117" ht="20" customHeight="1" x14ac:dyDescent="0.2">
      <c r="A105" s="1"/>
      <c r="B105" s="35" t="s">
        <v>152</v>
      </c>
      <c r="C105" s="89" t="s">
        <v>153</v>
      </c>
      <c r="D105" s="85"/>
      <c r="E105" s="85"/>
      <c r="F105" s="85"/>
      <c r="G105" s="85"/>
      <c r="H105" s="36">
        <f>SUM(BF26:BF49)</f>
        <v>649935</v>
      </c>
      <c r="I105" s="37">
        <f>N55</f>
        <v>649935</v>
      </c>
      <c r="J105" s="27" t="str">
        <f t="shared" si="187"/>
        <v>PASS</v>
      </c>
      <c r="K105" s="1"/>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9">
        <v>0.8</v>
      </c>
      <c r="AO105" s="10">
        <v>275</v>
      </c>
      <c r="AP105" s="18">
        <f t="shared" si="184"/>
        <v>7</v>
      </c>
      <c r="AQ105" s="10">
        <f t="shared" si="185"/>
        <v>224005.00000000006</v>
      </c>
      <c r="AR105" s="10">
        <f t="shared" si="186"/>
        <v>224005.00000000006</v>
      </c>
      <c r="AS105" s="2"/>
      <c r="AT105" s="2"/>
      <c r="AU105" s="2"/>
      <c r="AV105" s="2"/>
      <c r="AW105" s="2"/>
      <c r="AX105" s="2"/>
      <c r="AY105" s="2"/>
      <c r="AZ105" s="2"/>
      <c r="BA105" s="2"/>
      <c r="BB105" s="10">
        <f>AD26+(IFERROR((AN105/inp_c1_util)*(AO105/inp_c1_rate),0))*AZ26-AY26</f>
        <v>984100</v>
      </c>
      <c r="BC105" s="10">
        <f>AD27+(IFERROR((AN105/inp_c1_util)*(AO105/inp_c1_rate),0))*AZ27-AY27</f>
        <v>1178200</v>
      </c>
      <c r="BD105" s="10">
        <f>AD28+(IFERROR((AN105/inp_c1_util)*(AO105/inp_c1_rate),0))*AZ28-AY28</f>
        <v>1395270</v>
      </c>
      <c r="BE105" s="10">
        <f>AD29+(IFERROR((AN105/inp_c1_util)*(AO105/inp_c1_rate),0))*AZ29-AY29</f>
        <v>1630406</v>
      </c>
      <c r="BF105" s="10">
        <f>AD30+(IFERROR((AN105/inp_c1_util)*(AO105/inp_c1_rate),0))*AZ30-AY30</f>
        <v>1883710.0099999998</v>
      </c>
      <c r="BG105" s="10">
        <f>AD31+(IFERROR((AN105/inp_c1_util)*(AO105/inp_c1_rate),0))*AZ31-AY31</f>
        <v>2147420.0600999994</v>
      </c>
      <c r="BH105" s="10">
        <f>AD32+(IFERROR((AN105/inp_c1_util)*(AO105/inp_c1_rate),0))*AZ32-AY32</f>
        <v>2421640.2107009999</v>
      </c>
      <c r="BI105" s="10">
        <f>AD33+(IFERROR((AN105/inp_c1_util)*(AO105/inp_c1_rate),0))*AZ33-AY33</f>
        <v>2706475.5628080098</v>
      </c>
      <c r="BJ105" s="10">
        <f>AD34+(IFERROR((AN105/inp_c1_util)*(AO105/inp_c1_rate),0))*AZ34-AY34</f>
        <v>3002032.2684360901</v>
      </c>
      <c r="BK105" s="10">
        <f>AD35+(IFERROR((AN105/inp_c1_util)*(AO105/inp_c1_rate),0))*AZ35-AY35</f>
        <v>3308417.5411204509</v>
      </c>
      <c r="BL105" s="10">
        <f>AD36+(IFERROR((AN105/inp_c1_util)*(AO105/inp_c1_rate),0))*AZ36-AY36</f>
        <v>3625739.6665316559</v>
      </c>
      <c r="BM105" s="10">
        <f>AD37+(IFERROR((AN105/inp_c1_util)*(AO105/inp_c1_rate),0))*AZ37-AY37</f>
        <v>3954108.0131969722</v>
      </c>
      <c r="BN105" s="10">
        <f>AD38+(IFERROR((AN105/inp_c1_util)*(AO105/inp_c1_rate),0))*AZ38-AY38</f>
        <v>4293633.0433289418</v>
      </c>
      <c r="BO105" s="10">
        <f>AD39+(IFERROR((AN105/inp_c1_util)*(AO105/inp_c1_rate),0))*AZ39-AY39</f>
        <v>4644426.3237622315</v>
      </c>
      <c r="BP105" s="10">
        <f>AD40+(IFERROR((AN105/inp_c1_util)*(AO105/inp_c1_rate),0))*AZ40-AY40</f>
        <v>5006600.5369998543</v>
      </c>
      <c r="BQ105" s="10">
        <f>AD41+(IFERROR((AN105/inp_c1_util)*(AO105/inp_c1_rate),0))*AZ41-AY41</f>
        <v>5380269.492369853</v>
      </c>
      <c r="BR105" s="10">
        <f>AD42+(IFERROR((AN105/inp_c1_util)*(AO105/inp_c1_rate),0))*AZ42-AY42</f>
        <v>5765548.137293552</v>
      </c>
      <c r="BS105" s="10">
        <f>AD43+(IFERROR((AN105/inp_c1_util)*(AO105/inp_c1_rate),0))*AZ43-AY43</f>
        <v>6162552.5686664879</v>
      </c>
      <c r="BT105" s="10">
        <f>AD44+(IFERROR((AN105/inp_c1_util)*(AO105/inp_c1_rate),0))*AZ44-AY44</f>
        <v>6571400.0443531536</v>
      </c>
      <c r="BU105" s="10">
        <f>AD45+(IFERROR((AN105/inp_c1_util)*(AO105/inp_c1_rate),0))*AZ45-AY45</f>
        <v>6992208.9947966849</v>
      </c>
      <c r="BV105" s="10">
        <f>AD46+(IFERROR((AN105/inp_c1_util)*(AO105/inp_c1_rate),0))*AZ46-AY46</f>
        <v>7425099.034744652</v>
      </c>
      <c r="BW105" s="10">
        <f>AD47+(IFERROR((AN105/inp_c1_util)*(AO105/inp_c1_rate),0))*AZ47-AY47</f>
        <v>7870190.9750920981</v>
      </c>
      <c r="BX105" s="10">
        <f>AD48+(IFERROR((AN105/inp_c1_util)*(AO105/inp_c1_rate),0))*AZ48-AY48</f>
        <v>8327606.834843019</v>
      </c>
      <c r="BY105" s="10">
        <f>AD49+(IFERROR((AN105/inp_c1_util)*(AO105/inp_c1_rate),0))*AZ49-AY49</f>
        <v>8797469.8531914502</v>
      </c>
      <c r="BZ105" s="2"/>
      <c r="CA105" s="2"/>
      <c r="CB105" s="18">
        <f>IF(AND((IFERROR((AN105/sel_util)*(AO105/sel_rate),0))*AZ26-AY26&gt;=0,1&gt;=sel_start_m),1,9999)</f>
        <v>9999</v>
      </c>
      <c r="CC105" s="18">
        <f>IF(AND((IFERROR((AN105/sel_util)*(AO105/sel_rate),0))*AZ27-AY27&gt;=0,2&gt;=sel_start_m),2,9999)</f>
        <v>9999</v>
      </c>
      <c r="CD105" s="18">
        <f>IF(AND((IFERROR((AN105/sel_util)*(AO105/sel_rate),0))*AZ28-AY28&gt;=0,3&gt;=sel_start_m),3,9999)</f>
        <v>9999</v>
      </c>
      <c r="CE105" s="18">
        <f>IF(AND((IFERROR((AN105/sel_util)*(AO105/sel_rate),0))*AZ29-AY29&gt;=0,4&gt;=sel_start_m),4,9999)</f>
        <v>9999</v>
      </c>
      <c r="CF105" s="18">
        <f>IF(AND((IFERROR((AN105/sel_util)*(AO105/sel_rate),0))*AZ30-AY30&gt;=0,5&gt;=sel_start_m),5,9999)</f>
        <v>9999</v>
      </c>
      <c r="CG105" s="18">
        <f>IF(AND((IFERROR((AN105/sel_util)*(AO105/sel_rate),0))*AZ31-AY31&gt;=0,6&gt;=sel_start_m),6,9999)</f>
        <v>9999</v>
      </c>
      <c r="CH105" s="18">
        <f>IF(AND((IFERROR((AN105/sel_util)*(AO105/sel_rate),0))*AZ32-AY32&gt;=0,7&gt;=sel_start_m),7,9999)</f>
        <v>7</v>
      </c>
      <c r="CI105" s="18">
        <f>IF(AND((IFERROR((AN105/sel_util)*(AO105/sel_rate),0))*AZ33-AY33&gt;=0,8&gt;=sel_start_m),8,9999)</f>
        <v>8</v>
      </c>
      <c r="CJ105" s="18">
        <f>IF(AND((IFERROR((AN105/sel_util)*(AO105/sel_rate),0))*AZ34-AY34&gt;=0,9&gt;=sel_start_m),9,9999)</f>
        <v>9</v>
      </c>
      <c r="CK105" s="18">
        <f>IF(AND((IFERROR((AN105/sel_util)*(AO105/sel_rate),0))*AZ35-AY35&gt;=0,10&gt;=sel_start_m),10,9999)</f>
        <v>10</v>
      </c>
      <c r="CL105" s="18">
        <f>IF(AND((IFERROR((AN105/sel_util)*(AO105/sel_rate),0))*AZ36-AY36&gt;=0,11&gt;=sel_start_m),11,9999)</f>
        <v>11</v>
      </c>
      <c r="CM105" s="18">
        <f>IF(AND((IFERROR((AN105/sel_util)*(AO105/sel_rate),0))*AZ37-AY37&gt;=0,12&gt;=sel_start_m),12,9999)</f>
        <v>12</v>
      </c>
      <c r="CN105" s="18">
        <f>IF(AND((IFERROR((AN105/sel_util)*(AO105/sel_rate),0))*AZ38-AY38&gt;=0,13&gt;=sel_start_m),13,9999)</f>
        <v>13</v>
      </c>
      <c r="CO105" s="18">
        <f>IF(AND((IFERROR((AN105/sel_util)*(AO105/sel_rate),0))*AZ39-AY39&gt;=0,14&gt;=sel_start_m),14,9999)</f>
        <v>14</v>
      </c>
      <c r="CP105" s="18">
        <f>IF(AND((IFERROR((AN105/sel_util)*(AO105/sel_rate),0))*AZ40-AY40&gt;=0,15&gt;=sel_start_m),15,9999)</f>
        <v>15</v>
      </c>
      <c r="CQ105" s="18">
        <f>IF(AND((IFERROR((AN105/sel_util)*(AO105/sel_rate),0))*AZ41-AY41&gt;=0,16&gt;=sel_start_m),16,9999)</f>
        <v>16</v>
      </c>
      <c r="CR105" s="18">
        <f>IF(AND((IFERROR((AN105/sel_util)*(AO105/sel_rate),0))*AZ42-AY42&gt;=0,17&gt;=sel_start_m),17,9999)</f>
        <v>17</v>
      </c>
      <c r="CS105" s="18">
        <f>IF(AND((IFERROR((AN105/sel_util)*(AO105/sel_rate),0))*AZ43-AY43&gt;=0,18&gt;=sel_start_m),18,9999)</f>
        <v>18</v>
      </c>
      <c r="CT105" s="18">
        <f>IF(AND((IFERROR((AN105/sel_util)*(AO105/sel_rate),0))*AZ44-AY44&gt;=0,19&gt;=sel_start_m),19,9999)</f>
        <v>19</v>
      </c>
      <c r="CU105" s="18">
        <f>IF(AND((IFERROR((AN105/sel_util)*(AO105/sel_rate),0))*AZ45-AY45&gt;=0,20&gt;=sel_start_m),20,9999)</f>
        <v>20</v>
      </c>
      <c r="CV105" s="18">
        <f>IF(AND((IFERROR((AN105/sel_util)*(AO105/sel_rate),0))*AZ46-AY46&gt;=0,21&gt;=sel_start_m),21,9999)</f>
        <v>21</v>
      </c>
      <c r="CW105" s="18">
        <f>IF(AND((IFERROR((AN105/sel_util)*(AO105/sel_rate),0))*AZ47-AY47&gt;=0,22&gt;=sel_start_m),22,9999)</f>
        <v>22</v>
      </c>
      <c r="CX105" s="18">
        <f>IF(AND((IFERROR((AN105/sel_util)*(AO105/sel_rate),0))*AZ48-AY48&gt;=0,23&gt;=sel_start_m),23,9999)</f>
        <v>23</v>
      </c>
      <c r="CY105" s="18">
        <f>IF(AND((IFERROR((AN105/sel_util)*(AO105/sel_rate),0))*AZ49-AY49&gt;=0,24&gt;=sel_start_m),24,9999)</f>
        <v>24</v>
      </c>
      <c r="CZ105" s="2"/>
      <c r="DA105" s="2"/>
      <c r="DB105" s="2"/>
      <c r="DC105" s="2"/>
      <c r="DD105" s="2"/>
      <c r="DE105" s="2"/>
      <c r="DF105" s="2"/>
      <c r="DG105" s="2"/>
      <c r="DH105" s="2"/>
      <c r="DI105" s="2"/>
      <c r="DJ105" s="2"/>
      <c r="DK105" s="2"/>
      <c r="DL105" s="2"/>
      <c r="DM105" s="2"/>
    </row>
    <row r="106" spans="1:117" ht="20" customHeight="1" x14ac:dyDescent="0.2">
      <c r="A106" s="1"/>
      <c r="B106" s="35" t="s">
        <v>154</v>
      </c>
      <c r="C106" s="89" t="s">
        <v>155</v>
      </c>
      <c r="D106" s="85"/>
      <c r="E106" s="85"/>
      <c r="F106" s="85"/>
      <c r="G106" s="85"/>
      <c r="H106" s="36">
        <f>SUM(BH26:BH49)</f>
        <v>445193.75</v>
      </c>
      <c r="I106" s="37">
        <f>O54</f>
        <v>445193.75</v>
      </c>
      <c r="J106" s="27" t="str">
        <f t="shared" si="187"/>
        <v>PASS</v>
      </c>
      <c r="K106" s="1"/>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9">
        <v>0.8</v>
      </c>
      <c r="AO106" s="10">
        <v>300</v>
      </c>
      <c r="AP106" s="18">
        <f t="shared" si="184"/>
        <v>6</v>
      </c>
      <c r="AQ106" s="10">
        <f t="shared" si="185"/>
        <v>279060.00000000006</v>
      </c>
      <c r="AR106" s="10">
        <f t="shared" si="186"/>
        <v>279060.00000000006</v>
      </c>
      <c r="AS106" s="2"/>
      <c r="AT106" s="2"/>
      <c r="AU106" s="2"/>
      <c r="AV106" s="2"/>
      <c r="AW106" s="2"/>
      <c r="AX106" s="2"/>
      <c r="AY106" s="2"/>
      <c r="AZ106" s="2"/>
      <c r="BA106" s="2"/>
      <c r="BB106" s="10">
        <f>AD26+(IFERROR((AN106/inp_c1_util)*(AO106/inp_c1_rate),0))*AZ26-AY26</f>
        <v>984100</v>
      </c>
      <c r="BC106" s="10">
        <f>AD27+(IFERROR((AN106/inp_c1_util)*(AO106/inp_c1_rate),0))*AZ27-AY27</f>
        <v>1178200</v>
      </c>
      <c r="BD106" s="10">
        <f>AD28+(IFERROR((AN106/inp_c1_util)*(AO106/inp_c1_rate),0))*AZ28-AY28</f>
        <v>1396440</v>
      </c>
      <c r="BE106" s="10">
        <f>AD29+(IFERROR((AN106/inp_c1_util)*(AO106/inp_c1_rate),0))*AZ29-AY29</f>
        <v>1633461</v>
      </c>
      <c r="BF106" s="10">
        <f>AD30+(IFERROR((AN106/inp_c1_util)*(AO106/inp_c1_rate),0))*AZ30-AY30</f>
        <v>1889365.0099999998</v>
      </c>
      <c r="BG106" s="10">
        <f>AD31+(IFERROR((AN106/inp_c1_util)*(AO106/inp_c1_rate),0))*AZ31-AY31</f>
        <v>2155675.0600999994</v>
      </c>
      <c r="BH106" s="10">
        <f>AD32+(IFERROR((AN106/inp_c1_util)*(AO106/inp_c1_rate),0))*AZ32-AY32</f>
        <v>2432495.2107009999</v>
      </c>
      <c r="BI106" s="10">
        <f>AD33+(IFERROR((AN106/inp_c1_util)*(AO106/inp_c1_rate),0))*AZ33-AY33</f>
        <v>2719930.5628080098</v>
      </c>
      <c r="BJ106" s="10">
        <f>AD34+(IFERROR((AN106/inp_c1_util)*(AO106/inp_c1_rate),0))*AZ34-AY34</f>
        <v>3018087.2684360901</v>
      </c>
      <c r="BK106" s="10">
        <f>AD35+(IFERROR((AN106/inp_c1_util)*(AO106/inp_c1_rate),0))*AZ35-AY35</f>
        <v>3327072.5411204509</v>
      </c>
      <c r="BL106" s="10">
        <f>AD36+(IFERROR((AN106/inp_c1_util)*(AO106/inp_c1_rate),0))*AZ36-AY36</f>
        <v>3646994.6665316559</v>
      </c>
      <c r="BM106" s="10">
        <f>AD37+(IFERROR((AN106/inp_c1_util)*(AO106/inp_c1_rate),0))*AZ37-AY37</f>
        <v>3977963.0131969722</v>
      </c>
      <c r="BN106" s="10">
        <f>AD38+(IFERROR((AN106/inp_c1_util)*(AO106/inp_c1_rate),0))*AZ38-AY38</f>
        <v>4320088.0433289418</v>
      </c>
      <c r="BO106" s="10">
        <f>AD39+(IFERROR((AN106/inp_c1_util)*(AO106/inp_c1_rate),0))*AZ39-AY39</f>
        <v>4673481.3237622315</v>
      </c>
      <c r="BP106" s="10">
        <f>AD40+(IFERROR((AN106/inp_c1_util)*(AO106/inp_c1_rate),0))*AZ40-AY40</f>
        <v>5038255.5369998543</v>
      </c>
      <c r="BQ106" s="10">
        <f>AD41+(IFERROR((AN106/inp_c1_util)*(AO106/inp_c1_rate),0))*AZ41-AY41</f>
        <v>5414524.492369853</v>
      </c>
      <c r="BR106" s="10">
        <f>AD42+(IFERROR((AN106/inp_c1_util)*(AO106/inp_c1_rate),0))*AZ42-AY42</f>
        <v>5802403.137293552</v>
      </c>
      <c r="BS106" s="10">
        <f>AD43+(IFERROR((AN106/inp_c1_util)*(AO106/inp_c1_rate),0))*AZ43-AY43</f>
        <v>6202007.5686664879</v>
      </c>
      <c r="BT106" s="10">
        <f>AD44+(IFERROR((AN106/inp_c1_util)*(AO106/inp_c1_rate),0))*AZ44-AY44</f>
        <v>6613455.0443531536</v>
      </c>
      <c r="BU106" s="10">
        <f>AD45+(IFERROR((AN106/inp_c1_util)*(AO106/inp_c1_rate),0))*AZ45-AY45</f>
        <v>7036863.9947966849</v>
      </c>
      <c r="BV106" s="10">
        <f>AD46+(IFERROR((AN106/inp_c1_util)*(AO106/inp_c1_rate),0))*AZ46-AY46</f>
        <v>7472354.034744652</v>
      </c>
      <c r="BW106" s="10">
        <f>AD47+(IFERROR((AN106/inp_c1_util)*(AO106/inp_c1_rate),0))*AZ47-AY47</f>
        <v>7920045.9750920981</v>
      </c>
      <c r="BX106" s="10">
        <f>AD48+(IFERROR((AN106/inp_c1_util)*(AO106/inp_c1_rate),0))*AZ48-AY48</f>
        <v>8380061.834843019</v>
      </c>
      <c r="BY106" s="10">
        <f>AD49+(IFERROR((AN106/inp_c1_util)*(AO106/inp_c1_rate),0))*AZ49-AY49</f>
        <v>8852524.8531914502</v>
      </c>
      <c r="BZ106" s="2"/>
      <c r="CA106" s="2"/>
      <c r="CB106" s="18">
        <f>IF(AND((IFERROR((AN106/sel_util)*(AO106/sel_rate),0))*AZ26-AY26&gt;=0,1&gt;=sel_start_m),1,9999)</f>
        <v>9999</v>
      </c>
      <c r="CC106" s="18">
        <f>IF(AND((IFERROR((AN106/sel_util)*(AO106/sel_rate),0))*AZ27-AY27&gt;=0,2&gt;=sel_start_m),2,9999)</f>
        <v>9999</v>
      </c>
      <c r="CD106" s="18">
        <f>IF(AND((IFERROR((AN106/sel_util)*(AO106/sel_rate),0))*AZ28-AY28&gt;=0,3&gt;=sel_start_m),3,9999)</f>
        <v>9999</v>
      </c>
      <c r="CE106" s="18">
        <f>IF(AND((IFERROR((AN106/sel_util)*(AO106/sel_rate),0))*AZ29-AY29&gt;=0,4&gt;=sel_start_m),4,9999)</f>
        <v>9999</v>
      </c>
      <c r="CF106" s="18">
        <f>IF(AND((IFERROR((AN106/sel_util)*(AO106/sel_rate),0))*AZ30-AY30&gt;=0,5&gt;=sel_start_m),5,9999)</f>
        <v>9999</v>
      </c>
      <c r="CG106" s="18">
        <f>IF(AND((IFERROR((AN106/sel_util)*(AO106/sel_rate),0))*AZ31-AY31&gt;=0,6&gt;=sel_start_m),6,9999)</f>
        <v>6</v>
      </c>
      <c r="CH106" s="18">
        <f>IF(AND((IFERROR((AN106/sel_util)*(AO106/sel_rate),0))*AZ32-AY32&gt;=0,7&gt;=sel_start_m),7,9999)</f>
        <v>7</v>
      </c>
      <c r="CI106" s="18">
        <f>IF(AND((IFERROR((AN106/sel_util)*(AO106/sel_rate),0))*AZ33-AY33&gt;=0,8&gt;=sel_start_m),8,9999)</f>
        <v>8</v>
      </c>
      <c r="CJ106" s="18">
        <f>IF(AND((IFERROR((AN106/sel_util)*(AO106/sel_rate),0))*AZ34-AY34&gt;=0,9&gt;=sel_start_m),9,9999)</f>
        <v>9</v>
      </c>
      <c r="CK106" s="18">
        <f>IF(AND((IFERROR((AN106/sel_util)*(AO106/sel_rate),0))*AZ35-AY35&gt;=0,10&gt;=sel_start_m),10,9999)</f>
        <v>10</v>
      </c>
      <c r="CL106" s="18">
        <f>IF(AND((IFERROR((AN106/sel_util)*(AO106/sel_rate),0))*AZ36-AY36&gt;=0,11&gt;=sel_start_m),11,9999)</f>
        <v>11</v>
      </c>
      <c r="CM106" s="18">
        <f>IF(AND((IFERROR((AN106/sel_util)*(AO106/sel_rate),0))*AZ37-AY37&gt;=0,12&gt;=sel_start_m),12,9999)</f>
        <v>12</v>
      </c>
      <c r="CN106" s="18">
        <f>IF(AND((IFERROR((AN106/sel_util)*(AO106/sel_rate),0))*AZ38-AY38&gt;=0,13&gt;=sel_start_m),13,9999)</f>
        <v>13</v>
      </c>
      <c r="CO106" s="18">
        <f>IF(AND((IFERROR((AN106/sel_util)*(AO106/sel_rate),0))*AZ39-AY39&gt;=0,14&gt;=sel_start_m),14,9999)</f>
        <v>14</v>
      </c>
      <c r="CP106" s="18">
        <f>IF(AND((IFERROR((AN106/sel_util)*(AO106/sel_rate),0))*AZ40-AY40&gt;=0,15&gt;=sel_start_m),15,9999)</f>
        <v>15</v>
      </c>
      <c r="CQ106" s="18">
        <f>IF(AND((IFERROR((AN106/sel_util)*(AO106/sel_rate),0))*AZ41-AY41&gt;=0,16&gt;=sel_start_m),16,9999)</f>
        <v>16</v>
      </c>
      <c r="CR106" s="18">
        <f>IF(AND((IFERROR((AN106/sel_util)*(AO106/sel_rate),0))*AZ42-AY42&gt;=0,17&gt;=sel_start_m),17,9999)</f>
        <v>17</v>
      </c>
      <c r="CS106" s="18">
        <f>IF(AND((IFERROR((AN106/sel_util)*(AO106/sel_rate),0))*AZ43-AY43&gt;=0,18&gt;=sel_start_m),18,9999)</f>
        <v>18</v>
      </c>
      <c r="CT106" s="18">
        <f>IF(AND((IFERROR((AN106/sel_util)*(AO106/sel_rate),0))*AZ44-AY44&gt;=0,19&gt;=sel_start_m),19,9999)</f>
        <v>19</v>
      </c>
      <c r="CU106" s="18">
        <f>IF(AND((IFERROR((AN106/sel_util)*(AO106/sel_rate),0))*AZ45-AY45&gt;=0,20&gt;=sel_start_m),20,9999)</f>
        <v>20</v>
      </c>
      <c r="CV106" s="18">
        <f>IF(AND((IFERROR((AN106/sel_util)*(AO106/sel_rate),0))*AZ46-AY46&gt;=0,21&gt;=sel_start_m),21,9999)</f>
        <v>21</v>
      </c>
      <c r="CW106" s="18">
        <f>IF(AND((IFERROR((AN106/sel_util)*(AO106/sel_rate),0))*AZ47-AY47&gt;=0,22&gt;=sel_start_m),22,9999)</f>
        <v>22</v>
      </c>
      <c r="CX106" s="18">
        <f>IF(AND((IFERROR((AN106/sel_util)*(AO106/sel_rate),0))*AZ48-AY48&gt;=0,23&gt;=sel_start_m),23,9999)</f>
        <v>23</v>
      </c>
      <c r="CY106" s="18">
        <f>IF(AND((IFERROR((AN106/sel_util)*(AO106/sel_rate),0))*AZ49-AY49&gt;=0,24&gt;=sel_start_m),24,9999)</f>
        <v>24</v>
      </c>
      <c r="CZ106" s="2"/>
      <c r="DA106" s="2"/>
      <c r="DB106" s="2"/>
      <c r="DC106" s="2"/>
      <c r="DD106" s="2"/>
      <c r="DE106" s="2"/>
      <c r="DF106" s="2"/>
      <c r="DG106" s="2"/>
      <c r="DH106" s="2"/>
      <c r="DI106" s="2"/>
      <c r="DJ106" s="2"/>
      <c r="DK106" s="2"/>
      <c r="DL106" s="2"/>
      <c r="DM106" s="2"/>
    </row>
    <row r="107" spans="1:117" ht="20" customHeight="1" x14ac:dyDescent="0.2">
      <c r="A107" s="1"/>
      <c r="B107" s="35" t="s">
        <v>156</v>
      </c>
      <c r="C107" s="89" t="s">
        <v>157</v>
      </c>
      <c r="D107" s="85"/>
      <c r="E107" s="85"/>
      <c r="F107" s="85"/>
      <c r="G107" s="85"/>
      <c r="H107" s="36">
        <f>SUM(BJ26:BJ49)</f>
        <v>736060</v>
      </c>
      <c r="I107" s="37">
        <f>O55</f>
        <v>736060</v>
      </c>
      <c r="J107" s="27" t="str">
        <f t="shared" si="187"/>
        <v>PASS</v>
      </c>
      <c r="K107" s="1"/>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row>
    <row r="108" spans="1:117" ht="20" customHeight="1" x14ac:dyDescent="0.2">
      <c r="A108" s="1"/>
      <c r="B108" s="35" t="s">
        <v>158</v>
      </c>
      <c r="C108" s="89" t="s">
        <v>159</v>
      </c>
      <c r="D108" s="85"/>
      <c r="E108" s="85"/>
      <c r="F108" s="85"/>
      <c r="G108" s="85"/>
      <c r="H108" s="36">
        <f>SUM(BL26:BL49)</f>
        <v>263100</v>
      </c>
      <c r="I108" s="37">
        <f>P54</f>
        <v>263100</v>
      </c>
      <c r="J108" s="27" t="str">
        <f t="shared" si="187"/>
        <v>PASS</v>
      </c>
      <c r="K108" s="1"/>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row>
    <row r="109" spans="1:117" ht="20" customHeight="1" x14ac:dyDescent="0.2">
      <c r="A109" s="1"/>
      <c r="B109" s="35" t="s">
        <v>160</v>
      </c>
      <c r="C109" s="89" t="s">
        <v>161</v>
      </c>
      <c r="D109" s="85"/>
      <c r="E109" s="85"/>
      <c r="F109" s="85"/>
      <c r="G109" s="85"/>
      <c r="H109" s="36">
        <f>SUM(BN26:BN49)</f>
        <v>440440</v>
      </c>
      <c r="I109" s="37">
        <f>P55</f>
        <v>440440</v>
      </c>
      <c r="J109" s="27" t="str">
        <f t="shared" si="187"/>
        <v>PASS</v>
      </c>
      <c r="K109" s="1"/>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row>
    <row r="110" spans="1:117" ht="20" customHeight="1" x14ac:dyDescent="0.2">
      <c r="A110" s="1"/>
      <c r="B110" s="35" t="s">
        <v>162</v>
      </c>
      <c r="C110" s="89" t="s">
        <v>228</v>
      </c>
      <c r="D110" s="85"/>
      <c r="E110" s="85"/>
      <c r="F110" s="85"/>
      <c r="G110" s="85"/>
      <c r="H110" s="36">
        <f>SUM(BP26:BP49)</f>
        <v>523600</v>
      </c>
      <c r="I110" s="37">
        <f>Q54</f>
        <v>523600</v>
      </c>
      <c r="J110" s="27" t="str">
        <f t="shared" si="187"/>
        <v>PASS</v>
      </c>
      <c r="K110" s="1"/>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row>
    <row r="111" spans="1:117" ht="20" customHeight="1" x14ac:dyDescent="0.2">
      <c r="A111" s="1"/>
      <c r="B111" s="35" t="s">
        <v>164</v>
      </c>
      <c r="C111" s="89" t="s">
        <v>229</v>
      </c>
      <c r="D111" s="85"/>
      <c r="E111" s="85"/>
      <c r="F111" s="85"/>
      <c r="G111" s="85"/>
      <c r="H111" s="36">
        <f>SUM(BR26:BR49)</f>
        <v>650160</v>
      </c>
      <c r="I111" s="37">
        <f>Q55</f>
        <v>650160</v>
      </c>
      <c r="J111" s="27" t="str">
        <f t="shared" si="187"/>
        <v>PASS</v>
      </c>
      <c r="K111" s="1"/>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row>
    <row r="112" spans="1:117" ht="20" customHeight="1" x14ac:dyDescent="0.2">
      <c r="A112" s="1"/>
      <c r="B112" s="35" t="s">
        <v>166</v>
      </c>
      <c r="C112" s="89" t="s">
        <v>230</v>
      </c>
      <c r="D112" s="85"/>
      <c r="E112" s="85"/>
      <c r="F112" s="85"/>
      <c r="G112" s="85"/>
      <c r="H112" s="36">
        <f>SUM(BT26:BT49)</f>
        <v>172643.75</v>
      </c>
      <c r="I112" s="37">
        <f>R54</f>
        <v>172643.75</v>
      </c>
      <c r="J112" s="27" t="str">
        <f t="shared" si="187"/>
        <v>PASS</v>
      </c>
      <c r="K112" s="1"/>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row>
    <row r="113" spans="1:117" x14ac:dyDescent="0.2">
      <c r="A113" s="1"/>
      <c r="B113" s="35" t="s">
        <v>168</v>
      </c>
      <c r="C113" s="89" t="s">
        <v>231</v>
      </c>
      <c r="D113" s="85"/>
      <c r="E113" s="85"/>
      <c r="F113" s="85"/>
      <c r="G113" s="85"/>
      <c r="H113" s="36">
        <f>SUM(BV26:BV49)</f>
        <v>289120</v>
      </c>
      <c r="I113" s="37">
        <f>R55</f>
        <v>289120</v>
      </c>
      <c r="J113" s="27" t="str">
        <f t="shared" si="187"/>
        <v>PASS</v>
      </c>
      <c r="K113" s="1"/>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row>
    <row r="114" spans="1:117" x14ac:dyDescent="0.2">
      <c r="A114" s="1"/>
      <c r="B114" s="35" t="s">
        <v>170</v>
      </c>
      <c r="C114" s="89" t="s">
        <v>232</v>
      </c>
      <c r="D114" s="85"/>
      <c r="E114" s="85"/>
      <c r="F114" s="85"/>
      <c r="G114" s="85"/>
      <c r="H114" s="36">
        <f>SUM(BX26:BX49)</f>
        <v>310500.00000000006</v>
      </c>
      <c r="I114" s="37">
        <f>S54</f>
        <v>310500.00000000006</v>
      </c>
      <c r="J114" s="27" t="str">
        <f t="shared" si="187"/>
        <v>PASS</v>
      </c>
      <c r="K114" s="1"/>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row>
    <row r="115" spans="1:117" ht="22" customHeight="1" x14ac:dyDescent="0.2">
      <c r="A115" s="1"/>
      <c r="B115" s="35" t="s">
        <v>171</v>
      </c>
      <c r="C115" s="89" t="s">
        <v>233</v>
      </c>
      <c r="D115" s="85"/>
      <c r="E115" s="85"/>
      <c r="F115" s="85"/>
      <c r="G115" s="85"/>
      <c r="H115" s="36">
        <f>SUM(BZ26:BZ49)</f>
        <v>0</v>
      </c>
      <c r="I115" s="37">
        <f>S55</f>
        <v>0</v>
      </c>
      <c r="J115" s="27" t="str">
        <f t="shared" si="187"/>
        <v>PASS</v>
      </c>
      <c r="K115" s="1"/>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row>
    <row r="116" spans="1:117" x14ac:dyDescent="0.2">
      <c r="A116" s="1"/>
      <c r="B116" s="35" t="s">
        <v>172</v>
      </c>
      <c r="C116" s="89" t="s">
        <v>234</v>
      </c>
      <c r="D116" s="85"/>
      <c r="E116" s="85"/>
      <c r="F116" s="85"/>
      <c r="G116" s="85"/>
      <c r="H116" s="36">
        <f>SUM(CB26:CB49)</f>
        <v>0</v>
      </c>
      <c r="I116" s="37">
        <f>T54</f>
        <v>0</v>
      </c>
      <c r="J116" s="27" t="str">
        <f t="shared" si="187"/>
        <v>PASS</v>
      </c>
      <c r="K116" s="1"/>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row>
    <row r="117" spans="1:117" x14ac:dyDescent="0.2">
      <c r="A117" s="1"/>
      <c r="B117" s="35" t="s">
        <v>173</v>
      </c>
      <c r="C117" s="89" t="s">
        <v>235</v>
      </c>
      <c r="D117" s="85"/>
      <c r="E117" s="85"/>
      <c r="F117" s="85"/>
      <c r="G117" s="85"/>
      <c r="H117" s="36">
        <f>SUM(CD26:CD49)</f>
        <v>0</v>
      </c>
      <c r="I117" s="37">
        <f>T55</f>
        <v>0</v>
      </c>
      <c r="J117" s="27" t="str">
        <f t="shared" si="187"/>
        <v>PASS</v>
      </c>
      <c r="K117" s="1"/>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row>
    <row r="118" spans="1:117" x14ac:dyDescent="0.2">
      <c r="A118" s="1"/>
      <c r="B118" s="35" t="s">
        <v>174</v>
      </c>
      <c r="C118" s="89" t="s">
        <v>236</v>
      </c>
      <c r="D118" s="85"/>
      <c r="E118" s="85"/>
      <c r="F118" s="85"/>
      <c r="G118" s="85"/>
      <c r="H118" s="36">
        <f>SUM(CF26:CF49)</f>
        <v>0</v>
      </c>
      <c r="I118" s="37">
        <f>U54</f>
        <v>0</v>
      </c>
      <c r="J118" s="27" t="str">
        <f t="shared" si="187"/>
        <v>PASS</v>
      </c>
      <c r="K118" s="1"/>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row>
    <row r="119" spans="1:117" x14ac:dyDescent="0.2">
      <c r="A119" s="1"/>
      <c r="B119" s="35" t="s">
        <v>175</v>
      </c>
      <c r="C119" s="89" t="s">
        <v>237</v>
      </c>
      <c r="D119" s="85"/>
      <c r="E119" s="85"/>
      <c r="F119" s="85"/>
      <c r="G119" s="85"/>
      <c r="H119" s="36">
        <f>SUM(CH26:CH49)</f>
        <v>0</v>
      </c>
      <c r="I119" s="37">
        <f>U55</f>
        <v>0</v>
      </c>
      <c r="J119" s="27" t="str">
        <f t="shared" si="187"/>
        <v>PASS</v>
      </c>
      <c r="K119" s="1"/>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row>
    <row r="120" spans="1:117" x14ac:dyDescent="0.2">
      <c r="A120" s="1"/>
      <c r="B120" s="35" t="s">
        <v>176</v>
      </c>
      <c r="C120" s="89" t="s">
        <v>163</v>
      </c>
      <c r="D120" s="85"/>
      <c r="E120" s="85"/>
      <c r="F120" s="85"/>
      <c r="G120" s="85"/>
      <c r="H120" s="36">
        <f>inp_biz_cash_open+SUM(AC26:AC49)+SUM(AF26:AF49)-SUM(AE26:AE49)</f>
        <v>9242542.3531914502</v>
      </c>
      <c r="I120" s="37">
        <f>AH49</f>
        <v>9242542.3531914502</v>
      </c>
      <c r="J120" s="27" t="str">
        <f t="shared" si="187"/>
        <v>PASS</v>
      </c>
      <c r="K120" s="1"/>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row>
    <row r="121" spans="1:117" x14ac:dyDescent="0.2">
      <c r="A121" s="1"/>
      <c r="B121" s="35" t="s">
        <v>177</v>
      </c>
      <c r="C121" s="89" t="s">
        <v>165</v>
      </c>
      <c r="D121" s="85"/>
      <c r="E121" s="85"/>
      <c r="F121" s="85"/>
      <c r="G121" s="85"/>
      <c r="H121" s="38">
        <f>inp_biz_cash_open+SUM(AC26:AC49)</f>
        <v>8573464.8531914502</v>
      </c>
      <c r="I121" s="39">
        <f>AD49</f>
        <v>8573464.8531914502</v>
      </c>
      <c r="J121" s="27" t="str">
        <f t="shared" si="187"/>
        <v>PASS</v>
      </c>
      <c r="K121" s="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row>
    <row r="122" spans="1:117" x14ac:dyDescent="0.2">
      <c r="A122" s="1"/>
      <c r="B122" s="35" t="s">
        <v>178</v>
      </c>
      <c r="C122" s="89" t="s">
        <v>167</v>
      </c>
      <c r="D122" s="85"/>
      <c r="E122" s="85"/>
      <c r="F122" s="85"/>
      <c r="G122" s="85"/>
      <c r="H122" s="36">
        <f>INDEX(ref_scn_rev_all,MATCH(inp_scn_active,ref_scn_codes,0))</f>
        <v>1</v>
      </c>
      <c r="I122" s="37">
        <f>calc_scn_rev_mult</f>
        <v>1</v>
      </c>
      <c r="J122" s="27" t="str">
        <f>IF(ABS(I122-H122)&lt;=0.0001,"PASS","FAIL")</f>
        <v>PASS</v>
      </c>
      <c r="K122" s="1"/>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row>
    <row r="123" spans="1:117" x14ac:dyDescent="0.2">
      <c r="A123" s="1"/>
      <c r="B123" s="35" t="s">
        <v>179</v>
      </c>
      <c r="C123" s="89" t="s">
        <v>169</v>
      </c>
      <c r="D123" s="85"/>
      <c r="E123" s="85"/>
      <c r="F123" s="85"/>
      <c r="G123" s="85"/>
      <c r="H123" s="36">
        <f>INDEX(ref_scn_util_all,MATCH(inp_scn_active,ref_scn_codes,0))</f>
        <v>1</v>
      </c>
      <c r="I123" s="37">
        <f>calc_scn_util_mult</f>
        <v>1</v>
      </c>
      <c r="J123" s="27" t="str">
        <f>IF(ABS(I123-H123)&lt;=0.0001,"PASS","FAIL")</f>
        <v>PASS</v>
      </c>
      <c r="K123" s="1"/>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row>
    <row r="124" spans="1:117" x14ac:dyDescent="0.2">
      <c r="A124" s="1"/>
      <c r="B124" s="1"/>
      <c r="C124" s="1"/>
      <c r="D124" s="1"/>
      <c r="E124" s="1"/>
      <c r="F124" s="1"/>
      <c r="G124" s="1"/>
      <c r="H124" s="1"/>
      <c r="I124" s="1"/>
      <c r="J124" s="1"/>
      <c r="K124" s="1"/>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row>
    <row r="125" spans="1:117" x14ac:dyDescent="0.2">
      <c r="A125" s="1"/>
      <c r="B125" s="1"/>
      <c r="C125" s="1"/>
      <c r="D125" s="1"/>
      <c r="E125" s="1"/>
      <c r="F125" s="1"/>
      <c r="G125" s="1"/>
      <c r="H125" s="1"/>
      <c r="I125" s="1"/>
      <c r="J125" s="1"/>
      <c r="K125" s="1"/>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row>
    <row r="126" spans="1:117" x14ac:dyDescent="0.2">
      <c r="A126" s="1"/>
      <c r="B126" s="13" t="s">
        <v>180</v>
      </c>
      <c r="C126" s="1"/>
      <c r="D126" s="1"/>
      <c r="E126" s="1"/>
      <c r="F126" s="1"/>
      <c r="G126" s="1"/>
      <c r="H126" s="1"/>
      <c r="I126" s="1"/>
      <c r="J126" s="3" t="s">
        <v>181</v>
      </c>
      <c r="K126" s="1"/>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row>
    <row r="127" spans="1:117" x14ac:dyDescent="0.2">
      <c r="A127" s="1"/>
      <c r="B127" s="1"/>
      <c r="C127" s="1"/>
      <c r="D127" s="1"/>
      <c r="E127" s="1"/>
      <c r="F127" s="1"/>
      <c r="G127" s="1"/>
      <c r="H127" s="1"/>
      <c r="I127" s="1"/>
      <c r="J127" s="1"/>
      <c r="K127" s="1"/>
    </row>
    <row r="128" spans="1:117" x14ac:dyDescent="0.2">
      <c r="A128" s="61"/>
      <c r="B128" s="61"/>
      <c r="C128" s="61"/>
      <c r="D128" s="61"/>
      <c r="E128" s="61"/>
      <c r="F128" s="61"/>
      <c r="G128" s="61"/>
      <c r="H128" s="61"/>
      <c r="I128" s="61"/>
      <c r="J128" s="61"/>
      <c r="K128" s="61"/>
    </row>
    <row r="129" spans="1:11" x14ac:dyDescent="0.2">
      <c r="A129" s="61"/>
      <c r="B129" s="61"/>
      <c r="C129" s="61"/>
      <c r="D129" s="61"/>
      <c r="E129" s="61"/>
      <c r="F129" s="61"/>
      <c r="G129" s="61"/>
      <c r="H129" s="61"/>
      <c r="I129" s="61"/>
      <c r="J129" s="61"/>
      <c r="K129" s="61"/>
    </row>
    <row r="130" spans="1:11" x14ac:dyDescent="0.2">
      <c r="A130" s="61"/>
      <c r="B130" s="61"/>
      <c r="C130" s="61"/>
      <c r="D130" s="61"/>
      <c r="E130" s="61"/>
      <c r="F130" s="61"/>
      <c r="G130" s="61"/>
      <c r="H130" s="61"/>
      <c r="I130" s="61"/>
      <c r="J130" s="61"/>
      <c r="K130" s="61"/>
    </row>
    <row r="131" spans="1:11" x14ac:dyDescent="0.2">
      <c r="A131" s="61"/>
      <c r="B131" s="61"/>
      <c r="C131" s="61"/>
      <c r="D131" s="61"/>
      <c r="E131" s="61"/>
      <c r="F131" s="61"/>
      <c r="G131" s="61"/>
      <c r="H131" s="61"/>
      <c r="I131" s="61"/>
      <c r="J131" s="61"/>
      <c r="K131" s="61"/>
    </row>
  </sheetData>
  <mergeCells count="33">
    <mergeCell ref="B83:J83"/>
    <mergeCell ref="C2:F2"/>
    <mergeCell ref="B3:F3"/>
    <mergeCell ref="G3:J3"/>
    <mergeCell ref="B74:J74"/>
    <mergeCell ref="B75:J75"/>
    <mergeCell ref="B76:J76"/>
    <mergeCell ref="B77:J77"/>
    <mergeCell ref="B78:J78"/>
    <mergeCell ref="B79:J79"/>
    <mergeCell ref="B80:J80"/>
    <mergeCell ref="B81:J81"/>
    <mergeCell ref="C114:G114"/>
    <mergeCell ref="C103:G103"/>
    <mergeCell ref="C104:G104"/>
    <mergeCell ref="C105:G105"/>
    <mergeCell ref="C106:G106"/>
    <mergeCell ref="C107:G107"/>
    <mergeCell ref="C108:G108"/>
    <mergeCell ref="C109:G109"/>
    <mergeCell ref="C110:G110"/>
    <mergeCell ref="C111:G111"/>
    <mergeCell ref="C112:G112"/>
    <mergeCell ref="C113:G113"/>
    <mergeCell ref="C121:G121"/>
    <mergeCell ref="C122:G122"/>
    <mergeCell ref="C123:G123"/>
    <mergeCell ref="C115:G115"/>
    <mergeCell ref="C116:G116"/>
    <mergeCell ref="C117:G117"/>
    <mergeCell ref="C118:G118"/>
    <mergeCell ref="C119:G119"/>
    <mergeCell ref="C120:G120"/>
  </mergeCells>
  <conditionalFormatting sqref="B95:B99">
    <cfRule type="expression" dxfId="15" priority="17">
      <formula>ROUND($B95,2)=ROUND(sel_util,2)</formula>
    </cfRule>
  </conditionalFormatting>
  <conditionalFormatting sqref="C87:I91">
    <cfRule type="colorScale" priority="10">
      <colorScale>
        <cfvo type="num" val="6"/>
        <cfvo type="num" val="15"/>
        <cfvo type="num" val="24"/>
        <color rgb="FF10B981"/>
        <color rgb="FF8896B3"/>
        <color rgb="FFE5484D"/>
      </colorScale>
    </cfRule>
    <cfRule type="expression" dxfId="14" priority="11">
      <formula>C87&gt;=999</formula>
    </cfRule>
  </conditionalFormatting>
  <conditionalFormatting sqref="C95:I99">
    <cfRule type="colorScale" priority="16">
      <colorScale>
        <cfvo type="min"/>
        <cfvo type="num" val="0"/>
        <cfvo type="max"/>
        <color rgb="FFE5484D"/>
        <color rgb="FF8896B3"/>
        <color rgb="FF10B981"/>
      </colorScale>
    </cfRule>
  </conditionalFormatting>
  <conditionalFormatting sqref="C25:J26">
    <cfRule type="expression" dxfId="13" priority="18">
      <formula>NOT(_xlfn.ISFORMULA(C25))</formula>
    </cfRule>
  </conditionalFormatting>
  <conditionalFormatting sqref="C70:J70">
    <cfRule type="expression" dxfId="12" priority="8">
      <formula>C70&lt;0</formula>
    </cfRule>
    <cfRule type="expression" dxfId="11" priority="9">
      <formula>C70&gt;=0</formula>
    </cfRule>
  </conditionalFormatting>
  <conditionalFormatting sqref="C71:J71">
    <cfRule type="expression" dxfId="10" priority="3">
      <formula>EXACT(C71,"PASS-fast")</formula>
    </cfRule>
    <cfRule type="expression" dxfId="9" priority="4">
      <formula>EXACT(C71,"PASS-buffer")</formula>
    </cfRule>
    <cfRule type="expression" dxfId="8" priority="5">
      <formula>EXACT(C71,"CAUTION")</formula>
    </cfRule>
    <cfRule type="expression" dxfId="7" priority="6">
      <formula>EXACT(C71,"FAIL")</formula>
    </cfRule>
    <cfRule type="expression" dxfId="6" priority="7">
      <formula>EXACT(C71,"INACTIVE")</formula>
    </cfRule>
  </conditionalFormatting>
  <conditionalFormatting sqref="F38:F45">
    <cfRule type="cellIs" dxfId="5" priority="1" operator="equal">
      <formula>"YES"</formula>
    </cfRule>
    <cfRule type="cellIs" dxfId="4" priority="2" operator="equal">
      <formula>"NO"</formula>
    </cfRule>
  </conditionalFormatting>
  <conditionalFormatting sqref="J102">
    <cfRule type="expression" dxfId="3" priority="14">
      <formula>LEFT(J102,4)="PASS"</formula>
    </cfRule>
    <cfRule type="expression" dxfId="2" priority="15">
      <formula>LEFT(J102,4)="FAIL"</formula>
    </cfRule>
  </conditionalFormatting>
  <conditionalFormatting sqref="J104:J123">
    <cfRule type="expression" dxfId="1" priority="12">
      <formula>EXACT(J104,"PASS")</formula>
    </cfRule>
    <cfRule type="expression" dxfId="0" priority="13">
      <formula>EXACT(J104,"FAIL")</formula>
    </cfRule>
  </conditionalFormatting>
  <dataValidations count="22">
    <dataValidation type="whole" allowBlank="1" showInputMessage="1" showErrorMessage="1" sqref="F32:J32 J13:J14" xr:uid="{5D3C8D09-EC1B-194E-A1EB-E482A7C6D176}">
      <formula1>0</formula1>
      <formula2>12</formula2>
    </dataValidation>
    <dataValidation type="decimal" allowBlank="1" showInputMessage="1" showErrorMessage="1" sqref="F29:J29" xr:uid="{C3B9CAB2-B60F-EF47-84D0-DF5C2739BC2A}">
      <formula1>0</formula1>
      <formula2>300</formula2>
    </dataValidation>
    <dataValidation type="decimal" allowBlank="1" showInputMessage="1" showErrorMessage="1" sqref="F25:J25 F28:J28 F30:J30" xr:uid="{33CC080D-A930-5545-8D06-C2A01CBCE742}">
      <formula1>0</formula1>
      <formula2>1</formula2>
    </dataValidation>
    <dataValidation type="decimal" operator="greaterThanOrEqual" allowBlank="1" showInputMessage="1" showErrorMessage="1" sqref="F24:J24 E26:J26 F31:J31 G13:I14" xr:uid="{8B2B7737-F307-114D-B59F-8F6A16E98ABA}">
      <formula1>0</formula1>
    </dataValidation>
    <dataValidation type="whole" allowBlank="1" showInputMessage="1" showErrorMessage="1" sqref="F23:J23 F27:J27" xr:uid="{6BB0C00B-99D7-C043-8634-13BED7DD2104}">
      <formula1>1</formula1>
      <formula2>24</formula2>
    </dataValidation>
    <dataValidation type="list" allowBlank="1" showInputMessage="1" showErrorMessage="1" sqref="F21:J21" xr:uid="{932D9C69-5428-0F4D-A811-F5294BC13AEC}">
      <formula1>"TRUE,FALSE"</formula1>
    </dataValidation>
    <dataValidation type="list" allowBlank="1" showInputMessage="1" showErrorMessage="1" sqref="J85" xr:uid="{D5888391-22CC-D140-B8CD-8003F1B618EE}">
      <formula1>$C$20:$J$20</formula1>
    </dataValidation>
    <dataValidation type="whole" allowBlank="1" showInputMessage="1" showErrorMessage="1" errorTitle="Invalid lag" error="Collection lag must be a whole number from 0 to 12 months." sqref="C32:E32" xr:uid="{44AC4D56-DFC2-2742-8130-CE8196FBC842}">
      <formula1>0</formula1>
      <formula2>12</formula2>
    </dataValidation>
    <dataValidation type="decimal" operator="greaterThanOrEqual" allowBlank="1" showInputMessage="1" showErrorMessage="1" errorTitle="Invalid rate" error="Billable rate must be ≥ 0." sqref="C31:E31" xr:uid="{705C77C3-D4EB-ED4C-A40D-90C1930F7497}">
      <formula1>0</formula1>
    </dataValidation>
    <dataValidation type="decimal" allowBlank="1" showInputMessage="1" showErrorMessage="1" errorTitle="Invalid utilization" error="Utilization must be between 0% and 100%." sqref="C30:E30" xr:uid="{3042523D-E102-6941-8CD4-6A517FEA8193}">
      <formula1>0</formula1>
      <formula2>1</formula2>
    </dataValidation>
    <dataValidation type="decimal" allowBlank="1" showInputMessage="1" showErrorMessage="1" errorTitle="Invalid hours" error="Billable hours per month must be 0–300." sqref="C29:E29" xr:uid="{9C5EC8B6-2B73-9343-BCAF-5B82E5301AC0}">
      <formula1>0</formula1>
      <formula2>300</formula2>
    </dataValidation>
    <dataValidation type="decimal" allowBlank="1" showInputMessage="1" showErrorMessage="1" errorTitle="Invalid productivity" error="Month-1 productivity must be between 0% and 100%." sqref="C28:E28" xr:uid="{5639AAE4-490C-4B42-A7A0-223B6C10FC3B}">
      <formula1>0</formula1>
      <formula2>1</formula2>
    </dataValidation>
    <dataValidation type="whole" allowBlank="1" showInputMessage="1" showErrorMessage="1" errorTitle="Invalid ramp" error="Ramp must be a whole number from 1 to 24 months." sqref="C27:E27" xr:uid="{D0E992AF-E7D0-374B-B054-8002129893FB}">
      <formula1>1</formula1>
      <formula2>24</formula2>
    </dataValidation>
    <dataValidation type="decimal" operator="greaterThanOrEqual" allowBlank="1" showInputMessage="1" showErrorMessage="1" errorTitle="Invalid benefits" error="Benefits must be a number ≥ 0." sqref="C26:D26" xr:uid="{979ED758-090B-CF4C-81C5-75DAC84DBC6B}">
      <formula1>0</formula1>
    </dataValidation>
    <dataValidation type="decimal" allowBlank="1" showInputMessage="1" showErrorMessage="1" errorTitle="Invalid on-cost" error="On-cost must be a percentage between 0% and 100%." sqref="C25:E25" xr:uid="{0BC69FAB-689D-9042-A715-A354FFEBE39C}">
      <formula1>0</formula1>
      <formula2>1</formula2>
    </dataValidation>
    <dataValidation type="decimal" operator="greaterThanOrEqual" allowBlank="1" showInputMessage="1" showErrorMessage="1" errorTitle="Invalid salary" error="Salary must be a number ≥ 0." sqref="C24:E24" xr:uid="{658747C7-E89D-3240-AE1B-B228F1F230F0}">
      <formula1>0</formula1>
    </dataValidation>
    <dataValidation type="whole" allowBlank="1" showInputMessage="1" showErrorMessage="1" errorTitle="Invalid start month" error="Start month must be a whole number from 1 to 24." sqref="C23:E23" xr:uid="{95B2C6A5-4BDF-C74A-B4FC-E0B851C25252}">
      <formula1>1</formula1>
      <formula2>24</formula2>
    </dataValidation>
    <dataValidation type="list" allowBlank="1" showInputMessage="1" showErrorMessage="1" errorTitle="Invalid" error="Pick TRUE or FALSE." sqref="C21:E21" xr:uid="{3C74B925-D863-CF4B-80D4-CA26811DA870}">
      <formula1>"TRUE,FALSE"</formula1>
    </dataValidation>
    <dataValidation type="decimal" allowBlank="1" showInputMessage="1" showErrorMessage="1" errorTitle="Invalid growth rate" error="Enter a monthly growth rate between -100% and +100%." sqref="C15" xr:uid="{AD337C94-8D1B-4640-9A82-20D57E759601}">
      <formula1>-1</formula1>
      <formula2>1</formula2>
    </dataValidation>
    <dataValidation type="decimal" operator="greaterThanOrEqual" allowBlank="1" showInputMessage="1" showErrorMessage="1" errorTitle="Invalid input" error="Enter a number ≥ 0 (no text or negatives)." sqref="C10:C14" xr:uid="{7306EAF4-98E5-544F-B95D-702D8206B3E8}">
      <formula1>0</formula1>
    </dataValidation>
    <dataValidation type="list" allowBlank="1" showInputMessage="1" showErrorMessage="1" errorTitle="Invalid region" error="Pick AU, NZ, or US." promptTitle="Region" prompt="Choose: AU, NZ, or US." sqref="H2" xr:uid="{FA40B780-9F5C-2B42-9E2C-C19399BC7428}">
      <formula1>"AU,NZ,US"</formula1>
    </dataValidation>
    <dataValidation type="list" allowBlank="1" showInputMessage="1" showErrorMessage="1" errorTitle="Invalid scenario" error="Pick Base, Downside, or Upside." promptTitle="Scenario" prompt="Choose: Base, Downside, or Upside." sqref="J2" xr:uid="{1B0E01C0-26AE-DC4A-977C-2D412AEE9990}">
      <formula1>"Base,Downside,Upside"</formula1>
    </dataValidation>
  </dataValidations>
  <hyperlinks>
    <hyperlink ref="B83" r:id="rId1" tooltip="Book a fit call · Infraxus" xr:uid="{0D48AA95-1761-8348-93E0-353090C83054}"/>
  </hyperlinks>
  <printOptions horizontalCentered="1"/>
  <pageMargins left="0.4" right="0.4" top="0.5" bottom="0.5" header="0.3" footer="0.3"/>
  <pageSetup fitToHeight="0" orientation="landscape"/>
  <headerFooter>
    <oddHeader>&amp;L&amp;9 &amp;K8896B3Infraxus · Hire Impact Calculator&amp;R&amp;9 &amp;K8896B3&amp;D</oddHeader>
    <oddFooter>&amp;L&amp;9 &amp;K8896B3infraxus.com&amp;R&amp;9 &amp;K8896B3Page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268</vt:i4>
      </vt:variant>
    </vt:vector>
  </HeadingPairs>
  <TitlesOfParts>
    <vt:vector size="271" baseType="lpstr">
      <vt:lpstr>Read Me</vt:lpstr>
      <vt:lpstr>Calculator</vt:lpstr>
      <vt:lpstr>Sample</vt:lpstr>
      <vt:lpstr>Calculator!calc_scn_collect_add</vt:lpstr>
      <vt:lpstr>Sample!calc_scn_collect_add</vt:lpstr>
      <vt:lpstr>Calculator!calc_scn_cost_mult</vt:lpstr>
      <vt:lpstr>Sample!calc_scn_cost_mult</vt:lpstr>
      <vt:lpstr>Calculator!calc_scn_rev_mult</vt:lpstr>
      <vt:lpstr>Sample!calc_scn_rev_mult</vt:lpstr>
      <vt:lpstr>Calculator!calc_scn_util_mult</vt:lpstr>
      <vt:lpstr>Sample!calc_scn_util_mult</vt:lpstr>
      <vt:lpstr>Calculator!inp_biz_cash_open</vt:lpstr>
      <vt:lpstr>Sample!inp_biz_cash_open</vt:lpstr>
      <vt:lpstr>Calculator!inp_biz_floor</vt:lpstr>
      <vt:lpstr>Sample!inp_biz_floor</vt:lpstr>
      <vt:lpstr>Calculator!inp_biz_opex_m0</vt:lpstr>
      <vt:lpstr>Sample!inp_biz_opex_m0</vt:lpstr>
      <vt:lpstr>Calculator!inp_biz_payroll_m0</vt:lpstr>
      <vt:lpstr>Sample!inp_biz_payroll_m0</vt:lpstr>
      <vt:lpstr>Calculator!inp_biz_region</vt:lpstr>
      <vt:lpstr>Sample!inp_biz_region</vt:lpstr>
      <vt:lpstr>Calculator!inp_biz_rev_growth</vt:lpstr>
      <vt:lpstr>Sample!inp_biz_rev_growth</vt:lpstr>
      <vt:lpstr>Calculator!inp_biz_revenue_m0</vt:lpstr>
      <vt:lpstr>Sample!inp_biz_revenue_m0</vt:lpstr>
      <vt:lpstr>Calculator!inp_c1_active</vt:lpstr>
      <vt:lpstr>Sample!inp_c1_active</vt:lpstr>
      <vt:lpstr>Calculator!inp_c1_benefits</vt:lpstr>
      <vt:lpstr>Sample!inp_c1_benefits</vt:lpstr>
      <vt:lpstr>Calculator!inp_c1_bill_hours</vt:lpstr>
      <vt:lpstr>Sample!inp_c1_bill_hours</vt:lpstr>
      <vt:lpstr>Calculator!inp_c1_collect_lag</vt:lpstr>
      <vt:lpstr>Sample!inp_c1_collect_lag</vt:lpstr>
      <vt:lpstr>Calculator!inp_c1_m1_prod</vt:lpstr>
      <vt:lpstr>Sample!inp_c1_m1_prod</vt:lpstr>
      <vt:lpstr>Calculator!inp_c1_oncost</vt:lpstr>
      <vt:lpstr>Sample!inp_c1_oncost</vt:lpstr>
      <vt:lpstr>Calculator!inp_c1_ramp_m</vt:lpstr>
      <vt:lpstr>Sample!inp_c1_ramp_m</vt:lpstr>
      <vt:lpstr>Calculator!inp_c1_rate</vt:lpstr>
      <vt:lpstr>Sample!inp_c1_rate</vt:lpstr>
      <vt:lpstr>Calculator!inp_c1_role</vt:lpstr>
      <vt:lpstr>Sample!inp_c1_role</vt:lpstr>
      <vt:lpstr>Calculator!inp_c1_salary</vt:lpstr>
      <vt:lpstr>Sample!inp_c1_salary</vt:lpstr>
      <vt:lpstr>Calculator!inp_c1_start_m</vt:lpstr>
      <vt:lpstr>Sample!inp_c1_start_m</vt:lpstr>
      <vt:lpstr>Calculator!inp_c1_util</vt:lpstr>
      <vt:lpstr>Sample!inp_c1_util</vt:lpstr>
      <vt:lpstr>Calculator!inp_c2_active</vt:lpstr>
      <vt:lpstr>Sample!inp_c2_active</vt:lpstr>
      <vt:lpstr>Calculator!inp_c2_benefits</vt:lpstr>
      <vt:lpstr>Sample!inp_c2_benefits</vt:lpstr>
      <vt:lpstr>Calculator!inp_c2_bill_hours</vt:lpstr>
      <vt:lpstr>Sample!inp_c2_bill_hours</vt:lpstr>
      <vt:lpstr>Calculator!inp_c2_collect_lag</vt:lpstr>
      <vt:lpstr>Sample!inp_c2_collect_lag</vt:lpstr>
      <vt:lpstr>Calculator!inp_c2_m1_prod</vt:lpstr>
      <vt:lpstr>Sample!inp_c2_m1_prod</vt:lpstr>
      <vt:lpstr>Calculator!inp_c2_oncost</vt:lpstr>
      <vt:lpstr>Sample!inp_c2_oncost</vt:lpstr>
      <vt:lpstr>Calculator!inp_c2_ramp_m</vt:lpstr>
      <vt:lpstr>Sample!inp_c2_ramp_m</vt:lpstr>
      <vt:lpstr>Calculator!inp_c2_rate</vt:lpstr>
      <vt:lpstr>Sample!inp_c2_rate</vt:lpstr>
      <vt:lpstr>Calculator!inp_c2_role</vt:lpstr>
      <vt:lpstr>Sample!inp_c2_role</vt:lpstr>
      <vt:lpstr>Calculator!inp_c2_salary</vt:lpstr>
      <vt:lpstr>Sample!inp_c2_salary</vt:lpstr>
      <vt:lpstr>Calculator!inp_c2_start_m</vt:lpstr>
      <vt:lpstr>Sample!inp_c2_start_m</vt:lpstr>
      <vt:lpstr>Calculator!inp_c2_util</vt:lpstr>
      <vt:lpstr>Sample!inp_c2_util</vt:lpstr>
      <vt:lpstr>Calculator!inp_c3_active</vt:lpstr>
      <vt:lpstr>Sample!inp_c3_active</vt:lpstr>
      <vt:lpstr>Calculator!inp_c3_benefits</vt:lpstr>
      <vt:lpstr>Sample!inp_c3_benefits</vt:lpstr>
      <vt:lpstr>Calculator!inp_c3_bill_hours</vt:lpstr>
      <vt:lpstr>Sample!inp_c3_bill_hours</vt:lpstr>
      <vt:lpstr>Calculator!inp_c3_collect_lag</vt:lpstr>
      <vt:lpstr>Sample!inp_c3_collect_lag</vt:lpstr>
      <vt:lpstr>Calculator!inp_c3_m1_prod</vt:lpstr>
      <vt:lpstr>Sample!inp_c3_m1_prod</vt:lpstr>
      <vt:lpstr>Calculator!inp_c3_oncost</vt:lpstr>
      <vt:lpstr>Sample!inp_c3_oncost</vt:lpstr>
      <vt:lpstr>Calculator!inp_c3_ramp_m</vt:lpstr>
      <vt:lpstr>Sample!inp_c3_ramp_m</vt:lpstr>
      <vt:lpstr>Calculator!inp_c3_rate</vt:lpstr>
      <vt:lpstr>Sample!inp_c3_rate</vt:lpstr>
      <vt:lpstr>Calculator!inp_c3_role</vt:lpstr>
      <vt:lpstr>Sample!inp_c3_role</vt:lpstr>
      <vt:lpstr>Calculator!inp_c3_salary</vt:lpstr>
      <vt:lpstr>Sample!inp_c3_salary</vt:lpstr>
      <vt:lpstr>Calculator!inp_c3_start_m</vt:lpstr>
      <vt:lpstr>Sample!inp_c3_start_m</vt:lpstr>
      <vt:lpstr>Calculator!inp_c3_util</vt:lpstr>
      <vt:lpstr>Sample!inp_c3_util</vt:lpstr>
      <vt:lpstr>Calculator!inp_c4_active</vt:lpstr>
      <vt:lpstr>Sample!inp_c4_active</vt:lpstr>
      <vt:lpstr>Calculator!inp_c4_benefits</vt:lpstr>
      <vt:lpstr>Sample!inp_c4_benefits</vt:lpstr>
      <vt:lpstr>Calculator!inp_c4_bill_hours</vt:lpstr>
      <vt:lpstr>Sample!inp_c4_bill_hours</vt:lpstr>
      <vt:lpstr>Calculator!inp_c4_collect_lag</vt:lpstr>
      <vt:lpstr>Sample!inp_c4_collect_lag</vt:lpstr>
      <vt:lpstr>Calculator!inp_c4_m1_prod</vt:lpstr>
      <vt:lpstr>Sample!inp_c4_m1_prod</vt:lpstr>
      <vt:lpstr>Calculator!inp_c4_oncost</vt:lpstr>
      <vt:lpstr>Sample!inp_c4_oncost</vt:lpstr>
      <vt:lpstr>Calculator!inp_c4_ramp_m</vt:lpstr>
      <vt:lpstr>Sample!inp_c4_ramp_m</vt:lpstr>
      <vt:lpstr>Calculator!inp_c4_rate</vt:lpstr>
      <vt:lpstr>Sample!inp_c4_rate</vt:lpstr>
      <vt:lpstr>Calculator!inp_c4_role</vt:lpstr>
      <vt:lpstr>Sample!inp_c4_role</vt:lpstr>
      <vt:lpstr>Calculator!inp_c4_salary</vt:lpstr>
      <vt:lpstr>Sample!inp_c4_salary</vt:lpstr>
      <vt:lpstr>Calculator!inp_c4_start_m</vt:lpstr>
      <vt:lpstr>Sample!inp_c4_start_m</vt:lpstr>
      <vt:lpstr>Calculator!inp_c4_util</vt:lpstr>
      <vt:lpstr>Sample!inp_c4_util</vt:lpstr>
      <vt:lpstr>Calculator!inp_c5_active</vt:lpstr>
      <vt:lpstr>Sample!inp_c5_active</vt:lpstr>
      <vt:lpstr>Calculator!inp_c5_benefits</vt:lpstr>
      <vt:lpstr>Sample!inp_c5_benefits</vt:lpstr>
      <vt:lpstr>Calculator!inp_c5_bill_hours</vt:lpstr>
      <vt:lpstr>Sample!inp_c5_bill_hours</vt:lpstr>
      <vt:lpstr>Calculator!inp_c5_collect_lag</vt:lpstr>
      <vt:lpstr>Sample!inp_c5_collect_lag</vt:lpstr>
      <vt:lpstr>Calculator!inp_c5_m1_prod</vt:lpstr>
      <vt:lpstr>Sample!inp_c5_m1_prod</vt:lpstr>
      <vt:lpstr>Calculator!inp_c5_oncost</vt:lpstr>
      <vt:lpstr>Sample!inp_c5_oncost</vt:lpstr>
      <vt:lpstr>Calculator!inp_c5_ramp_m</vt:lpstr>
      <vt:lpstr>Sample!inp_c5_ramp_m</vt:lpstr>
      <vt:lpstr>Calculator!inp_c5_rate</vt:lpstr>
      <vt:lpstr>Sample!inp_c5_rate</vt:lpstr>
      <vt:lpstr>Calculator!inp_c5_role</vt:lpstr>
      <vt:lpstr>Sample!inp_c5_role</vt:lpstr>
      <vt:lpstr>Calculator!inp_c5_salary</vt:lpstr>
      <vt:lpstr>Sample!inp_c5_salary</vt:lpstr>
      <vt:lpstr>Calculator!inp_c5_start_m</vt:lpstr>
      <vt:lpstr>Sample!inp_c5_start_m</vt:lpstr>
      <vt:lpstr>Calculator!inp_c5_util</vt:lpstr>
      <vt:lpstr>Sample!inp_c5_util</vt:lpstr>
      <vt:lpstr>Calculator!inp_c6_active</vt:lpstr>
      <vt:lpstr>Sample!inp_c6_active</vt:lpstr>
      <vt:lpstr>Calculator!inp_c6_benefits</vt:lpstr>
      <vt:lpstr>Sample!inp_c6_benefits</vt:lpstr>
      <vt:lpstr>Calculator!inp_c6_bill_hours</vt:lpstr>
      <vt:lpstr>Sample!inp_c6_bill_hours</vt:lpstr>
      <vt:lpstr>Calculator!inp_c6_collect_lag</vt:lpstr>
      <vt:lpstr>Sample!inp_c6_collect_lag</vt:lpstr>
      <vt:lpstr>Calculator!inp_c6_m1_prod</vt:lpstr>
      <vt:lpstr>Sample!inp_c6_m1_prod</vt:lpstr>
      <vt:lpstr>Calculator!inp_c6_oncost</vt:lpstr>
      <vt:lpstr>Sample!inp_c6_oncost</vt:lpstr>
      <vt:lpstr>Calculator!inp_c6_ramp_m</vt:lpstr>
      <vt:lpstr>Sample!inp_c6_ramp_m</vt:lpstr>
      <vt:lpstr>Calculator!inp_c6_rate</vt:lpstr>
      <vt:lpstr>Sample!inp_c6_rate</vt:lpstr>
      <vt:lpstr>Calculator!inp_c6_role</vt:lpstr>
      <vt:lpstr>Sample!inp_c6_role</vt:lpstr>
      <vt:lpstr>Calculator!inp_c6_salary</vt:lpstr>
      <vt:lpstr>Sample!inp_c6_salary</vt:lpstr>
      <vt:lpstr>Calculator!inp_c6_start_m</vt:lpstr>
      <vt:lpstr>Sample!inp_c6_start_m</vt:lpstr>
      <vt:lpstr>Calculator!inp_c6_util</vt:lpstr>
      <vt:lpstr>Sample!inp_c6_util</vt:lpstr>
      <vt:lpstr>Calculator!inp_c7_active</vt:lpstr>
      <vt:lpstr>Sample!inp_c7_active</vt:lpstr>
      <vt:lpstr>Calculator!inp_c7_benefits</vt:lpstr>
      <vt:lpstr>Sample!inp_c7_benefits</vt:lpstr>
      <vt:lpstr>Calculator!inp_c7_bill_hours</vt:lpstr>
      <vt:lpstr>Sample!inp_c7_bill_hours</vt:lpstr>
      <vt:lpstr>Calculator!inp_c7_collect_lag</vt:lpstr>
      <vt:lpstr>Sample!inp_c7_collect_lag</vt:lpstr>
      <vt:lpstr>Calculator!inp_c7_m1_prod</vt:lpstr>
      <vt:lpstr>Sample!inp_c7_m1_prod</vt:lpstr>
      <vt:lpstr>Calculator!inp_c7_oncost</vt:lpstr>
      <vt:lpstr>Sample!inp_c7_oncost</vt:lpstr>
      <vt:lpstr>Calculator!inp_c7_ramp_m</vt:lpstr>
      <vt:lpstr>Sample!inp_c7_ramp_m</vt:lpstr>
      <vt:lpstr>Calculator!inp_c7_rate</vt:lpstr>
      <vt:lpstr>Sample!inp_c7_rate</vt:lpstr>
      <vt:lpstr>Calculator!inp_c7_role</vt:lpstr>
      <vt:lpstr>Sample!inp_c7_role</vt:lpstr>
      <vt:lpstr>Calculator!inp_c7_salary</vt:lpstr>
      <vt:lpstr>Sample!inp_c7_salary</vt:lpstr>
      <vt:lpstr>Calculator!inp_c7_start_m</vt:lpstr>
      <vt:lpstr>Sample!inp_c7_start_m</vt:lpstr>
      <vt:lpstr>Calculator!inp_c7_util</vt:lpstr>
      <vt:lpstr>Sample!inp_c7_util</vt:lpstr>
      <vt:lpstr>Calculator!inp_c8_active</vt:lpstr>
      <vt:lpstr>Sample!inp_c8_active</vt:lpstr>
      <vt:lpstr>Calculator!inp_c8_benefits</vt:lpstr>
      <vt:lpstr>Sample!inp_c8_benefits</vt:lpstr>
      <vt:lpstr>Calculator!inp_c8_bill_hours</vt:lpstr>
      <vt:lpstr>Sample!inp_c8_bill_hours</vt:lpstr>
      <vt:lpstr>Calculator!inp_c8_collect_lag</vt:lpstr>
      <vt:lpstr>Sample!inp_c8_collect_lag</vt:lpstr>
      <vt:lpstr>Calculator!inp_c8_m1_prod</vt:lpstr>
      <vt:lpstr>Sample!inp_c8_m1_prod</vt:lpstr>
      <vt:lpstr>Calculator!inp_c8_oncost</vt:lpstr>
      <vt:lpstr>Sample!inp_c8_oncost</vt:lpstr>
      <vt:lpstr>Calculator!inp_c8_ramp_m</vt:lpstr>
      <vt:lpstr>Sample!inp_c8_ramp_m</vt:lpstr>
      <vt:lpstr>Calculator!inp_c8_rate</vt:lpstr>
      <vt:lpstr>Sample!inp_c8_rate</vt:lpstr>
      <vt:lpstr>Calculator!inp_c8_role</vt:lpstr>
      <vt:lpstr>Sample!inp_c8_role</vt:lpstr>
      <vt:lpstr>Calculator!inp_c8_salary</vt:lpstr>
      <vt:lpstr>Sample!inp_c8_salary</vt:lpstr>
      <vt:lpstr>Calculator!inp_c8_start_m</vt:lpstr>
      <vt:lpstr>Sample!inp_c8_start_m</vt:lpstr>
      <vt:lpstr>Calculator!inp_c8_util</vt:lpstr>
      <vt:lpstr>Sample!inp_c8_util</vt:lpstr>
      <vt:lpstr>Calculator!inp_scn_active</vt:lpstr>
      <vt:lpstr>Sample!inp_scn_active</vt:lpstr>
      <vt:lpstr>Calculator!Print_Area</vt:lpstr>
      <vt:lpstr>'Read Me'!Print_Area</vt:lpstr>
      <vt:lpstr>Sample!Print_Area</vt:lpstr>
      <vt:lpstr>Calculator!Print_Titles</vt:lpstr>
      <vt:lpstr>'Read Me'!Print_Titles</vt:lpstr>
      <vt:lpstr>Sample!Print_Titles</vt:lpstr>
      <vt:lpstr>Calculator!ref_region_benefits_all</vt:lpstr>
      <vt:lpstr>Sample!ref_region_benefits_all</vt:lpstr>
      <vt:lpstr>Calculator!ref_region_codes</vt:lpstr>
      <vt:lpstr>Sample!ref_region_codes</vt:lpstr>
      <vt:lpstr>Calculator!ref_region_currency</vt:lpstr>
      <vt:lpstr>Sample!ref_region_currency</vt:lpstr>
      <vt:lpstr>Calculator!ref_region_fiscal</vt:lpstr>
      <vt:lpstr>Sample!ref_region_fiscal</vt:lpstr>
      <vt:lpstr>Calculator!ref_region_note</vt:lpstr>
      <vt:lpstr>Sample!ref_region_note</vt:lpstr>
      <vt:lpstr>Calculator!ref_region_oncost_all</vt:lpstr>
      <vt:lpstr>Sample!ref_region_oncost_all</vt:lpstr>
      <vt:lpstr>Calculator!ref_region_super_lbl</vt:lpstr>
      <vt:lpstr>Sample!ref_region_super_lbl</vt:lpstr>
      <vt:lpstr>Calculator!ref_scn_codes</vt:lpstr>
      <vt:lpstr>Sample!ref_scn_codes</vt:lpstr>
      <vt:lpstr>Calculator!ref_scn_collect_all</vt:lpstr>
      <vt:lpstr>Sample!ref_scn_collect_all</vt:lpstr>
      <vt:lpstr>Calculator!ref_scn_cost_all</vt:lpstr>
      <vt:lpstr>Sample!ref_scn_cost_all</vt:lpstr>
      <vt:lpstr>Calculator!ref_scn_rev_all</vt:lpstr>
      <vt:lpstr>Sample!ref_scn_rev_all</vt:lpstr>
      <vt:lpstr>Calculator!ref_scn_util_all</vt:lpstr>
      <vt:lpstr>Sample!ref_scn_util_all</vt:lpstr>
      <vt:lpstr>Calculator!sel_benefits</vt:lpstr>
      <vt:lpstr>Sample!sel_benefits</vt:lpstr>
      <vt:lpstr>Calculator!sel_bill_hours</vt:lpstr>
      <vt:lpstr>Sample!sel_bill_hours</vt:lpstr>
      <vt:lpstr>Calculator!sel_collect_lag</vt:lpstr>
      <vt:lpstr>Sample!sel_collect_lag</vt:lpstr>
      <vt:lpstr>Calculator!sel_idx</vt:lpstr>
      <vt:lpstr>Sample!sel_idx</vt:lpstr>
      <vt:lpstr>Calculator!sel_m1_prod</vt:lpstr>
      <vt:lpstr>Sample!sel_m1_prod</vt:lpstr>
      <vt:lpstr>Calculator!sel_oncost</vt:lpstr>
      <vt:lpstr>Sample!sel_oncost</vt:lpstr>
      <vt:lpstr>Calculator!sel_ramp_m</vt:lpstr>
      <vt:lpstr>Sample!sel_ramp_m</vt:lpstr>
      <vt:lpstr>Calculator!sel_rate</vt:lpstr>
      <vt:lpstr>Sample!sel_rate</vt:lpstr>
      <vt:lpstr>Calculator!sel_salary</vt:lpstr>
      <vt:lpstr>Sample!sel_salary</vt:lpstr>
      <vt:lpstr>Calculator!sel_start_m</vt:lpstr>
      <vt:lpstr>Sample!sel_start_m</vt:lpstr>
      <vt:lpstr>Calculator!sel_util</vt:lpstr>
      <vt:lpstr>Sample!sel_util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Infraxus, Hire Impact Calculator</dc:title>
  <dc:creator>Infraxus</dc:creator>
  <dc:description>Free hire-decision calculator for owner-operators of $2M–$15M services businesses across AU, NZ, and US. Built by Infraxus, infraxus.com</dc:description>
  <cp:lastModifiedBy>Liam Collier</cp:lastModifiedBy>
  <dcterms:created xsi:type="dcterms:W3CDTF">2026-05-26T20:13:27Z</dcterms:created>
  <dcterms:modified xsi:type="dcterms:W3CDTF">2026-06-04T03:37:14Z</dcterms:modified>
</cp:coreProperties>
</file>