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drawings/drawing5.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liamcollier/Desktop/Final/"/>
    </mc:Choice>
  </mc:AlternateContent>
  <xr:revisionPtr revIDLastSave="0" documentId="13_ncr:1_{8158FA3E-25A9-BE45-8AB8-B36A0AFA0484}" xr6:coauthVersionLast="47" xr6:coauthVersionMax="47" xr10:uidLastSave="{00000000-0000-0000-0000-000000000000}"/>
  <bookViews>
    <workbookView xWindow="51200" yWindow="620" windowWidth="51200" windowHeight="26700" xr2:uid="{00000000-000D-0000-FFFF-FFFF00000000}"/>
  </bookViews>
  <sheets>
    <sheet name="Read Me" sheetId="5" r:id="rId1"/>
    <sheet name="Bridge" sheetId="1" r:id="rId2"/>
    <sheet name="Direct Cost Allocator" sheetId="2" r:id="rId3"/>
    <sheet name="Sample" sheetId="3" r:id="rId4"/>
    <sheet name="Sample Allocator" sheetId="4" r:id="rId5"/>
  </sheets>
  <definedNames>
    <definedName name="alloc_dc_a_sl1" localSheetId="1">'Direct Cost Allocator'!$E$43</definedName>
    <definedName name="alloc_dc_a_sl1" localSheetId="3">'Sample Allocator'!$E$43</definedName>
    <definedName name="alloc_dc_a_sl2" localSheetId="1">'Direct Cost Allocator'!$E$44</definedName>
    <definedName name="alloc_dc_a_sl2" localSheetId="3">'Sample Allocator'!$E$44</definedName>
    <definedName name="alloc_dc_a_sl3" localSheetId="1">'Direct Cost Allocator'!$E$45</definedName>
    <definedName name="alloc_dc_a_sl3" localSheetId="3">'Sample Allocator'!$E$45</definedName>
    <definedName name="alloc_dc_a_sl4" localSheetId="1">'Direct Cost Allocator'!$E$46</definedName>
    <definedName name="alloc_dc_a_sl4" localSheetId="3">'Sample Allocator'!$E$46</definedName>
    <definedName name="alloc_dc_a_sl5" localSheetId="1">'Direct Cost Allocator'!$E$47</definedName>
    <definedName name="alloc_dc_a_sl5" localSheetId="3">'Sample Allocator'!$E$47</definedName>
    <definedName name="alloc_dc_a_sl6" localSheetId="1">'Direct Cost Allocator'!$E$48</definedName>
    <definedName name="alloc_dc_a_sl6" localSheetId="3">'Sample Allocator'!$E$48</definedName>
    <definedName name="alloc_dc_b_sl1" localSheetId="1">'Direct Cost Allocator'!$H$43</definedName>
    <definedName name="alloc_dc_b_sl1" localSheetId="3">'Sample Allocator'!$H$43</definedName>
    <definedName name="alloc_dc_b_sl2" localSheetId="1">'Direct Cost Allocator'!$H$44</definedName>
    <definedName name="alloc_dc_b_sl2" localSheetId="3">'Sample Allocator'!$H$44</definedName>
    <definedName name="alloc_dc_b_sl3" localSheetId="1">'Direct Cost Allocator'!$H$45</definedName>
    <definedName name="alloc_dc_b_sl3" localSheetId="3">'Sample Allocator'!$H$45</definedName>
    <definedName name="alloc_dc_b_sl4" localSheetId="1">'Direct Cost Allocator'!$H$46</definedName>
    <definedName name="alloc_dc_b_sl4" localSheetId="3">'Sample Allocator'!$H$46</definedName>
    <definedName name="alloc_dc_b_sl5" localSheetId="1">'Direct Cost Allocator'!$H$47</definedName>
    <definedName name="alloc_dc_b_sl5" localSheetId="3">'Sample Allocator'!$H$47</definedName>
    <definedName name="alloc_dc_b_sl6" localSheetId="1">'Direct Cost Allocator'!$H$48</definedName>
    <definedName name="alloc_dc_b_sl6" localSheetId="3">'Sample Allocator'!$H$48</definedName>
    <definedName name="calc_eff_cost_d" localSheetId="1">Bridge!$Q$43</definedName>
    <definedName name="calc_eff_cost_d" localSheetId="3">Sample!$Q$43</definedName>
    <definedName name="calc_eff_cost_pt" localSheetId="1">Bridge!$R$43</definedName>
    <definedName name="calc_eff_cost_pt" localSheetId="3">Sample!$R$43</definedName>
    <definedName name="calc_eff_mix_d" localSheetId="1">Bridge!$Q$42</definedName>
    <definedName name="calc_eff_mix_d" localSheetId="3">Sample!$Q$42</definedName>
    <definedName name="calc_eff_mix_pt" localSheetId="1">Bridge!$R$42</definedName>
    <definedName name="calc_eff_mix_pt" localSheetId="3">Sample!$R$42</definedName>
    <definedName name="calc_eff_rate_d" localSheetId="1">Bridge!$Q$40</definedName>
    <definedName name="calc_eff_rate_d" localSheetId="3">Sample!$Q$40</definedName>
    <definedName name="calc_eff_rate_pt" localSheetId="1">Bridge!$R$40</definedName>
    <definedName name="calc_eff_rate_pt" localSheetId="3">Sample!$R$40</definedName>
    <definedName name="calc_eff_util_d" localSheetId="1">Bridge!$Q$44</definedName>
    <definedName name="calc_eff_util_d" localSheetId="3">Sample!$Q$44</definedName>
    <definedName name="calc_eff_util_pt" localSheetId="1">Bridge!$R$44</definedName>
    <definedName name="calc_eff_util_pt" localSheetId="3">Sample!$R$44</definedName>
    <definedName name="calc_eff_volume_d" localSheetId="1">Bridge!$Q$41</definedName>
    <definedName name="calc_eff_volume_d" localSheetId="3">Sample!$Q$41</definedName>
    <definedName name="calc_eff_volume_pt" localSheetId="1">Bridge!$R$41</definedName>
    <definedName name="calc_eff_volume_pt" localSheetId="3">Sample!$R$41</definedName>
    <definedName name="calc_F_A" localSheetId="1">Bridge!$N$27</definedName>
    <definedName name="calc_F_A" localSheetId="3">Sample!$N$27</definedName>
    <definedName name="calc_F_B" localSheetId="1">Bridge!$N$28</definedName>
    <definedName name="calc_F_B" localSheetId="3">Sample!$N$28</definedName>
    <definedName name="calc_GM_A" localSheetId="1">Bridge!$N$31</definedName>
    <definedName name="calc_GM_A" localSheetId="3">Sample!$N$31</definedName>
    <definedName name="calc_GM_B" localSheetId="1">Bridge!$N$32</definedName>
    <definedName name="calc_GM_B" localSheetId="3">Sample!$N$32</definedName>
    <definedName name="calc_GP_A" localSheetId="1">Bridge!$N$29</definedName>
    <definedName name="calc_GP_A" localSheetId="3">Sample!$N$29</definedName>
    <definedName name="calc_GP_B" localSheetId="1">Bridge!$N$30</definedName>
    <definedName name="calc_GP_B" localSheetId="3">Sample!$N$30</definedName>
    <definedName name="calc_H_A" localSheetId="1">Bridge!$N$21</definedName>
    <definedName name="calc_H_A" localSheetId="3">Sample!$N$21</definedName>
    <definedName name="calc_H_B" localSheetId="1">Bridge!$N$22</definedName>
    <definedName name="calc_H_B" localSheetId="3">Sample!$N$22</definedName>
    <definedName name="calc_R_A" localSheetId="1">Bridge!$N$23</definedName>
    <definedName name="calc_R_A" localSheetId="3">Sample!$N$23</definedName>
    <definedName name="calc_R_B" localSheetId="1">Bridge!$N$24</definedName>
    <definedName name="calc_R_B" localSheetId="3">Sample!$N$24</definedName>
    <definedName name="calc_R_walk_2" localSheetId="1">Bridge!$U$27</definedName>
    <definedName name="calc_R_walk_2" localSheetId="3">Sample!$U$27</definedName>
    <definedName name="calc_sum_hA_cA" localSheetId="1">Bridge!$U$22</definedName>
    <definedName name="calc_sum_hA_cA" localSheetId="3">Sample!$U$22</definedName>
    <definedName name="calc_sum_hA_rA" localSheetId="1">Bridge!$U$26</definedName>
    <definedName name="calc_sum_hA_rA" localSheetId="3">Sample!$U$26</definedName>
    <definedName name="calc_sum_hA_rB" localSheetId="1">Bridge!$U$21</definedName>
    <definedName name="calc_sum_hA_rB" localSheetId="3">Sample!$U$21</definedName>
    <definedName name="calc_sum_hB_cA" localSheetId="1">Bridge!$U$23</definedName>
    <definedName name="calc_sum_hB_cA" localSheetId="3">Sample!$U$23</definedName>
    <definedName name="calc_sum_hB_cB" localSheetId="1">Bridge!$U$25</definedName>
    <definedName name="calc_sum_hB_cB" localSheetId="3">Sample!$U$25</definedName>
    <definedName name="calc_sum_hB_rB" localSheetId="1">Bridge!$U$24</definedName>
    <definedName name="calc_sum_hB_rB" localSheetId="3">Sample!$U$24</definedName>
    <definedName name="calc_U_A" localSheetId="1">Bridge!$N$33</definedName>
    <definedName name="calc_U_A" localSheetId="3">Sample!$N$33</definedName>
    <definedName name="calc_U_B" localSheetId="1">Bridge!$N$34</definedName>
    <definedName name="calc_U_B" localSheetId="3">Sample!$N$34</definedName>
    <definedName name="calc_VC_A" localSheetId="1">Bridge!$N$25</definedName>
    <definedName name="calc_VC_A" localSheetId="3">Sample!$N$25</definedName>
    <definedName name="calc_VC_B" localSheetId="1">Bridge!$N$26</definedName>
    <definedName name="calc_VC_B" localSheetId="3">Sample!$N$26</definedName>
    <definedName name="calc_VC_walk_2" localSheetId="1">Bridge!$U$28</definedName>
    <definedName name="calc_VC_walk_2" localSheetId="3">Sample!$U$28</definedName>
    <definedName name="inp_a_capacity" localSheetId="1">Bridge!$C$28</definedName>
    <definedName name="inp_a_capacity" localSheetId="3">Sample!$C$28</definedName>
    <definedName name="inp_a_fixed" localSheetId="1">Bridge!$C$27</definedName>
    <definedName name="inp_a_fixed" localSheetId="3">Sample!$C$27</definedName>
    <definedName name="inp_a_opex" localSheetId="1">Bridge!$C$29</definedName>
    <definedName name="inp_a_opex" localSheetId="3">Sample!$C$29</definedName>
    <definedName name="inp_a_sl1_dcost" localSheetId="1">Bridge!$E$19</definedName>
    <definedName name="inp_a_sl1_dcost" localSheetId="3">Sample!$E$19</definedName>
    <definedName name="inp_a_sl1_hours" localSheetId="1">Bridge!$C$19</definedName>
    <definedName name="inp_a_sl1_hours" localSheetId="3">Sample!$C$19</definedName>
    <definedName name="inp_a_sl1_label" localSheetId="1">Bridge!$B$19</definedName>
    <definedName name="inp_a_sl1_label" localSheetId="3">Sample!$B$19</definedName>
    <definedName name="inp_a_sl1_revenue" localSheetId="1">Bridge!$D$19</definedName>
    <definedName name="inp_a_sl1_revenue" localSheetId="3">Sample!$D$19</definedName>
    <definedName name="inp_a_sl2_dcost" localSheetId="1">Bridge!$E$20</definedName>
    <definedName name="inp_a_sl2_dcost" localSheetId="3">Sample!$E$20</definedName>
    <definedName name="inp_a_sl2_hours" localSheetId="1">Bridge!$C$20</definedName>
    <definedName name="inp_a_sl2_hours" localSheetId="3">Sample!$C$20</definedName>
    <definedName name="inp_a_sl2_label" localSheetId="1">Bridge!$B$20</definedName>
    <definedName name="inp_a_sl2_label" localSheetId="3">Sample!$B$20</definedName>
    <definedName name="inp_a_sl2_revenue" localSheetId="1">Bridge!$D$20</definedName>
    <definedName name="inp_a_sl2_revenue" localSheetId="3">Sample!$D$20</definedName>
    <definedName name="inp_a_sl3_dcost" localSheetId="1">Bridge!$E$21</definedName>
    <definedName name="inp_a_sl3_dcost" localSheetId="3">Sample!$E$21</definedName>
    <definedName name="inp_a_sl3_hours" localSheetId="1">Bridge!$C$21</definedName>
    <definedName name="inp_a_sl3_hours" localSheetId="3">Sample!$C$21</definedName>
    <definedName name="inp_a_sl3_label" localSheetId="1">Bridge!$B$21</definedName>
    <definedName name="inp_a_sl3_label" localSheetId="3">Sample!$B$21</definedName>
    <definedName name="inp_a_sl3_revenue" localSheetId="1">Bridge!$D$21</definedName>
    <definedName name="inp_a_sl3_revenue" localSheetId="3">Sample!$D$21</definedName>
    <definedName name="inp_a_sl4_dcost" localSheetId="1">Bridge!$E$22</definedName>
    <definedName name="inp_a_sl4_dcost" localSheetId="3">Sample!$E$22</definedName>
    <definedName name="inp_a_sl4_hours" localSheetId="1">Bridge!$C$22</definedName>
    <definedName name="inp_a_sl4_hours" localSheetId="3">Sample!$C$22</definedName>
    <definedName name="inp_a_sl4_label" localSheetId="1">Bridge!$B$22</definedName>
    <definedName name="inp_a_sl4_label" localSheetId="3">Sample!$B$22</definedName>
    <definedName name="inp_a_sl4_revenue" localSheetId="1">Bridge!$D$22</definedName>
    <definedName name="inp_a_sl4_revenue" localSheetId="3">Sample!$D$22</definedName>
    <definedName name="inp_a_sl5_dcost" localSheetId="1">Bridge!$E$23</definedName>
    <definedName name="inp_a_sl5_dcost" localSheetId="3">Sample!$E$23</definedName>
    <definedName name="inp_a_sl5_hours" localSheetId="1">Bridge!$C$23</definedName>
    <definedName name="inp_a_sl5_hours" localSheetId="3">Sample!$C$23</definedName>
    <definedName name="inp_a_sl5_label" localSheetId="1">Bridge!$B$23</definedName>
    <definedName name="inp_a_sl5_label" localSheetId="3">Sample!$B$23</definedName>
    <definedName name="inp_a_sl5_revenue" localSheetId="1">Bridge!$D$23</definedName>
    <definedName name="inp_a_sl5_revenue" localSheetId="3">Sample!$D$23</definedName>
    <definedName name="inp_a_sl6_dcost" localSheetId="1">Bridge!$E$24</definedName>
    <definedName name="inp_a_sl6_dcost" localSheetId="3">Sample!$E$24</definedName>
    <definedName name="inp_a_sl6_hours" localSheetId="1">Bridge!$C$24</definedName>
    <definedName name="inp_a_sl6_hours" localSheetId="3">Sample!$C$24</definedName>
    <definedName name="inp_a_sl6_label" localSheetId="1">Bridge!$B$24</definedName>
    <definedName name="inp_a_sl6_label" localSheetId="3">Sample!$B$24</definedName>
    <definedName name="inp_a_sl6_revenue" localSheetId="1">Bridge!$D$24</definedName>
    <definedName name="inp_a_sl6_revenue" localSheetId="3">Sample!$D$24</definedName>
    <definedName name="inp_b_capacity" localSheetId="1">Bridge!$C$43</definedName>
    <definedName name="inp_b_capacity" localSheetId="3">Sample!$C$43</definedName>
    <definedName name="inp_b_fixed" localSheetId="1">Bridge!$C$42</definedName>
    <definedName name="inp_b_fixed" localSheetId="3">Sample!$C$42</definedName>
    <definedName name="inp_b_opex" localSheetId="1">Bridge!$C$44</definedName>
    <definedName name="inp_b_opex" localSheetId="3">Sample!$C$44</definedName>
    <definedName name="inp_b_sl1_dcost" localSheetId="1">Bridge!$E$34</definedName>
    <definedName name="inp_b_sl1_dcost" localSheetId="3">Sample!$E$34</definedName>
    <definedName name="inp_b_sl1_hours" localSheetId="1">Bridge!$C$34</definedName>
    <definedName name="inp_b_sl1_hours" localSheetId="3">Sample!$C$34</definedName>
    <definedName name="inp_b_sl1_label" localSheetId="1">Bridge!$B$34</definedName>
    <definedName name="inp_b_sl1_label" localSheetId="3">Sample!$B$34</definedName>
    <definedName name="inp_b_sl1_revenue" localSheetId="1">Bridge!$D$34</definedName>
    <definedName name="inp_b_sl1_revenue" localSheetId="3">Sample!$D$34</definedName>
    <definedName name="inp_b_sl2_dcost" localSheetId="1">Bridge!$E$35</definedName>
    <definedName name="inp_b_sl2_dcost" localSheetId="3">Sample!$E$35</definedName>
    <definedName name="inp_b_sl2_hours" localSheetId="1">Bridge!$C$35</definedName>
    <definedName name="inp_b_sl2_hours" localSheetId="3">Sample!$C$35</definedName>
    <definedName name="inp_b_sl2_label" localSheetId="1">Bridge!$B$35</definedName>
    <definedName name="inp_b_sl2_label" localSheetId="3">Sample!$B$35</definedName>
    <definedName name="inp_b_sl2_revenue" localSheetId="1">Bridge!$D$35</definedName>
    <definedName name="inp_b_sl2_revenue" localSheetId="3">Sample!$D$35</definedName>
    <definedName name="inp_b_sl3_dcost" localSheetId="1">Bridge!$E$36</definedName>
    <definedName name="inp_b_sl3_dcost" localSheetId="3">Sample!$E$36</definedName>
    <definedName name="inp_b_sl3_hours" localSheetId="1">Bridge!$C$36</definedName>
    <definedName name="inp_b_sl3_hours" localSheetId="3">Sample!$C$36</definedName>
    <definedName name="inp_b_sl3_label" localSheetId="1">Bridge!$B$36</definedName>
    <definedName name="inp_b_sl3_label" localSheetId="3">Sample!$B$36</definedName>
    <definedName name="inp_b_sl3_revenue" localSheetId="1">Bridge!$D$36</definedName>
    <definedName name="inp_b_sl3_revenue" localSheetId="3">Sample!$D$36</definedName>
    <definedName name="inp_b_sl4_dcost" localSheetId="1">Bridge!$E$37</definedName>
    <definedName name="inp_b_sl4_dcost" localSheetId="3">Sample!$E$37</definedName>
    <definedName name="inp_b_sl4_hours" localSheetId="1">Bridge!$C$37</definedName>
    <definedName name="inp_b_sl4_hours" localSheetId="3">Sample!$C$37</definedName>
    <definedName name="inp_b_sl4_label" localSheetId="1">Bridge!$B$37</definedName>
    <definedName name="inp_b_sl4_label" localSheetId="3">Sample!$B$37</definedName>
    <definedName name="inp_b_sl4_revenue" localSheetId="1">Bridge!$D$37</definedName>
    <definedName name="inp_b_sl4_revenue" localSheetId="3">Sample!$D$37</definedName>
    <definedName name="inp_b_sl5_dcost" localSheetId="1">Bridge!$E$38</definedName>
    <definedName name="inp_b_sl5_dcost" localSheetId="3">Sample!$E$38</definedName>
    <definedName name="inp_b_sl5_hours" localSheetId="1">Bridge!$C$38</definedName>
    <definedName name="inp_b_sl5_hours" localSheetId="3">Sample!$C$38</definedName>
    <definedName name="inp_b_sl5_label" localSheetId="1">Bridge!$B$38</definedName>
    <definedName name="inp_b_sl5_label" localSheetId="3">Sample!$B$38</definedName>
    <definedName name="inp_b_sl5_revenue" localSheetId="1">Bridge!$D$38</definedName>
    <definedName name="inp_b_sl5_revenue" localSheetId="3">Sample!$D$38</definedName>
    <definedName name="inp_b_sl6_dcost" localSheetId="1">Bridge!$E$39</definedName>
    <definedName name="inp_b_sl6_dcost" localSheetId="3">Sample!$E$39</definedName>
    <definedName name="inp_b_sl6_hours" localSheetId="1">Bridge!$C$39</definedName>
    <definedName name="inp_b_sl6_hours" localSheetId="3">Sample!$C$39</definedName>
    <definedName name="inp_b_sl6_label" localSheetId="1">Bridge!$B$39</definedName>
    <definedName name="inp_b_sl6_label" localSheetId="3">Sample!$B$39</definedName>
    <definedName name="inp_b_sl6_revenue" localSheetId="1">Bridge!$D$39</definedName>
    <definedName name="inp_b_sl6_revenue" localSheetId="3">Sample!$D$39</definedName>
    <definedName name="inp_biz_currency_label" localSheetId="1">Bridge!$C$15</definedName>
    <definedName name="inp_biz_currency_label" localSheetId="3">Sample!$C$15</definedName>
    <definedName name="inp_biz_margin_level" localSheetId="1">Bridge!$C$13</definedName>
    <definedName name="inp_biz_margin_level" localSheetId="3">Sample!$C$13</definedName>
    <definedName name="inp_biz_name" localSheetId="1">Bridge!$C$10</definedName>
    <definedName name="inp_biz_name" localSheetId="3">Sample!$C$10</definedName>
    <definedName name="inp_biz_period_a_label" localSheetId="1">Bridge!$C$11</definedName>
    <definedName name="inp_biz_period_a_label" localSheetId="3">Sample!$C$11</definedName>
    <definedName name="inp_biz_period_b_label" localSheetId="1">Bridge!$C$12</definedName>
    <definedName name="inp_biz_period_b_label" localSheetId="3">Sample!$C$12</definedName>
    <definedName name="inp_biz_region" localSheetId="1">Bridge!$H$2</definedName>
    <definedName name="inp_biz_region" localSheetId="3">Sample!$H$2</definedName>
    <definedName name="inp_biz_residual_tol" localSheetId="1">Bridge!$C$14</definedName>
    <definedName name="inp_biz_residual_tol" localSheetId="3">Sample!$C$14</definedName>
    <definedName name="inp_biz_vertical" localSheetId="1">Bridge!$J$2</definedName>
    <definedName name="inp_biz_vertical" localSheetId="3">Sample!$J$2</definedName>
    <definedName name="inp_narr_cost" localSheetId="1">Bridge!$J$80</definedName>
    <definedName name="inp_narr_cost" localSheetId="3">Sample!$J$80</definedName>
    <definedName name="inp_narr_mix" localSheetId="1">Bridge!$J$79</definedName>
    <definedName name="inp_narr_mix" localSheetId="3">Sample!$J$79</definedName>
    <definedName name="inp_narr_rate" localSheetId="1">Bridge!$J$77</definedName>
    <definedName name="inp_narr_rate" localSheetId="3">Sample!$J$77</definedName>
    <definedName name="inp_narr_util" localSheetId="1">Bridge!$J$81</definedName>
    <definedName name="inp_narr_util" localSheetId="3">Sample!$J$81</definedName>
    <definedName name="inp_narr_volume" localSheetId="1">Bridge!$J$78</definedName>
    <definedName name="inp_narr_volume" localSheetId="3">Sample!$J$78</definedName>
    <definedName name="inp_sens_delta_pct" localSheetId="1">Bridge!$E$98</definedName>
    <definedName name="inp_sens_delta_pct" localSheetId="3">Sample!$E$98</definedName>
    <definedName name="inp_sens_variable" localSheetId="1">Bridge!$B$98</definedName>
    <definedName name="inp_sens_variable" localSheetId="3">Sample!$B$98</definedName>
    <definedName name="out_master_pass" localSheetId="1">Bridge!$J$109</definedName>
    <definedName name="out_master_pass" localSheetId="3">Sample!$J$109</definedName>
    <definedName name="_xlnm.Print_Area" localSheetId="1">Bridge!$A$1:$K$128</definedName>
    <definedName name="_xlnm.Print_Area" localSheetId="0">'Read Me'!$A$1:$K$34</definedName>
    <definedName name="_xlnm.Print_Area" localSheetId="3">Sample!$A$1:$K$129</definedName>
    <definedName name="_xlnm.Print_Titles" localSheetId="1">Bridge!$1:$4</definedName>
    <definedName name="_xlnm.Print_Titles" localSheetId="0">'Read Me'!$1:$4</definedName>
    <definedName name="_xlnm.Print_Titles" localSheetId="3">Sample!$1:$4</definedName>
    <definedName name="ref_region_codes" localSheetId="1">Bridge!$M$4:$M$6</definedName>
    <definedName name="ref_region_codes" localSheetId="3">Sample!$M$4:$M$6</definedName>
    <definedName name="ref_region_currency" localSheetId="1">Bridge!$N$4:$N$6</definedName>
    <definedName name="ref_region_currency" localSheetId="3">Sample!$N$4:$N$6</definedName>
    <definedName name="ref_region_note" localSheetId="1">Bridge!$P$4:$P$6</definedName>
    <definedName name="ref_region_note" localSheetId="3">Sample!$P$4:$P$6</definedName>
    <definedName name="ref_region_symbol" localSheetId="1">Bridge!$O$4:$O$6</definedName>
    <definedName name="ref_region_symbol" localSheetId="3">Sample!$O$4:$O$6</definedName>
    <definedName name="ref_vertical_codes" localSheetId="1">Bridge!$M$10:$M$17</definedName>
    <definedName name="ref_vertical_codes" localSheetId="3">Sample!$M$10:$M$17</definedName>
    <definedName name="ref_vertical_gm_hi" localSheetId="1">Bridge!$P$10:$P$17</definedName>
    <definedName name="ref_vertical_gm_hi" localSheetId="3">Sample!$P$10:$P$17</definedName>
    <definedName name="ref_vertical_gm_lo" localSheetId="1">Bridge!$O$10:$O$17</definedName>
    <definedName name="ref_vertical_gm_lo" localSheetId="3">Sample!$O$10:$O$17</definedName>
    <definedName name="ref_vertical_gm_mid" localSheetId="1">Bridge!$Q$10:$Q$17</definedName>
    <definedName name="ref_vertical_gm_mid" localSheetId="3">Sample!$Q$10:$Q$17</definedName>
    <definedName name="ref_vertical_labels" localSheetId="1">Bridge!$N$10:$N$17</definedName>
    <definedName name="ref_vertical_labels" localSheetId="3">Sample!$N$10:$N$17</definedName>
    <definedName name="ref_vertical_source" localSheetId="1">Bridge!$R$10:$R$17</definedName>
    <definedName name="ref_vertical_source" localSheetId="3">Sample!$R$10:$R$17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0" i="3" l="1"/>
  <c r="F50" i="3"/>
  <c r="O38" i="4"/>
  <c r="G38" i="4"/>
  <c r="O37" i="4"/>
  <c r="G37" i="4"/>
  <c r="O36" i="4"/>
  <c r="G36" i="4"/>
  <c r="O35" i="4"/>
  <c r="G35" i="4"/>
  <c r="O34" i="4"/>
  <c r="G34" i="4"/>
  <c r="O33" i="4"/>
  <c r="G33" i="4"/>
  <c r="R28" i="4"/>
  <c r="J28" i="4"/>
  <c r="R27" i="4"/>
  <c r="J27" i="4"/>
  <c r="R26" i="4"/>
  <c r="J26" i="4"/>
  <c r="R25" i="4"/>
  <c r="J25" i="4"/>
  <c r="R24" i="4"/>
  <c r="J24" i="4"/>
  <c r="R23" i="4"/>
  <c r="J23" i="4"/>
  <c r="R22" i="4"/>
  <c r="J22" i="4"/>
  <c r="R21" i="4"/>
  <c r="J21" i="4"/>
  <c r="R20" i="4"/>
  <c r="J20" i="4"/>
  <c r="R19" i="4"/>
  <c r="J19" i="4"/>
  <c r="R18" i="4"/>
  <c r="J18" i="4"/>
  <c r="R17" i="4"/>
  <c r="J17" i="4"/>
  <c r="R16" i="4"/>
  <c r="J16" i="4"/>
  <c r="R15" i="4"/>
  <c r="J15" i="4"/>
  <c r="R14" i="4"/>
  <c r="J14" i="4"/>
  <c r="R13" i="4"/>
  <c r="J13" i="4"/>
  <c r="R12" i="4"/>
  <c r="J12" i="4"/>
  <c r="R11" i="4"/>
  <c r="J11" i="4"/>
  <c r="R10" i="4"/>
  <c r="J10" i="4"/>
  <c r="R9" i="4"/>
  <c r="J9" i="4"/>
  <c r="C55" i="2"/>
  <c r="H48" i="2"/>
  <c r="E48" i="2"/>
  <c r="H47" i="2"/>
  <c r="E47" i="2"/>
  <c r="H46" i="2"/>
  <c r="E46" i="2"/>
  <c r="H45" i="2"/>
  <c r="E45" i="2"/>
  <c r="H44" i="2"/>
  <c r="E44" i="2"/>
  <c r="H43" i="2"/>
  <c r="E43" i="2"/>
  <c r="O38" i="2"/>
  <c r="G38" i="2"/>
  <c r="O37" i="2"/>
  <c r="G37" i="2"/>
  <c r="O36" i="2"/>
  <c r="G36" i="2"/>
  <c r="O35" i="2"/>
  <c r="G35" i="2"/>
  <c r="O34" i="2"/>
  <c r="G34" i="2"/>
  <c r="O33" i="2"/>
  <c r="G33" i="2"/>
  <c r="R28" i="2"/>
  <c r="J28" i="2"/>
  <c r="R27" i="2"/>
  <c r="J27" i="2"/>
  <c r="R26" i="2"/>
  <c r="J26" i="2"/>
  <c r="R25" i="2"/>
  <c r="J25" i="2"/>
  <c r="R24" i="2"/>
  <c r="J24" i="2"/>
  <c r="R23" i="2"/>
  <c r="J23" i="2"/>
  <c r="R22" i="2"/>
  <c r="J22" i="2"/>
  <c r="R21" i="2"/>
  <c r="J21" i="2"/>
  <c r="R20" i="2"/>
  <c r="J20" i="2"/>
  <c r="R19" i="2"/>
  <c r="J19" i="2"/>
  <c r="R18" i="2"/>
  <c r="J18" i="2"/>
  <c r="R17" i="2"/>
  <c r="J17" i="2"/>
  <c r="R16" i="2"/>
  <c r="J16" i="2"/>
  <c r="R15" i="2"/>
  <c r="J15" i="2"/>
  <c r="R14" i="2"/>
  <c r="J14" i="2"/>
  <c r="R13" i="2"/>
  <c r="J13" i="2"/>
  <c r="R12" i="2"/>
  <c r="J12" i="2"/>
  <c r="R11" i="2"/>
  <c r="J11" i="2"/>
  <c r="R10" i="2"/>
  <c r="J10" i="2"/>
  <c r="R9" i="2"/>
  <c r="J9" i="2"/>
  <c r="H125" i="1"/>
  <c r="C125" i="1"/>
  <c r="H124" i="1"/>
  <c r="I123" i="1"/>
  <c r="H123" i="1"/>
  <c r="H122" i="1"/>
  <c r="H121" i="1"/>
  <c r="H112" i="1"/>
  <c r="H111" i="1"/>
  <c r="E106" i="1"/>
  <c r="F105" i="1"/>
  <c r="B105" i="1"/>
  <c r="F104" i="1"/>
  <c r="B104" i="1"/>
  <c r="B100" i="1"/>
  <c r="F93" i="1"/>
  <c r="C93" i="1"/>
  <c r="B93" i="1"/>
  <c r="F92" i="1"/>
  <c r="C92" i="1"/>
  <c r="B92" i="1"/>
  <c r="F91" i="1"/>
  <c r="C91" i="1"/>
  <c r="B91" i="1"/>
  <c r="F90" i="1"/>
  <c r="C90" i="1"/>
  <c r="B90" i="1"/>
  <c r="F89" i="1"/>
  <c r="C89" i="1"/>
  <c r="B89" i="1"/>
  <c r="F88" i="1"/>
  <c r="C88" i="1"/>
  <c r="B88" i="1"/>
  <c r="B82" i="1"/>
  <c r="G76" i="1"/>
  <c r="F76" i="1"/>
  <c r="B76" i="1"/>
  <c r="AF67" i="1"/>
  <c r="AE67" i="1"/>
  <c r="AC67" i="1"/>
  <c r="AB67" i="1"/>
  <c r="AD66" i="1"/>
  <c r="AD65" i="1"/>
  <c r="AD64" i="1"/>
  <c r="AD63" i="1"/>
  <c r="AD62" i="1"/>
  <c r="AF61" i="1"/>
  <c r="AE61" i="1"/>
  <c r="AC61" i="1"/>
  <c r="AB61" i="1"/>
  <c r="N54" i="1"/>
  <c r="N53" i="1"/>
  <c r="D48" i="1"/>
  <c r="B48" i="1"/>
  <c r="D40" i="1"/>
  <c r="C40" i="1"/>
  <c r="F39" i="1"/>
  <c r="F38" i="1"/>
  <c r="I37" i="1"/>
  <c r="F37" i="1"/>
  <c r="I36" i="1"/>
  <c r="F36" i="1"/>
  <c r="I35" i="1"/>
  <c r="F35" i="1"/>
  <c r="I34" i="1"/>
  <c r="F34" i="1"/>
  <c r="I32" i="1"/>
  <c r="N28" i="1"/>
  <c r="N27" i="1"/>
  <c r="D25" i="1"/>
  <c r="C25" i="1"/>
  <c r="U24" i="1"/>
  <c r="N24" i="1"/>
  <c r="L24" i="1"/>
  <c r="F24" i="1"/>
  <c r="N23" i="1"/>
  <c r="L23" i="1"/>
  <c r="I23" i="1"/>
  <c r="F23" i="1"/>
  <c r="N22" i="1"/>
  <c r="L22" i="1"/>
  <c r="I22" i="1"/>
  <c r="F22" i="1"/>
  <c r="U21" i="1"/>
  <c r="N21" i="1"/>
  <c r="L21" i="1"/>
  <c r="I21" i="1"/>
  <c r="F21" i="1"/>
  <c r="L20" i="1"/>
  <c r="I20" i="1"/>
  <c r="F20" i="1"/>
  <c r="L19" i="1"/>
  <c r="I19" i="1"/>
  <c r="F19" i="1"/>
  <c r="I17" i="1"/>
  <c r="C15" i="1"/>
  <c r="H125" i="3"/>
  <c r="C125" i="3"/>
  <c r="H124" i="3"/>
  <c r="I123" i="3"/>
  <c r="H123" i="3"/>
  <c r="H122" i="3"/>
  <c r="H121" i="3"/>
  <c r="H112" i="3"/>
  <c r="H111" i="3"/>
  <c r="E106" i="3"/>
  <c r="F105" i="3"/>
  <c r="B105" i="3"/>
  <c r="F104" i="3"/>
  <c r="B104" i="3"/>
  <c r="B100" i="3"/>
  <c r="F93" i="3"/>
  <c r="C93" i="3"/>
  <c r="B93" i="3"/>
  <c r="F92" i="3"/>
  <c r="C92" i="3"/>
  <c r="B92" i="3"/>
  <c r="F91" i="3"/>
  <c r="C91" i="3"/>
  <c r="B91" i="3"/>
  <c r="F90" i="3"/>
  <c r="C90" i="3"/>
  <c r="B90" i="3"/>
  <c r="F89" i="3"/>
  <c r="C89" i="3"/>
  <c r="B89" i="3"/>
  <c r="F88" i="3"/>
  <c r="C88" i="3"/>
  <c r="B88" i="3"/>
  <c r="B82" i="3"/>
  <c r="G76" i="3"/>
  <c r="F76" i="3"/>
  <c r="B76" i="3"/>
  <c r="AF67" i="3"/>
  <c r="AE67" i="3"/>
  <c r="AC67" i="3"/>
  <c r="AB67" i="3"/>
  <c r="AD66" i="3"/>
  <c r="AD65" i="3"/>
  <c r="AD64" i="3"/>
  <c r="AD63" i="3"/>
  <c r="AD62" i="3"/>
  <c r="AF61" i="3"/>
  <c r="AE61" i="3"/>
  <c r="AC61" i="3"/>
  <c r="AB61" i="3"/>
  <c r="N54" i="3"/>
  <c r="N53" i="3"/>
  <c r="D48" i="3"/>
  <c r="B48" i="3"/>
  <c r="D40" i="3"/>
  <c r="C40" i="3"/>
  <c r="F39" i="3"/>
  <c r="I38" i="3"/>
  <c r="F38" i="3"/>
  <c r="I37" i="3"/>
  <c r="F37" i="3"/>
  <c r="I36" i="3"/>
  <c r="F36" i="3"/>
  <c r="I35" i="3"/>
  <c r="F35" i="3"/>
  <c r="I34" i="3"/>
  <c r="F34" i="3"/>
  <c r="I32" i="3"/>
  <c r="N28" i="3"/>
  <c r="N27" i="3"/>
  <c r="D25" i="3"/>
  <c r="C25" i="3"/>
  <c r="U24" i="3"/>
  <c r="N24" i="3"/>
  <c r="F24" i="3"/>
  <c r="N23" i="3"/>
  <c r="F23" i="3"/>
  <c r="N22" i="3"/>
  <c r="F22" i="3"/>
  <c r="U21" i="3"/>
  <c r="N21" i="3"/>
  <c r="F21" i="3"/>
  <c r="F20" i="3"/>
  <c r="F19" i="3"/>
  <c r="I17" i="3"/>
  <c r="C15" i="3"/>
  <c r="F52" i="2" l="1"/>
  <c r="C52" i="2"/>
  <c r="H50" i="1"/>
  <c r="F50" i="1"/>
  <c r="D50" i="1"/>
  <c r="I39" i="1"/>
  <c r="H20" i="1"/>
  <c r="D93" i="1"/>
  <c r="D92" i="1"/>
  <c r="H23" i="1"/>
  <c r="G23" i="1"/>
  <c r="E93" i="1"/>
  <c r="D91" i="1"/>
  <c r="E92" i="1"/>
  <c r="E91" i="1"/>
  <c r="I38" i="1"/>
  <c r="H22" i="1"/>
  <c r="G22" i="1"/>
  <c r="G20" i="1"/>
  <c r="I112" i="3"/>
  <c r="I39" i="3"/>
  <c r="N57" i="3"/>
  <c r="D90" i="1"/>
  <c r="E90" i="1"/>
  <c r="H21" i="1"/>
  <c r="G21" i="1"/>
  <c r="I24" i="1"/>
  <c r="N57" i="1"/>
  <c r="E89" i="1"/>
  <c r="D89" i="1"/>
  <c r="E88" i="1"/>
  <c r="D88" i="1"/>
  <c r="H19" i="1"/>
  <c r="G19" i="1"/>
  <c r="I22" i="3"/>
  <c r="I111" i="3"/>
  <c r="I23" i="3"/>
  <c r="I21" i="3"/>
  <c r="I20" i="3"/>
  <c r="I19" i="3"/>
  <c r="I24" i="3"/>
  <c r="G48" i="4"/>
  <c r="F48" i="4" a="1"/>
  <c r="F48" i="4" s="1"/>
  <c r="H48" i="4" s="1"/>
  <c r="L39" i="3" s="1"/>
  <c r="D48" i="4"/>
  <c r="C48" i="4" a="1"/>
  <c r="C48" i="4" s="1"/>
  <c r="E48" i="4" s="1"/>
  <c r="L24" i="3" s="1"/>
  <c r="G47" i="4"/>
  <c r="F47" i="4" a="1"/>
  <c r="F47" i="4" s="1"/>
  <c r="H47" i="4" s="1"/>
  <c r="L38" i="3" s="1"/>
  <c r="D47" i="4"/>
  <c r="C47" i="4" a="1"/>
  <c r="C47" i="4" s="1"/>
  <c r="E47" i="4" s="1"/>
  <c r="L23" i="3" s="1"/>
  <c r="G46" i="4"/>
  <c r="F46" i="4" a="1"/>
  <c r="F46" i="4" s="1"/>
  <c r="H46" i="4" s="1"/>
  <c r="L37" i="3" s="1"/>
  <c r="D46" i="4"/>
  <c r="C46" i="4" a="1"/>
  <c r="C46" i="4" s="1"/>
  <c r="E46" i="4" s="1"/>
  <c r="L22" i="3" s="1"/>
  <c r="G45" i="4"/>
  <c r="F45" i="4" a="1"/>
  <c r="F45" i="4" s="1"/>
  <c r="H45" i="4" s="1"/>
  <c r="L36" i="3" s="1"/>
  <c r="D45" i="4"/>
  <c r="C45" i="4" a="1"/>
  <c r="C45" i="4" s="1"/>
  <c r="E45" i="4" s="1"/>
  <c r="L21" i="3" s="1"/>
  <c r="G44" i="4"/>
  <c r="F44" i="4" a="1"/>
  <c r="F44" i="4" s="1"/>
  <c r="H44" i="4" s="1"/>
  <c r="L35" i="3" s="1"/>
  <c r="D44" i="4"/>
  <c r="C44" i="4" a="1"/>
  <c r="C44" i="4" s="1"/>
  <c r="E44" i="4" s="1"/>
  <c r="L20" i="3" s="1"/>
  <c r="G20" i="3" s="1"/>
  <c r="G43" i="4"/>
  <c r="F43" i="4" a="1"/>
  <c r="F43" i="4" s="1"/>
  <c r="H43" i="4" s="1"/>
  <c r="D43" i="4"/>
  <c r="C43" i="4" a="1"/>
  <c r="C43" i="4" s="1"/>
  <c r="G48" i="2"/>
  <c r="F48" i="2" a="1"/>
  <c r="F48" i="2" s="1"/>
  <c r="D48" i="2"/>
  <c r="C48" i="2" a="1"/>
  <c r="C48" i="2" s="1"/>
  <c r="G47" i="2"/>
  <c r="F47" i="2" a="1"/>
  <c r="F47" i="2" s="1"/>
  <c r="D47" i="2"/>
  <c r="C47" i="2" a="1"/>
  <c r="C47" i="2" s="1"/>
  <c r="G46" i="2"/>
  <c r="F46" i="2" a="1"/>
  <c r="F46" i="2" s="1"/>
  <c r="D46" i="2"/>
  <c r="C46" i="2" a="1"/>
  <c r="C46" i="2" s="1"/>
  <c r="G45" i="2"/>
  <c r="F45" i="2" a="1"/>
  <c r="F45" i="2" s="1"/>
  <c r="D45" i="2"/>
  <c r="C45" i="2" a="1"/>
  <c r="C45" i="2" s="1"/>
  <c r="G44" i="2"/>
  <c r="F44" i="2" a="1"/>
  <c r="F44" i="2" s="1"/>
  <c r="D44" i="2"/>
  <c r="C44" i="2" a="1"/>
  <c r="C44" i="2" s="1"/>
  <c r="G43" i="2"/>
  <c r="F43" i="2" a="1"/>
  <c r="F43" i="2" s="1"/>
  <c r="D43" i="2"/>
  <c r="C43" i="2" a="1"/>
  <c r="C43" i="2" s="1"/>
  <c r="I124" i="1"/>
  <c r="J124" i="1" s="1"/>
  <c r="J123" i="1"/>
  <c r="I122" i="1"/>
  <c r="J122" i="1" s="1"/>
  <c r="I121" i="1"/>
  <c r="J121" i="1" s="1"/>
  <c r="H113" i="1"/>
  <c r="I112" i="1"/>
  <c r="J112" i="1" s="1"/>
  <c r="I111" i="1"/>
  <c r="J111" i="1" s="1"/>
  <c r="N58" i="1"/>
  <c r="N55" i="1"/>
  <c r="J50" i="1"/>
  <c r="O44" i="1"/>
  <c r="O43" i="1"/>
  <c r="O42" i="1"/>
  <c r="O40" i="1"/>
  <c r="J112" i="3"/>
  <c r="I40" i="1"/>
  <c r="F40" i="1"/>
  <c r="O39" i="1"/>
  <c r="L39" i="1"/>
  <c r="L38" i="1"/>
  <c r="L37" i="1"/>
  <c r="L36" i="1"/>
  <c r="L35" i="1"/>
  <c r="N34" i="1"/>
  <c r="L34" i="1"/>
  <c r="N33" i="1"/>
  <c r="J49" i="1" s="1"/>
  <c r="U27" i="1"/>
  <c r="U26" i="1"/>
  <c r="N25" i="1"/>
  <c r="I113" i="1" s="1"/>
  <c r="L25" i="1"/>
  <c r="F25" i="1"/>
  <c r="E25" i="1"/>
  <c r="G25" i="1" s="1"/>
  <c r="H24" i="1"/>
  <c r="G24" i="1"/>
  <c r="I124" i="3"/>
  <c r="J124" i="3" s="1"/>
  <c r="J123" i="3"/>
  <c r="N58" i="3"/>
  <c r="N55" i="3"/>
  <c r="J50" i="3"/>
  <c r="O44" i="3"/>
  <c r="O43" i="3"/>
  <c r="O42" i="3"/>
  <c r="O40" i="3"/>
  <c r="I40" i="3"/>
  <c r="F40" i="3"/>
  <c r="O39" i="3"/>
  <c r="N34" i="3"/>
  <c r="N33" i="3"/>
  <c r="J49" i="3" s="1"/>
  <c r="U27" i="3"/>
  <c r="U26" i="3"/>
  <c r="F25" i="3"/>
  <c r="C54" i="2" l="1"/>
  <c r="F54" i="2"/>
  <c r="I122" i="3"/>
  <c r="J122" i="3" s="1"/>
  <c r="I25" i="1"/>
  <c r="H115" i="1"/>
  <c r="U23" i="1"/>
  <c r="N42" i="1" s="1"/>
  <c r="U22" i="1"/>
  <c r="I121" i="3"/>
  <c r="J111" i="3"/>
  <c r="J121" i="3"/>
  <c r="I25" i="3"/>
  <c r="G39" i="3"/>
  <c r="H39" i="3"/>
  <c r="G24" i="3"/>
  <c r="H24" i="3"/>
  <c r="G38" i="3"/>
  <c r="H38" i="3"/>
  <c r="G23" i="3"/>
  <c r="H23" i="3"/>
  <c r="G37" i="3"/>
  <c r="H37" i="3"/>
  <c r="G22" i="3"/>
  <c r="H22" i="3"/>
  <c r="G36" i="3"/>
  <c r="H36" i="3"/>
  <c r="G21" i="3"/>
  <c r="H21" i="3"/>
  <c r="G35" i="3"/>
  <c r="H35" i="3"/>
  <c r="F52" i="4"/>
  <c r="F54" i="4" s="1"/>
  <c r="L34" i="3"/>
  <c r="N61" i="1"/>
  <c r="G93" i="1"/>
  <c r="I93" i="1" s="1"/>
  <c r="H93" i="1"/>
  <c r="J93" i="1" s="1"/>
  <c r="G39" i="1"/>
  <c r="H39" i="1"/>
  <c r="G92" i="1"/>
  <c r="I92" i="1" s="1"/>
  <c r="H92" i="1"/>
  <c r="J92" i="1" s="1"/>
  <c r="G38" i="1"/>
  <c r="H38" i="1"/>
  <c r="G91" i="1"/>
  <c r="I91" i="1" s="1"/>
  <c r="H91" i="1"/>
  <c r="J91" i="1" s="1"/>
  <c r="G37" i="1"/>
  <c r="H37" i="1"/>
  <c r="G90" i="1"/>
  <c r="I90" i="1" s="1"/>
  <c r="H90" i="1"/>
  <c r="J90" i="1" s="1"/>
  <c r="G36" i="1"/>
  <c r="H36" i="1"/>
  <c r="G89" i="1"/>
  <c r="I89" i="1" s="1"/>
  <c r="H89" i="1"/>
  <c r="J89" i="1" s="1"/>
  <c r="G35" i="1"/>
  <c r="H35" i="1"/>
  <c r="E40" i="1"/>
  <c r="L40" i="1"/>
  <c r="H114" i="1"/>
  <c r="H88" i="1"/>
  <c r="J88" i="1" s="1"/>
  <c r="G88" i="1"/>
  <c r="I88" i="1" s="1"/>
  <c r="N26" i="1"/>
  <c r="G34" i="1"/>
  <c r="H34" i="1"/>
  <c r="O41" i="1"/>
  <c r="N61" i="3"/>
  <c r="O41" i="3"/>
  <c r="E43" i="4"/>
  <c r="G93" i="3"/>
  <c r="E93" i="3"/>
  <c r="H92" i="3"/>
  <c r="G92" i="3"/>
  <c r="E92" i="3"/>
  <c r="H91" i="3"/>
  <c r="D91" i="3"/>
  <c r="H89" i="3"/>
  <c r="G89" i="3"/>
  <c r="N29" i="1"/>
  <c r="J113" i="1"/>
  <c r="H25" i="1"/>
  <c r="D93" i="3"/>
  <c r="D89" i="3"/>
  <c r="H93" i="3"/>
  <c r="D92" i="3"/>
  <c r="G91" i="3"/>
  <c r="E91" i="3"/>
  <c r="H90" i="3"/>
  <c r="G90" i="3"/>
  <c r="E90" i="3"/>
  <c r="D90" i="3"/>
  <c r="E89" i="3"/>
  <c r="H20" i="3"/>
  <c r="I91" i="3" l="1"/>
  <c r="J93" i="3"/>
  <c r="J92" i="3"/>
  <c r="P42" i="1"/>
  <c r="N40" i="1"/>
  <c r="U28" i="1"/>
  <c r="E40" i="3"/>
  <c r="L40" i="3"/>
  <c r="G88" i="3"/>
  <c r="H88" i="3"/>
  <c r="H114" i="3"/>
  <c r="N26" i="3"/>
  <c r="G34" i="3"/>
  <c r="U25" i="3" s="1"/>
  <c r="N43" i="3" s="1"/>
  <c r="H34" i="3"/>
  <c r="H40" i="1"/>
  <c r="G40" i="1"/>
  <c r="N30" i="1"/>
  <c r="H116" i="1"/>
  <c r="N56" i="1"/>
  <c r="I114" i="1"/>
  <c r="J114" i="1" s="1"/>
  <c r="L19" i="3"/>
  <c r="C52" i="4"/>
  <c r="C54" i="4" s="1"/>
  <c r="C55" i="4" s="1"/>
  <c r="H117" i="1"/>
  <c r="I115" i="1"/>
  <c r="J115" i="1" s="1"/>
  <c r="AD61" i="1"/>
  <c r="B50" i="1"/>
  <c r="N39" i="1"/>
  <c r="N31" i="1"/>
  <c r="J90" i="3"/>
  <c r="J89" i="3"/>
  <c r="I90" i="3"/>
  <c r="U25" i="1"/>
  <c r="N43" i="1" s="1"/>
  <c r="I92" i="3"/>
  <c r="I89" i="3"/>
  <c r="I93" i="3"/>
  <c r="J91" i="3"/>
  <c r="I79" i="1" l="1"/>
  <c r="P40" i="1"/>
  <c r="N41" i="1"/>
  <c r="H40" i="3"/>
  <c r="G40" i="3"/>
  <c r="N30" i="3"/>
  <c r="N56" i="3"/>
  <c r="I114" i="3"/>
  <c r="J114" i="3" s="1"/>
  <c r="H116" i="3"/>
  <c r="P43" i="3"/>
  <c r="F82" i="1"/>
  <c r="H119" i="1"/>
  <c r="H118" i="1"/>
  <c r="I116" i="1"/>
  <c r="J116" i="1" s="1"/>
  <c r="AD67" i="1"/>
  <c r="H49" i="1"/>
  <c r="N44" i="1"/>
  <c r="N32" i="1"/>
  <c r="B51" i="1" s="1"/>
  <c r="N60" i="1"/>
  <c r="N62" i="1" s="1"/>
  <c r="N59" i="1"/>
  <c r="E25" i="3"/>
  <c r="L25" i="3"/>
  <c r="N25" i="3"/>
  <c r="G19" i="3"/>
  <c r="D88" i="3"/>
  <c r="I88" i="3" s="1"/>
  <c r="E88" i="3"/>
  <c r="J88" i="3" s="1"/>
  <c r="H113" i="3"/>
  <c r="H19" i="3"/>
  <c r="AG61" i="1"/>
  <c r="AH61" i="1"/>
  <c r="P39" i="1"/>
  <c r="AC62" i="1"/>
  <c r="I117" i="1"/>
  <c r="J117" i="1" s="1"/>
  <c r="B49" i="1"/>
  <c r="C76" i="1"/>
  <c r="I76" i="1"/>
  <c r="E104" i="1"/>
  <c r="I104" i="1"/>
  <c r="AC65" i="1"/>
  <c r="P43" i="1"/>
  <c r="Q43" i="1"/>
  <c r="Q40" i="1"/>
  <c r="N44" i="3" l="1"/>
  <c r="D50" i="3"/>
  <c r="AC63" i="1"/>
  <c r="I77" i="1"/>
  <c r="Q42" i="1"/>
  <c r="AC64" i="1"/>
  <c r="P41" i="1"/>
  <c r="Q41" i="1"/>
  <c r="H119" i="3"/>
  <c r="H118" i="3"/>
  <c r="I116" i="3"/>
  <c r="J116" i="3" s="1"/>
  <c r="AD67" i="3"/>
  <c r="N32" i="3"/>
  <c r="N60" i="3"/>
  <c r="N62" i="3" s="1"/>
  <c r="N59" i="3"/>
  <c r="I80" i="3"/>
  <c r="AG67" i="1"/>
  <c r="AH67" i="1"/>
  <c r="P44" i="1"/>
  <c r="Q44" i="1"/>
  <c r="I118" i="1"/>
  <c r="J118" i="1" s="1"/>
  <c r="D49" i="1"/>
  <c r="F49" i="1"/>
  <c r="C82" i="1"/>
  <c r="G82" i="1"/>
  <c r="I82" i="1"/>
  <c r="E105" i="1"/>
  <c r="H120" i="1"/>
  <c r="I105" i="1"/>
  <c r="G98" i="1"/>
  <c r="N64" i="1"/>
  <c r="I98" i="1" s="1"/>
  <c r="N63" i="1"/>
  <c r="H25" i="3"/>
  <c r="G25" i="3"/>
  <c r="N29" i="3"/>
  <c r="I113" i="3"/>
  <c r="J113" i="3" s="1"/>
  <c r="H115" i="3"/>
  <c r="U22" i="3"/>
  <c r="U23" i="3"/>
  <c r="N42" i="3" s="1"/>
  <c r="R43" i="1"/>
  <c r="G80" i="1" s="1"/>
  <c r="I80" i="1"/>
  <c r="AE65" i="1"/>
  <c r="AF65" i="1"/>
  <c r="F80" i="1"/>
  <c r="F77" i="1"/>
  <c r="AF62" i="1"/>
  <c r="AE62" i="1"/>
  <c r="R40" i="1"/>
  <c r="AC66" i="1"/>
  <c r="F79" i="1" l="1"/>
  <c r="AF64" i="1"/>
  <c r="AE64" i="1"/>
  <c r="AE63" i="1"/>
  <c r="AF63" i="1"/>
  <c r="F78" i="1"/>
  <c r="R42" i="1"/>
  <c r="G79" i="1" s="1"/>
  <c r="R41" i="1"/>
  <c r="G78" i="1" s="1"/>
  <c r="I78" i="1"/>
  <c r="AG67" i="3"/>
  <c r="AH67" i="3"/>
  <c r="AC66" i="3"/>
  <c r="P44" i="3"/>
  <c r="Q44" i="3"/>
  <c r="I118" i="3"/>
  <c r="J118" i="3" s="1"/>
  <c r="B51" i="3"/>
  <c r="D49" i="3"/>
  <c r="C82" i="3"/>
  <c r="I82" i="3"/>
  <c r="E105" i="3"/>
  <c r="I105" i="3"/>
  <c r="H120" i="3"/>
  <c r="G98" i="3"/>
  <c r="N64" i="3"/>
  <c r="I98" i="3" s="1"/>
  <c r="R44" i="1"/>
  <c r="G81" i="1" s="1"/>
  <c r="I81" i="1"/>
  <c r="I125" i="1"/>
  <c r="J125" i="1" s="1"/>
  <c r="AE66" i="1"/>
  <c r="AF66" i="1"/>
  <c r="F81" i="1"/>
  <c r="H117" i="3"/>
  <c r="I115" i="3"/>
  <c r="J115" i="3" s="1"/>
  <c r="AD61" i="3"/>
  <c r="B50" i="3"/>
  <c r="N39" i="3"/>
  <c r="N31" i="3"/>
  <c r="U28" i="3"/>
  <c r="N41" i="3" s="1"/>
  <c r="N40" i="3"/>
  <c r="Q43" i="3"/>
  <c r="AC65" i="3"/>
  <c r="P42" i="3"/>
  <c r="AG65" i="1"/>
  <c r="AH65" i="1"/>
  <c r="AG62" i="1"/>
  <c r="AH62" i="1"/>
  <c r="G77" i="1"/>
  <c r="I119" i="1"/>
  <c r="J119" i="1" s="1"/>
  <c r="F82" i="3"/>
  <c r="H49" i="3"/>
  <c r="Q42" i="3" l="1"/>
  <c r="AG64" i="1"/>
  <c r="AG63" i="1"/>
  <c r="AH63" i="1"/>
  <c r="AH64" i="1"/>
  <c r="R44" i="3"/>
  <c r="G81" i="3" s="1"/>
  <c r="I81" i="3"/>
  <c r="AE66" i="3"/>
  <c r="AF66" i="3"/>
  <c r="F81" i="3"/>
  <c r="AG66" i="1"/>
  <c r="AH66" i="1"/>
  <c r="AG61" i="3"/>
  <c r="AH61" i="3"/>
  <c r="P39" i="3"/>
  <c r="AC62" i="3"/>
  <c r="I117" i="3"/>
  <c r="J117" i="3" s="1"/>
  <c r="B49" i="3"/>
  <c r="C76" i="3"/>
  <c r="I76" i="3"/>
  <c r="E104" i="3"/>
  <c r="I104" i="3"/>
  <c r="AC64" i="3"/>
  <c r="Q41" i="3"/>
  <c r="P41" i="3"/>
  <c r="AC63" i="3"/>
  <c r="Q40" i="3"/>
  <c r="P40" i="3"/>
  <c r="F80" i="3"/>
  <c r="AF65" i="3"/>
  <c r="AE65" i="3"/>
  <c r="R43" i="3"/>
  <c r="G80" i="3" s="1"/>
  <c r="R42" i="3"/>
  <c r="G79" i="3" s="1"/>
  <c r="I79" i="3"/>
  <c r="F49" i="3"/>
  <c r="G82" i="3"/>
  <c r="I120" i="1"/>
  <c r="J120" i="1" s="1"/>
  <c r="J109" i="1" s="1"/>
  <c r="N63" i="3"/>
  <c r="AE64" i="3" l="1"/>
  <c r="AF64" i="3"/>
  <c r="F79" i="3"/>
  <c r="AG66" i="3"/>
  <c r="AH66" i="3"/>
  <c r="AE63" i="3"/>
  <c r="AF63" i="3"/>
  <c r="F78" i="3"/>
  <c r="R41" i="3"/>
  <c r="G78" i="3" s="1"/>
  <c r="I78" i="3"/>
  <c r="I119" i="3"/>
  <c r="J119" i="3" s="1"/>
  <c r="I125" i="3"/>
  <c r="J125" i="3" s="1"/>
  <c r="AE62" i="3"/>
  <c r="AF62" i="3"/>
  <c r="F77" i="3"/>
  <c r="R40" i="3"/>
  <c r="I77" i="3"/>
  <c r="AG65" i="3"/>
  <c r="AH65" i="3"/>
  <c r="AH64" i="3" l="1"/>
  <c r="AG64" i="3"/>
  <c r="AG63" i="3"/>
  <c r="AH63" i="3"/>
  <c r="AG62" i="3"/>
  <c r="AH62" i="3"/>
  <c r="I120" i="3"/>
  <c r="J120" i="3" s="1"/>
  <c r="J109" i="3" s="1"/>
  <c r="G7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Infraxus</author>
  </authors>
  <commentList>
    <comment ref="C10" authorId="0" shapeId="0" xr:uid="{00000000-0006-0000-0000-000001000000}">
      <text>
        <r>
          <rPr>
            <sz val="11"/>
            <color theme="1"/>
            <rFont val="Calibri"/>
            <family val="2"/>
            <scheme val="minor"/>
          </rPr>
          <t>Free text, appears on printed output. Enter your business name.</t>
        </r>
      </text>
    </comment>
    <comment ref="C11" authorId="0" shapeId="0" xr:uid="{00000000-0006-0000-0000-000002000000}">
      <text>
        <r>
          <rPr>
            <sz val="11"/>
            <color theme="1"/>
            <rFont val="Calibri"/>
            <family val="2"/>
            <scheme val="minor"/>
          </rPr>
          <t>Label for the comparison baseline period.</t>
        </r>
      </text>
    </comment>
    <comment ref="C12" authorId="0" shapeId="0" xr:uid="{00000000-0006-0000-0000-000003000000}">
      <text>
        <r>
          <rPr>
            <sz val="11"/>
            <color theme="1"/>
            <rFont val="Calibri"/>
            <family val="2"/>
            <scheme val="minor"/>
          </rPr>
          <t>Label for the comparison period.</t>
        </r>
      </text>
    </comment>
    <comment ref="C13" authorId="0" shapeId="0" xr:uid="{00000000-0006-0000-0000-000004000000}">
      <text>
        <r>
          <rPr>
            <sz val="11"/>
            <color theme="1"/>
            <rFont val="Calibri"/>
            <family val="2"/>
            <scheme val="minor"/>
          </rPr>
          <t>Gross margin (revenue − direct cost) or EBITDA margin (gross − opex). Pick Gross unless you want to walk EBITDA.</t>
        </r>
      </text>
    </comment>
    <comment ref="C14" authorId="0" shapeId="0" xr:uid="{00000000-0006-0000-0000-000005000000}">
      <text>
        <r>
          <rPr>
            <sz val="11"/>
            <color theme="1"/>
            <rFont val="Calibri"/>
            <family val="2"/>
            <scheme val="minor"/>
          </rPr>
          <t>Materiality threshold (in margin points) for flagging the residual line. Default 50bps = 0.5%.</t>
        </r>
      </text>
    </comment>
    <comment ref="C15" authorId="0" shapeId="0" xr:uid="{00000000-0006-0000-0000-000006000000}">
      <text>
        <r>
          <rPr>
            <sz val="11"/>
            <color theme="1"/>
            <rFont val="Calibri"/>
            <family val="2"/>
            <scheme val="minor"/>
          </rPr>
          <t>Auto-filled from Region selector.</t>
        </r>
      </text>
    </comment>
    <comment ref="E19" authorId="0" shapeId="0" xr:uid="{00000000-0006-0000-0000-000007000000}">
      <text>
        <r>
          <rPr>
            <sz val="11"/>
            <color rgb="FF000000"/>
            <rFont val="Calibri"/>
            <family val="2"/>
          </rPr>
          <t>Direct cost for this service line. Enter it here if your accounting system splits direct cost by service line. If you use the Direct Cost Allocator tab instead, the allocated figure overrides this automatically.</t>
        </r>
      </text>
    </comment>
    <comment ref="E20" authorId="0" shapeId="0" xr:uid="{00000000-0006-0000-0000-000008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21" authorId="0" shapeId="0" xr:uid="{00000000-0006-0000-0000-000009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22" authorId="0" shapeId="0" xr:uid="{00000000-0006-0000-0000-00000A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23" authorId="0" shapeId="0" xr:uid="{00000000-0006-0000-0000-00000B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24" authorId="0" shapeId="0" xr:uid="{00000000-0006-0000-0000-00000C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C27" authorId="0" shapeId="0" xr:uid="{00000000-0006-0000-0000-00000D000000}">
      <text>
        <r>
          <rPr>
            <sz val="11"/>
            <color theme="1"/>
            <rFont val="Calibri"/>
            <family val="2"/>
            <scheme val="minor"/>
          </rPr>
          <t>Capacity-based delivery cost that doesn't flex with billable hours: salaried delivery staff, tools, dedicated software, contract minimums. Excludes variable cost-per-hour items entered above.</t>
        </r>
      </text>
    </comment>
    <comment ref="C28" authorId="0" shapeId="0" xr:uid="{00000000-0006-0000-0000-00000E000000}">
      <text>
        <r>
          <rPr>
            <sz val="11"/>
            <color theme="1"/>
            <rFont val="Calibri"/>
            <family val="2"/>
            <scheme val="minor"/>
          </rPr>
          <t>Total billable capacity available across delivery team for this period. Used for utilization.</t>
        </r>
      </text>
    </comment>
    <comment ref="C29" authorId="0" shapeId="0" xr:uid="{00000000-0006-0000-0000-00000F000000}">
      <text>
        <r>
          <rPr>
            <sz val="11"/>
            <color theme="1"/>
            <rFont val="Calibri"/>
            <family val="2"/>
            <scheme val="minor"/>
          </rPr>
          <t>Non-delivery operating expenses: rent, GTM, GA. Only used when 'Margin level analysed' = EBITDA. Leave at 0 if walking Gross margin.</t>
        </r>
      </text>
    </comment>
    <comment ref="E34" authorId="0" shapeId="0" xr:uid="{00000000-0006-0000-0000-000010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35" authorId="0" shapeId="0" xr:uid="{00000000-0006-0000-0000-000011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36" authorId="0" shapeId="0" xr:uid="{00000000-0006-0000-0000-000012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37" authorId="0" shapeId="0" xr:uid="{00000000-0006-0000-0000-000013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38" authorId="0" shapeId="0" xr:uid="{00000000-0006-0000-0000-000014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39" authorId="0" shapeId="0" xr:uid="{00000000-0006-0000-0000-000015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C42" authorId="0" shapeId="0" xr:uid="{00000000-0006-0000-0000-000016000000}">
      <text>
        <r>
          <rPr>
            <sz val="11"/>
            <color theme="1"/>
            <rFont val="Calibri"/>
            <family val="2"/>
            <scheme val="minor"/>
          </rPr>
          <t>Capacity-based delivery cost that doesn't flex with billable hours: salaried delivery staff, tools, dedicated software, contract minimums. Excludes variable cost-per-hour items entered above.</t>
        </r>
      </text>
    </comment>
    <comment ref="C43" authorId="0" shapeId="0" xr:uid="{00000000-0006-0000-0000-000017000000}">
      <text>
        <r>
          <rPr>
            <sz val="11"/>
            <color rgb="FF000000"/>
            <rFont val="Calibri"/>
            <family val="2"/>
          </rPr>
          <t>Total billable capacity available across delivery team for this period. Used for utilization.</t>
        </r>
      </text>
    </comment>
    <comment ref="C44" authorId="0" shapeId="0" xr:uid="{00000000-0006-0000-0000-000018000000}">
      <text>
        <r>
          <rPr>
            <sz val="11"/>
            <color theme="1"/>
            <rFont val="Calibri"/>
            <family val="2"/>
            <scheme val="minor"/>
          </rPr>
          <t>Non-delivery operating expenses: rent, GTM, GA. Only used when 'Margin level analysed' = EBITDA. Leave at 0 if walking Gross margin.</t>
        </r>
      </text>
    </comment>
    <comment ref="B77" authorId="0" shapeId="0" xr:uid="{00000000-0006-0000-0000-000019000000}">
      <text>
        <r>
          <rPr>
            <sz val="11"/>
            <color theme="1"/>
            <rFont val="Calibri"/>
            <family val="2"/>
            <scheme val="minor"/>
          </rPr>
          <t>Rate effect (Laspeyres weighting): Σ h_iA × (r_iB − r_iA). Holds Period A volumes and mix constant; isolates the pure rate change.</t>
        </r>
      </text>
    </comment>
    <comment ref="B78" authorId="0" shapeId="0" xr:uid="{00000000-0006-0000-0000-00001A000000}">
      <text>
        <r>
          <rPr>
            <sz val="11"/>
            <color theme="1"/>
            <rFont val="Calibri"/>
            <family val="2"/>
            <scheme val="minor"/>
          </rPr>
          <t>Volume effect (Paasche rates): scales total billable hours from H_A to H_B at Period A mix proportions and Period B rates, holding cost-per-hour at Period A. Captures both pure volume scaling AND the partial fixed-cost absorption interaction; the pure fixed-cost change sits in the utilization line.</t>
        </r>
      </text>
    </comment>
    <comment ref="B79" authorId="0" shapeId="0" xr:uid="{00000000-0006-0000-0000-00001B000000}">
      <text>
        <r>
          <rPr>
            <sz val="11"/>
            <color theme="1"/>
            <rFont val="Calibri"/>
            <family val="2"/>
            <scheme val="minor"/>
          </rPr>
          <t>Mix effect (interaction term): moves the per-service-line proportions from Period A to Period B at Period B volume and rates, holding costs at Period A. Δ = H_B × Σ (w_iB − w_iA) × (r_iB − c_iA).</t>
        </r>
      </text>
    </comment>
    <comment ref="B80" authorId="0" shapeId="0" xr:uid="{00000000-0006-0000-0000-00001C000000}">
      <text>
        <r>
          <rPr>
            <sz val="11"/>
            <color theme="1"/>
            <rFont val="Calibri"/>
            <family val="2"/>
            <scheme val="minor"/>
          </rPr>
          <t>Cost-input effect: Σ h_iB × (c_iA − c_iB). Computed at Period B volumes and mix; isolates the change in variable cost per billable hour.</t>
        </r>
      </text>
    </comment>
    <comment ref="B81" authorId="0" shapeId="0" xr:uid="{00000000-0006-0000-0000-00001D000000}">
      <text>
        <r>
          <rPr>
            <sz val="11"/>
            <color theme="1"/>
            <rFont val="Calibri"/>
            <family val="2"/>
            <scheme val="minor"/>
          </rPr>
          <t>Utilization / fixed-cost effect (residual): F_A − F_B. Captures all change in fixed delivery cost (and opex if EBITDA mode) at Period B revenue. Includes the headline utilization shift via U = H/Cap.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Infraxus</author>
  </authors>
  <commentList>
    <comment ref="C10" authorId="0" shapeId="0" xr:uid="{00000000-0006-0000-0200-000001000000}">
      <text>
        <r>
          <rPr>
            <sz val="11"/>
            <color theme="1"/>
            <rFont val="Calibri"/>
            <family val="2"/>
            <scheme val="minor"/>
          </rPr>
          <t>Free text, appears on printed output. Enter your business name.</t>
        </r>
      </text>
    </comment>
    <comment ref="C11" authorId="0" shapeId="0" xr:uid="{00000000-0006-0000-0200-000002000000}">
      <text>
        <r>
          <rPr>
            <sz val="11"/>
            <color theme="1"/>
            <rFont val="Calibri"/>
            <family val="2"/>
            <scheme val="minor"/>
          </rPr>
          <t>Label for the comparison baseline period.</t>
        </r>
      </text>
    </comment>
    <comment ref="C12" authorId="0" shapeId="0" xr:uid="{00000000-0006-0000-0200-000003000000}">
      <text>
        <r>
          <rPr>
            <sz val="11"/>
            <color theme="1"/>
            <rFont val="Calibri"/>
            <family val="2"/>
            <scheme val="minor"/>
          </rPr>
          <t>Label for the comparison period.</t>
        </r>
      </text>
    </comment>
    <comment ref="C13" authorId="0" shapeId="0" xr:uid="{00000000-0006-0000-0200-000004000000}">
      <text>
        <r>
          <rPr>
            <sz val="11"/>
            <color theme="1"/>
            <rFont val="Calibri"/>
            <family val="2"/>
            <scheme val="minor"/>
          </rPr>
          <t>Gross margin (revenue − direct cost) or EBITDA margin (gross − opex). Pick Gross unless you want to walk EBITDA.</t>
        </r>
      </text>
    </comment>
    <comment ref="C14" authorId="0" shapeId="0" xr:uid="{00000000-0006-0000-0200-000005000000}">
      <text>
        <r>
          <rPr>
            <sz val="11"/>
            <color theme="1"/>
            <rFont val="Calibri"/>
            <family val="2"/>
            <scheme val="minor"/>
          </rPr>
          <t>Materiality threshold (in margin points) for flagging the residual line. Default 50bps = 0.5%.</t>
        </r>
      </text>
    </comment>
    <comment ref="C15" authorId="0" shapeId="0" xr:uid="{00000000-0006-0000-0200-000006000000}">
      <text>
        <r>
          <rPr>
            <sz val="11"/>
            <color theme="1"/>
            <rFont val="Calibri"/>
            <family val="2"/>
            <scheme val="minor"/>
          </rPr>
          <t>Auto-filled from Region selector.</t>
        </r>
      </text>
    </comment>
    <comment ref="E19" authorId="0" shapeId="0" xr:uid="{00000000-0006-0000-0200-000007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20" authorId="0" shapeId="0" xr:uid="{00000000-0006-0000-0200-000008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21" authorId="0" shapeId="0" xr:uid="{00000000-0006-0000-0200-000009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22" authorId="0" shapeId="0" xr:uid="{00000000-0006-0000-0200-00000A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23" authorId="0" shapeId="0" xr:uid="{00000000-0006-0000-0200-00000B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24" authorId="0" shapeId="0" xr:uid="{00000000-0006-0000-0200-00000C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C27" authorId="0" shapeId="0" xr:uid="{00000000-0006-0000-0200-00000D000000}">
      <text>
        <r>
          <rPr>
            <sz val="11"/>
            <color theme="1"/>
            <rFont val="Calibri"/>
            <family val="2"/>
            <scheme val="minor"/>
          </rPr>
          <t>Capacity-based delivery cost that doesn't flex with billable hours: salaried delivery staff, tools, dedicated software, contract minimums. Excludes variable cost-per-hour items entered above.</t>
        </r>
      </text>
    </comment>
    <comment ref="C28" authorId="0" shapeId="0" xr:uid="{00000000-0006-0000-0200-00000E000000}">
      <text>
        <r>
          <rPr>
            <sz val="11"/>
            <color theme="1"/>
            <rFont val="Calibri"/>
            <family val="2"/>
            <scheme val="minor"/>
          </rPr>
          <t>Total billable capacity available across delivery team for this period. Used for utilization.</t>
        </r>
      </text>
    </comment>
    <comment ref="C29" authorId="0" shapeId="0" xr:uid="{00000000-0006-0000-0200-00000F000000}">
      <text>
        <r>
          <rPr>
            <sz val="11"/>
            <color theme="1"/>
            <rFont val="Calibri"/>
            <family val="2"/>
            <scheme val="minor"/>
          </rPr>
          <t>Non-delivery operating expenses: rent, GTM, GA. Only used when 'Margin level analysed' = EBITDA. Leave at 0 if walking Gross margin.</t>
        </r>
      </text>
    </comment>
    <comment ref="E34" authorId="0" shapeId="0" xr:uid="{00000000-0006-0000-0200-000010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35" authorId="0" shapeId="0" xr:uid="{00000000-0006-0000-0200-000011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36" authorId="0" shapeId="0" xr:uid="{00000000-0006-0000-0200-000012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37" authorId="0" shapeId="0" xr:uid="{00000000-0006-0000-0200-000013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E38" authorId="0" shapeId="0" xr:uid="{00000000-0006-0000-0200-000014000000}">
      <text>
        <r>
          <rPr>
            <sz val="11"/>
            <color rgb="FF000000"/>
            <rFont val="Calibri"/>
            <family val="2"/>
          </rPr>
          <t>Direct cost for this service line. Enter it here if your accounting system splits direct cost by service line. If you use the Direct Cost Allocator tab instead, the allocated figure overrides this automatically.</t>
        </r>
      </text>
    </comment>
    <comment ref="E39" authorId="0" shapeId="0" xr:uid="{00000000-0006-0000-0200-000015000000}">
      <text>
        <r>
          <rPr>
            <sz val="11"/>
            <color theme="1"/>
            <rFont val="Calibri"/>
            <family val="2"/>
            <scheme val="minor"/>
          </rPr>
          <t>Direct cost for this service line. Enter it here if your accounting system splits direct cost by service line. If you use the Direct Cost Allocator tab instead, the allocated figure overrides this automatically.</t>
        </r>
      </text>
    </comment>
    <comment ref="C42" authorId="0" shapeId="0" xr:uid="{00000000-0006-0000-0200-000016000000}">
      <text>
        <r>
          <rPr>
            <sz val="11"/>
            <color theme="1"/>
            <rFont val="Calibri"/>
            <family val="2"/>
            <scheme val="minor"/>
          </rPr>
          <t>Capacity-based delivery cost that doesn't flex with billable hours: salaried delivery staff, tools, dedicated software, contract minimums. Excludes variable cost-per-hour items entered above.</t>
        </r>
      </text>
    </comment>
    <comment ref="C43" authorId="0" shapeId="0" xr:uid="{00000000-0006-0000-0200-000017000000}">
      <text>
        <r>
          <rPr>
            <sz val="11"/>
            <color theme="1"/>
            <rFont val="Calibri"/>
            <family val="2"/>
            <scheme val="minor"/>
          </rPr>
          <t>Total billable capacity available across delivery team for this period. Used for utilization.</t>
        </r>
      </text>
    </comment>
    <comment ref="C44" authorId="0" shapeId="0" xr:uid="{00000000-0006-0000-0200-000018000000}">
      <text>
        <r>
          <rPr>
            <sz val="11"/>
            <color theme="1"/>
            <rFont val="Calibri"/>
            <family val="2"/>
            <scheme val="minor"/>
          </rPr>
          <t>Non-delivery operating expenses: rent, GTM, GA. Only used when 'Margin level analysed' = EBITDA. Leave at 0 if walking Gross margin.</t>
        </r>
      </text>
    </comment>
    <comment ref="B77" authorId="0" shapeId="0" xr:uid="{00000000-0006-0000-0200-000019000000}">
      <text>
        <r>
          <rPr>
            <sz val="11"/>
            <color theme="1"/>
            <rFont val="Calibri"/>
            <family val="2"/>
            <scheme val="minor"/>
          </rPr>
          <t>Rate effect (Laspeyres weighting): Σ h_iA × (r_iB − r_iA). Holds Period A volumes and mix constant; isolates the pure rate change.</t>
        </r>
      </text>
    </comment>
    <comment ref="B78" authorId="0" shapeId="0" xr:uid="{00000000-0006-0000-0200-00001A000000}">
      <text>
        <r>
          <rPr>
            <sz val="11"/>
            <color theme="1"/>
            <rFont val="Calibri"/>
            <family val="2"/>
            <scheme val="minor"/>
          </rPr>
          <t>Volume effect (Paasche rates): scales total billable hours from H_A to H_B at Period A mix proportions and Period B rates, holding cost-per-hour at Period A. Captures both pure volume scaling AND the partial fixed-cost absorption interaction; the pure fixed-cost change sits in the utilization line.</t>
        </r>
      </text>
    </comment>
    <comment ref="B79" authorId="0" shapeId="0" xr:uid="{00000000-0006-0000-0200-00001B000000}">
      <text>
        <r>
          <rPr>
            <sz val="11"/>
            <color theme="1"/>
            <rFont val="Calibri"/>
            <family val="2"/>
            <scheme val="minor"/>
          </rPr>
          <t>Mix effect (interaction term): moves the per-service-line proportions from Period A to Period B at Period B volume and rates, holding costs at Period A. Δ = H_B × Σ (w_iB − w_iA) × (r_iB − c_iA).</t>
        </r>
      </text>
    </comment>
    <comment ref="B80" authorId="0" shapeId="0" xr:uid="{00000000-0006-0000-0200-00001C000000}">
      <text>
        <r>
          <rPr>
            <sz val="11"/>
            <color theme="1"/>
            <rFont val="Calibri"/>
            <family val="2"/>
            <scheme val="minor"/>
          </rPr>
          <t>Cost-input effect: Σ h_iB × (c_iA − c_iB). Computed at Period B volumes and mix; isolates the change in variable cost per billable hour.</t>
        </r>
      </text>
    </comment>
    <comment ref="B81" authorId="0" shapeId="0" xr:uid="{00000000-0006-0000-0200-00001D000000}">
      <text>
        <r>
          <rPr>
            <sz val="11"/>
            <color theme="1"/>
            <rFont val="Calibri"/>
            <family val="2"/>
            <scheme val="minor"/>
          </rPr>
          <t>Utilization / fixed-cost effect (residual): F_A − F_B. Captures all change in fixed delivery cost (and opex if EBITDA mode) at Period B revenue. Includes the headline utilization shift via U = H/Cap.</t>
        </r>
      </text>
    </comment>
  </commentList>
</comments>
</file>

<file path=xl/sharedStrings.xml><?xml version="1.0" encoding="utf-8"?>
<sst xmlns="http://schemas.openxmlformats.org/spreadsheetml/2006/main" count="666" uniqueCount="321">
  <si>
    <t>Margin Bridge and Variance Walk · Sample</t>
  </si>
  <si>
    <t>REGION</t>
  </si>
  <si>
    <t>AU</t>
  </si>
  <si>
    <t>VERTICAL</t>
  </si>
  <si>
    <t>Agency</t>
  </si>
  <si>
    <t>REGION LOOKUP</t>
  </si>
  <si>
    <t>infraxus.com</t>
  </si>
  <si>
    <t>Code</t>
  </si>
  <si>
    <t>Currency</t>
  </si>
  <si>
    <t>Symbol</t>
  </si>
  <si>
    <t>Note</t>
  </si>
  <si>
    <t>Sample story: Northwind Digital's gross margin moved +0.7pt between two quarters. Watch the waterfall: a rate rise and a mix shift toward advisory offset a cost-input drag.</t>
  </si>
  <si>
    <t>AUD</t>
  </si>
  <si>
    <t>$</t>
  </si>
  <si>
    <t>AUD. Margin terminology: 'gross margin', 'GP%' are standard.</t>
  </si>
  <si>
    <t>NZ</t>
  </si>
  <si>
    <t>NZD</t>
  </si>
  <si>
    <t>NZD. Margin terminology: 'gross margin', 'GP%' are standard.</t>
  </si>
  <si>
    <t>LEGEND</t>
  </si>
  <si>
    <t>123</t>
  </si>
  <si>
    <t>Input</t>
  </si>
  <si>
    <t>Formula</t>
  </si>
  <si>
    <t>+pt</t>
  </si>
  <si>
    <t>Favourable</t>
  </si>
  <si>
    <t>(pt)</t>
  </si>
  <si>
    <t>Unfavourable</t>
  </si>
  <si>
    <t>US</t>
  </si>
  <si>
    <t>USD</t>
  </si>
  <si>
    <t>USD. Margin terminology: 'gross margin', 'GM', 'margin bridge' are standard.</t>
  </si>
  <si>
    <t>VERTICAL LOOKUP</t>
  </si>
  <si>
    <t>BUSINESS CONTEXT</t>
  </si>
  <si>
    <t>Label</t>
  </si>
  <si>
    <t>GM Low</t>
  </si>
  <si>
    <t>GM High</t>
  </si>
  <si>
    <t>GM Mid</t>
  </si>
  <si>
    <t>Source</t>
  </si>
  <si>
    <t>Business name</t>
  </si>
  <si>
    <t>Northwind Digital</t>
  </si>
  <si>
    <t>Agency (digital / marketing / creative)</t>
  </si>
  <si>
    <t>Parakeeto / AgencyAnalytics: healthy agency delivery (gross) margin 50-60%+ at P&amp;L level.</t>
  </si>
  <si>
    <t>Period A (baseline)</t>
  </si>
  <si>
    <t>Q1 FY26</t>
  </si>
  <si>
    <t>Consulting</t>
  </si>
  <si>
    <t>Consulting (management / strategy)</t>
  </si>
  <si>
    <t>SPI Research / Mosaic: management and strategy consulting gross margin runs 50-60%+.</t>
  </si>
  <si>
    <t>Period B (comparison)</t>
  </si>
  <si>
    <t>Q2 FY26</t>
  </si>
  <si>
    <t>Engineering</t>
  </si>
  <si>
    <t>Engineering services</t>
  </si>
  <si>
    <t>EagleRock CFO / Mosaic: engineering services gross margin 40-60% (utilization-driven).</t>
  </si>
  <si>
    <t>Margin level analysed</t>
  </si>
  <si>
    <t>Gross</t>
  </si>
  <si>
    <t>IT_Services</t>
  </si>
  <si>
    <t>IT services / MSP</t>
  </si>
  <si>
    <t>MSP benchmark aggregators (Gradient, Thread) 50-60%, avg ~52%; blended IT services incl. project lower.</t>
  </si>
  <si>
    <t>Material residual threshold</t>
  </si>
  <si>
    <t>Professional</t>
  </si>
  <si>
    <t>Professional services (general)</t>
  </si>
  <si>
    <t>SPI Research / general professional services gross margin 45-55%.</t>
  </si>
  <si>
    <t>Currency label (auto)</t>
  </si>
  <si>
    <t>Recruiting</t>
  </si>
  <si>
    <t>Recruiting / staffing</t>
  </si>
  <si>
    <t>Staffing Industry Analysts / ASA: staffing gross margin 14-41%, ~21% temp average, 20-40% healthy.</t>
  </si>
  <si>
    <t>Trades</t>
  </si>
  <si>
    <t>Specialty trades</t>
  </si>
  <si>
    <t>Specialty trades 25-40% gross margin depending on material vs labour split (estimate band).</t>
  </si>
  <si>
    <t>PERIOD A · INPUTS</t>
  </si>
  <si>
    <t>Other</t>
  </si>
  <si>
    <t>Other services business</t>
  </si>
  <si>
    <t>Generic services-business midpoint.</t>
  </si>
  <si>
    <t>Service line</t>
  </si>
  <si>
    <t>Billable hours</t>
  </si>
  <si>
    <t>Revenue</t>
  </si>
  <si>
    <t>Direct cost</t>
  </si>
  <si>
    <t>Rate $/hr</t>
  </si>
  <si>
    <t>Direct cost $/hr</t>
  </si>
  <si>
    <t>GP / hr</t>
  </si>
  <si>
    <t>Mix %</t>
  </si>
  <si>
    <t>Retained client work</t>
  </si>
  <si>
    <t>Strategy / advisory</t>
  </si>
  <si>
    <t>SUMMARY METRICS</t>
  </si>
  <si>
    <t>COMPOSITE TERMS</t>
  </si>
  <si>
    <t>Implementation</t>
  </si>
  <si>
    <t>H_A</t>
  </si>
  <si>
    <t>Sum hA*rB</t>
  </si>
  <si>
    <t>Project, new business</t>
  </si>
  <si>
    <t>H_B</t>
  </si>
  <si>
    <t>Sum hA*cA</t>
  </si>
  <si>
    <t>Service line 5</t>
  </si>
  <si>
    <t>R_A</t>
  </si>
  <si>
    <t>Sum hB*cA</t>
  </si>
  <si>
    <t>Service line 6</t>
  </si>
  <si>
    <t>R_B</t>
  </si>
  <si>
    <t>Sum hB*rB</t>
  </si>
  <si>
    <t>Total</t>
  </si>
  <si>
    <t>VC_A</t>
  </si>
  <si>
    <t>Sum hB*cB</t>
  </si>
  <si>
    <t>VC_B</t>
  </si>
  <si>
    <t>Sum hA*rA</t>
  </si>
  <si>
    <t>Fixed delivery / overhead cost</t>
  </si>
  <si>
    <t>F_A</t>
  </si>
  <si>
    <t>R at walk 2</t>
  </si>
  <si>
    <t>Total billable capacity (hours)</t>
  </si>
  <si>
    <t>F_B</t>
  </si>
  <si>
    <t>VC at walk 2</t>
  </si>
  <si>
    <t>Operating expenses (EBITDA only)</t>
  </si>
  <si>
    <t>GP_A</t>
  </si>
  <si>
    <t>GP_B</t>
  </si>
  <si>
    <t>GM_A</t>
  </si>
  <si>
    <t>PERIOD B · INPUTS</t>
  </si>
  <si>
    <t>GM_B</t>
  </si>
  <si>
    <t>U_A</t>
  </si>
  <si>
    <t>U_B</t>
  </si>
  <si>
    <t>VARIANCE WALK · DOLLAR</t>
  </si>
  <si>
    <t>Walk</t>
  </si>
  <si>
    <t>GP $</t>
  </si>
  <si>
    <t>Revenue $</t>
  </si>
  <si>
    <t>GM %</t>
  </si>
  <si>
    <t>Δ $</t>
  </si>
  <si>
    <t>Δ pt</t>
  </si>
  <si>
    <t>0 · Period A</t>
  </si>
  <si>
    <t>1 · + Rate</t>
  </si>
  <si>
    <t>2 · + Volume</t>
  </si>
  <si>
    <t>3 · + Mix</t>
  </si>
  <si>
    <t>4 · + Cost-input</t>
  </si>
  <si>
    <t>5 · + Utilization (= Period B)</t>
  </si>
  <si>
    <t>MARGIN BRIDGE · HEADLINE</t>
  </si>
  <si>
    <t>MOVEMENT</t>
  </si>
  <si>
    <t>GP $ Δ</t>
  </si>
  <si>
    <t>UTILIZATION</t>
  </si>
  <si>
    <t>SENSITIVITY ENGINE</t>
  </si>
  <si>
    <t>WATERFALL · PERIOD A MARGIN → PERIOD B MARGIN</t>
  </si>
  <si>
    <t>VIEW</t>
  </si>
  <si>
    <t>Gross profit ($)</t>
  </si>
  <si>
    <t>Sens var</t>
  </si>
  <si>
    <t>Sens delta %</t>
  </si>
  <si>
    <t>Sens R_B adj</t>
  </si>
  <si>
    <t>Sens VC_B adj</t>
  </si>
  <si>
    <t>Sens F_B adj</t>
  </si>
  <si>
    <t>Sens H_B adj</t>
  </si>
  <si>
    <t>Sens GP_B adj</t>
  </si>
  <si>
    <t>Sens GP_B (hours-aware)</t>
  </si>
  <si>
    <t>Bar</t>
  </si>
  <si>
    <t>Invisible</t>
  </si>
  <si>
    <t>Pivot</t>
  </si>
  <si>
    <t>Up</t>
  </si>
  <si>
    <t>Down</t>
  </si>
  <si>
    <t>Top</t>
  </si>
  <si>
    <t>Sens R_B (hours-aware)</t>
  </si>
  <si>
    <t>Sens GM_B (final)</t>
  </si>
  <si>
    <t>Rate</t>
  </si>
  <si>
    <t>Sens GM_B - GM_A pt</t>
  </si>
  <si>
    <t>Volume</t>
  </si>
  <si>
    <t>Sens GM_B - GM_B pt</t>
  </si>
  <si>
    <t>Mix</t>
  </si>
  <si>
    <t>Cost-input</t>
  </si>
  <si>
    <t>Utilization</t>
  </si>
  <si>
    <t>QUANTIFIED BREAKDOWN · 5 effects</t>
  </si>
  <si>
    <t>Effect</t>
  </si>
  <si>
    <t>From / To</t>
  </si>
  <si>
    <t>Cumulative GM</t>
  </si>
  <si>
    <t>What happened</t>
  </si>
  <si>
    <t>Rate effect</t>
  </si>
  <si>
    <t>What you charge per hour</t>
  </si>
  <si>
    <t>Retained price increase took effect (+10%); advisory rate adjustment (+9%) landed cleanly.</t>
  </si>
  <si>
    <t>Volume effect</t>
  </si>
  <si>
    <t>Total billable hours delivered</t>
  </si>
  <si>
    <t>Total hours down 100 vs Q1, deliberate pullback on low-margin implementation work.</t>
  </si>
  <si>
    <t>Mix effect</t>
  </si>
  <si>
    <t>Which service lines drove volume</t>
  </si>
  <si>
    <t>Decisive pivot: advisory hours nearly doubled, implementation cut back 60%. Headline mix story.</t>
  </si>
  <si>
    <t>Cost-input effect</t>
  </si>
  <si>
    <t>Delivery cost per billable hour</t>
  </si>
  <si>
    <t>Contractor unit costs up ~6% across delivery (market drift; not yet repriced in client rates).</t>
  </si>
  <si>
    <t>Utilization effect</t>
  </si>
  <si>
    <t>Fixed delivery cost absorption</t>
  </si>
  <si>
    <t>Fixed delivery cost crept up 4% (one new salaried delivery hire); capacity unchanged.</t>
  </si>
  <si>
    <t>Period A rev</t>
  </si>
  <si>
    <t>Period B rev</t>
  </si>
  <si>
    <t>SENSITIVITY · what if one input moved</t>
  </si>
  <si>
    <t>Flex which input</t>
  </si>
  <si>
    <t>By how much</t>
  </si>
  <si>
    <t>Period B GM (new)</t>
  </si>
  <si>
    <t>Δ vs. actual GM</t>
  </si>
  <si>
    <t>Period B revenue</t>
  </si>
  <si>
    <t>INDUSTRY BENCHMARK · your GM vs. typical</t>
  </si>
  <si>
    <t>Δ vs. mid</t>
  </si>
  <si>
    <t>Source for this vertical</t>
  </si>
  <si>
    <t>RECONCILIATION · every check must hold</t>
  </si>
  <si>
    <t>MASTER</t>
  </si>
  <si>
    <t>ID</t>
  </si>
  <si>
    <t>Check</t>
  </si>
  <si>
    <t>Expected</t>
  </si>
  <si>
    <t>Actual</t>
  </si>
  <si>
    <t>Result</t>
  </si>
  <si>
    <t>R01</t>
  </si>
  <si>
    <t>Period A revenue = Sum of service-line revenue</t>
  </si>
  <si>
    <t>R02</t>
  </si>
  <si>
    <t>Period B revenue = Sum of service-line revenue</t>
  </si>
  <si>
    <t>R03</t>
  </si>
  <si>
    <t>Period A direct cost = Sum of service-line direct cost</t>
  </si>
  <si>
    <t>R04</t>
  </si>
  <si>
    <t>Period B direct cost = Sum of service-line direct cost</t>
  </si>
  <si>
    <t>R05</t>
  </si>
  <si>
    <t>Period A GP = Revenue − Variable Cost − Fixed Cost</t>
  </si>
  <si>
    <t>R06</t>
  </si>
  <si>
    <t>Period B GP = Revenue − Variable Cost − Fixed Cost</t>
  </si>
  <si>
    <t>R07</t>
  </si>
  <si>
    <t>Walk 0 $ equals Period A GP</t>
  </si>
  <si>
    <t>R08</t>
  </si>
  <si>
    <t>Walk 5 $ equals Period B GP</t>
  </si>
  <si>
    <t>R09</t>
  </si>
  <si>
    <t>HEADLINE · Period A GP + sum of 5 effects = Period B GP (zero tolerance)</t>
  </si>
  <si>
    <t>R10</t>
  </si>
  <si>
    <t>HEADLINE · Period A GM + sum of pt effects = Period B GM (zero tolerance)</t>
  </si>
  <si>
    <t>R11</t>
  </si>
  <si>
    <t>Sum of service-line mix percent = 100% (Period A)</t>
  </si>
  <si>
    <t>R12</t>
  </si>
  <si>
    <t>Sum of service-line mix percent = 100% (Period B)</t>
  </si>
  <si>
    <t>R13</t>
  </si>
  <si>
    <t>Vertical benchmark resolves (positive mid value)</t>
  </si>
  <si>
    <t>R14</t>
  </si>
  <si>
    <t>Currency label resolves (non-empty)</t>
  </si>
  <si>
    <t>R15</t>
  </si>
  <si>
    <t>Built by Infraxus, operator finance · infraxus.com</t>
  </si>
  <si>
    <t>Margin_Bridge_and_Variance_Walk.xlsx</t>
  </si>
  <si>
    <t>Margin Bridge and Variance Walk</t>
  </si>
  <si>
    <t>Enter Period A and Period B figures below; the bridge and waterfall populate. See the Sample tab for a worked example.</t>
  </si>
  <si>
    <t>Compute direct cost per service line from your delivery team's data · feeds the Margin Bridge tab</t>
  </si>
  <si>
    <t>Use this tab if your accounting system does not already split direct cost by service line. Enter your delivery team's data; the calculated direct cost per service line flows through to the Margin Bridge tab automatically.</t>
  </si>
  <si>
    <t>DELIVERY WORKFORCE · hours by service line, per period</t>
  </si>
  <si>
    <t>Name / role</t>
  </si>
  <si>
    <t>A: loaded cost</t>
  </si>
  <si>
    <t>A: SL1 hrs</t>
  </si>
  <si>
    <t>A: SL2 hrs</t>
  </si>
  <si>
    <t>A: SL3 hrs</t>
  </si>
  <si>
    <t>A: SL4 hrs</t>
  </si>
  <si>
    <t>A: SL5 hrs</t>
  </si>
  <si>
    <t>A: SL6 hrs</t>
  </si>
  <si>
    <t>A: total hrs</t>
  </si>
  <si>
    <t>B: loaded cost</t>
  </si>
  <si>
    <t>B: SL1 hrs</t>
  </si>
  <si>
    <t>B: SL2 hrs</t>
  </si>
  <si>
    <t>B: SL3 hrs</t>
  </si>
  <si>
    <t>B: SL4 hrs</t>
  </si>
  <si>
    <t>B: SL5 hrs</t>
  </si>
  <si>
    <t>B: SL6 hrs</t>
  </si>
  <si>
    <t>B: total hrs</t>
  </si>
  <si>
    <t>NON-LABOUR DIRECT COST · by service line, per period</t>
  </si>
  <si>
    <t>A: contractor</t>
  </si>
  <si>
    <t>A: pass-through</t>
  </si>
  <si>
    <t>A: software</t>
  </si>
  <si>
    <t>A: other</t>
  </si>
  <si>
    <t>A: total</t>
  </si>
  <si>
    <t>B: contractor</t>
  </si>
  <si>
    <t>B: pass-through</t>
  </si>
  <si>
    <t>B: software</t>
  </si>
  <si>
    <t>B: other</t>
  </si>
  <si>
    <t>B: total</t>
  </si>
  <si>
    <t>Service line 1</t>
  </si>
  <si>
    <t>Service line 2</t>
  </si>
  <si>
    <t>Service line 3</t>
  </si>
  <si>
    <t>Service line 4</t>
  </si>
  <si>
    <t>CALCULATED DIRECT COST PER SERVICE LINE · flows to the Bridge tab</t>
  </si>
  <si>
    <t>A: labour</t>
  </si>
  <si>
    <t>A: non-labour</t>
  </si>
  <si>
    <t>A: total direct cost</t>
  </si>
  <si>
    <t>B: labour</t>
  </si>
  <si>
    <t>B: non-labour</t>
  </si>
  <si>
    <t>B: total direct cost</t>
  </si>
  <si>
    <t>RECONCILIATION · allocated direct cost vs your P&amp;L total</t>
  </si>
  <si>
    <t>Sum of allocated direct cost</t>
  </si>
  <si>
    <t>P&amp;L total direct cost (you enter)</t>
  </si>
  <si>
    <t>Difference (allocated - P&amp;L)</t>
  </si>
  <si>
    <t>Status</t>
  </si>
  <si>
    <t>Built by Infraxus - operator finance · infraxus.com</t>
  </si>
  <si>
    <t>Maya R. - Delivery Lead</t>
  </si>
  <si>
    <t>Tom B. - Senior Consultant</t>
  </si>
  <si>
    <t>Priya S. - Consultant</t>
  </si>
  <si>
    <t>Jordan K. - Analyst</t>
  </si>
  <si>
    <t>Alex W. - Project Manager</t>
  </si>
  <si>
    <t>Read Me · Margin Bridge and Variance Walk</t>
  </si>
  <si>
    <t>01</t>
  </si>
  <si>
    <t>What this is</t>
  </si>
  <si>
    <t>02</t>
  </si>
  <si>
    <t>What a margin bridge is</t>
  </si>
  <si>
    <t>03</t>
  </si>
  <si>
    <t>The five effects, in your own words</t>
  </si>
  <si>
    <t>04</t>
  </si>
  <si>
    <t>How to use it</t>
  </si>
  <si>
    <t>05</t>
  </si>
  <si>
    <t>Direct cost: two ways to get it</t>
  </si>
  <si>
    <t>06</t>
  </si>
  <si>
    <t>What the colours mean</t>
  </si>
  <si>
    <t>07</t>
  </si>
  <si>
    <t>What to do if something looks wrong</t>
  </si>
  <si>
    <t>08</t>
  </si>
  <si>
    <t>Industry benchmarks for your vertical</t>
  </si>
  <si>
    <t>09</t>
  </si>
  <si>
    <t>Free vs the Control Sprint</t>
  </si>
  <si>
    <t>PER-SERVICE-LINE BREAKDOWN · contribution margin (before fixed cost) · where movement concentrated</t>
  </si>
  <si>
    <t>Period A CM</t>
  </si>
  <si>
    <t>Period A CM%</t>
  </si>
  <si>
    <t>Period B CM</t>
  </si>
  <si>
    <t>Period B CM%</t>
  </si>
  <si>
    <t>Δ CM $</t>
  </si>
  <si>
    <t>Δ CM pt</t>
  </si>
  <si>
    <t>How to use this template · what the colours mean · what to do if something looks wrong</t>
  </si>
  <si>
    <t xml:space="preserve">
Your gross margin moved from X% to Y% between two periods. The headline tells you direction. The bridge tells you why, broken into the operational levers that drove it.
Most operators stop at the headline: "margin up 320bps, good quarter." That's the unsatisfying read. It doesn't tell you whether you got lucky on mix, executed on rate, or quietly absorbed a cost increase you should have passed on. A bridge separates the signal from the noise so you can act on what actually moved.</t>
  </si>
  <si>
    <t xml:space="preserve">
RATE EFFECT. Change in what you charge per hour. If you raised retained-client rates 8% in Q2, that's rate effect, same hours, more revenue per hour. Matters most when you've taken pricing action (or held the line while costs rose).
VOLUME EFFECT. Change in total billable hours delivered. If you delivered 4,100 hours in Q1 and 4,400 in Q2, you scaled up, at your existing mix and rates that flows through as more gross profit dollars, and (because fixed delivery cost is spread over more revenue) a small margin% lift too. Matters most in growth or pullback phases.
MIX EFFECT. Change in which service lines drove the volume. Same total hours, but more came from your high-margin retained work and less from your low-margin implementation. Margin% moves even though revenue may be flat. Matters most when you're actively re-shaping what you sell.
COST-INPUT EFFECT. Change in delivery cost per billable hour, your contractors got more expensive, software pricing rose, materials drifted up. Same hours, same rates, but each hour now costs more to deliver. Matters most when input markets move on you and you haven't repriced.
UTILISATION EFFECT. Change in how much of your paid-for delivery capacity actually ended up billable. If your delivery team is salaried and you're paying for 4,200 capacity hours but only billed 3,200, the 1,000 idle hours are pure margin drag. Matters most when capacity (or fixed delivery cost) moves out of step with billable hours.</t>
  </si>
  <si>
    <t xml:space="preserve">
1. Set Region (top right) and Vertical so currency and benchmark resolve correctly.
2. In BUSINESS CONTEXT, name your business and label the two periods you're comparing (e.g. 'Q1 FY26' vs 'Q2 FY26'). Pick Gross or EBITDA margin (start with Gross unless you have a reason).
3. Fill PERIOD A · INPUTS, for each service line, enter the three numbers your accounting system actually outputs: revenue, billable hours, and direct cost. Rate $/hr and direct cost $/hr are calculated for you. Add fixed delivery cost and capacity below the table. Repeat for PERIOD B. (If your direct cost is not split by service line, see section 05.)
4. Scroll to MARGIN BRIDGE · HEADLINE. The waterfall and the QUANTIFIED BREAKDOWN table tell you what moved and by how much.
5. Optionally, in the narrative column (right side of the breakdown table) write one sentence per effect, "what happened." That commentary is what makes the bridge useful when you're walking a co-founder, board, or partner through it later.
6. Use SENSITIVITY to test "what if rates were 5% higher" / "what if we'd held costs flat" before committing to a Period C plan.</t>
  </si>
  <si>
    <t xml:space="preserve">
BLUE TEXT Input, a cell you are supposed to edit.
NEAR-BLACK TEXT Formula, a calculated value; do not type over it.
GREEN VALUE Favourable, the effect moved margin in your favour (or a check passed).
RED VALUE Unfavourable, the effect moved margin against you (or a check failed).
DARK BLUE TAB Bridge (live workspace). Grey tabs: Direct Cost Allocator and Sample (worked example). Hairline tab: Read Me.</t>
  </si>
  <si>
    <t xml:space="preserve">
• If the headline movement looks wrong, check Period A and Period B inputs for typos. Service-line hours and rates carry most of the answer; one bad number visibly distorts the bridge.
• If the residual reconciliation check (R15) shows a non-zero value, it means the headline arithmetic isn't holding. By construction it should always be zero. If it isn't, save a copy and open a fresh download, something has been overwritten in the engine area.
• If MASTER reads FAIL, find the failing recon row (red) and inspect the inputs feeding it. Most common cause: editing a hidden engine cell by accident. Reload a fresh copy.
• If utilisation shows 0% in Period A or B, you've left capacity at zero. The utilisation effect line will read zero until you enter realistic capacity hours.</t>
  </si>
  <si>
    <t xml:space="preserve">
The headline shows where your gross margin sits against a typical range for your vertical. The ranges are gross margin (revenue less direct delivery cost) and come from publicly verifiable sources; they do not vary materially across AU/NZ/US at the gross-margin level, so the Region selector drives the currency label only. Sources by vertical:
AGENCY 45-60%  ·  Parakeeto and AgencyAnalytics agency profitability benchmarks (healthy delivery margin 50-60%+).
CONSULTING 50-62%  ·  SPI Research (Service Performance Insight) Professional Services Maturity Benchmark; Mosaic consulting profitability data.
ENGINEERING 40-55%  ·  EagleRock CFO and Mosaic professional-services gross-margin benchmarks for engineering and AEC firms.
IT SERVICES / MSP 42-58%  ·  MSP gross-margin benchmark aggregators (50-60%, ~52% average); Cognizant and Kyndryl public filings for context.
PROFESSIONAL SERVICES 40-55%  ·  SPI Research and general professional-services gross-margin data (45-55%).
RECRUITING / STAFFING 20-40%  ·  Staffing Industry Analysts and the American Staffing Association (gross margin 14-41%, ~21% temp average).
SPECIALTY TRADES 25-40%  ·  industry estimate band; varies with the material-versus-labour split.
Treat the band as a sanity check, not a target. A business above its band may be underinvesting in delivery; one below may have a pricing or utilisation gap worth closing.</t>
  </si>
  <si>
    <t xml:space="preserve">
This template runs on two periods of operating data you enter by hand. It is intentionally narrow, one decision, one workbook, no integration.
The Control Sprint is the equivalent installed on your business. We pull your actuals from your accounting system, reconcile them, and run the margin bridge on your live data, refreshed monthly, decomposed by client and service line, with operator commentary on what each effect means for next quarter. Ten business days, fixed scope, $5,000, refundable on the delivery call if you don't get the clarity promised. Optional $2,500/month Engagement for ongoing cadence, 30-day notice, no annual lock-in.
If this template gives you a useful read, that's the goal. If you want the same rigour applied to your actual business data, infraxus.com/control-sprint.</t>
  </si>
  <si>
    <t xml:space="preserve">
A free Excel template that takes two periods of your operating data and shows you why your gross margin moved. Not a directional read. A quantified, defensible answer: how much of the change came from rate, from volume, from mix, from cost, and from utilisation.</t>
  </si>
  <si>
    <t xml:space="preserve">
The template asks for direct cost per service line. There are two ways to provide it, and both produce identical analysis.
NATIVE TRACKING.  If your accounting system already tracks direct cost by service line (Xero tracking categories, MYOB job costing, QuickBooks classes), enter those numbers directly in the Period A and Period B input tables on the Bridge tab. Done.
THE ALLOCATOR.  If your direct cost is not split by service line, use the Direct Cost Allocator tab. Enter your delivery team's hours by service line and their fully-loaded cost per period, plus any contractor or pass-through costs by service line. The Allocator computes direct cost per service line precisely from these inputs, with a reconciliation tie back to your P&amp;L total direct cost to confirm the allocation is complete (PASS within 1%, REVIEW if it does not match). The calculated direct cost flows through to the Bridge tab automatically; if a service line is left blank on the Allocator, the Bridge falls back to whatever you typed directly.
Most operators hand this template to their bookkeeper, finance manager, or admin assistant to populate from the underlying time-tracking, payroll, and accounting systems. The data preparation is delegable, the analysis is yours.</t>
  </si>
  <si>
    <t>Decompose your margin movement into rate, volume, mix, cost, and utilisation effects · free to use · no attribution required</t>
  </si>
  <si>
    <t>Direct Cost Allocator</t>
  </si>
  <si>
    <t>Direct Cost Allocator · Sample</t>
  </si>
  <si>
    <t>Want this bridge run on your real numbers every month, decomposed by client and service line?  Book a fit call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</si>
</sst>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Red]\-0%;&quot;–&quot;;@"/>
    <numFmt numFmtId="165" formatCode="0.0%;[Red]\-0.0%;&quot;–&quot;;@"/>
    <numFmt numFmtId="166" formatCode="#,##0&quot; h&quot;;[Red]\-#,##0&quot; h&quot;;&quot;–&quot;;@"/>
    <numFmt numFmtId="167" formatCode="&quot;$&quot;#,##0;[Red]\(&quot;$&quot;#,##0\);&quot;–&quot;;@"/>
    <numFmt numFmtId="168" formatCode="\+&quot;$&quot;#,##0;[Red]\-&quot;$&quot;#,##0;&quot;–&quot;;@"/>
    <numFmt numFmtId="169" formatCode="\+0&quot; pt&quot;;[Red]\-0&quot; pt&quot;;&quot;–&quot;;@"/>
    <numFmt numFmtId="170" formatCode="\+0.0&quot; pt&quot;;[Red]\-0.0&quot; pt&quot;;&quot;–&quot;;@"/>
    <numFmt numFmtId="171" formatCode="&quot;$&quot;#,##0;\-&quot;$&quot;#,##0;&quot;&quot;"/>
    <numFmt numFmtId="172" formatCode="&quot;+$&quot;#,##0;\-&quot;$&quot;#,##0;&quot;&quot;"/>
    <numFmt numFmtId="173" formatCode="&quot;-$&quot;#,##0;\-&quot;$&quot;#,##0;&quot;&quot;"/>
    <numFmt numFmtId="174" formatCode="#,##0;[Red]\-#,##0;&quot;–&quot;;@"/>
    <numFmt numFmtId="175" formatCode="&quot;$&quot;#,##0;\(&quot;$&quot;#,##0\);\-"/>
  </numFmts>
  <fonts count="31" x14ac:knownFonts="1">
    <font>
      <sz val="11"/>
      <color theme="1"/>
      <name val="Calibri"/>
      <family val="2"/>
      <scheme val="minor"/>
    </font>
    <font>
      <b/>
      <sz val="11"/>
      <color rgb="FF1E50FF"/>
      <name val="Consolas"/>
      <family val="2"/>
    </font>
    <font>
      <b/>
      <sz val="10"/>
      <color rgb="FF1E50FF"/>
      <name val="Consolas"/>
      <family val="2"/>
    </font>
    <font>
      <sz val="11"/>
      <color rgb="FF1E50FF"/>
      <name val="Consolas"/>
      <family val="2"/>
    </font>
    <font>
      <i/>
      <sz val="10"/>
      <color rgb="FF1E50FF"/>
      <name val="Consolas"/>
      <family val="2"/>
    </font>
    <font>
      <b/>
      <sz val="12"/>
      <color rgb="FF1E50FF"/>
      <name val="Consolas"/>
      <family val="2"/>
    </font>
    <font>
      <b/>
      <sz val="16"/>
      <color rgb="FFF2F2F2"/>
      <name val="Calibri Light"/>
      <family val="2"/>
    </font>
    <font>
      <sz val="10"/>
      <color rgb="FF8896B3"/>
      <name val="Consolas"/>
      <family val="2"/>
    </font>
    <font>
      <sz val="10"/>
      <color rgb="FF8896B3"/>
      <name val="Calibri"/>
      <family val="2"/>
    </font>
    <font>
      <b/>
      <sz val="10"/>
      <color rgb="FF8896B3"/>
      <name val="Consolas"/>
      <family val="2"/>
    </font>
    <font>
      <i/>
      <sz val="10"/>
      <color rgb="FF8896B3"/>
      <name val="Calibri"/>
      <family val="2"/>
    </font>
    <font>
      <sz val="11"/>
      <color rgb="FFF2F2F2"/>
      <name val="Calibri"/>
      <family val="2"/>
    </font>
    <font>
      <b/>
      <sz val="11"/>
      <color rgb="FFF2F2F2"/>
      <name val="Consolas"/>
      <family val="2"/>
    </font>
    <font>
      <b/>
      <sz val="11"/>
      <color rgb="FF10B981"/>
      <name val="Consolas"/>
      <family val="2"/>
    </font>
    <font>
      <b/>
      <sz val="11"/>
      <color rgb="FFE5484D"/>
      <name val="Consolas"/>
      <family val="2"/>
    </font>
    <font>
      <sz val="11"/>
      <color rgb="FFF2F2F2"/>
      <name val="Consolas"/>
      <family val="2"/>
    </font>
    <font>
      <b/>
      <sz val="11"/>
      <color rgb="FFF2F2F2"/>
      <name val="Calibri"/>
      <family val="2"/>
    </font>
    <font>
      <b/>
      <sz val="22"/>
      <color rgb="FFF2F2F2"/>
      <name val="Calibri Light"/>
      <family val="2"/>
    </font>
    <font>
      <sz val="14"/>
      <color rgb="FFF2F2F2"/>
      <name val="Calibri Light"/>
      <family val="2"/>
    </font>
    <font>
      <b/>
      <sz val="10"/>
      <color rgb="FFF2F2F2"/>
      <name val="Consolas"/>
      <family val="2"/>
    </font>
    <font>
      <sz val="11"/>
      <color rgb="FFF2F2F2"/>
      <name val="Calibri"/>
      <family val="2"/>
      <scheme val="minor"/>
    </font>
    <font>
      <b/>
      <sz val="16"/>
      <color rgb="FFF2F2F2"/>
      <name val="Calibri Light"/>
      <family val="2"/>
    </font>
    <font>
      <i/>
      <sz val="10"/>
      <color rgb="FF8896B3"/>
      <name val="Consolas"/>
      <family val="2"/>
    </font>
    <font>
      <b/>
      <sz val="12"/>
      <color rgb="FF10B981"/>
      <name val="Consolas"/>
      <family val="2"/>
    </font>
    <font>
      <sz val="10"/>
      <color rgb="FFF2F2F2"/>
      <name val="Calibri"/>
      <family val="2"/>
    </font>
    <font>
      <sz val="10"/>
      <color rgb="FFF2F2F2"/>
      <name val="Consolas"/>
      <family val="2"/>
    </font>
    <font>
      <b/>
      <sz val="10"/>
      <color rgb="FFF2F2F2"/>
      <name val="Calibri"/>
      <family val="2"/>
    </font>
    <font>
      <b/>
      <sz val="18"/>
      <color rgb="FFF2F2F2"/>
      <name val="Calibri Light"/>
      <family val="2"/>
    </font>
    <font>
      <sz val="11"/>
      <color rgb="FF000000"/>
      <name val="Calibri"/>
      <family val="2"/>
    </font>
    <font>
      <b/>
      <u/>
      <sz val="10"/>
      <color rgb="FF5B86FF"/>
      <name val="Consolas"/>
      <family val="2"/>
    </font>
    <font>
      <u/>
      <sz val="11"/>
      <color theme="10"/>
      <name val="Calibri"/>
      <family val="2"/>
      <scheme val="minor"/>
    </font>
  </fonts>
  <fills count="9">
    <fill>
      <patternFill patternType="none"/>
    </fill>
    <fill>
      <patternFill patternType="gray125"/>
    </fill>
    <fill>
      <patternFill patternType="solid">
        <fgColor rgb="FF1C1C1E"/>
        <bgColor rgb="FF1C1C1E"/>
      </patternFill>
    </fill>
    <fill>
      <patternFill patternType="solid">
        <fgColor rgb="FF0D0D0D"/>
        <bgColor rgb="FF0D0D0D"/>
      </patternFill>
    </fill>
    <fill>
      <patternFill patternType="solid">
        <fgColor rgb="FF26282B"/>
        <bgColor rgb="FF26282B"/>
      </patternFill>
    </fill>
    <fill>
      <patternFill patternType="solid">
        <fgColor rgb="FF0D0D0D"/>
        <bgColor indexed="64"/>
      </patternFill>
    </fill>
    <fill>
      <patternFill patternType="solid">
        <fgColor rgb="FF1C1C1E"/>
        <bgColor rgb="FF0D0D0D"/>
      </patternFill>
    </fill>
    <fill>
      <patternFill patternType="solid">
        <fgColor rgb="FF0D0D0D"/>
        <bgColor rgb="FF1C1C1E"/>
      </patternFill>
    </fill>
    <fill>
      <patternFill patternType="solid">
        <fgColor rgb="FF1C1C1E"/>
        <bgColor indexed="64"/>
      </patternFill>
    </fill>
  </fills>
  <borders count="7">
    <border>
      <left/>
      <right/>
      <top/>
      <bottom/>
      <diagonal/>
    </border>
    <border>
      <left/>
      <right/>
      <top/>
      <bottom/>
      <diagonal/>
    </border>
    <border>
      <left style="thin">
        <color rgb="FF3A3A3C"/>
      </left>
      <right style="thin">
        <color rgb="FF3A3A3C"/>
      </right>
      <top style="thin">
        <color rgb="FF3A3A3C"/>
      </top>
      <bottom style="thin">
        <color rgb="FF3A3A3C"/>
      </bottom>
      <diagonal/>
    </border>
    <border>
      <left/>
      <right/>
      <top/>
      <bottom style="thin">
        <color rgb="FF3A3A3C"/>
      </bottom>
      <diagonal/>
    </border>
    <border>
      <left/>
      <right/>
      <top style="thin">
        <color rgb="FF3A3A3C"/>
      </top>
      <bottom/>
      <diagonal/>
    </border>
    <border>
      <left/>
      <right/>
      <top style="thin">
        <color rgb="FF3A3A3C"/>
      </top>
      <bottom style="thin">
        <color rgb="FF3A3A3C"/>
      </bottom>
      <diagonal/>
    </border>
    <border>
      <left/>
      <right style="thin">
        <color rgb="FF3A3A3C"/>
      </right>
      <top style="thin">
        <color rgb="FF3A3A3C"/>
      </top>
      <bottom style="thin">
        <color rgb="FF3A3A3C"/>
      </bottom>
      <diagonal/>
    </border>
  </borders>
  <cellStyleXfs count="2">
    <xf numFmtId="0" fontId="0" fillId="0" borderId="1"/>
    <xf numFmtId="0" fontId="30" fillId="0" borderId="1" applyNumberFormat="0" applyFill="0" applyBorder="0" applyAlignment="0" applyProtection="0"/>
  </cellStyleXfs>
  <cellXfs count="97">
    <xf numFmtId="0" fontId="0" fillId="0" borderId="0" xfId="0" applyBorder="1"/>
    <xf numFmtId="0" fontId="0" fillId="2" borderId="0" xfId="0" applyFill="1" applyBorder="1"/>
    <xf numFmtId="0" fontId="0" fillId="3" borderId="0" xfId="0" applyFill="1" applyBorder="1"/>
    <xf numFmtId="0" fontId="7" fillId="2" borderId="0" xfId="0" applyFont="1" applyFill="1" applyBorder="1" applyAlignment="1">
      <alignment horizontal="right" vertical="center"/>
    </xf>
    <xf numFmtId="0" fontId="1" fillId="3" borderId="2" xfId="0" applyFont="1" applyFill="1" applyBorder="1" applyAlignment="1">
      <alignment horizontal="center" vertical="center"/>
    </xf>
    <xf numFmtId="0" fontId="2" fillId="2" borderId="0" xfId="0" applyFont="1" applyFill="1" applyBorder="1" applyAlignment="1">
      <alignment horizontal="left" vertical="center"/>
    </xf>
    <xf numFmtId="0" fontId="9" fillId="4" borderId="3" xfId="0" applyFont="1" applyFill="1" applyBorder="1" applyAlignment="1">
      <alignment horizontal="left" vertical="center"/>
    </xf>
    <xf numFmtId="0" fontId="10" fillId="2" borderId="0" xfId="0" applyFont="1" applyFill="1" applyBorder="1" applyAlignment="1">
      <alignment horizontal="left" vertical="center"/>
    </xf>
    <xf numFmtId="0" fontId="11" fillId="3" borderId="0" xfId="0" applyFont="1" applyFill="1" applyBorder="1" applyAlignment="1">
      <alignment horizontal="left" vertical="center"/>
    </xf>
    <xf numFmtId="0" fontId="9" fillId="2" borderId="0" xfId="0" applyFont="1" applyFill="1" applyBorder="1" applyAlignment="1">
      <alignment horizontal="left" vertical="center"/>
    </xf>
    <xf numFmtId="0" fontId="7" fillId="2" borderId="0" xfId="0" applyFont="1" applyFill="1" applyBorder="1" applyAlignment="1">
      <alignment horizontal="left" vertical="center"/>
    </xf>
    <xf numFmtId="0" fontId="12" fillId="3" borderId="2" xfId="0" applyFont="1" applyFill="1" applyBorder="1" applyAlignment="1">
      <alignment horizontal="center" vertical="center"/>
    </xf>
    <xf numFmtId="0" fontId="13" fillId="3" borderId="2" xfId="0" applyFont="1" applyFill="1" applyBorder="1" applyAlignment="1">
      <alignment horizontal="center" vertical="center"/>
    </xf>
    <xf numFmtId="0" fontId="14" fillId="3" borderId="2" xfId="0" applyFont="1" applyFill="1" applyBorder="1" applyAlignment="1">
      <alignment horizontal="center" vertical="center"/>
    </xf>
    <xf numFmtId="0" fontId="9" fillId="4" borderId="3" xfId="0" applyFont="1" applyFill="1" applyBorder="1" applyAlignment="1">
      <alignment horizontal="right" vertical="center"/>
    </xf>
    <xf numFmtId="49" fontId="3" fillId="3" borderId="2" xfId="0" applyNumberFormat="1" applyFont="1" applyFill="1" applyBorder="1" applyAlignment="1">
      <alignment horizontal="left" vertical="center"/>
    </xf>
    <xf numFmtId="164" fontId="15" fillId="3" borderId="0"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49" fontId="15" fillId="3" borderId="0" xfId="0" applyNumberFormat="1" applyFont="1" applyFill="1" applyBorder="1" applyAlignment="1">
      <alignment horizontal="left" vertical="center"/>
    </xf>
    <xf numFmtId="0" fontId="0" fillId="4" borderId="3" xfId="0" applyFill="1" applyBorder="1"/>
    <xf numFmtId="166" fontId="3" fillId="3" borderId="2" xfId="0" applyNumberFormat="1" applyFont="1" applyFill="1" applyBorder="1" applyAlignment="1">
      <alignment horizontal="right" vertical="center"/>
    </xf>
    <xf numFmtId="167" fontId="3" fillId="3" borderId="2" xfId="0" applyNumberFormat="1" applyFont="1" applyFill="1" applyBorder="1" applyAlignment="1">
      <alignment horizontal="right" vertical="center"/>
    </xf>
    <xf numFmtId="167" fontId="15" fillId="3" borderId="0" xfId="0" applyNumberFormat="1" applyFont="1" applyFill="1" applyBorder="1" applyAlignment="1">
      <alignment horizontal="right" vertical="center"/>
    </xf>
    <xf numFmtId="165" fontId="15" fillId="3" borderId="0" xfId="0" applyNumberFormat="1" applyFont="1" applyFill="1" applyBorder="1" applyAlignment="1">
      <alignment horizontal="right" vertical="center"/>
    </xf>
    <xf numFmtId="166" fontId="15" fillId="3" borderId="0" xfId="0" applyNumberFormat="1" applyFont="1" applyFill="1" applyBorder="1" applyAlignment="1">
      <alignment horizontal="right" vertical="center"/>
    </xf>
    <xf numFmtId="0" fontId="16" fillId="3" borderId="4" xfId="0" applyFont="1" applyFill="1" applyBorder="1" applyAlignment="1">
      <alignment horizontal="left" vertical="center"/>
    </xf>
    <xf numFmtId="166" fontId="12" fillId="3" borderId="4" xfId="0" applyNumberFormat="1" applyFont="1" applyFill="1" applyBorder="1" applyAlignment="1">
      <alignment horizontal="right" vertical="center"/>
    </xf>
    <xf numFmtId="167" fontId="12" fillId="3" borderId="4" xfId="0" applyNumberFormat="1" applyFont="1" applyFill="1" applyBorder="1" applyAlignment="1">
      <alignment horizontal="right" vertical="center"/>
    </xf>
    <xf numFmtId="164" fontId="12" fillId="3" borderId="4" xfId="0" applyNumberFormat="1" applyFont="1" applyFill="1" applyBorder="1" applyAlignment="1">
      <alignment horizontal="right" vertical="center"/>
    </xf>
    <xf numFmtId="0" fontId="0" fillId="3" borderId="4" xfId="0" applyFill="1" applyBorder="1"/>
    <xf numFmtId="168" fontId="15" fillId="3" borderId="0" xfId="0" applyNumberFormat="1" applyFont="1" applyFill="1" applyBorder="1" applyAlignment="1">
      <alignment horizontal="right" vertical="center"/>
    </xf>
    <xf numFmtId="169" fontId="15" fillId="3" borderId="0" xfId="0" applyNumberFormat="1" applyFont="1" applyFill="1" applyBorder="1" applyAlignment="1">
      <alignment horizontal="right" vertical="center"/>
    </xf>
    <xf numFmtId="170" fontId="15" fillId="3" borderId="0" xfId="0" applyNumberFormat="1" applyFont="1" applyFill="1" applyBorder="1" applyAlignment="1">
      <alignment horizontal="right" vertical="center"/>
    </xf>
    <xf numFmtId="0" fontId="7" fillId="3" borderId="0" xfId="0" applyFont="1" applyFill="1" applyBorder="1" applyAlignment="1">
      <alignment horizontal="left" vertical="center"/>
    </xf>
    <xf numFmtId="49" fontId="18" fillId="3" borderId="0" xfId="0" applyNumberFormat="1" applyFont="1" applyFill="1" applyBorder="1" applyAlignment="1">
      <alignment horizontal="left" vertical="center"/>
    </xf>
    <xf numFmtId="0" fontId="1" fillId="2" borderId="0" xfId="0" applyFont="1" applyFill="1" applyBorder="1" applyAlignment="1">
      <alignment horizontal="right" vertical="center"/>
    </xf>
    <xf numFmtId="0" fontId="9" fillId="4" borderId="1" xfId="0" applyFont="1" applyFill="1" applyAlignment="1">
      <alignment horizontal="right" vertical="center"/>
    </xf>
    <xf numFmtId="171" fontId="15" fillId="3" borderId="0" xfId="0" applyNumberFormat="1" applyFont="1" applyFill="1" applyBorder="1" applyAlignment="1">
      <alignment horizontal="right" vertical="center"/>
    </xf>
    <xf numFmtId="172" fontId="15" fillId="3" borderId="0" xfId="0" applyNumberFormat="1" applyFont="1" applyFill="1" applyBorder="1" applyAlignment="1">
      <alignment horizontal="right" vertical="center"/>
    </xf>
    <xf numFmtId="173" fontId="15" fillId="3" borderId="0" xfId="0" applyNumberFormat="1" applyFont="1" applyFill="1" applyBorder="1" applyAlignment="1">
      <alignment horizontal="right" vertical="center"/>
    </xf>
    <xf numFmtId="175" fontId="20" fillId="3" borderId="0" xfId="0" applyNumberFormat="1" applyFont="1" applyFill="1" applyBorder="1"/>
    <xf numFmtId="0" fontId="16" fillId="3" borderId="1" xfId="0" applyFont="1" applyFill="1" applyAlignment="1">
      <alignment horizontal="left" vertical="center"/>
    </xf>
    <xf numFmtId="170" fontId="12" fillId="3" borderId="1" xfId="0" applyNumberFormat="1" applyFont="1" applyFill="1" applyAlignment="1">
      <alignment horizontal="right" vertical="center"/>
    </xf>
    <xf numFmtId="0" fontId="0" fillId="3" borderId="1" xfId="0" applyFill="1"/>
    <xf numFmtId="170" fontId="15" fillId="3" borderId="1" xfId="0" applyNumberFormat="1" applyFont="1" applyFill="1" applyAlignment="1">
      <alignment horizontal="right" vertical="center"/>
    </xf>
    <xf numFmtId="49" fontId="4" fillId="3" borderId="2" xfId="0" applyNumberFormat="1" applyFont="1" applyFill="1" applyBorder="1" applyAlignment="1">
      <alignment horizontal="left" vertical="center" wrapText="1"/>
    </xf>
    <xf numFmtId="168" fontId="12" fillId="3" borderId="4" xfId="0" applyNumberFormat="1" applyFont="1" applyFill="1" applyBorder="1" applyAlignment="1">
      <alignment horizontal="right" vertical="center"/>
    </xf>
    <xf numFmtId="170" fontId="12" fillId="3" borderId="4" xfId="0" applyNumberFormat="1" applyFont="1" applyFill="1" applyBorder="1" applyAlignment="1">
      <alignment horizontal="right" vertical="center"/>
    </xf>
    <xf numFmtId="165" fontId="12" fillId="3" borderId="4" xfId="0" applyNumberFormat="1" applyFont="1" applyFill="1" applyBorder="1" applyAlignment="1">
      <alignment horizontal="right" vertical="center"/>
    </xf>
    <xf numFmtId="164" fontId="3" fillId="3" borderId="2" xfId="0" applyNumberFormat="1" applyFont="1" applyFill="1" applyBorder="1" applyAlignment="1">
      <alignment horizontal="right" vertical="center"/>
    </xf>
    <xf numFmtId="165" fontId="7" fillId="3" borderId="0" xfId="0" applyNumberFormat="1" applyFont="1" applyFill="1" applyBorder="1" applyAlignment="1">
      <alignment horizontal="right" vertical="center"/>
    </xf>
    <xf numFmtId="0" fontId="8" fillId="3" borderId="0" xfId="0" applyFont="1" applyFill="1" applyBorder="1" applyAlignment="1">
      <alignment horizontal="left" vertical="center"/>
    </xf>
    <xf numFmtId="0" fontId="23" fillId="3" borderId="2" xfId="0" applyFont="1" applyFill="1" applyBorder="1" applyAlignment="1">
      <alignment horizontal="center" vertical="center"/>
    </xf>
    <xf numFmtId="0" fontId="9" fillId="4" borderId="3" xfId="0" applyFont="1" applyFill="1" applyBorder="1" applyAlignment="1">
      <alignment horizontal="center" vertical="center"/>
    </xf>
    <xf numFmtId="167" fontId="7" fillId="3" borderId="0" xfId="0" applyNumberFormat="1" applyFont="1" applyFill="1" applyBorder="1" applyAlignment="1">
      <alignment horizontal="right" vertical="center"/>
    </xf>
    <xf numFmtId="167" fontId="25" fillId="3" borderId="0" xfId="0" applyNumberFormat="1" applyFont="1" applyFill="1" applyBorder="1" applyAlignment="1">
      <alignment horizontal="right" vertical="center"/>
    </xf>
    <xf numFmtId="0" fontId="19" fillId="3" borderId="0" xfId="0" applyFont="1" applyFill="1" applyBorder="1" applyAlignment="1">
      <alignment horizontal="center" vertical="center"/>
    </xf>
    <xf numFmtId="165" fontId="25" fillId="3" borderId="0" xfId="0" applyNumberFormat="1" applyFont="1" applyFill="1" applyBorder="1" applyAlignment="1">
      <alignment horizontal="right" vertical="center"/>
    </xf>
    <xf numFmtId="164" fontId="7" fillId="3" borderId="0" xfId="0" applyNumberFormat="1" applyFont="1" applyFill="1" applyBorder="1" applyAlignment="1">
      <alignment horizontal="right" vertical="center"/>
    </xf>
    <xf numFmtId="164" fontId="25" fillId="3" borderId="0" xfId="0" applyNumberFormat="1" applyFont="1" applyFill="1" applyBorder="1" applyAlignment="1">
      <alignment horizontal="right" vertical="center"/>
    </xf>
    <xf numFmtId="174" fontId="7" fillId="3" borderId="0" xfId="0" applyNumberFormat="1" applyFont="1" applyFill="1" applyBorder="1" applyAlignment="1">
      <alignment horizontal="right" vertical="center"/>
    </xf>
    <xf numFmtId="174" fontId="25" fillId="3" borderId="0" xfId="0" applyNumberFormat="1" applyFont="1" applyFill="1" applyBorder="1" applyAlignment="1">
      <alignment horizontal="right" vertical="center"/>
    </xf>
    <xf numFmtId="167" fontId="15" fillId="3" borderId="3" xfId="0" applyNumberFormat="1" applyFont="1" applyFill="1" applyBorder="1" applyAlignment="1">
      <alignment horizontal="right" vertical="center"/>
    </xf>
    <xf numFmtId="0" fontId="5" fillId="2" borderId="0" xfId="0" applyFont="1" applyFill="1" applyBorder="1" applyAlignment="1">
      <alignment horizontal="left" vertical="top"/>
    </xf>
    <xf numFmtId="0" fontId="0" fillId="5" borderId="0" xfId="0" applyFill="1" applyBorder="1"/>
    <xf numFmtId="0" fontId="0" fillId="7" borderId="0" xfId="0" applyFill="1" applyBorder="1"/>
    <xf numFmtId="0" fontId="0" fillId="6" borderId="0" xfId="0" applyFill="1" applyBorder="1"/>
    <xf numFmtId="0" fontId="0" fillId="8" borderId="0" xfId="0" applyFill="1" applyBorder="1"/>
    <xf numFmtId="0" fontId="0" fillId="2" borderId="1" xfId="0" applyFill="1"/>
    <xf numFmtId="0" fontId="0" fillId="0" borderId="1" xfId="0"/>
    <xf numFmtId="0" fontId="0" fillId="5" borderId="1" xfId="0" applyFill="1"/>
    <xf numFmtId="0" fontId="27" fillId="2" borderId="1" xfId="0" applyFont="1" applyFill="1" applyAlignment="1">
      <alignment horizontal="left" vertical="center"/>
    </xf>
    <xf numFmtId="0" fontId="0" fillId="3" borderId="0" xfId="0" applyFill="1" applyBorder="1"/>
    <xf numFmtId="0" fontId="24" fillId="3" borderId="1" xfId="0" applyFont="1" applyFill="1" applyAlignment="1">
      <alignment horizontal="left" vertical="center"/>
    </xf>
    <xf numFmtId="49" fontId="10" fillId="3" borderId="1" xfId="0" applyNumberFormat="1" applyFont="1" applyFill="1" applyAlignment="1">
      <alignment horizontal="left" vertical="center"/>
    </xf>
    <xf numFmtId="165" fontId="17" fillId="3" borderId="1" xfId="0" applyNumberFormat="1" applyFont="1" applyFill="1" applyAlignment="1">
      <alignment horizontal="left" vertical="center"/>
    </xf>
    <xf numFmtId="0" fontId="8" fillId="2" borderId="1" xfId="0" applyFont="1" applyFill="1" applyAlignment="1">
      <alignment horizontal="left" vertical="center"/>
    </xf>
    <xf numFmtId="170" fontId="17" fillId="3" borderId="1" xfId="0" applyNumberFormat="1" applyFont="1" applyFill="1" applyAlignment="1">
      <alignment horizontal="left" vertical="center"/>
    </xf>
    <xf numFmtId="0" fontId="7" fillId="3" borderId="1" xfId="0" applyFont="1" applyFill="1" applyAlignment="1">
      <alignment horizontal="left" vertical="center"/>
    </xf>
    <xf numFmtId="170" fontId="21" fillId="3" borderId="1" xfId="0" applyNumberFormat="1" applyFont="1" applyFill="1" applyAlignment="1">
      <alignment horizontal="right" vertical="center"/>
    </xf>
    <xf numFmtId="0" fontId="7" fillId="2" borderId="1" xfId="0" applyFont="1" applyFill="1" applyAlignment="1">
      <alignment horizontal="right" vertical="center"/>
    </xf>
    <xf numFmtId="0" fontId="19" fillId="4" borderId="1" xfId="0" applyFont="1" applyFill="1" applyAlignment="1">
      <alignment horizontal="left" vertical="center"/>
    </xf>
    <xf numFmtId="49" fontId="3" fillId="3" borderId="2" xfId="0" applyNumberFormat="1" applyFont="1" applyFill="1" applyBorder="1" applyAlignment="1">
      <alignment horizontal="left" vertical="center"/>
    </xf>
    <xf numFmtId="0" fontId="0" fillId="3" borderId="5" xfId="0" applyFill="1" applyBorder="1"/>
    <xf numFmtId="0" fontId="0" fillId="3" borderId="6" xfId="0" applyFill="1" applyBorder="1"/>
    <xf numFmtId="0" fontId="12" fillId="2" borderId="1" xfId="0" applyFont="1" applyFill="1" applyAlignment="1">
      <alignment horizontal="right" vertical="center"/>
    </xf>
    <xf numFmtId="0" fontId="9" fillId="4" borderId="3" xfId="0" applyFont="1" applyFill="1" applyBorder="1" applyAlignment="1">
      <alignment horizontal="left" vertical="center"/>
    </xf>
    <xf numFmtId="0" fontId="0" fillId="3" borderId="3" xfId="0" applyFill="1" applyBorder="1"/>
    <xf numFmtId="0" fontId="22" fillId="3" borderId="1" xfId="0" applyFont="1" applyFill="1" applyAlignment="1">
      <alignment horizontal="left" vertical="center"/>
    </xf>
    <xf numFmtId="168" fontId="17" fillId="3" borderId="1" xfId="0" applyNumberFormat="1" applyFont="1" applyFill="1" applyAlignment="1">
      <alignment horizontal="left" vertical="center"/>
    </xf>
    <xf numFmtId="0" fontId="10" fillId="3" borderId="1" xfId="0" applyFont="1" applyFill="1" applyAlignment="1">
      <alignment horizontal="left" vertical="center" wrapText="1"/>
    </xf>
    <xf numFmtId="165" fontId="21" fillId="3" borderId="1" xfId="0" applyNumberFormat="1" applyFont="1" applyFill="1" applyAlignment="1">
      <alignment horizontal="right" vertical="center"/>
    </xf>
    <xf numFmtId="0" fontId="29" fillId="8" borderId="0" xfId="1" applyFont="1" applyFill="1" applyBorder="1"/>
    <xf numFmtId="0" fontId="6" fillId="2" borderId="1" xfId="0" applyFont="1" applyFill="1" applyAlignment="1">
      <alignment horizontal="left" vertical="center"/>
    </xf>
    <xf numFmtId="0" fontId="11" fillId="3" borderId="1" xfId="0" applyFont="1" applyFill="1" applyAlignment="1">
      <alignment horizontal="left" vertical="top" wrapText="1"/>
    </xf>
    <xf numFmtId="0" fontId="26" fillId="3" borderId="1" xfId="0" applyFont="1" applyFill="1" applyAlignment="1">
      <alignment horizontal="left" vertical="center" wrapText="1"/>
    </xf>
    <xf numFmtId="0" fontId="10" fillId="2" borderId="1" xfId="0" applyFont="1" applyFill="1" applyAlignment="1">
      <alignment horizontal="left" vertical="center" wrapText="1"/>
    </xf>
  </cellXfs>
  <cellStyles count="2">
    <cellStyle name="Hyperlink" xfId="1" builtinId="8"/>
    <cellStyle name="Normal" xfId="0" builtinId="0"/>
  </cellStyles>
  <dxfs count="36">
    <dxf>
      <font>
        <b/>
        <sz val="10"/>
        <color rgb="FFE5484D"/>
        <name val="Consolas"/>
      </font>
    </dxf>
    <dxf>
      <font>
        <b/>
        <sz val="10"/>
        <color rgb="FF10B981"/>
        <name val="Consolas"/>
      </font>
    </dxf>
    <dxf>
      <font>
        <b/>
        <sz val="12"/>
        <color rgb="FFE5484D"/>
        <name val="Consolas"/>
      </font>
      <fill>
        <patternFill patternType="solid">
          <fgColor rgb="FF1C1C1E"/>
          <bgColor rgb="FF1C1C1E"/>
        </patternFill>
      </fill>
    </dxf>
    <dxf>
      <font>
        <b/>
        <sz val="12"/>
        <color rgb="FF10B981"/>
        <name val="Consolas"/>
      </font>
      <fill>
        <patternFill patternType="solid">
          <fgColor rgb="FF1C1C1E"/>
          <bgColor rgb="FF1C1C1E"/>
        </patternFill>
      </fill>
    </dxf>
    <dxf>
      <font>
        <sz val="11"/>
        <color rgb="FFE5484D"/>
        <name val="Consolas"/>
      </font>
    </dxf>
    <dxf>
      <font>
        <sz val="11"/>
        <color rgb="FF10B981"/>
        <name val="Consolas"/>
      </font>
    </dxf>
    <dxf>
      <font>
        <sz val="11"/>
        <color rgb="FFE5484D"/>
        <name val="Consolas"/>
      </font>
    </dxf>
    <dxf>
      <font>
        <sz val="11"/>
        <color rgb="FF10B981"/>
        <name val="Consolas"/>
      </font>
    </dxf>
    <dxf>
      <font>
        <b/>
        <sz val="16"/>
        <color rgb="FFE5484D"/>
        <name val="Calibri Light"/>
      </font>
    </dxf>
    <dxf>
      <font>
        <b/>
        <sz val="16"/>
        <color rgb="FF10B981"/>
        <name val="Calibri Light"/>
      </font>
    </dxf>
    <dxf>
      <font>
        <b/>
        <sz val="22"/>
        <color rgb="FFE5484D"/>
        <name val="Calibri Light"/>
      </font>
    </dxf>
    <dxf>
      <font>
        <b/>
        <sz val="22"/>
        <color rgb="FF10B981"/>
        <name val="Calibri Light"/>
      </font>
    </dxf>
    <dxf>
      <font>
        <sz val="11"/>
        <color rgb="FFE5484D"/>
        <name val="Consolas"/>
      </font>
    </dxf>
    <dxf>
      <font>
        <sz val="11"/>
        <color rgb="FF10B981"/>
        <name val="Consolas"/>
      </font>
    </dxf>
    <dxf>
      <font>
        <b/>
        <sz val="22"/>
        <color rgb="FFE5484D"/>
        <name val="Calibri Light"/>
      </font>
    </dxf>
    <dxf>
      <font>
        <b/>
        <sz val="22"/>
        <color rgb="FF10B981"/>
        <name val="Calibri Light"/>
      </font>
    </dxf>
    <dxf>
      <font>
        <b/>
        <sz val="10"/>
        <color rgb="FF10B981"/>
        <name val="Consolas"/>
      </font>
      <fill>
        <patternFill patternType="solid">
          <fgColor rgb="FF0B2E25"/>
          <bgColor rgb="FF0B2E25"/>
        </patternFill>
      </fill>
    </dxf>
    <dxf>
      <font>
        <b/>
        <sz val="10"/>
        <color rgb="FFFFC857"/>
        <name val="Consolas"/>
      </font>
      <fill>
        <patternFill patternType="solid">
          <fgColor rgb="FF2E2415"/>
          <bgColor rgb="FF2E2415"/>
        </patternFill>
      </fill>
    </dxf>
    <dxf>
      <font>
        <b/>
        <sz val="10"/>
        <color rgb="FFE5484D"/>
        <name val="Consolas"/>
      </font>
    </dxf>
    <dxf>
      <font>
        <b/>
        <sz val="10"/>
        <color rgb="FF10B981"/>
        <name val="Consolas"/>
      </font>
    </dxf>
    <dxf>
      <font>
        <b/>
        <sz val="12"/>
        <color rgb="FFE5484D"/>
        <name val="Consolas"/>
      </font>
      <fill>
        <patternFill patternType="solid">
          <fgColor rgb="FF1C1C1E"/>
          <bgColor rgb="FF1C1C1E"/>
        </patternFill>
      </fill>
    </dxf>
    <dxf>
      <font>
        <b/>
        <sz val="12"/>
        <color rgb="FF10B981"/>
        <name val="Consolas"/>
      </font>
      <fill>
        <patternFill patternType="solid">
          <fgColor rgb="FF1C1C1E"/>
          <bgColor rgb="FF1C1C1E"/>
        </patternFill>
      </fill>
    </dxf>
    <dxf>
      <font>
        <sz val="11"/>
        <color rgb="FFE5484D"/>
        <name val="Consolas"/>
      </font>
    </dxf>
    <dxf>
      <font>
        <sz val="11"/>
        <color rgb="FF10B981"/>
        <name val="Consolas"/>
      </font>
    </dxf>
    <dxf>
      <font>
        <sz val="11"/>
        <color rgb="FFE5484D"/>
        <name val="Consolas"/>
      </font>
    </dxf>
    <dxf>
      <font>
        <sz val="11"/>
        <color rgb="FF10B981"/>
        <name val="Consolas"/>
      </font>
    </dxf>
    <dxf>
      <font>
        <b/>
        <sz val="16"/>
        <color rgb="FFE5484D"/>
        <name val="Calibri Light"/>
      </font>
    </dxf>
    <dxf>
      <font>
        <b/>
        <sz val="16"/>
        <color rgb="FF10B981"/>
        <name val="Calibri Light"/>
      </font>
    </dxf>
    <dxf>
      <font>
        <b/>
        <sz val="22"/>
        <color rgb="FFE5484D"/>
        <name val="Calibri Light"/>
      </font>
    </dxf>
    <dxf>
      <font>
        <b/>
        <sz val="22"/>
        <color rgb="FF10B981"/>
        <name val="Calibri Light"/>
      </font>
    </dxf>
    <dxf>
      <font>
        <sz val="11"/>
        <color rgb="FFE5484D"/>
        <name val="Consolas"/>
      </font>
    </dxf>
    <dxf>
      <font>
        <sz val="11"/>
        <color rgb="FF10B981"/>
        <name val="Consolas"/>
      </font>
    </dxf>
    <dxf>
      <font>
        <b/>
        <sz val="22"/>
        <color rgb="FFE5484D"/>
        <name val="Calibri Light"/>
      </font>
    </dxf>
    <dxf>
      <font>
        <b/>
        <sz val="22"/>
        <color rgb="FF10B981"/>
        <name val="Calibri Light"/>
      </font>
    </dxf>
    <dxf>
      <font>
        <b/>
        <sz val="10"/>
        <color rgb="FF10B981"/>
        <name val="Consolas"/>
      </font>
      <fill>
        <patternFill patternType="solid">
          <fgColor rgb="FF0B2E25"/>
          <bgColor rgb="FF0B2E25"/>
        </patternFill>
      </fill>
    </dxf>
    <dxf>
      <font>
        <b/>
        <sz val="10"/>
        <color rgb="FFFFC857"/>
        <name val="Consolas"/>
      </font>
      <fill>
        <patternFill patternType="solid">
          <fgColor rgb="FF2E2415"/>
          <bgColor rgb="FF2E2415"/>
        </patternFill>
      </fill>
    </dxf>
  </dxfs>
  <tableStyles count="0" defaultTableStyle="TableStyleMedium9" defaultPivotStyle="PivotStyleLight16"/>
  <colors>
    <mruColors>
      <color rgb="FF0D0D0D"/>
      <color rgb="FF1C1C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barChart>
        <c:barDir val="col"/>
        <c:grouping val="stacked"/>
        <c:varyColors val="1"/>
        <c:ser>
          <c:idx val="0"/>
          <c:order val="0"/>
          <c:tx>
            <c:strRef>
              <c:f>Bridge!$AC$60</c:f>
              <c:strCache>
                <c:ptCount val="1"/>
                <c:pt idx="0">
                  <c:v>Invisible</c:v>
                </c:pt>
              </c:strCache>
            </c:strRef>
          </c:tx>
          <c:spPr>
            <a:noFill/>
            <a:ln>
              <a:prstDash val="solid"/>
            </a:ln>
          </c:spPr>
          <c:invertIfNegative val="1"/>
          <c:cat>
            <c:strRef>
              <c:f>Bridge!$AB$61:$AB$67</c:f>
              <c:strCache>
                <c:ptCount val="7"/>
                <c:pt idx="0">
                  <c:v>0</c:v>
                </c:pt>
                <c:pt idx="1">
                  <c:v>Rate</c:v>
                </c:pt>
                <c:pt idx="2">
                  <c:v>Volume</c:v>
                </c:pt>
                <c:pt idx="3">
                  <c:v>Mix</c:v>
                </c:pt>
                <c:pt idx="4">
                  <c:v>Cost-input</c:v>
                </c:pt>
                <c:pt idx="5">
                  <c:v>Utilization</c:v>
                </c:pt>
                <c:pt idx="6">
                  <c:v>0</c:v>
                </c:pt>
              </c:strCache>
            </c:strRef>
          </c:cat>
          <c:val>
            <c:numRef>
              <c:f>Bridge!$AC$61:$AC$67</c:f>
              <c:numCache>
                <c:formatCode>"$"#,##0;[Red]\("$"#,##0\);"–";@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B50-7046-B64C-AE48E2D28CC1}"/>
            </c:ext>
          </c:extLst>
        </c:ser>
        <c:ser>
          <c:idx val="1"/>
          <c:order val="1"/>
          <c:tx>
            <c:strRef>
              <c:f>Bridge!$AD$60</c:f>
              <c:strCache>
                <c:ptCount val="1"/>
                <c:pt idx="0">
                  <c:v>Pivot</c:v>
                </c:pt>
              </c:strCache>
            </c:strRef>
          </c:tx>
          <c:spPr>
            <a:solidFill>
              <a:srgbClr val="1E50FF"/>
            </a:solidFill>
            <a:ln>
              <a:prstDash val="solid"/>
            </a:ln>
          </c:spPr>
          <c:invertIfNegative val="1"/>
          <c:dLbls>
            <c:numFmt formatCode="&quot;$&quot;#,##0;;;" sourceLinked="0"/>
            <c:spPr>
              <a:noFill/>
              <a:ln>
                <a:noFill/>
              </a:ln>
              <a:effectLst/>
            </c:spPr>
            <c:txPr>
              <a:bodyPr wrap="square" lIns="38100" tIns="19050" rIns="38100" bIns="19050" anchor="ctr">
                <a:spAutoFit/>
              </a:bodyPr>
              <a:lstStyle/>
              <a:p>
                <a:pPr>
                  <a:defRPr sz="900" b="1">
                    <a:solidFill>
                      <a:srgbClr val="F2F2F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Bridge!$AB$61:$AB$67</c:f>
              <c:strCache>
                <c:ptCount val="7"/>
                <c:pt idx="0">
                  <c:v>0</c:v>
                </c:pt>
                <c:pt idx="1">
                  <c:v>Rate</c:v>
                </c:pt>
                <c:pt idx="2">
                  <c:v>Volume</c:v>
                </c:pt>
                <c:pt idx="3">
                  <c:v>Mix</c:v>
                </c:pt>
                <c:pt idx="4">
                  <c:v>Cost-input</c:v>
                </c:pt>
                <c:pt idx="5">
                  <c:v>Utilization</c:v>
                </c:pt>
                <c:pt idx="6">
                  <c:v>0</c:v>
                </c:pt>
              </c:strCache>
            </c:strRef>
          </c:cat>
          <c:val>
            <c:numRef>
              <c:f>Bridge!$AD$61:$AD$67</c:f>
              <c:numCache>
                <c:formatCode>"$"#,##0;\-"$"#,##0;""</c:formatCode>
                <c:ptCount val="7"/>
                <c:pt idx="0">
                  <c:v>0</c:v>
                </c:pt>
                <c:pt idx="1">
                  <c:v>0</c:v>
                </c:pt>
                <c:pt idx="2">
                  <c:v>0</c:v>
                </c:pt>
                <c:pt idx="3">
                  <c:v>0</c:v>
                </c:pt>
                <c:pt idx="4">
                  <c:v>0</c:v>
                </c:pt>
                <c:pt idx="5">
                  <c:v>0</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0B50-7046-B64C-AE48E2D28CC1}"/>
            </c:ext>
          </c:extLst>
        </c:ser>
        <c:ser>
          <c:idx val="2"/>
          <c:order val="2"/>
          <c:tx>
            <c:strRef>
              <c:f>Bridge!$AE$60</c:f>
              <c:strCache>
                <c:ptCount val="1"/>
                <c:pt idx="0">
                  <c:v>Up</c:v>
                </c:pt>
              </c:strCache>
            </c:strRef>
          </c:tx>
          <c:spPr>
            <a:solidFill>
              <a:srgbClr val="10B981"/>
            </a:solidFill>
            <a:ln>
              <a:prstDash val="solid"/>
            </a:ln>
          </c:spPr>
          <c:invertIfNegative val="1"/>
          <c:dLbls>
            <c:numFmt formatCode="&quot;$&quot;#,##0;;;" sourceLinked="0"/>
            <c:spPr>
              <a:noFill/>
              <a:ln>
                <a:noFill/>
              </a:ln>
              <a:effectLst/>
            </c:spPr>
            <c:txPr>
              <a:bodyPr wrap="square" lIns="38100" tIns="19050" rIns="38100" bIns="19050" anchor="ctr">
                <a:spAutoFit/>
              </a:bodyPr>
              <a:lstStyle/>
              <a:p>
                <a:pPr>
                  <a:defRPr sz="900" b="1">
                    <a:solidFill>
                      <a:srgbClr val="F2F2F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Bridge!$AB$61:$AB$67</c:f>
              <c:strCache>
                <c:ptCount val="7"/>
                <c:pt idx="0">
                  <c:v>0</c:v>
                </c:pt>
                <c:pt idx="1">
                  <c:v>Rate</c:v>
                </c:pt>
                <c:pt idx="2">
                  <c:v>Volume</c:v>
                </c:pt>
                <c:pt idx="3">
                  <c:v>Mix</c:v>
                </c:pt>
                <c:pt idx="4">
                  <c:v>Cost-input</c:v>
                </c:pt>
                <c:pt idx="5">
                  <c:v>Utilization</c:v>
                </c:pt>
                <c:pt idx="6">
                  <c:v>0</c:v>
                </c:pt>
              </c:strCache>
            </c:strRef>
          </c:cat>
          <c:val>
            <c:numRef>
              <c:f>Bridge!$AE$61:$AE$67</c:f>
              <c:numCache>
                <c:formatCode>"+$"#,##0;\-"$"#,##0;""</c:formatCode>
                <c:ptCount val="7"/>
                <c:pt idx="0">
                  <c:v>0</c:v>
                </c:pt>
                <c:pt idx="1">
                  <c:v>0</c:v>
                </c:pt>
                <c:pt idx="2">
                  <c:v>0</c:v>
                </c:pt>
                <c:pt idx="3">
                  <c:v>0</c:v>
                </c:pt>
                <c:pt idx="4">
                  <c:v>0</c:v>
                </c:pt>
                <c:pt idx="5">
                  <c:v>0</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0B50-7046-B64C-AE48E2D28CC1}"/>
            </c:ext>
          </c:extLst>
        </c:ser>
        <c:ser>
          <c:idx val="3"/>
          <c:order val="3"/>
          <c:tx>
            <c:strRef>
              <c:f>Bridge!$AF$60</c:f>
              <c:strCache>
                <c:ptCount val="1"/>
                <c:pt idx="0">
                  <c:v>Down</c:v>
                </c:pt>
              </c:strCache>
            </c:strRef>
          </c:tx>
          <c:spPr>
            <a:solidFill>
              <a:srgbClr val="E5484D"/>
            </a:solidFill>
            <a:ln>
              <a:prstDash val="solid"/>
            </a:ln>
          </c:spPr>
          <c:invertIfNegative val="1"/>
          <c:dLbls>
            <c:numFmt formatCode="&quot;$&quot;#,##0;;;" sourceLinked="0"/>
            <c:spPr>
              <a:noFill/>
              <a:ln>
                <a:noFill/>
              </a:ln>
              <a:effectLst/>
            </c:spPr>
            <c:txPr>
              <a:bodyPr wrap="square" lIns="38100" tIns="19050" rIns="38100" bIns="19050" anchor="ctr">
                <a:spAutoFit/>
              </a:bodyPr>
              <a:lstStyle/>
              <a:p>
                <a:pPr>
                  <a:defRPr sz="900" b="1">
                    <a:solidFill>
                      <a:srgbClr val="F2F2F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Bridge!$AB$61:$AB$67</c:f>
              <c:strCache>
                <c:ptCount val="7"/>
                <c:pt idx="0">
                  <c:v>0</c:v>
                </c:pt>
                <c:pt idx="1">
                  <c:v>Rate</c:v>
                </c:pt>
                <c:pt idx="2">
                  <c:v>Volume</c:v>
                </c:pt>
                <c:pt idx="3">
                  <c:v>Mix</c:v>
                </c:pt>
                <c:pt idx="4">
                  <c:v>Cost-input</c:v>
                </c:pt>
                <c:pt idx="5">
                  <c:v>Utilization</c:v>
                </c:pt>
                <c:pt idx="6">
                  <c:v>0</c:v>
                </c:pt>
              </c:strCache>
            </c:strRef>
          </c:cat>
          <c:val>
            <c:numRef>
              <c:f>Bridge!$AF$61:$AF$67</c:f>
              <c:numCache>
                <c:formatCode>"-$"#,##0;\-"$"#,##0;""</c:formatCode>
                <c:ptCount val="7"/>
                <c:pt idx="0">
                  <c:v>0</c:v>
                </c:pt>
                <c:pt idx="1">
                  <c:v>0</c:v>
                </c:pt>
                <c:pt idx="2">
                  <c:v>0</c:v>
                </c:pt>
                <c:pt idx="3">
                  <c:v>0</c:v>
                </c:pt>
                <c:pt idx="4">
                  <c:v>0</c:v>
                </c:pt>
                <c:pt idx="5">
                  <c:v>0</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3-0B50-7046-B64C-AE48E2D28CC1}"/>
            </c:ext>
          </c:extLst>
        </c:ser>
        <c:dLbls>
          <c:showLegendKey val="0"/>
          <c:showVal val="0"/>
          <c:showCatName val="0"/>
          <c:showSerName val="0"/>
          <c:showPercent val="0"/>
          <c:showBubbleSize val="0"/>
        </c:dLbls>
        <c:gapWidth val="60"/>
        <c:overlap val="100"/>
        <c:axId val="10"/>
        <c:axId val="100"/>
      </c:barChart>
      <c:lineChart>
        <c:grouping val="standard"/>
        <c:varyColors val="1"/>
        <c:ser>
          <c:idx val="4"/>
          <c:order val="4"/>
          <c:tx>
            <c:strRef>
              <c:f>Bridge!$AG$60</c:f>
              <c:strCache>
                <c:ptCount val="1"/>
                <c:pt idx="0">
                  <c:v>Top</c:v>
                </c:pt>
              </c:strCache>
            </c:strRef>
          </c:tx>
          <c:spPr>
            <a:ln w="28575">
              <a:noFill/>
              <a:prstDash val="solid"/>
            </a:ln>
          </c:spPr>
          <c:marker>
            <c:symbol val="none"/>
          </c:marker>
          <c:cat>
            <c:strRef>
              <c:f>Bridge!$AB$61:$AB$67</c:f>
              <c:strCache>
                <c:ptCount val="7"/>
                <c:pt idx="0">
                  <c:v>0</c:v>
                </c:pt>
                <c:pt idx="1">
                  <c:v>Rate</c:v>
                </c:pt>
                <c:pt idx="2">
                  <c:v>Volume</c:v>
                </c:pt>
                <c:pt idx="3">
                  <c:v>Mix</c:v>
                </c:pt>
                <c:pt idx="4">
                  <c:v>Cost-input</c:v>
                </c:pt>
                <c:pt idx="5">
                  <c:v>Utilization</c:v>
                </c:pt>
                <c:pt idx="6">
                  <c:v>0</c:v>
                </c:pt>
              </c:strCache>
            </c:strRef>
          </c:cat>
          <c:val>
            <c:numRef>
              <c:f>Bridge!$AG$61:$AG$67</c:f>
              <c:numCache>
                <c:formatCode>"$"#,##0;[Red]\("$"#,##0\);"–";@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B-0B50-7046-B64C-AE48E2D28CC1}"/>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spPr>
          <a:ln>
            <a:solidFill>
              <a:srgbClr val="3A3A3C"/>
            </a:solidFill>
            <a:prstDash val="solid"/>
          </a:ln>
        </c:spPr>
        <c:txPr>
          <a:bodyPr/>
          <a:lstStyle/>
          <a:p>
            <a:pPr>
              <a:defRPr>
                <a:solidFill>
                  <a:srgbClr val="8896B3"/>
                </a:solidFill>
              </a:defRPr>
            </a:pPr>
            <a:endParaRPr lang="en-US"/>
          </a:p>
        </c:txPr>
        <c:crossAx val="100"/>
        <c:crosses val="autoZero"/>
        <c:auto val="1"/>
        <c:lblAlgn val="ctr"/>
        <c:lblOffset val="100"/>
        <c:noMultiLvlLbl val="1"/>
      </c:catAx>
      <c:valAx>
        <c:axId val="100"/>
        <c:scaling>
          <c:orientation val="minMax"/>
        </c:scaling>
        <c:delete val="1"/>
        <c:axPos val="l"/>
        <c:numFmt formatCode="&quot;$&quot;#,##0;[Red]\(&quot;$&quot;#,##0\);&quot;–&quot;;@" sourceLinked="1"/>
        <c:majorTickMark val="none"/>
        <c:minorTickMark val="none"/>
        <c:tickLblPos val="nextTo"/>
        <c:crossAx val="10"/>
        <c:crosses val="autoZero"/>
        <c:crossBetween val="between"/>
      </c:valAx>
      <c:spPr>
        <a:solidFill>
          <a:srgbClr val="1C1C1E"/>
        </a:solidFill>
        <a:ln>
          <a:prstDash val="solid"/>
        </a:ln>
      </c:spPr>
    </c:plotArea>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barChart>
        <c:barDir val="col"/>
        <c:grouping val="stacked"/>
        <c:varyColors val="1"/>
        <c:ser>
          <c:idx val="0"/>
          <c:order val="0"/>
          <c:tx>
            <c:strRef>
              <c:f>Sample!$AC$60</c:f>
              <c:strCache>
                <c:ptCount val="1"/>
                <c:pt idx="0">
                  <c:v>Invisible</c:v>
                </c:pt>
              </c:strCache>
            </c:strRef>
          </c:tx>
          <c:spPr>
            <a:noFill/>
            <a:ln>
              <a:prstDash val="solid"/>
            </a:ln>
          </c:spPr>
          <c:invertIfNegative val="1"/>
          <c:cat>
            <c:strRef>
              <c:f>Sample!$AB$61:$AB$67</c:f>
              <c:strCache>
                <c:ptCount val="7"/>
                <c:pt idx="0">
                  <c:v>Q1 FY26</c:v>
                </c:pt>
                <c:pt idx="1">
                  <c:v>Rate</c:v>
                </c:pt>
                <c:pt idx="2">
                  <c:v>Volume</c:v>
                </c:pt>
                <c:pt idx="3">
                  <c:v>Mix</c:v>
                </c:pt>
                <c:pt idx="4">
                  <c:v>Cost-input</c:v>
                </c:pt>
                <c:pt idx="5">
                  <c:v>Utilization</c:v>
                </c:pt>
                <c:pt idx="6">
                  <c:v>Q2 FY26</c:v>
                </c:pt>
              </c:strCache>
            </c:strRef>
          </c:cat>
          <c:val>
            <c:numRef>
              <c:f>Sample!$AC$61:$AC$67</c:f>
              <c:numCache>
                <c:formatCode>"$"#,##0;[Red]\("$"#,##0\);"–";@</c:formatCode>
                <c:ptCount val="7"/>
                <c:pt idx="0">
                  <c:v>0</c:v>
                </c:pt>
                <c:pt idx="1">
                  <c:v>399500</c:v>
                </c:pt>
                <c:pt idx="2">
                  <c:v>418602.59740259743</c:v>
                </c:pt>
                <c:pt idx="3">
                  <c:v>418602.59740259743</c:v>
                </c:pt>
                <c:pt idx="4">
                  <c:v>459100</c:v>
                </c:pt>
                <c:pt idx="5">
                  <c:v>454100</c:v>
                </c:pt>
                <c:pt idx="6">
                  <c:v>0</c:v>
                </c:pt>
              </c:numCache>
            </c:numRef>
          </c:val>
          <c:extLst>
            <c:ext xmlns:c16="http://schemas.microsoft.com/office/drawing/2014/chart" uri="{C3380CC4-5D6E-409C-BE32-E72D297353CC}">
              <c16:uniqueId val="{00000000-4C69-0246-88B2-EFD5C65A08D0}"/>
            </c:ext>
          </c:extLst>
        </c:ser>
        <c:ser>
          <c:idx val="1"/>
          <c:order val="1"/>
          <c:tx>
            <c:strRef>
              <c:f>Sample!$AD$60</c:f>
              <c:strCache>
                <c:ptCount val="1"/>
                <c:pt idx="0">
                  <c:v>Pivot</c:v>
                </c:pt>
              </c:strCache>
            </c:strRef>
          </c:tx>
          <c:spPr>
            <a:solidFill>
              <a:srgbClr val="1E50FF"/>
            </a:solidFill>
            <a:ln>
              <a:prstDash val="solid"/>
            </a:ln>
          </c:spPr>
          <c:invertIfNegative val="1"/>
          <c:dLbls>
            <c:numFmt formatCode="&quot;$&quot;#,##0;;;" sourceLinked="0"/>
            <c:spPr>
              <a:noFill/>
              <a:ln>
                <a:noFill/>
              </a:ln>
              <a:effectLst/>
            </c:spPr>
            <c:txPr>
              <a:bodyPr wrap="square" lIns="38100" tIns="19050" rIns="38100" bIns="19050" anchor="ctr">
                <a:spAutoFit/>
              </a:bodyPr>
              <a:lstStyle/>
              <a:p>
                <a:pPr>
                  <a:defRPr sz="900" b="1">
                    <a:solidFill>
                      <a:srgbClr val="F2F2F2"/>
                    </a:solidFill>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Sample!$AB$61:$AB$67</c:f>
              <c:strCache>
                <c:ptCount val="7"/>
                <c:pt idx="0">
                  <c:v>Q1 FY26</c:v>
                </c:pt>
                <c:pt idx="1">
                  <c:v>Rate</c:v>
                </c:pt>
                <c:pt idx="2">
                  <c:v>Volume</c:v>
                </c:pt>
                <c:pt idx="3">
                  <c:v>Mix</c:v>
                </c:pt>
                <c:pt idx="4">
                  <c:v>Cost-input</c:v>
                </c:pt>
                <c:pt idx="5">
                  <c:v>Utilization</c:v>
                </c:pt>
                <c:pt idx="6">
                  <c:v>Q2 FY26</c:v>
                </c:pt>
              </c:strCache>
            </c:strRef>
          </c:cat>
          <c:val>
            <c:numRef>
              <c:f>Sample!$AD$61:$AD$67</c:f>
              <c:numCache>
                <c:formatCode>"$"#,##0;\-"$"#,##0;""</c:formatCode>
                <c:ptCount val="7"/>
                <c:pt idx="0">
                  <c:v>399500</c:v>
                </c:pt>
                <c:pt idx="1">
                  <c:v>0</c:v>
                </c:pt>
                <c:pt idx="2">
                  <c:v>0</c:v>
                </c:pt>
                <c:pt idx="3">
                  <c:v>0</c:v>
                </c:pt>
                <c:pt idx="4">
                  <c:v>0</c:v>
                </c:pt>
                <c:pt idx="5">
                  <c:v>0</c:v>
                </c:pt>
                <c:pt idx="6">
                  <c:v>454100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4C69-0246-88B2-EFD5C65A08D0}"/>
            </c:ext>
          </c:extLst>
        </c:ser>
        <c:ser>
          <c:idx val="2"/>
          <c:order val="2"/>
          <c:tx>
            <c:strRef>
              <c:f>Sample!$AE$60</c:f>
              <c:strCache>
                <c:ptCount val="1"/>
                <c:pt idx="0">
                  <c:v>Up</c:v>
                </c:pt>
              </c:strCache>
            </c:strRef>
          </c:tx>
          <c:spPr>
            <a:solidFill>
              <a:srgbClr val="10B981"/>
            </a:solidFill>
            <a:ln>
              <a:prstDash val="solid"/>
            </a:ln>
          </c:spPr>
          <c:invertIfNegative val="1"/>
          <c:dLbls>
            <c:numFmt formatCode="&quot;$&quot;#,##0;;;" sourceLinked="0"/>
            <c:spPr>
              <a:noFill/>
              <a:ln>
                <a:noFill/>
              </a:ln>
              <a:effectLst/>
            </c:spPr>
            <c:txPr>
              <a:bodyPr wrap="square" lIns="38100" tIns="19050" rIns="38100" bIns="19050" anchor="ctr">
                <a:spAutoFit/>
              </a:bodyPr>
              <a:lstStyle/>
              <a:p>
                <a:pPr>
                  <a:defRPr sz="900" b="1">
                    <a:solidFill>
                      <a:srgbClr val="F2F2F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Sample!$AB$61:$AB$67</c:f>
              <c:strCache>
                <c:ptCount val="7"/>
                <c:pt idx="0">
                  <c:v>Q1 FY26</c:v>
                </c:pt>
                <c:pt idx="1">
                  <c:v>Rate</c:v>
                </c:pt>
                <c:pt idx="2">
                  <c:v>Volume</c:v>
                </c:pt>
                <c:pt idx="3">
                  <c:v>Mix</c:v>
                </c:pt>
                <c:pt idx="4">
                  <c:v>Cost-input</c:v>
                </c:pt>
                <c:pt idx="5">
                  <c:v>Utilization</c:v>
                </c:pt>
                <c:pt idx="6">
                  <c:v>Q2 FY26</c:v>
                </c:pt>
              </c:strCache>
            </c:strRef>
          </c:cat>
          <c:val>
            <c:numRef>
              <c:f>Sample!$AE$61:$AE$67</c:f>
              <c:numCache>
                <c:formatCode>"+$"#,##0;\-"$"#,##0;""</c:formatCode>
                <c:ptCount val="7"/>
                <c:pt idx="0">
                  <c:v>0</c:v>
                </c:pt>
                <c:pt idx="1">
                  <c:v>57200</c:v>
                </c:pt>
                <c:pt idx="2">
                  <c:v>0</c:v>
                </c:pt>
                <c:pt idx="3">
                  <c:v>59797.402597402572</c:v>
                </c:pt>
                <c:pt idx="4">
                  <c:v>0</c:v>
                </c:pt>
                <c:pt idx="5">
                  <c:v>0</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4C69-0246-88B2-EFD5C65A08D0}"/>
            </c:ext>
          </c:extLst>
        </c:ser>
        <c:ser>
          <c:idx val="3"/>
          <c:order val="3"/>
          <c:tx>
            <c:strRef>
              <c:f>Sample!$AF$60</c:f>
              <c:strCache>
                <c:ptCount val="1"/>
                <c:pt idx="0">
                  <c:v>Down</c:v>
                </c:pt>
              </c:strCache>
            </c:strRef>
          </c:tx>
          <c:spPr>
            <a:solidFill>
              <a:srgbClr val="E5484D"/>
            </a:solidFill>
            <a:ln>
              <a:prstDash val="solid"/>
            </a:ln>
          </c:spPr>
          <c:invertIfNegative val="1"/>
          <c:dLbls>
            <c:numFmt formatCode="&quot;$&quot;#,##0;;;" sourceLinked="0"/>
            <c:spPr>
              <a:noFill/>
              <a:ln>
                <a:noFill/>
              </a:ln>
              <a:effectLst/>
            </c:spPr>
            <c:txPr>
              <a:bodyPr wrap="square" lIns="38100" tIns="19050" rIns="38100" bIns="19050" anchor="ctr">
                <a:spAutoFit/>
              </a:bodyPr>
              <a:lstStyle/>
              <a:p>
                <a:pPr>
                  <a:defRPr sz="900" b="1">
                    <a:solidFill>
                      <a:srgbClr val="F2F2F2"/>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Sample!$AB$61:$AB$67</c:f>
              <c:strCache>
                <c:ptCount val="7"/>
                <c:pt idx="0">
                  <c:v>Q1 FY26</c:v>
                </c:pt>
                <c:pt idx="1">
                  <c:v>Rate</c:v>
                </c:pt>
                <c:pt idx="2">
                  <c:v>Volume</c:v>
                </c:pt>
                <c:pt idx="3">
                  <c:v>Mix</c:v>
                </c:pt>
                <c:pt idx="4">
                  <c:v>Cost-input</c:v>
                </c:pt>
                <c:pt idx="5">
                  <c:v>Utilization</c:v>
                </c:pt>
                <c:pt idx="6">
                  <c:v>Q2 FY26</c:v>
                </c:pt>
              </c:strCache>
            </c:strRef>
          </c:cat>
          <c:val>
            <c:numRef>
              <c:f>Sample!$AF$61:$AF$67</c:f>
              <c:numCache>
                <c:formatCode>"-$"#,##0;\-"$"#,##0;""</c:formatCode>
                <c:ptCount val="7"/>
                <c:pt idx="0">
                  <c:v>0</c:v>
                </c:pt>
                <c:pt idx="1">
                  <c:v>0</c:v>
                </c:pt>
                <c:pt idx="2">
                  <c:v>38097.402597402572</c:v>
                </c:pt>
                <c:pt idx="3">
                  <c:v>0</c:v>
                </c:pt>
                <c:pt idx="4">
                  <c:v>19300</c:v>
                </c:pt>
                <c:pt idx="5">
                  <c:v>5000</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3-4C69-0246-88B2-EFD5C65A08D0}"/>
            </c:ext>
          </c:extLst>
        </c:ser>
        <c:dLbls>
          <c:showLegendKey val="0"/>
          <c:showVal val="0"/>
          <c:showCatName val="0"/>
          <c:showSerName val="0"/>
          <c:showPercent val="0"/>
          <c:showBubbleSize val="0"/>
        </c:dLbls>
        <c:gapWidth val="60"/>
        <c:overlap val="100"/>
        <c:axId val="10"/>
        <c:axId val="100"/>
      </c:barChart>
      <c:lineChart>
        <c:grouping val="standard"/>
        <c:varyColors val="1"/>
        <c:ser>
          <c:idx val="4"/>
          <c:order val="4"/>
          <c:tx>
            <c:strRef>
              <c:f>Sample!$AG$60</c:f>
              <c:strCache>
                <c:ptCount val="1"/>
                <c:pt idx="0">
                  <c:v>Top</c:v>
                </c:pt>
              </c:strCache>
            </c:strRef>
          </c:tx>
          <c:spPr>
            <a:ln w="28575">
              <a:noFill/>
              <a:prstDash val="solid"/>
            </a:ln>
          </c:spPr>
          <c:marker>
            <c:symbol val="none"/>
          </c:marker>
          <c:cat>
            <c:strRef>
              <c:f>Sample!$AB$61:$AB$67</c:f>
              <c:strCache>
                <c:ptCount val="7"/>
                <c:pt idx="0">
                  <c:v>Q1 FY26</c:v>
                </c:pt>
                <c:pt idx="1">
                  <c:v>Rate</c:v>
                </c:pt>
                <c:pt idx="2">
                  <c:v>Volume</c:v>
                </c:pt>
                <c:pt idx="3">
                  <c:v>Mix</c:v>
                </c:pt>
                <c:pt idx="4">
                  <c:v>Cost-input</c:v>
                </c:pt>
                <c:pt idx="5">
                  <c:v>Utilization</c:v>
                </c:pt>
                <c:pt idx="6">
                  <c:v>Q2 FY26</c:v>
                </c:pt>
              </c:strCache>
            </c:strRef>
          </c:cat>
          <c:val>
            <c:numRef>
              <c:f>Sample!$AG$61:$AG$67</c:f>
              <c:numCache>
                <c:formatCode>"$"#,##0;[Red]\("$"#,##0\);"–";@</c:formatCode>
                <c:ptCount val="7"/>
                <c:pt idx="0">
                  <c:v>399500</c:v>
                </c:pt>
                <c:pt idx="1">
                  <c:v>456700</c:v>
                </c:pt>
                <c:pt idx="2">
                  <c:v>456700</c:v>
                </c:pt>
                <c:pt idx="3">
                  <c:v>478400</c:v>
                </c:pt>
                <c:pt idx="4">
                  <c:v>478400</c:v>
                </c:pt>
                <c:pt idx="5">
                  <c:v>459100</c:v>
                </c:pt>
                <c:pt idx="6">
                  <c:v>454100</c:v>
                </c:pt>
              </c:numCache>
            </c:numRef>
          </c:val>
          <c:smooth val="0"/>
          <c:extLst>
            <c:ext xmlns:c16="http://schemas.microsoft.com/office/drawing/2014/chart" uri="{C3380CC4-5D6E-409C-BE32-E72D297353CC}">
              <c16:uniqueId val="{0000000B-4C69-0246-88B2-EFD5C65A08D0}"/>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spPr>
          <a:ln>
            <a:solidFill>
              <a:srgbClr val="3A3A3C"/>
            </a:solidFill>
            <a:prstDash val="solid"/>
          </a:ln>
        </c:spPr>
        <c:txPr>
          <a:bodyPr/>
          <a:lstStyle/>
          <a:p>
            <a:pPr>
              <a:defRPr>
                <a:solidFill>
                  <a:srgbClr val="8896B3"/>
                </a:solidFill>
              </a:defRPr>
            </a:pPr>
            <a:endParaRPr lang="en-US"/>
          </a:p>
        </c:txPr>
        <c:crossAx val="100"/>
        <c:crosses val="autoZero"/>
        <c:auto val="1"/>
        <c:lblAlgn val="ctr"/>
        <c:lblOffset val="100"/>
        <c:noMultiLvlLbl val="1"/>
      </c:catAx>
      <c:valAx>
        <c:axId val="100"/>
        <c:scaling>
          <c:orientation val="minMax"/>
        </c:scaling>
        <c:delete val="1"/>
        <c:axPos val="l"/>
        <c:numFmt formatCode="&quot;$&quot;#,##0;[Red]\(&quot;$&quot;#,##0\);&quot;–&quot;;@" sourceLinked="1"/>
        <c:majorTickMark val="none"/>
        <c:minorTickMark val="none"/>
        <c:tickLblPos val="nextTo"/>
        <c:crossAx val="10"/>
        <c:crosses val="autoZero"/>
        <c:crossBetween val="between"/>
      </c:valAx>
      <c:spPr>
        <a:solidFill>
          <a:srgbClr val="1C1C1E"/>
        </a:solidFill>
        <a:ln>
          <a:prstDash val="solid"/>
        </a:ln>
      </c:spPr>
    </c:plotArea>
    <c:plotVisOnly val="0"/>
    <c:dispBlanksAs val="gap"/>
    <c:showDLblsOverMax val="1"/>
  </c:chart>
  <c:spPr>
    <a:solidFill>
      <a:srgbClr val="1C1C1E"/>
    </a:solidFill>
    <a:ln>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53</xdr:row>
      <xdr:rowOff>0</xdr:rowOff>
    </xdr:from>
    <xdr:ext cx="9720000" cy="360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1</xdr:row>
      <xdr:rowOff>0</xdr:rowOff>
    </xdr:from>
    <xdr:ext cx="1571625" cy="390525"/>
    <xdr:pic>
      <xdr:nvPicPr>
        <xdr:cNvPr id="3" name="Image 2" descr="Picture">
          <a:hlinkClick xmlns:r="http://schemas.openxmlformats.org/officeDocument/2006/relationships" r:id=""/>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53</xdr:row>
      <xdr:rowOff>0</xdr:rowOff>
    </xdr:from>
    <xdr:ext cx="9720000" cy="360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1</xdr:row>
      <xdr:rowOff>0</xdr:rowOff>
    </xdr:from>
    <xdr:ext cx="1571625" cy="390525"/>
    <xdr:pic>
      <xdr:nvPicPr>
        <xdr:cNvPr id="3" name="Image 2" descr="Picture">
          <a:hlinkClick xmlns:r="http://schemas.openxmlformats.org/officeDocument/2006/relationships" r:id=""/>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571625" cy="390525"/>
    <xdr:pic>
      <xdr:nvPicPr>
        <xdr:cNvPr id="2" name="Image 1" descr="Picture">
          <a:hlinkClick xmlns:r="http://schemas.openxmlformats.org/officeDocument/2006/relationships" r:id=""/>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2B7ECE1-55FC-024C-A280-D5751A753E51}">
  <we:reference id="wa200009404" version="1.0.0.8" store="en-US" storeType="OMEX"/>
  <we:alternateReferences>
    <we:reference id="WA200009404" version="1.0.0.8" store="" storeType="OMEX"/>
  </we:alternateReferences>
  <we:properties>
    <we:property name="claude.fileId" value="&quot;e0446038-9312-43c4-95bb-caed393d7e9a&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hyperlink" Target="https://infraxus.com/book"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hyperlink" Target="https://infraxus.com/book" TargetMode="Externa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19"/>
  <sheetViews>
    <sheetView showGridLines="0" tabSelected="1" zoomScale="140" zoomScaleNormal="140" workbookViewId="0">
      <pane xSplit="1" ySplit="4" topLeftCell="B5" activePane="bottomRight" state="frozen"/>
      <selection pane="topRight"/>
      <selection pane="bottomLeft"/>
      <selection pane="bottomRight" activeCell="D38" sqref="D38"/>
    </sheetView>
  </sheetViews>
  <sheetFormatPr baseColWidth="10" defaultColWidth="8.83203125" defaultRowHeight="15" x14ac:dyDescent="0.2"/>
  <cols>
    <col min="1" max="1" width="2" style="64" customWidth="1"/>
    <col min="2" max="2" width="26" style="64" customWidth="1"/>
    <col min="3" max="10" width="16" style="64" customWidth="1"/>
    <col min="11" max="11" width="2" style="64" customWidth="1"/>
    <col min="12" max="16384" width="8.83203125" style="64"/>
  </cols>
  <sheetData>
    <row r="1" spans="1:11" ht="8" customHeight="1" x14ac:dyDescent="0.2">
      <c r="A1" s="1"/>
      <c r="B1" s="1"/>
      <c r="C1" s="1"/>
      <c r="D1" s="1"/>
      <c r="E1" s="1"/>
      <c r="F1" s="1"/>
      <c r="G1" s="1"/>
      <c r="H1" s="1"/>
      <c r="I1" s="1"/>
      <c r="J1" s="1"/>
      <c r="K1" s="1"/>
    </row>
    <row r="2" spans="1:11" ht="30" customHeight="1" x14ac:dyDescent="0.2">
      <c r="A2" s="1"/>
      <c r="B2" s="1"/>
      <c r="C2" s="71" t="s">
        <v>281</v>
      </c>
      <c r="D2" s="72"/>
      <c r="E2" s="72"/>
      <c r="F2" s="72"/>
      <c r="G2" s="72"/>
      <c r="H2" s="72"/>
      <c r="I2" s="72"/>
      <c r="J2" s="72"/>
      <c r="K2" s="1"/>
    </row>
    <row r="3" spans="1:11" ht="22" customHeight="1" x14ac:dyDescent="0.2">
      <c r="A3" s="1"/>
      <c r="B3" s="76" t="s">
        <v>307</v>
      </c>
      <c r="C3" s="72"/>
      <c r="D3" s="72"/>
      <c r="E3" s="72"/>
      <c r="F3" s="72"/>
      <c r="G3" s="72"/>
      <c r="H3" s="72"/>
      <c r="I3" s="72"/>
      <c r="J3" s="72"/>
      <c r="K3" s="1"/>
    </row>
    <row r="4" spans="1:11" ht="10" customHeight="1" x14ac:dyDescent="0.2">
      <c r="A4" s="1"/>
      <c r="B4" s="1"/>
      <c r="C4" s="1"/>
      <c r="D4" s="1"/>
      <c r="E4" s="1"/>
      <c r="F4" s="1"/>
      <c r="G4" s="1"/>
      <c r="H4" s="1"/>
      <c r="I4" s="1"/>
      <c r="J4" s="1"/>
      <c r="K4" s="1"/>
    </row>
    <row r="5" spans="1:11" x14ac:dyDescent="0.2">
      <c r="A5" s="1"/>
      <c r="B5" s="1"/>
      <c r="C5" s="1"/>
      <c r="D5" s="1"/>
      <c r="E5" s="1"/>
      <c r="F5" s="1"/>
      <c r="G5" s="1"/>
      <c r="H5" s="1"/>
      <c r="I5" s="1"/>
      <c r="J5" s="1"/>
      <c r="K5" s="1"/>
    </row>
    <row r="6" spans="1:11" ht="20" customHeight="1" x14ac:dyDescent="0.2">
      <c r="A6" s="1"/>
      <c r="B6" s="63" t="s">
        <v>282</v>
      </c>
      <c r="C6" s="93" t="s">
        <v>283</v>
      </c>
      <c r="D6" s="72"/>
      <c r="E6" s="72"/>
      <c r="F6" s="72"/>
      <c r="G6" s="72"/>
      <c r="H6" s="72"/>
      <c r="I6" s="72"/>
      <c r="J6" s="72"/>
      <c r="K6" s="1"/>
    </row>
    <row r="7" spans="1:11" ht="49" customHeight="1" x14ac:dyDescent="0.2">
      <c r="A7" s="1"/>
      <c r="B7" s="2"/>
      <c r="C7" s="94" t="s">
        <v>315</v>
      </c>
      <c r="D7" s="72"/>
      <c r="E7" s="72"/>
      <c r="F7" s="72"/>
      <c r="G7" s="72"/>
      <c r="H7" s="72"/>
      <c r="I7" s="72"/>
      <c r="J7" s="72"/>
      <c r="K7" s="1"/>
    </row>
    <row r="8" spans="1:11" x14ac:dyDescent="0.2">
      <c r="A8" s="1"/>
      <c r="B8" s="1"/>
      <c r="C8" s="1"/>
      <c r="D8" s="1"/>
      <c r="E8" s="1"/>
      <c r="F8" s="1"/>
      <c r="G8" s="1"/>
      <c r="H8" s="1"/>
      <c r="I8" s="1"/>
      <c r="J8" s="1"/>
      <c r="K8" s="1"/>
    </row>
    <row r="9" spans="1:11" ht="20" customHeight="1" x14ac:dyDescent="0.2">
      <c r="A9" s="1"/>
      <c r="B9" s="63" t="s">
        <v>284</v>
      </c>
      <c r="C9" s="93" t="s">
        <v>285</v>
      </c>
      <c r="D9" s="72"/>
      <c r="E9" s="72"/>
      <c r="F9" s="72"/>
      <c r="G9" s="72"/>
      <c r="H9" s="72"/>
      <c r="I9" s="72"/>
      <c r="J9" s="72"/>
      <c r="K9" s="1"/>
    </row>
    <row r="10" spans="1:11" ht="82" customHeight="1" x14ac:dyDescent="0.2">
      <c r="A10" s="1"/>
      <c r="B10" s="2"/>
      <c r="C10" s="94" t="s">
        <v>308</v>
      </c>
      <c r="D10" s="72"/>
      <c r="E10" s="72"/>
      <c r="F10" s="72"/>
      <c r="G10" s="72"/>
      <c r="H10" s="72"/>
      <c r="I10" s="72"/>
      <c r="J10" s="72"/>
      <c r="K10" s="1"/>
    </row>
    <row r="11" spans="1:11" x14ac:dyDescent="0.2">
      <c r="A11" s="1"/>
      <c r="B11" s="1"/>
      <c r="C11" s="1"/>
      <c r="D11" s="1"/>
      <c r="E11" s="1"/>
      <c r="F11" s="1"/>
      <c r="G11" s="1"/>
      <c r="H11" s="1"/>
      <c r="I11" s="1"/>
      <c r="J11" s="1"/>
      <c r="K11" s="1"/>
    </row>
    <row r="12" spans="1:11" ht="20" customHeight="1" x14ac:dyDescent="0.2">
      <c r="A12" s="1"/>
      <c r="B12" s="63" t="s">
        <v>286</v>
      </c>
      <c r="C12" s="93" t="s">
        <v>287</v>
      </c>
      <c r="D12" s="72"/>
      <c r="E12" s="72"/>
      <c r="F12" s="72"/>
      <c r="G12" s="72"/>
      <c r="H12" s="72"/>
      <c r="I12" s="72"/>
      <c r="J12" s="72"/>
      <c r="K12" s="1"/>
    </row>
    <row r="13" spans="1:11" ht="239" customHeight="1" x14ac:dyDescent="0.2">
      <c r="A13" s="1"/>
      <c r="B13" s="2"/>
      <c r="C13" s="94" t="s">
        <v>309</v>
      </c>
      <c r="D13" s="72"/>
      <c r="E13" s="72"/>
      <c r="F13" s="72"/>
      <c r="G13" s="72"/>
      <c r="H13" s="72"/>
      <c r="I13" s="72"/>
      <c r="J13" s="72"/>
      <c r="K13" s="1"/>
    </row>
    <row r="14" spans="1:11" x14ac:dyDescent="0.2">
      <c r="A14" s="1"/>
      <c r="B14" s="1"/>
      <c r="C14" s="1"/>
      <c r="D14" s="1"/>
      <c r="E14" s="1"/>
      <c r="F14" s="1"/>
      <c r="G14" s="1"/>
      <c r="H14" s="1"/>
      <c r="I14" s="1"/>
      <c r="J14" s="1"/>
      <c r="K14" s="1"/>
    </row>
    <row r="15" spans="1:11" ht="20" customHeight="1" x14ac:dyDescent="0.2">
      <c r="A15" s="1"/>
      <c r="B15" s="63" t="s">
        <v>288</v>
      </c>
      <c r="C15" s="93" t="s">
        <v>289</v>
      </c>
      <c r="D15" s="72"/>
      <c r="E15" s="72"/>
      <c r="F15" s="72"/>
      <c r="G15" s="72"/>
      <c r="H15" s="72"/>
      <c r="I15" s="72"/>
      <c r="J15" s="72"/>
      <c r="K15" s="1"/>
    </row>
    <row r="16" spans="1:11" ht="156" customHeight="1" x14ac:dyDescent="0.2">
      <c r="A16" s="1"/>
      <c r="B16" s="2"/>
      <c r="C16" s="94" t="s">
        <v>310</v>
      </c>
      <c r="D16" s="72"/>
      <c r="E16" s="72"/>
      <c r="F16" s="72"/>
      <c r="G16" s="72"/>
      <c r="H16" s="72"/>
      <c r="I16" s="72"/>
      <c r="J16" s="72"/>
      <c r="K16" s="1"/>
    </row>
    <row r="17" spans="1:11" x14ac:dyDescent="0.2">
      <c r="A17" s="1"/>
      <c r="B17" s="1"/>
      <c r="C17" s="1"/>
      <c r="D17" s="1"/>
      <c r="E17" s="1"/>
      <c r="F17" s="1"/>
      <c r="G17" s="1"/>
      <c r="H17" s="1"/>
      <c r="I17" s="1"/>
      <c r="J17" s="1"/>
      <c r="K17" s="1"/>
    </row>
    <row r="18" spans="1:11" ht="20" customHeight="1" x14ac:dyDescent="0.2">
      <c r="A18" s="1"/>
      <c r="B18" s="63" t="s">
        <v>290</v>
      </c>
      <c r="C18" s="93" t="s">
        <v>291</v>
      </c>
      <c r="D18" s="72"/>
      <c r="E18" s="72"/>
      <c r="F18" s="72"/>
      <c r="G18" s="72"/>
      <c r="H18" s="72"/>
      <c r="I18" s="72"/>
      <c r="J18" s="72"/>
      <c r="K18" s="1"/>
    </row>
    <row r="19" spans="1:11" ht="209" customHeight="1" x14ac:dyDescent="0.2">
      <c r="A19" s="1"/>
      <c r="B19" s="2"/>
      <c r="C19" s="94" t="s">
        <v>316</v>
      </c>
      <c r="D19" s="72"/>
      <c r="E19" s="72"/>
      <c r="F19" s="72"/>
      <c r="G19" s="72"/>
      <c r="H19" s="72"/>
      <c r="I19" s="72"/>
      <c r="J19" s="72"/>
      <c r="K19" s="1"/>
    </row>
    <row r="20" spans="1:11" x14ac:dyDescent="0.2">
      <c r="A20" s="1"/>
      <c r="B20" s="1"/>
      <c r="C20" s="1"/>
      <c r="D20" s="1"/>
      <c r="E20" s="1"/>
      <c r="F20" s="1"/>
      <c r="G20" s="1"/>
      <c r="H20" s="1"/>
      <c r="I20" s="1"/>
      <c r="J20" s="1"/>
      <c r="K20" s="1"/>
    </row>
    <row r="21" spans="1:11" ht="20" customHeight="1" x14ac:dyDescent="0.2">
      <c r="A21" s="1"/>
      <c r="B21" s="63" t="s">
        <v>292</v>
      </c>
      <c r="C21" s="93" t="s">
        <v>293</v>
      </c>
      <c r="D21" s="72"/>
      <c r="E21" s="72"/>
      <c r="F21" s="72"/>
      <c r="G21" s="72"/>
      <c r="H21" s="72"/>
      <c r="I21" s="72"/>
      <c r="J21" s="72"/>
      <c r="K21" s="1"/>
    </row>
    <row r="22" spans="1:11" ht="98" customHeight="1" x14ac:dyDescent="0.2">
      <c r="A22" s="1"/>
      <c r="B22" s="2"/>
      <c r="C22" s="94" t="s">
        <v>311</v>
      </c>
      <c r="D22" s="72"/>
      <c r="E22" s="72"/>
      <c r="F22" s="72"/>
      <c r="G22" s="72"/>
      <c r="H22" s="72"/>
      <c r="I22" s="72"/>
      <c r="J22" s="72"/>
      <c r="K22" s="1"/>
    </row>
    <row r="23" spans="1:11" x14ac:dyDescent="0.2">
      <c r="A23" s="1"/>
      <c r="B23" s="1"/>
      <c r="C23" s="1"/>
      <c r="D23" s="1"/>
      <c r="E23" s="1"/>
      <c r="F23" s="1"/>
      <c r="G23" s="1"/>
      <c r="H23" s="1"/>
      <c r="I23" s="1"/>
      <c r="J23" s="1"/>
      <c r="K23" s="1"/>
    </row>
    <row r="24" spans="1:11" ht="20" customHeight="1" x14ac:dyDescent="0.2">
      <c r="A24" s="1"/>
      <c r="B24" s="63" t="s">
        <v>294</v>
      </c>
      <c r="C24" s="93" t="s">
        <v>295</v>
      </c>
      <c r="D24" s="72"/>
      <c r="E24" s="72"/>
      <c r="F24" s="72"/>
      <c r="G24" s="72"/>
      <c r="H24" s="72"/>
      <c r="I24" s="72"/>
      <c r="J24" s="72"/>
      <c r="K24" s="1"/>
    </row>
    <row r="25" spans="1:11" ht="111" customHeight="1" x14ac:dyDescent="0.2">
      <c r="A25" s="1"/>
      <c r="B25" s="2"/>
      <c r="C25" s="94" t="s">
        <v>312</v>
      </c>
      <c r="D25" s="72"/>
      <c r="E25" s="72"/>
      <c r="F25" s="72"/>
      <c r="G25" s="72"/>
      <c r="H25" s="72"/>
      <c r="I25" s="72"/>
      <c r="J25" s="72"/>
      <c r="K25" s="1"/>
    </row>
    <row r="26" spans="1:11" x14ac:dyDescent="0.2">
      <c r="A26" s="1"/>
      <c r="B26" s="1"/>
      <c r="C26" s="1"/>
      <c r="D26" s="1"/>
      <c r="E26" s="1"/>
      <c r="F26" s="1"/>
      <c r="G26" s="1"/>
      <c r="H26" s="1"/>
      <c r="I26" s="1"/>
      <c r="J26" s="1"/>
      <c r="K26" s="1"/>
    </row>
    <row r="27" spans="1:11" ht="20" customHeight="1" x14ac:dyDescent="0.2">
      <c r="A27" s="1"/>
      <c r="B27" s="63" t="s">
        <v>296</v>
      </c>
      <c r="C27" s="93" t="s">
        <v>297</v>
      </c>
      <c r="D27" s="72"/>
      <c r="E27" s="72"/>
      <c r="F27" s="72"/>
      <c r="G27" s="72"/>
      <c r="H27" s="72"/>
      <c r="I27" s="72"/>
      <c r="J27" s="72"/>
      <c r="K27" s="1"/>
    </row>
    <row r="28" spans="1:11" ht="207" customHeight="1" x14ac:dyDescent="0.2">
      <c r="A28" s="1"/>
      <c r="B28" s="2"/>
      <c r="C28" s="94" t="s">
        <v>313</v>
      </c>
      <c r="D28" s="72"/>
      <c r="E28" s="72"/>
      <c r="F28" s="72"/>
      <c r="G28" s="72"/>
      <c r="H28" s="72"/>
      <c r="I28" s="72"/>
      <c r="J28" s="72"/>
      <c r="K28" s="1"/>
    </row>
    <row r="29" spans="1:11" x14ac:dyDescent="0.2">
      <c r="A29" s="1"/>
      <c r="B29" s="1"/>
      <c r="C29" s="1"/>
      <c r="D29" s="1"/>
      <c r="E29" s="1"/>
      <c r="F29" s="1"/>
      <c r="G29" s="1"/>
      <c r="H29" s="1"/>
      <c r="I29" s="1"/>
      <c r="J29" s="1"/>
      <c r="K29" s="1"/>
    </row>
    <row r="30" spans="1:11" ht="20" customHeight="1" x14ac:dyDescent="0.2">
      <c r="A30" s="1"/>
      <c r="B30" s="63" t="s">
        <v>298</v>
      </c>
      <c r="C30" s="93" t="s">
        <v>299</v>
      </c>
      <c r="D30" s="72"/>
      <c r="E30" s="72"/>
      <c r="F30" s="72"/>
      <c r="G30" s="72"/>
      <c r="H30" s="72"/>
      <c r="I30" s="72"/>
      <c r="J30" s="72"/>
      <c r="K30" s="1"/>
    </row>
    <row r="31" spans="1:11" ht="131" customHeight="1" x14ac:dyDescent="0.2">
      <c r="A31" s="1"/>
      <c r="B31" s="2"/>
      <c r="C31" s="94" t="s">
        <v>314</v>
      </c>
      <c r="D31" s="72"/>
      <c r="E31" s="72"/>
      <c r="F31" s="72"/>
      <c r="G31" s="72"/>
      <c r="H31" s="72"/>
      <c r="I31" s="72"/>
      <c r="J31" s="72"/>
      <c r="K31" s="1"/>
    </row>
    <row r="32" spans="1:11" x14ac:dyDescent="0.2">
      <c r="A32" s="1"/>
      <c r="B32" s="1"/>
      <c r="C32" s="1"/>
      <c r="D32" s="1"/>
      <c r="E32" s="1"/>
      <c r="F32" s="1"/>
      <c r="G32" s="1"/>
      <c r="H32" s="1"/>
      <c r="I32" s="1"/>
      <c r="J32" s="1"/>
      <c r="K32" s="1"/>
    </row>
    <row r="33" spans="1:11" ht="22" customHeight="1" x14ac:dyDescent="0.2">
      <c r="A33" s="1"/>
      <c r="B33" s="10" t="s">
        <v>224</v>
      </c>
      <c r="C33" s="1"/>
      <c r="D33" s="1"/>
      <c r="E33" s="1"/>
      <c r="F33" s="1"/>
      <c r="G33" s="1"/>
      <c r="H33" s="1"/>
      <c r="I33" s="1"/>
      <c r="J33" s="3" t="s">
        <v>225</v>
      </c>
      <c r="K33" s="1"/>
    </row>
    <row r="34" spans="1:11" x14ac:dyDescent="0.2">
      <c r="A34" s="1"/>
      <c r="B34" s="1"/>
      <c r="C34" s="1"/>
      <c r="D34" s="1"/>
      <c r="E34" s="1"/>
      <c r="F34" s="1"/>
      <c r="G34" s="1"/>
      <c r="H34" s="1"/>
      <c r="I34" s="1"/>
      <c r="J34" s="1"/>
      <c r="K34" s="1"/>
    </row>
    <row r="35" spans="1:11" x14ac:dyDescent="0.2">
      <c r="A35" s="65"/>
      <c r="B35" s="65"/>
      <c r="C35" s="65"/>
      <c r="D35" s="65"/>
      <c r="E35" s="65"/>
      <c r="F35" s="65"/>
      <c r="G35" s="65"/>
      <c r="H35" s="65"/>
      <c r="I35" s="65"/>
      <c r="J35" s="65"/>
      <c r="K35" s="65"/>
    </row>
    <row r="36" spans="1:11" x14ac:dyDescent="0.2">
      <c r="A36" s="65"/>
      <c r="B36" s="65"/>
      <c r="C36" s="65"/>
      <c r="D36" s="65"/>
      <c r="E36" s="65"/>
      <c r="F36" s="65"/>
      <c r="G36" s="65"/>
      <c r="H36" s="65"/>
      <c r="I36" s="65"/>
      <c r="J36" s="65"/>
      <c r="K36" s="65"/>
    </row>
    <row r="37" spans="1:11" x14ac:dyDescent="0.2">
      <c r="A37" s="65"/>
      <c r="B37" s="65"/>
      <c r="C37" s="65"/>
      <c r="D37" s="65"/>
      <c r="E37" s="65"/>
      <c r="F37" s="65"/>
      <c r="G37" s="65"/>
      <c r="H37" s="65"/>
      <c r="I37" s="65"/>
      <c r="J37" s="65"/>
      <c r="K37" s="65"/>
    </row>
    <row r="38" spans="1:11" x14ac:dyDescent="0.2">
      <c r="A38" s="65"/>
      <c r="B38" s="65"/>
      <c r="C38" s="65"/>
      <c r="D38" s="65"/>
      <c r="E38" s="65"/>
      <c r="F38" s="65"/>
      <c r="G38" s="65"/>
      <c r="H38" s="65"/>
      <c r="I38" s="65"/>
      <c r="J38" s="65"/>
      <c r="K38" s="65"/>
    </row>
    <row r="39" spans="1:11" x14ac:dyDescent="0.2">
      <c r="A39" s="65"/>
      <c r="B39" s="65"/>
      <c r="C39" s="65"/>
      <c r="D39" s="65"/>
      <c r="E39" s="65"/>
      <c r="F39" s="65"/>
      <c r="G39" s="65"/>
      <c r="H39" s="65"/>
      <c r="I39" s="65"/>
      <c r="J39" s="65"/>
      <c r="K39" s="65"/>
    </row>
    <row r="40" spans="1:11" x14ac:dyDescent="0.2">
      <c r="A40" s="65"/>
      <c r="B40" s="65"/>
      <c r="C40" s="65"/>
      <c r="D40" s="65"/>
      <c r="E40" s="65"/>
      <c r="F40" s="65"/>
      <c r="G40" s="65"/>
      <c r="H40" s="65"/>
      <c r="I40" s="65"/>
      <c r="J40" s="65"/>
      <c r="K40" s="65"/>
    </row>
    <row r="41" spans="1:11" x14ac:dyDescent="0.2">
      <c r="A41" s="65"/>
      <c r="B41" s="65"/>
      <c r="C41" s="65"/>
      <c r="D41" s="65"/>
      <c r="E41" s="65"/>
      <c r="F41" s="65"/>
      <c r="G41" s="65"/>
      <c r="H41" s="65"/>
      <c r="I41" s="65"/>
      <c r="J41" s="65"/>
      <c r="K41" s="65"/>
    </row>
    <row r="42" spans="1:11" x14ac:dyDescent="0.2">
      <c r="A42" s="65"/>
      <c r="B42" s="65"/>
      <c r="C42" s="65"/>
      <c r="D42" s="65"/>
      <c r="E42" s="65"/>
      <c r="F42" s="65"/>
      <c r="G42" s="65"/>
      <c r="H42" s="65"/>
      <c r="I42" s="65"/>
      <c r="J42" s="65"/>
      <c r="K42" s="65"/>
    </row>
    <row r="43" spans="1:11" x14ac:dyDescent="0.2">
      <c r="A43" s="65"/>
      <c r="B43" s="65"/>
      <c r="C43" s="65"/>
      <c r="D43" s="65"/>
      <c r="E43" s="65"/>
      <c r="F43" s="65"/>
      <c r="G43" s="65"/>
      <c r="H43" s="65"/>
      <c r="I43" s="65"/>
      <c r="J43" s="65"/>
      <c r="K43" s="65"/>
    </row>
    <row r="44" spans="1:11" x14ac:dyDescent="0.2">
      <c r="A44" s="65"/>
      <c r="B44" s="65"/>
      <c r="C44" s="65"/>
      <c r="D44" s="65"/>
      <c r="E44" s="65"/>
      <c r="F44" s="65"/>
      <c r="G44" s="65"/>
      <c r="H44" s="65"/>
      <c r="I44" s="65"/>
      <c r="J44" s="65"/>
      <c r="K44" s="65"/>
    </row>
    <row r="45" spans="1:11" x14ac:dyDescent="0.2">
      <c r="A45" s="65"/>
      <c r="B45" s="65"/>
      <c r="C45" s="65"/>
      <c r="D45" s="65"/>
      <c r="E45" s="65"/>
      <c r="F45" s="65"/>
      <c r="G45" s="65"/>
      <c r="H45" s="65"/>
      <c r="I45" s="65"/>
      <c r="J45" s="65"/>
      <c r="K45" s="65"/>
    </row>
    <row r="46" spans="1:11" x14ac:dyDescent="0.2">
      <c r="A46" s="65"/>
      <c r="B46" s="65"/>
      <c r="C46" s="65"/>
      <c r="D46" s="65"/>
      <c r="E46" s="65"/>
      <c r="F46" s="65"/>
      <c r="G46" s="65"/>
      <c r="H46" s="65"/>
      <c r="I46" s="65"/>
      <c r="J46" s="65"/>
      <c r="K46" s="65"/>
    </row>
    <row r="47" spans="1:11" x14ac:dyDescent="0.2">
      <c r="A47" s="65"/>
      <c r="B47" s="65"/>
      <c r="C47" s="65"/>
      <c r="D47" s="65"/>
      <c r="E47" s="65"/>
      <c r="F47" s="65"/>
      <c r="G47" s="65"/>
      <c r="H47" s="65"/>
      <c r="I47" s="65"/>
      <c r="J47" s="65"/>
      <c r="K47" s="65"/>
    </row>
    <row r="48" spans="1:11" x14ac:dyDescent="0.2">
      <c r="A48" s="65"/>
      <c r="B48" s="65"/>
      <c r="C48" s="65"/>
      <c r="D48" s="65"/>
      <c r="E48" s="65"/>
      <c r="F48" s="65"/>
      <c r="G48" s="65"/>
      <c r="H48" s="65"/>
      <c r="I48" s="65"/>
      <c r="J48" s="65"/>
      <c r="K48" s="65"/>
    </row>
    <row r="49" spans="1:11" x14ac:dyDescent="0.2">
      <c r="A49" s="65"/>
      <c r="B49" s="65"/>
      <c r="C49" s="65"/>
      <c r="D49" s="65"/>
      <c r="E49" s="65"/>
      <c r="F49" s="65"/>
      <c r="G49" s="65"/>
      <c r="H49" s="65"/>
      <c r="I49" s="65"/>
      <c r="J49" s="65"/>
      <c r="K49" s="65"/>
    </row>
    <row r="50" spans="1:11" x14ac:dyDescent="0.2">
      <c r="A50" s="65"/>
      <c r="B50" s="65"/>
      <c r="C50" s="65"/>
      <c r="D50" s="65"/>
      <c r="E50" s="65"/>
      <c r="F50" s="65"/>
      <c r="G50" s="65"/>
      <c r="H50" s="65"/>
      <c r="I50" s="65"/>
      <c r="J50" s="65"/>
      <c r="K50" s="65"/>
    </row>
    <row r="51" spans="1:11" x14ac:dyDescent="0.2">
      <c r="A51" s="65"/>
      <c r="B51" s="65"/>
      <c r="C51" s="65"/>
      <c r="D51" s="65"/>
      <c r="E51" s="65"/>
      <c r="F51" s="65"/>
      <c r="G51" s="65"/>
      <c r="H51" s="65"/>
      <c r="I51" s="65"/>
      <c r="J51" s="65"/>
      <c r="K51" s="65"/>
    </row>
    <row r="52" spans="1:11" x14ac:dyDescent="0.2">
      <c r="A52" s="65"/>
      <c r="B52" s="65"/>
      <c r="C52" s="65"/>
      <c r="D52" s="65"/>
      <c r="E52" s="65"/>
      <c r="F52" s="65"/>
      <c r="G52" s="65"/>
      <c r="H52" s="65"/>
      <c r="I52" s="65"/>
      <c r="J52" s="65"/>
      <c r="K52" s="65"/>
    </row>
    <row r="53" spans="1:11" x14ac:dyDescent="0.2">
      <c r="A53" s="65"/>
      <c r="B53" s="65"/>
      <c r="C53" s="65"/>
      <c r="D53" s="65"/>
      <c r="E53" s="65"/>
      <c r="F53" s="65"/>
      <c r="G53" s="65"/>
      <c r="H53" s="65"/>
      <c r="I53" s="65"/>
      <c r="J53" s="65"/>
      <c r="K53" s="65"/>
    </row>
    <row r="54" spans="1:11" x14ac:dyDescent="0.2">
      <c r="A54" s="65"/>
      <c r="B54" s="65"/>
      <c r="C54" s="65"/>
      <c r="D54" s="65"/>
      <c r="E54" s="65"/>
      <c r="F54" s="65"/>
      <c r="G54" s="65"/>
      <c r="H54" s="65"/>
      <c r="I54" s="65"/>
      <c r="J54" s="65"/>
      <c r="K54" s="65"/>
    </row>
    <row r="55" spans="1:11" x14ac:dyDescent="0.2">
      <c r="A55" s="65"/>
      <c r="B55" s="65"/>
      <c r="C55" s="65"/>
      <c r="D55" s="65"/>
      <c r="E55" s="65"/>
      <c r="F55" s="65"/>
      <c r="G55" s="65"/>
      <c r="H55" s="65"/>
      <c r="I55" s="65"/>
      <c r="J55" s="65"/>
      <c r="K55" s="65"/>
    </row>
    <row r="56" spans="1:11" x14ac:dyDescent="0.2">
      <c r="A56" s="65"/>
      <c r="B56" s="65"/>
      <c r="C56" s="65"/>
      <c r="D56" s="65"/>
      <c r="E56" s="65"/>
      <c r="F56" s="65"/>
      <c r="G56" s="65"/>
      <c r="H56" s="65"/>
      <c r="I56" s="65"/>
      <c r="J56" s="65"/>
      <c r="K56" s="65"/>
    </row>
    <row r="57" spans="1:11" x14ac:dyDescent="0.2">
      <c r="A57" s="65"/>
      <c r="B57" s="65"/>
      <c r="C57" s="65"/>
      <c r="D57" s="65"/>
      <c r="E57" s="65"/>
      <c r="F57" s="65"/>
      <c r="G57" s="65"/>
      <c r="H57" s="65"/>
      <c r="I57" s="65"/>
      <c r="J57" s="65"/>
      <c r="K57" s="65"/>
    </row>
    <row r="58" spans="1:11" x14ac:dyDescent="0.2">
      <c r="A58" s="65"/>
      <c r="B58" s="65"/>
      <c r="C58" s="65"/>
      <c r="D58" s="65"/>
      <c r="E58" s="65"/>
      <c r="F58" s="65"/>
      <c r="G58" s="65"/>
      <c r="H58" s="65"/>
      <c r="I58" s="65"/>
      <c r="J58" s="65"/>
      <c r="K58" s="65"/>
    </row>
    <row r="59" spans="1:11" x14ac:dyDescent="0.2">
      <c r="A59" s="65"/>
      <c r="B59" s="65"/>
      <c r="C59" s="65"/>
      <c r="D59" s="65"/>
      <c r="E59" s="65"/>
      <c r="F59" s="65"/>
      <c r="G59" s="65"/>
      <c r="H59" s="65"/>
      <c r="I59" s="65"/>
      <c r="J59" s="65"/>
      <c r="K59" s="65"/>
    </row>
    <row r="60" spans="1:11" x14ac:dyDescent="0.2">
      <c r="A60" s="65"/>
      <c r="B60" s="65"/>
      <c r="C60" s="65"/>
      <c r="D60" s="65"/>
      <c r="E60" s="65"/>
      <c r="F60" s="65"/>
      <c r="G60" s="65"/>
      <c r="H60" s="65"/>
      <c r="I60" s="65"/>
      <c r="J60" s="65"/>
      <c r="K60" s="65"/>
    </row>
    <row r="61" spans="1:11" x14ac:dyDescent="0.2">
      <c r="A61" s="65"/>
      <c r="B61" s="65"/>
      <c r="C61" s="65"/>
      <c r="D61" s="65"/>
      <c r="E61" s="65"/>
      <c r="F61" s="65"/>
      <c r="G61" s="65"/>
      <c r="H61" s="65"/>
      <c r="I61" s="65"/>
      <c r="J61" s="65"/>
      <c r="K61" s="65"/>
    </row>
    <row r="62" spans="1:11" x14ac:dyDescent="0.2">
      <c r="A62" s="65"/>
      <c r="B62" s="65"/>
      <c r="C62" s="65"/>
      <c r="D62" s="65"/>
      <c r="E62" s="65"/>
      <c r="F62" s="65"/>
      <c r="G62" s="65"/>
      <c r="H62" s="65"/>
      <c r="I62" s="65"/>
      <c r="J62" s="65"/>
      <c r="K62" s="65"/>
    </row>
    <row r="63" spans="1:11" x14ac:dyDescent="0.2">
      <c r="A63" s="65"/>
      <c r="B63" s="65"/>
      <c r="C63" s="65"/>
      <c r="D63" s="65"/>
      <c r="E63" s="65"/>
      <c r="F63" s="65"/>
      <c r="G63" s="65"/>
      <c r="H63" s="65"/>
      <c r="I63" s="65"/>
      <c r="J63" s="65"/>
      <c r="K63" s="65"/>
    </row>
    <row r="64" spans="1:11" x14ac:dyDescent="0.2">
      <c r="A64" s="65"/>
      <c r="B64" s="65"/>
      <c r="C64" s="65"/>
      <c r="D64" s="65"/>
      <c r="E64" s="65"/>
      <c r="F64" s="65"/>
      <c r="G64" s="65"/>
      <c r="H64" s="65"/>
      <c r="I64" s="65"/>
      <c r="J64" s="65"/>
      <c r="K64" s="65"/>
    </row>
    <row r="65" spans="1:11" x14ac:dyDescent="0.2">
      <c r="A65" s="65"/>
      <c r="B65" s="65"/>
      <c r="C65" s="65"/>
      <c r="D65" s="65"/>
      <c r="E65" s="65"/>
      <c r="F65" s="65"/>
      <c r="G65" s="65"/>
      <c r="H65" s="65"/>
      <c r="I65" s="65"/>
      <c r="J65" s="65"/>
      <c r="K65" s="65"/>
    </row>
    <row r="66" spans="1:11" x14ac:dyDescent="0.2">
      <c r="A66" s="65"/>
      <c r="B66" s="65"/>
      <c r="C66" s="65"/>
      <c r="D66" s="65"/>
      <c r="E66" s="65"/>
      <c r="F66" s="65"/>
      <c r="G66" s="65"/>
      <c r="H66" s="65"/>
      <c r="I66" s="65"/>
      <c r="J66" s="65"/>
      <c r="K66" s="65"/>
    </row>
    <row r="67" spans="1:11" x14ac:dyDescent="0.2">
      <c r="A67" s="65"/>
      <c r="B67" s="65"/>
      <c r="C67" s="65"/>
      <c r="D67" s="65"/>
      <c r="E67" s="65"/>
      <c r="F67" s="65"/>
      <c r="G67" s="65"/>
      <c r="H67" s="65"/>
      <c r="I67" s="65"/>
      <c r="J67" s="65"/>
      <c r="K67" s="65"/>
    </row>
    <row r="68" spans="1:11" x14ac:dyDescent="0.2">
      <c r="A68" s="65"/>
      <c r="B68" s="65"/>
      <c r="C68" s="65"/>
      <c r="D68" s="65"/>
      <c r="E68" s="65"/>
      <c r="F68" s="65"/>
      <c r="G68" s="65"/>
      <c r="H68" s="65"/>
      <c r="I68" s="65"/>
      <c r="J68" s="65"/>
      <c r="K68" s="65"/>
    </row>
    <row r="69" spans="1:11" x14ac:dyDescent="0.2">
      <c r="A69" s="65"/>
      <c r="B69" s="65"/>
      <c r="C69" s="65"/>
      <c r="D69" s="65"/>
      <c r="E69" s="65"/>
      <c r="F69" s="65"/>
      <c r="G69" s="65"/>
      <c r="H69" s="65"/>
      <c r="I69" s="65"/>
      <c r="J69" s="65"/>
      <c r="K69" s="65"/>
    </row>
    <row r="70" spans="1:11" x14ac:dyDescent="0.2">
      <c r="A70" s="65"/>
      <c r="B70" s="65"/>
      <c r="C70" s="65"/>
      <c r="D70" s="65"/>
      <c r="E70" s="65"/>
      <c r="F70" s="65"/>
      <c r="G70" s="65"/>
      <c r="H70" s="65"/>
      <c r="I70" s="65"/>
      <c r="J70" s="65"/>
      <c r="K70" s="65"/>
    </row>
    <row r="71" spans="1:11" x14ac:dyDescent="0.2">
      <c r="A71" s="65"/>
      <c r="B71" s="65"/>
      <c r="C71" s="65"/>
      <c r="D71" s="65"/>
      <c r="E71" s="65"/>
      <c r="F71" s="65"/>
      <c r="G71" s="65"/>
      <c r="H71" s="65"/>
      <c r="I71" s="65"/>
      <c r="J71" s="65"/>
      <c r="K71" s="65"/>
    </row>
    <row r="72" spans="1:11" x14ac:dyDescent="0.2">
      <c r="A72" s="65"/>
      <c r="B72" s="65"/>
      <c r="C72" s="65"/>
      <c r="D72" s="65"/>
      <c r="E72" s="65"/>
      <c r="F72" s="65"/>
      <c r="G72" s="65"/>
      <c r="H72" s="65"/>
      <c r="I72" s="65"/>
      <c r="J72" s="65"/>
      <c r="K72" s="65"/>
    </row>
    <row r="73" spans="1:11" x14ac:dyDescent="0.2">
      <c r="A73" s="65"/>
      <c r="B73" s="65"/>
      <c r="C73" s="65"/>
      <c r="D73" s="65"/>
      <c r="E73" s="65"/>
      <c r="F73" s="65"/>
      <c r="G73" s="65"/>
      <c r="H73" s="65"/>
      <c r="I73" s="65"/>
      <c r="J73" s="65"/>
      <c r="K73" s="65"/>
    </row>
    <row r="74" spans="1:11" x14ac:dyDescent="0.2">
      <c r="A74" s="65"/>
      <c r="B74" s="65"/>
      <c r="C74" s="65"/>
      <c r="D74" s="65"/>
      <c r="E74" s="65"/>
      <c r="F74" s="65"/>
      <c r="G74" s="65"/>
      <c r="H74" s="65"/>
      <c r="I74" s="65"/>
      <c r="J74" s="65"/>
      <c r="K74" s="65"/>
    </row>
    <row r="75" spans="1:11" x14ac:dyDescent="0.2">
      <c r="A75" s="65"/>
      <c r="B75" s="65"/>
      <c r="C75" s="65"/>
      <c r="D75" s="65"/>
      <c r="E75" s="65"/>
      <c r="F75" s="65"/>
      <c r="G75" s="65"/>
      <c r="H75" s="65"/>
      <c r="I75" s="65"/>
      <c r="J75" s="65"/>
      <c r="K75" s="65"/>
    </row>
    <row r="76" spans="1:11" x14ac:dyDescent="0.2">
      <c r="A76" s="65"/>
      <c r="B76" s="65"/>
      <c r="C76" s="65"/>
      <c r="D76" s="65"/>
      <c r="E76" s="65"/>
      <c r="F76" s="65"/>
      <c r="G76" s="65"/>
      <c r="H76" s="65"/>
      <c r="I76" s="65"/>
      <c r="J76" s="65"/>
      <c r="K76" s="65"/>
    </row>
    <row r="77" spans="1:11" x14ac:dyDescent="0.2">
      <c r="A77" s="65"/>
      <c r="B77" s="65"/>
      <c r="C77" s="65"/>
      <c r="D77" s="65"/>
      <c r="E77" s="65"/>
      <c r="F77" s="65"/>
      <c r="G77" s="65"/>
      <c r="H77" s="65"/>
      <c r="I77" s="65"/>
      <c r="J77" s="65"/>
      <c r="K77" s="65"/>
    </row>
    <row r="78" spans="1:11" x14ac:dyDescent="0.2">
      <c r="A78" s="65"/>
      <c r="B78" s="65"/>
      <c r="C78" s="65"/>
      <c r="D78" s="65"/>
      <c r="E78" s="65"/>
      <c r="F78" s="65"/>
      <c r="G78" s="65"/>
      <c r="H78" s="65"/>
      <c r="I78" s="65"/>
      <c r="J78" s="65"/>
      <c r="K78" s="65"/>
    </row>
    <row r="79" spans="1:11" x14ac:dyDescent="0.2">
      <c r="A79" s="65"/>
      <c r="B79" s="65"/>
      <c r="C79" s="65"/>
      <c r="D79" s="65"/>
      <c r="E79" s="65"/>
      <c r="F79" s="65"/>
      <c r="G79" s="65"/>
      <c r="H79" s="65"/>
      <c r="I79" s="65"/>
      <c r="J79" s="65"/>
      <c r="K79" s="65"/>
    </row>
    <row r="80" spans="1:11" x14ac:dyDescent="0.2">
      <c r="A80" s="65"/>
      <c r="B80" s="65"/>
      <c r="C80" s="65"/>
      <c r="D80" s="65"/>
      <c r="E80" s="65"/>
      <c r="F80" s="65"/>
      <c r="G80" s="65"/>
      <c r="H80" s="65"/>
      <c r="I80" s="65"/>
      <c r="J80" s="65"/>
      <c r="K80" s="65"/>
    </row>
    <row r="81" spans="1:11" x14ac:dyDescent="0.2">
      <c r="A81" s="65"/>
      <c r="B81" s="65"/>
      <c r="C81" s="65"/>
      <c r="D81" s="65"/>
      <c r="E81" s="65"/>
      <c r="F81" s="65"/>
      <c r="G81" s="65"/>
      <c r="H81" s="65"/>
      <c r="I81" s="65"/>
      <c r="J81" s="65"/>
      <c r="K81" s="65"/>
    </row>
    <row r="82" spans="1:11" x14ac:dyDescent="0.2">
      <c r="A82" s="65"/>
      <c r="B82" s="65"/>
      <c r="C82" s="65"/>
      <c r="D82" s="65"/>
      <c r="E82" s="65"/>
      <c r="F82" s="65"/>
      <c r="G82" s="65"/>
      <c r="H82" s="65"/>
      <c r="I82" s="65"/>
      <c r="J82" s="65"/>
      <c r="K82" s="65"/>
    </row>
    <row r="83" spans="1:11" x14ac:dyDescent="0.2">
      <c r="A83" s="65"/>
      <c r="B83" s="65"/>
      <c r="C83" s="65"/>
      <c r="D83" s="65"/>
      <c r="E83" s="65"/>
      <c r="F83" s="65"/>
      <c r="G83" s="65"/>
      <c r="H83" s="65"/>
      <c r="I83" s="65"/>
      <c r="J83" s="65"/>
      <c r="K83" s="65"/>
    </row>
    <row r="84" spans="1:11" x14ac:dyDescent="0.2">
      <c r="A84" s="65"/>
      <c r="B84" s="65"/>
      <c r="C84" s="65"/>
      <c r="D84" s="65"/>
      <c r="E84" s="65"/>
      <c r="F84" s="65"/>
      <c r="G84" s="65"/>
      <c r="H84" s="65"/>
      <c r="I84" s="65"/>
      <c r="J84" s="65"/>
      <c r="K84" s="65"/>
    </row>
    <row r="85" spans="1:11" x14ac:dyDescent="0.2">
      <c r="A85" s="65"/>
      <c r="B85" s="65"/>
      <c r="C85" s="65"/>
      <c r="D85" s="65"/>
      <c r="E85" s="65"/>
      <c r="F85" s="65"/>
      <c r="G85" s="65"/>
      <c r="H85" s="65"/>
      <c r="I85" s="65"/>
      <c r="J85" s="65"/>
      <c r="K85" s="65"/>
    </row>
    <row r="86" spans="1:11" x14ac:dyDescent="0.2">
      <c r="A86" s="65"/>
      <c r="B86" s="65"/>
      <c r="C86" s="65"/>
      <c r="D86" s="65"/>
      <c r="E86" s="65"/>
      <c r="F86" s="65"/>
      <c r="G86" s="65"/>
      <c r="H86" s="65"/>
      <c r="I86" s="65"/>
      <c r="J86" s="65"/>
      <c r="K86" s="65"/>
    </row>
    <row r="87" spans="1:11" x14ac:dyDescent="0.2">
      <c r="A87" s="65"/>
      <c r="B87" s="65"/>
      <c r="C87" s="65"/>
      <c r="D87" s="65"/>
      <c r="E87" s="65"/>
      <c r="F87" s="65"/>
      <c r="G87" s="65"/>
      <c r="H87" s="65"/>
      <c r="I87" s="65"/>
      <c r="J87" s="65"/>
      <c r="K87" s="65"/>
    </row>
    <row r="88" spans="1:11" x14ac:dyDescent="0.2">
      <c r="A88" s="65"/>
      <c r="B88" s="65"/>
      <c r="C88" s="65"/>
      <c r="D88" s="65"/>
      <c r="E88" s="65"/>
      <c r="F88" s="65"/>
      <c r="G88" s="65"/>
      <c r="H88" s="65"/>
      <c r="I88" s="65"/>
      <c r="J88" s="65"/>
      <c r="K88" s="65"/>
    </row>
    <row r="89" spans="1:11" x14ac:dyDescent="0.2">
      <c r="A89" s="65"/>
      <c r="B89" s="65"/>
      <c r="C89" s="65"/>
      <c r="D89" s="65"/>
      <c r="E89" s="65"/>
      <c r="F89" s="65"/>
      <c r="G89" s="65"/>
      <c r="H89" s="65"/>
      <c r="I89" s="65"/>
      <c r="J89" s="65"/>
      <c r="K89" s="65"/>
    </row>
    <row r="90" spans="1:11" x14ac:dyDescent="0.2">
      <c r="A90" s="65"/>
      <c r="B90" s="65"/>
      <c r="C90" s="65"/>
      <c r="D90" s="65"/>
      <c r="E90" s="65"/>
      <c r="F90" s="65"/>
      <c r="G90" s="65"/>
      <c r="H90" s="65"/>
      <c r="I90" s="65"/>
      <c r="J90" s="65"/>
      <c r="K90" s="65"/>
    </row>
    <row r="91" spans="1:11" x14ac:dyDescent="0.2">
      <c r="A91" s="65"/>
      <c r="B91" s="65"/>
      <c r="C91" s="65"/>
      <c r="D91" s="65"/>
      <c r="E91" s="65"/>
      <c r="F91" s="65"/>
      <c r="G91" s="65"/>
      <c r="H91" s="65"/>
      <c r="I91" s="65"/>
      <c r="J91" s="65"/>
      <c r="K91" s="65"/>
    </row>
    <row r="92" spans="1:11" x14ac:dyDescent="0.2">
      <c r="A92" s="65"/>
      <c r="B92" s="65"/>
      <c r="C92" s="65"/>
      <c r="D92" s="65"/>
      <c r="E92" s="65"/>
      <c r="F92" s="65"/>
      <c r="G92" s="65"/>
      <c r="H92" s="65"/>
      <c r="I92" s="65"/>
      <c r="J92" s="65"/>
      <c r="K92" s="65"/>
    </row>
    <row r="93" spans="1:11" x14ac:dyDescent="0.2">
      <c r="A93" s="65"/>
      <c r="B93" s="65"/>
      <c r="C93" s="65"/>
      <c r="D93" s="65"/>
      <c r="E93" s="65"/>
      <c r="F93" s="65"/>
      <c r="G93" s="65"/>
      <c r="H93" s="65"/>
      <c r="I93" s="65"/>
      <c r="J93" s="65"/>
      <c r="K93" s="65"/>
    </row>
    <row r="94" spans="1:11" x14ac:dyDescent="0.2">
      <c r="A94" s="65"/>
      <c r="B94" s="65"/>
      <c r="C94" s="65"/>
      <c r="D94" s="65"/>
      <c r="E94" s="65"/>
      <c r="F94" s="65"/>
      <c r="G94" s="65"/>
      <c r="H94" s="65"/>
      <c r="I94" s="65"/>
      <c r="J94" s="65"/>
      <c r="K94" s="65"/>
    </row>
    <row r="95" spans="1:11" x14ac:dyDescent="0.2">
      <c r="A95" s="65"/>
      <c r="B95" s="65"/>
      <c r="C95" s="65"/>
      <c r="D95" s="65"/>
      <c r="E95" s="65"/>
      <c r="F95" s="65"/>
      <c r="G95" s="65"/>
      <c r="H95" s="65"/>
      <c r="I95" s="65"/>
      <c r="J95" s="65"/>
      <c r="K95" s="65"/>
    </row>
    <row r="96" spans="1:11" x14ac:dyDescent="0.2">
      <c r="A96" s="65"/>
      <c r="B96" s="65"/>
      <c r="C96" s="65"/>
      <c r="D96" s="65"/>
      <c r="E96" s="65"/>
      <c r="F96" s="65"/>
      <c r="G96" s="65"/>
      <c r="H96" s="65"/>
      <c r="I96" s="65"/>
      <c r="J96" s="65"/>
      <c r="K96" s="65"/>
    </row>
    <row r="97" spans="1:11" x14ac:dyDescent="0.2">
      <c r="A97" s="65"/>
      <c r="B97" s="65"/>
      <c r="C97" s="65"/>
      <c r="D97" s="65"/>
      <c r="E97" s="65"/>
      <c r="F97" s="65"/>
      <c r="G97" s="65"/>
      <c r="H97" s="65"/>
      <c r="I97" s="65"/>
      <c r="J97" s="65"/>
      <c r="K97" s="65"/>
    </row>
    <row r="98" spans="1:11" x14ac:dyDescent="0.2">
      <c r="A98" s="65"/>
      <c r="B98" s="65"/>
      <c r="C98" s="65"/>
      <c r="D98" s="65"/>
      <c r="E98" s="65"/>
      <c r="F98" s="65"/>
      <c r="G98" s="65"/>
      <c r="H98" s="65"/>
      <c r="I98" s="65"/>
      <c r="J98" s="65"/>
      <c r="K98" s="65"/>
    </row>
    <row r="99" spans="1:11" x14ac:dyDescent="0.2">
      <c r="A99" s="65"/>
      <c r="B99" s="65"/>
      <c r="C99" s="65"/>
      <c r="D99" s="65"/>
      <c r="E99" s="65"/>
      <c r="F99" s="65"/>
      <c r="G99" s="65"/>
      <c r="H99" s="65"/>
      <c r="I99" s="65"/>
      <c r="J99" s="65"/>
      <c r="K99" s="65"/>
    </row>
    <row r="100" spans="1:11" x14ac:dyDescent="0.2">
      <c r="A100" s="65"/>
      <c r="B100" s="65"/>
      <c r="C100" s="65"/>
      <c r="D100" s="65"/>
      <c r="E100" s="65"/>
      <c r="F100" s="65"/>
      <c r="G100" s="65"/>
      <c r="H100" s="65"/>
      <c r="I100" s="65"/>
      <c r="J100" s="65"/>
      <c r="K100" s="65"/>
    </row>
    <row r="101" spans="1:11" x14ac:dyDescent="0.2">
      <c r="A101" s="65"/>
      <c r="B101" s="65"/>
      <c r="C101" s="65"/>
      <c r="D101" s="65"/>
      <c r="E101" s="65"/>
      <c r="F101" s="65"/>
      <c r="G101" s="65"/>
      <c r="H101" s="65"/>
      <c r="I101" s="65"/>
      <c r="J101" s="65"/>
      <c r="K101" s="65"/>
    </row>
    <row r="102" spans="1:11" x14ac:dyDescent="0.2">
      <c r="A102" s="65"/>
      <c r="B102" s="65"/>
      <c r="C102" s="65"/>
      <c r="D102" s="65"/>
      <c r="E102" s="65"/>
      <c r="F102" s="65"/>
      <c r="G102" s="65"/>
      <c r="H102" s="65"/>
      <c r="I102" s="65"/>
      <c r="J102" s="65"/>
      <c r="K102" s="65"/>
    </row>
    <row r="103" spans="1:11" x14ac:dyDescent="0.2">
      <c r="A103" s="65"/>
      <c r="B103" s="65"/>
      <c r="C103" s="65"/>
      <c r="D103" s="65"/>
      <c r="E103" s="65"/>
      <c r="F103" s="65"/>
      <c r="G103" s="65"/>
      <c r="H103" s="65"/>
      <c r="I103" s="65"/>
      <c r="J103" s="65"/>
      <c r="K103" s="65"/>
    </row>
    <row r="104" spans="1:11" x14ac:dyDescent="0.2">
      <c r="A104" s="65"/>
      <c r="B104" s="65"/>
      <c r="C104" s="65"/>
      <c r="D104" s="65"/>
      <c r="E104" s="65"/>
      <c r="F104" s="65"/>
      <c r="G104" s="65"/>
      <c r="H104" s="65"/>
      <c r="I104" s="65"/>
      <c r="J104" s="65"/>
      <c r="K104" s="65"/>
    </row>
    <row r="105" spans="1:11" x14ac:dyDescent="0.2">
      <c r="A105" s="65"/>
      <c r="B105" s="65"/>
      <c r="C105" s="65"/>
      <c r="D105" s="65"/>
      <c r="E105" s="65"/>
      <c r="F105" s="65"/>
      <c r="G105" s="65"/>
      <c r="H105" s="65"/>
      <c r="I105" s="65"/>
      <c r="J105" s="65"/>
      <c r="K105" s="65"/>
    </row>
    <row r="106" spans="1:11" x14ac:dyDescent="0.2">
      <c r="A106" s="65"/>
      <c r="B106" s="65"/>
      <c r="C106" s="65"/>
      <c r="D106" s="65"/>
      <c r="E106" s="65"/>
      <c r="F106" s="65"/>
      <c r="G106" s="65"/>
      <c r="H106" s="65"/>
      <c r="I106" s="65"/>
      <c r="J106" s="65"/>
      <c r="K106" s="65"/>
    </row>
    <row r="107" spans="1:11" x14ac:dyDescent="0.2">
      <c r="A107" s="65"/>
      <c r="B107" s="65"/>
      <c r="C107" s="65"/>
      <c r="D107" s="65"/>
      <c r="E107" s="65"/>
      <c r="F107" s="65"/>
      <c r="G107" s="65"/>
      <c r="H107" s="65"/>
      <c r="I107" s="65"/>
      <c r="J107" s="65"/>
      <c r="K107" s="65"/>
    </row>
    <row r="108" spans="1:11" x14ac:dyDescent="0.2">
      <c r="A108" s="65"/>
      <c r="B108" s="65"/>
      <c r="C108" s="65"/>
      <c r="D108" s="65"/>
      <c r="E108" s="65"/>
      <c r="F108" s="65"/>
      <c r="G108" s="65"/>
      <c r="H108" s="65"/>
      <c r="I108" s="65"/>
      <c r="J108" s="65"/>
      <c r="K108" s="65"/>
    </row>
    <row r="109" spans="1:11" x14ac:dyDescent="0.2">
      <c r="A109" s="65"/>
      <c r="B109" s="65"/>
      <c r="C109" s="65"/>
      <c r="D109" s="65"/>
      <c r="E109" s="65"/>
      <c r="F109" s="65"/>
      <c r="G109" s="65"/>
      <c r="H109" s="65"/>
      <c r="I109" s="65"/>
      <c r="J109" s="65"/>
      <c r="K109" s="65"/>
    </row>
    <row r="110" spans="1:11" x14ac:dyDescent="0.2">
      <c r="A110" s="65"/>
      <c r="B110" s="65"/>
      <c r="C110" s="65"/>
      <c r="D110" s="65"/>
      <c r="E110" s="65"/>
      <c r="F110" s="65"/>
      <c r="G110" s="65"/>
      <c r="H110" s="65"/>
      <c r="I110" s="65"/>
      <c r="J110" s="65"/>
      <c r="K110" s="65"/>
    </row>
    <row r="111" spans="1:11" x14ac:dyDescent="0.2">
      <c r="A111" s="65"/>
      <c r="B111" s="65"/>
      <c r="C111" s="65"/>
      <c r="D111" s="65"/>
      <c r="E111" s="65"/>
      <c r="F111" s="65"/>
      <c r="G111" s="65"/>
      <c r="H111" s="65"/>
      <c r="I111" s="65"/>
      <c r="J111" s="65"/>
      <c r="K111" s="65"/>
    </row>
    <row r="112" spans="1:11" x14ac:dyDescent="0.2">
      <c r="A112" s="65"/>
      <c r="B112" s="65"/>
      <c r="C112" s="65"/>
      <c r="D112" s="65"/>
      <c r="E112" s="65"/>
      <c r="F112" s="65"/>
      <c r="G112" s="65"/>
      <c r="H112" s="65"/>
      <c r="I112" s="65"/>
      <c r="J112" s="65"/>
      <c r="K112" s="65"/>
    </row>
    <row r="113" spans="1:11" x14ac:dyDescent="0.2">
      <c r="A113" s="65"/>
      <c r="B113" s="65"/>
      <c r="C113" s="65"/>
      <c r="D113" s="65"/>
      <c r="E113" s="65"/>
      <c r="F113" s="65"/>
      <c r="G113" s="65"/>
      <c r="H113" s="65"/>
      <c r="I113" s="65"/>
      <c r="J113" s="65"/>
      <c r="K113" s="65"/>
    </row>
    <row r="114" spans="1:11" x14ac:dyDescent="0.2">
      <c r="A114" s="65"/>
      <c r="B114" s="65"/>
      <c r="C114" s="65"/>
      <c r="D114" s="65"/>
      <c r="E114" s="65"/>
      <c r="F114" s="65"/>
      <c r="G114" s="65"/>
      <c r="H114" s="65"/>
      <c r="I114" s="65"/>
      <c r="J114" s="65"/>
      <c r="K114" s="65"/>
    </row>
    <row r="115" spans="1:11" x14ac:dyDescent="0.2">
      <c r="A115" s="65"/>
      <c r="B115" s="65"/>
      <c r="C115" s="65"/>
      <c r="D115" s="65"/>
      <c r="E115" s="65"/>
      <c r="F115" s="65"/>
      <c r="G115" s="65"/>
      <c r="H115" s="65"/>
      <c r="I115" s="65"/>
      <c r="J115" s="65"/>
      <c r="K115" s="65"/>
    </row>
    <row r="116" spans="1:11" x14ac:dyDescent="0.2">
      <c r="A116" s="65"/>
      <c r="B116" s="65"/>
      <c r="C116" s="65"/>
      <c r="D116" s="65"/>
      <c r="E116" s="65"/>
      <c r="F116" s="65"/>
      <c r="G116" s="65"/>
      <c r="H116" s="65"/>
      <c r="I116" s="65"/>
      <c r="J116" s="65"/>
      <c r="K116" s="65"/>
    </row>
    <row r="117" spans="1:11" x14ac:dyDescent="0.2">
      <c r="A117" s="65"/>
      <c r="B117" s="65"/>
      <c r="C117" s="65"/>
      <c r="D117" s="65"/>
      <c r="E117" s="65"/>
      <c r="F117" s="65"/>
      <c r="G117" s="65"/>
      <c r="H117" s="65"/>
      <c r="I117" s="65"/>
      <c r="J117" s="65"/>
      <c r="K117" s="65"/>
    </row>
    <row r="118" spans="1:11" x14ac:dyDescent="0.2">
      <c r="A118" s="65"/>
      <c r="B118" s="65"/>
      <c r="C118" s="65"/>
      <c r="D118" s="65"/>
      <c r="E118" s="65"/>
      <c r="F118" s="65"/>
      <c r="G118" s="65"/>
      <c r="H118" s="65"/>
      <c r="I118" s="65"/>
      <c r="J118" s="65"/>
      <c r="K118" s="65"/>
    </row>
    <row r="119" spans="1:11" x14ac:dyDescent="0.2">
      <c r="A119" s="65"/>
      <c r="B119" s="65"/>
      <c r="C119" s="65"/>
      <c r="D119" s="65"/>
      <c r="E119" s="65"/>
      <c r="F119" s="65"/>
      <c r="G119" s="65"/>
      <c r="H119" s="65"/>
      <c r="I119" s="65"/>
      <c r="J119" s="65"/>
      <c r="K119" s="65"/>
    </row>
  </sheetData>
  <mergeCells count="20">
    <mergeCell ref="C22:J22"/>
    <mergeCell ref="C31:J31"/>
    <mergeCell ref="C28:J28"/>
    <mergeCell ref="C30:J30"/>
    <mergeCell ref="C9:J9"/>
    <mergeCell ref="C12:J12"/>
    <mergeCell ref="C21:J21"/>
    <mergeCell ref="C2:J2"/>
    <mergeCell ref="C27:J27"/>
    <mergeCell ref="B3:J3"/>
    <mergeCell ref="C7:J7"/>
    <mergeCell ref="C13:J13"/>
    <mergeCell ref="C19:J19"/>
    <mergeCell ref="C18:J18"/>
    <mergeCell ref="C15:J15"/>
    <mergeCell ref="C6:J6"/>
    <mergeCell ref="C24:J24"/>
    <mergeCell ref="C25:J25"/>
    <mergeCell ref="C10:J10"/>
    <mergeCell ref="C16:J16"/>
  </mergeCells>
  <printOptions horizontalCentered="1"/>
  <pageMargins left="0.4" right="0.4" top="0.5" bottom="0.5" header="0.3" footer="0.3"/>
  <pageSetup fitToHeight="0" orientation="landscape"/>
  <headerFooter>
    <oddHeader>&amp;L&amp;9 &amp;K8896B3Infraxus · Margin Bridge and Variance Walk · Read Me</oddHeader>
    <oddFooter>&amp;R&amp;9 &amp;K8896B3Page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E50FF"/>
    <pageSetUpPr fitToPage="1"/>
  </sheetPr>
  <dimension ref="A1:CB128"/>
  <sheetViews>
    <sheetView showGridLines="0" zoomScale="140" zoomScaleNormal="140" workbookViewId="0">
      <pane xSplit="1" ySplit="4" topLeftCell="B5" activePane="bottomRight" state="frozen"/>
      <selection pane="topRight"/>
      <selection pane="bottomLeft"/>
      <selection pane="bottomRight" activeCell="T12" sqref="T12"/>
    </sheetView>
  </sheetViews>
  <sheetFormatPr baseColWidth="10" defaultColWidth="8.83203125" defaultRowHeight="15" x14ac:dyDescent="0.2"/>
  <cols>
    <col min="1" max="1" width="2" style="64" customWidth="1"/>
    <col min="2" max="2" width="30" style="64" customWidth="1"/>
    <col min="3" max="9" width="16" style="64" customWidth="1"/>
    <col min="10" max="10" width="34" style="64" customWidth="1"/>
    <col min="11" max="11" width="2" style="64" customWidth="1"/>
    <col min="12" max="12" width="1.5" style="64" hidden="1" customWidth="1"/>
    <col min="13" max="80" width="14" style="64" hidden="1" customWidth="1"/>
    <col min="81" max="16384" width="8.83203125" style="64"/>
  </cols>
  <sheetData>
    <row r="1" spans="1:80" ht="8" customHeight="1" x14ac:dyDescent="0.2">
      <c r="A1" s="1"/>
      <c r="B1" s="1"/>
      <c r="C1" s="1"/>
      <c r="D1" s="1"/>
      <c r="E1" s="1"/>
      <c r="F1" s="1"/>
      <c r="G1" s="1"/>
      <c r="H1" s="1"/>
      <c r="I1" s="1"/>
      <c r="J1" s="1"/>
      <c r="K1" s="1"/>
      <c r="L1" s="2"/>
      <c r="M1" s="2"/>
      <c r="N1" s="2"/>
      <c r="O1" s="2"/>
      <c r="P1" s="2"/>
      <c r="Q1" s="2"/>
      <c r="R1" s="2"/>
      <c r="S1" s="2"/>
      <c r="T1" s="2"/>
      <c r="U1" s="2"/>
      <c r="V1" s="2"/>
      <c r="W1" s="2"/>
      <c r="X1" s="2"/>
      <c r="Y1" s="2"/>
      <c r="Z1" s="2"/>
      <c r="AA1" s="2"/>
      <c r="AB1" s="2"/>
      <c r="AC1" s="2"/>
      <c r="AD1" s="2"/>
      <c r="AE1" s="2"/>
      <c r="AF1" s="2"/>
      <c r="AG1" s="2"/>
      <c r="AH1" s="2"/>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row>
    <row r="2" spans="1:80" ht="30" customHeight="1" x14ac:dyDescent="0.2">
      <c r="A2" s="1"/>
      <c r="B2" s="1"/>
      <c r="C2" s="71" t="s">
        <v>226</v>
      </c>
      <c r="D2" s="72"/>
      <c r="E2" s="72"/>
      <c r="F2" s="72"/>
      <c r="G2" s="3" t="s">
        <v>1</v>
      </c>
      <c r="H2" s="4" t="s">
        <v>2</v>
      </c>
      <c r="I2" s="3" t="s">
        <v>3</v>
      </c>
      <c r="J2" s="4" t="s">
        <v>4</v>
      </c>
      <c r="K2" s="1"/>
      <c r="L2" s="2"/>
      <c r="M2" s="5" t="s">
        <v>5</v>
      </c>
      <c r="N2" s="2"/>
      <c r="O2" s="2"/>
      <c r="P2" s="2"/>
      <c r="Q2" s="2"/>
      <c r="R2" s="2"/>
      <c r="S2" s="2"/>
      <c r="T2" s="2"/>
      <c r="U2" s="2"/>
      <c r="V2" s="2"/>
      <c r="W2" s="2"/>
      <c r="X2" s="2"/>
      <c r="Y2" s="2"/>
      <c r="Z2" s="2"/>
      <c r="AA2" s="2"/>
      <c r="AB2" s="2"/>
      <c r="AC2" s="2"/>
      <c r="AD2" s="2"/>
      <c r="AE2" s="2"/>
      <c r="AF2" s="2"/>
      <c r="AG2" s="2"/>
      <c r="AH2" s="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row>
    <row r="3" spans="1:80" ht="22" customHeight="1" x14ac:dyDescent="0.2">
      <c r="A3" s="1"/>
      <c r="B3" s="76" t="s">
        <v>317</v>
      </c>
      <c r="C3" s="72"/>
      <c r="D3" s="72"/>
      <c r="E3" s="72"/>
      <c r="F3" s="72"/>
      <c r="G3" s="72"/>
      <c r="H3" s="80" t="s">
        <v>6</v>
      </c>
      <c r="I3" s="72"/>
      <c r="J3" s="72"/>
      <c r="K3" s="1"/>
      <c r="L3" s="2"/>
      <c r="M3" s="6" t="s">
        <v>7</v>
      </c>
      <c r="N3" s="6" t="s">
        <v>8</v>
      </c>
      <c r="O3" s="6" t="s">
        <v>9</v>
      </c>
      <c r="P3" s="6" t="s">
        <v>10</v>
      </c>
      <c r="Q3" s="2"/>
      <c r="R3" s="2"/>
      <c r="S3" s="2"/>
      <c r="T3" s="2"/>
      <c r="U3" s="2"/>
      <c r="V3" s="2"/>
      <c r="W3" s="2"/>
      <c r="X3" s="2"/>
      <c r="Y3" s="2"/>
      <c r="Z3" s="2"/>
      <c r="AA3" s="2"/>
      <c r="AB3" s="2"/>
      <c r="AC3" s="2"/>
      <c r="AD3" s="2"/>
      <c r="AE3" s="2"/>
      <c r="AF3" s="2"/>
      <c r="AG3" s="2"/>
      <c r="AH3" s="2"/>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row>
    <row r="4" spans="1:80" ht="10" customHeight="1" x14ac:dyDescent="0.2">
      <c r="A4" s="1"/>
      <c r="B4" s="7" t="s">
        <v>227</v>
      </c>
      <c r="C4" s="1"/>
      <c r="D4" s="1"/>
      <c r="E4" s="1"/>
      <c r="F4" s="1"/>
      <c r="G4" s="1"/>
      <c r="H4" s="1"/>
      <c r="I4" s="1"/>
      <c r="J4" s="1"/>
      <c r="K4" s="1"/>
      <c r="L4" s="2"/>
      <c r="M4" s="8" t="s">
        <v>2</v>
      </c>
      <c r="N4" s="8" t="s">
        <v>12</v>
      </c>
      <c r="O4" s="8" t="s">
        <v>13</v>
      </c>
      <c r="P4" s="8" t="s">
        <v>14</v>
      </c>
      <c r="Q4" s="2"/>
      <c r="R4" s="2"/>
      <c r="S4" s="2"/>
      <c r="T4" s="2"/>
      <c r="U4" s="2"/>
      <c r="V4" s="2"/>
      <c r="W4" s="2"/>
      <c r="X4" s="2"/>
      <c r="Y4" s="2"/>
      <c r="Z4" s="2"/>
      <c r="AA4" s="2"/>
      <c r="AB4" s="2"/>
      <c r="AC4" s="2"/>
      <c r="AD4" s="2"/>
      <c r="AE4" s="2"/>
      <c r="AF4" s="2"/>
      <c r="AG4" s="2"/>
      <c r="AH4" s="2"/>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row>
    <row r="5" spans="1:80" x14ac:dyDescent="0.2">
      <c r="A5" s="1"/>
      <c r="B5" s="1"/>
      <c r="C5" s="1"/>
      <c r="D5" s="1"/>
      <c r="E5" s="1"/>
      <c r="F5" s="1"/>
      <c r="G5" s="1"/>
      <c r="H5" s="1"/>
      <c r="I5" s="1"/>
      <c r="J5" s="1"/>
      <c r="K5" s="1"/>
      <c r="L5" s="2"/>
      <c r="M5" s="8" t="s">
        <v>15</v>
      </c>
      <c r="N5" s="8" t="s">
        <v>16</v>
      </c>
      <c r="O5" s="8" t="s">
        <v>13</v>
      </c>
      <c r="P5" s="8" t="s">
        <v>17</v>
      </c>
      <c r="Q5" s="2"/>
      <c r="R5" s="2"/>
      <c r="S5" s="2"/>
      <c r="T5" s="2"/>
      <c r="U5" s="2"/>
      <c r="V5" s="2"/>
      <c r="W5" s="2"/>
      <c r="X5" s="2"/>
      <c r="Y5" s="2"/>
      <c r="Z5" s="2"/>
      <c r="AA5" s="2"/>
      <c r="AB5" s="2"/>
      <c r="AC5" s="2"/>
      <c r="AD5" s="2"/>
      <c r="AE5" s="2"/>
      <c r="AF5" s="2"/>
      <c r="AG5" s="2"/>
      <c r="AH5" s="2"/>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row>
    <row r="6" spans="1:80" ht="22" customHeight="1" x14ac:dyDescent="0.2">
      <c r="A6" s="1"/>
      <c r="B6" s="9" t="s">
        <v>18</v>
      </c>
      <c r="C6" s="4" t="s">
        <v>19</v>
      </c>
      <c r="D6" s="10" t="s">
        <v>20</v>
      </c>
      <c r="E6" s="11" t="s">
        <v>19</v>
      </c>
      <c r="F6" s="10" t="s">
        <v>21</v>
      </c>
      <c r="G6" s="12" t="s">
        <v>22</v>
      </c>
      <c r="H6" s="10" t="s">
        <v>23</v>
      </c>
      <c r="I6" s="13" t="s">
        <v>24</v>
      </c>
      <c r="J6" s="10" t="s">
        <v>25</v>
      </c>
      <c r="K6" s="1"/>
      <c r="L6" s="2"/>
      <c r="M6" s="8" t="s">
        <v>26</v>
      </c>
      <c r="N6" s="8" t="s">
        <v>27</v>
      </c>
      <c r="O6" s="8" t="s">
        <v>13</v>
      </c>
      <c r="P6" s="8" t="s">
        <v>28</v>
      </c>
      <c r="Q6" s="2"/>
      <c r="R6" s="2"/>
      <c r="S6" s="2"/>
      <c r="T6" s="2"/>
      <c r="U6" s="2"/>
      <c r="V6" s="2"/>
      <c r="W6" s="2"/>
      <c r="X6" s="2"/>
      <c r="Y6" s="2"/>
      <c r="Z6" s="2"/>
      <c r="AA6" s="2"/>
      <c r="AB6" s="2"/>
      <c r="AC6" s="2"/>
      <c r="AD6" s="2"/>
      <c r="AE6" s="2"/>
      <c r="AF6" s="2"/>
      <c r="AG6" s="2"/>
      <c r="AH6" s="2"/>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row>
    <row r="7" spans="1:80" ht="4" customHeight="1" x14ac:dyDescent="0.2">
      <c r="A7" s="1"/>
      <c r="B7" s="1"/>
      <c r="C7" s="1"/>
      <c r="D7" s="1"/>
      <c r="E7" s="1"/>
      <c r="F7" s="1"/>
      <c r="G7" s="1"/>
      <c r="H7" s="1"/>
      <c r="I7" s="1"/>
      <c r="J7" s="1"/>
      <c r="K7" s="1"/>
      <c r="L7" s="2"/>
      <c r="M7" s="2"/>
      <c r="N7" s="2"/>
      <c r="O7" s="2"/>
      <c r="P7" s="2"/>
      <c r="Q7" s="2"/>
      <c r="R7" s="2"/>
      <c r="S7" s="2"/>
      <c r="T7" s="2"/>
      <c r="U7" s="2"/>
      <c r="V7" s="2"/>
      <c r="W7" s="2"/>
      <c r="X7" s="2"/>
      <c r="Y7" s="2"/>
      <c r="Z7" s="2"/>
      <c r="AA7" s="2"/>
      <c r="AB7" s="2"/>
      <c r="AC7" s="2"/>
      <c r="AD7" s="2"/>
      <c r="AE7" s="2"/>
      <c r="AF7" s="2"/>
      <c r="AG7" s="2"/>
      <c r="AH7" s="2"/>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row>
    <row r="8" spans="1:80" x14ac:dyDescent="0.2">
      <c r="A8" s="1"/>
      <c r="B8" s="1"/>
      <c r="C8" s="1"/>
      <c r="D8" s="1"/>
      <c r="E8" s="1"/>
      <c r="F8" s="1"/>
      <c r="G8" s="1"/>
      <c r="H8" s="1"/>
      <c r="I8" s="1"/>
      <c r="J8" s="1"/>
      <c r="K8" s="1"/>
      <c r="L8" s="2"/>
      <c r="M8" s="5" t="s">
        <v>29</v>
      </c>
      <c r="N8" s="2"/>
      <c r="O8" s="2"/>
      <c r="P8" s="2"/>
      <c r="Q8" s="2"/>
      <c r="R8" s="2"/>
      <c r="S8" s="2"/>
      <c r="T8" s="2"/>
      <c r="U8" s="2"/>
      <c r="V8" s="2"/>
      <c r="W8" s="2"/>
      <c r="X8" s="2"/>
      <c r="Y8" s="2"/>
      <c r="Z8" s="2"/>
      <c r="AA8" s="2"/>
      <c r="AB8" s="2"/>
      <c r="AC8" s="2"/>
      <c r="AD8" s="2"/>
      <c r="AE8" s="2"/>
      <c r="AF8" s="2"/>
      <c r="AG8" s="2"/>
      <c r="AH8" s="2"/>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row>
    <row r="9" spans="1:80" ht="22" customHeight="1" x14ac:dyDescent="0.2">
      <c r="A9" s="1"/>
      <c r="B9" s="5" t="s">
        <v>30</v>
      </c>
      <c r="C9" s="1"/>
      <c r="D9" s="1"/>
      <c r="E9" s="1"/>
      <c r="F9" s="1"/>
      <c r="G9" s="1"/>
      <c r="H9" s="1"/>
      <c r="I9" s="1"/>
      <c r="J9" s="1"/>
      <c r="K9" s="1"/>
      <c r="L9" s="2"/>
      <c r="M9" s="6" t="s">
        <v>7</v>
      </c>
      <c r="N9" s="6" t="s">
        <v>31</v>
      </c>
      <c r="O9" s="14" t="s">
        <v>32</v>
      </c>
      <c r="P9" s="14" t="s">
        <v>33</v>
      </c>
      <c r="Q9" s="14" t="s">
        <v>34</v>
      </c>
      <c r="R9" s="6" t="s">
        <v>35</v>
      </c>
      <c r="S9" s="2"/>
      <c r="T9" s="2"/>
      <c r="U9" s="2"/>
      <c r="V9" s="2"/>
      <c r="W9" s="2"/>
      <c r="X9" s="2"/>
      <c r="Y9" s="2"/>
      <c r="Z9" s="2"/>
      <c r="AA9" s="2"/>
      <c r="AB9" s="2"/>
      <c r="AC9" s="2"/>
      <c r="AD9" s="2"/>
      <c r="AE9" s="2"/>
      <c r="AF9" s="2"/>
      <c r="AG9" s="2"/>
      <c r="AH9" s="2"/>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row>
    <row r="10" spans="1:80" ht="22" customHeight="1" x14ac:dyDescent="0.2">
      <c r="A10" s="1"/>
      <c r="B10" s="8" t="s">
        <v>36</v>
      </c>
      <c r="C10" s="15"/>
      <c r="D10" s="2"/>
      <c r="E10" s="2"/>
      <c r="F10" s="2"/>
      <c r="G10" s="2"/>
      <c r="H10" s="2"/>
      <c r="I10" s="2"/>
      <c r="J10" s="2"/>
      <c r="K10" s="1"/>
      <c r="L10" s="2"/>
      <c r="M10" s="8" t="s">
        <v>4</v>
      </c>
      <c r="N10" s="8" t="s">
        <v>38</v>
      </c>
      <c r="O10" s="16">
        <v>0.45</v>
      </c>
      <c r="P10" s="16">
        <v>0.6</v>
      </c>
      <c r="Q10" s="16">
        <v>0.55000000000000004</v>
      </c>
      <c r="R10" s="8" t="s">
        <v>39</v>
      </c>
      <c r="S10" s="2"/>
      <c r="T10" s="2"/>
      <c r="U10" s="2"/>
      <c r="V10" s="2"/>
      <c r="W10" s="2"/>
      <c r="X10" s="2"/>
      <c r="Y10" s="2"/>
      <c r="Z10" s="2"/>
      <c r="AA10" s="2"/>
      <c r="AB10" s="2"/>
      <c r="AC10" s="2"/>
      <c r="AD10" s="2"/>
      <c r="AE10" s="2"/>
      <c r="AF10" s="2"/>
      <c r="AG10" s="2"/>
      <c r="AH10" s="2"/>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row>
    <row r="11" spans="1:80" ht="22" customHeight="1" x14ac:dyDescent="0.2">
      <c r="A11" s="1"/>
      <c r="B11" s="8" t="s">
        <v>40</v>
      </c>
      <c r="C11" s="15"/>
      <c r="D11" s="2"/>
      <c r="E11" s="2"/>
      <c r="F11" s="2"/>
      <c r="G11" s="2"/>
      <c r="H11" s="2"/>
      <c r="I11" s="2"/>
      <c r="J11" s="2"/>
      <c r="K11" s="1"/>
      <c r="L11" s="2"/>
      <c r="M11" s="8" t="s">
        <v>42</v>
      </c>
      <c r="N11" s="8" t="s">
        <v>43</v>
      </c>
      <c r="O11" s="16">
        <v>0.5</v>
      </c>
      <c r="P11" s="16">
        <v>0.62</v>
      </c>
      <c r="Q11" s="16">
        <v>0.56000000000000005</v>
      </c>
      <c r="R11" s="8" t="s">
        <v>44</v>
      </c>
      <c r="S11" s="2"/>
      <c r="T11" s="2"/>
      <c r="U11" s="2"/>
      <c r="V11" s="2"/>
      <c r="W11" s="2"/>
      <c r="X11" s="2"/>
      <c r="Y11" s="2"/>
      <c r="Z11" s="2"/>
      <c r="AA11" s="2"/>
      <c r="AB11" s="2"/>
      <c r="AC11" s="2"/>
      <c r="AD11" s="2"/>
      <c r="AE11" s="2"/>
      <c r="AF11" s="2"/>
      <c r="AG11" s="2"/>
      <c r="AH11" s="2"/>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row>
    <row r="12" spans="1:80" ht="22" customHeight="1" x14ac:dyDescent="0.2">
      <c r="A12" s="1"/>
      <c r="B12" s="8" t="s">
        <v>45</v>
      </c>
      <c r="C12" s="15"/>
      <c r="D12" s="2"/>
      <c r="E12" s="2"/>
      <c r="F12" s="2"/>
      <c r="G12" s="2"/>
      <c r="H12" s="2"/>
      <c r="I12" s="2"/>
      <c r="J12" s="2"/>
      <c r="K12" s="1"/>
      <c r="L12" s="2"/>
      <c r="M12" s="8" t="s">
        <v>47</v>
      </c>
      <c r="N12" s="8" t="s">
        <v>48</v>
      </c>
      <c r="O12" s="16">
        <v>0.4</v>
      </c>
      <c r="P12" s="16">
        <v>0.55000000000000004</v>
      </c>
      <c r="Q12" s="16">
        <v>0.47</v>
      </c>
      <c r="R12" s="8" t="s">
        <v>49</v>
      </c>
      <c r="S12" s="2"/>
      <c r="T12" s="2"/>
      <c r="U12" s="2"/>
      <c r="V12" s="2"/>
      <c r="W12" s="2"/>
      <c r="X12" s="2"/>
      <c r="Y12" s="2"/>
      <c r="Z12" s="2"/>
      <c r="AA12" s="2"/>
      <c r="AB12" s="2"/>
      <c r="AC12" s="2"/>
      <c r="AD12" s="2"/>
      <c r="AE12" s="2"/>
      <c r="AF12" s="2"/>
      <c r="AG12" s="2"/>
      <c r="AH12" s="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row>
    <row r="13" spans="1:80" ht="22" customHeight="1" x14ac:dyDescent="0.2">
      <c r="A13" s="1"/>
      <c r="B13" s="8" t="s">
        <v>50</v>
      </c>
      <c r="C13" s="15"/>
      <c r="D13" s="2"/>
      <c r="E13" s="2"/>
      <c r="F13" s="2"/>
      <c r="G13" s="2"/>
      <c r="H13" s="2"/>
      <c r="I13" s="2"/>
      <c r="J13" s="2"/>
      <c r="K13" s="1"/>
      <c r="L13" s="2"/>
      <c r="M13" s="8" t="s">
        <v>52</v>
      </c>
      <c r="N13" s="8" t="s">
        <v>53</v>
      </c>
      <c r="O13" s="16">
        <v>0.42</v>
      </c>
      <c r="P13" s="16">
        <v>0.57999999999999996</v>
      </c>
      <c r="Q13" s="16">
        <v>0.5</v>
      </c>
      <c r="R13" s="8" t="s">
        <v>54</v>
      </c>
      <c r="S13" s="2"/>
      <c r="T13" s="2"/>
      <c r="U13" s="2"/>
      <c r="V13" s="2"/>
      <c r="W13" s="2"/>
      <c r="X13" s="2"/>
      <c r="Y13" s="2"/>
      <c r="Z13" s="2"/>
      <c r="AA13" s="2"/>
      <c r="AB13" s="2"/>
      <c r="AC13" s="2"/>
      <c r="AD13" s="2"/>
      <c r="AE13" s="2"/>
      <c r="AF13" s="2"/>
      <c r="AG13" s="2"/>
      <c r="AH13" s="2"/>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row>
    <row r="14" spans="1:80" ht="22" customHeight="1" x14ac:dyDescent="0.2">
      <c r="A14" s="1"/>
      <c r="B14" s="8" t="s">
        <v>55</v>
      </c>
      <c r="C14" s="17">
        <v>5.0000000000000001E-3</v>
      </c>
      <c r="D14" s="2"/>
      <c r="E14" s="2"/>
      <c r="F14" s="2"/>
      <c r="G14" s="2"/>
      <c r="H14" s="2"/>
      <c r="I14" s="2"/>
      <c r="J14" s="2"/>
      <c r="K14" s="1"/>
      <c r="L14" s="2"/>
      <c r="M14" s="8" t="s">
        <v>56</v>
      </c>
      <c r="N14" s="8" t="s">
        <v>57</v>
      </c>
      <c r="O14" s="16">
        <v>0.4</v>
      </c>
      <c r="P14" s="16">
        <v>0.55000000000000004</v>
      </c>
      <c r="Q14" s="16">
        <v>0.5</v>
      </c>
      <c r="R14" s="8" t="s">
        <v>58</v>
      </c>
      <c r="S14" s="2"/>
      <c r="T14" s="2"/>
      <c r="U14" s="2"/>
      <c r="V14" s="2"/>
      <c r="W14" s="2"/>
      <c r="X14" s="2"/>
      <c r="Y14" s="2"/>
      <c r="Z14" s="2"/>
      <c r="AA14" s="2"/>
      <c r="AB14" s="2"/>
      <c r="AC14" s="2"/>
      <c r="AD14" s="2"/>
      <c r="AE14" s="2"/>
      <c r="AF14" s="2"/>
      <c r="AG14" s="2"/>
      <c r="AH14" s="2"/>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row>
    <row r="15" spans="1:80" ht="22" customHeight="1" x14ac:dyDescent="0.2">
      <c r="A15" s="1"/>
      <c r="B15" s="8" t="s">
        <v>59</v>
      </c>
      <c r="C15" s="18" t="str">
        <f>IFERROR(INDEX(ref_region_currency,MATCH(inp_biz_region,ref_region_codes,0)),"AUD")</f>
        <v>AUD</v>
      </c>
      <c r="D15" s="2"/>
      <c r="E15" s="2"/>
      <c r="F15" s="2"/>
      <c r="G15" s="2"/>
      <c r="H15" s="2"/>
      <c r="I15" s="2"/>
      <c r="J15" s="2"/>
      <c r="K15" s="1"/>
      <c r="L15" s="2"/>
      <c r="M15" s="8" t="s">
        <v>60</v>
      </c>
      <c r="N15" s="8" t="s">
        <v>61</v>
      </c>
      <c r="O15" s="16">
        <v>0.2</v>
      </c>
      <c r="P15" s="16">
        <v>0.4</v>
      </c>
      <c r="Q15" s="16">
        <v>0.3</v>
      </c>
      <c r="R15" s="8" t="s">
        <v>62</v>
      </c>
      <c r="S15" s="2"/>
      <c r="T15" s="2"/>
      <c r="U15" s="2"/>
      <c r="V15" s="2"/>
      <c r="W15" s="2"/>
      <c r="X15" s="2"/>
      <c r="Y15" s="2"/>
      <c r="Z15" s="2"/>
      <c r="AA15" s="2"/>
      <c r="AB15" s="2"/>
      <c r="AC15" s="2"/>
      <c r="AD15" s="2"/>
      <c r="AE15" s="2"/>
      <c r="AF15" s="2"/>
      <c r="AG15" s="2"/>
      <c r="AH15" s="2"/>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row>
    <row r="16" spans="1:80" ht="4" customHeight="1" x14ac:dyDescent="0.2">
      <c r="A16" s="1"/>
      <c r="B16" s="1"/>
      <c r="C16" s="1"/>
      <c r="D16" s="1"/>
      <c r="E16" s="1"/>
      <c r="F16" s="1"/>
      <c r="G16" s="1"/>
      <c r="H16" s="1"/>
      <c r="I16" s="1"/>
      <c r="J16" s="1"/>
      <c r="K16" s="1"/>
      <c r="L16" s="2"/>
      <c r="M16" s="8" t="s">
        <v>63</v>
      </c>
      <c r="N16" s="8" t="s">
        <v>64</v>
      </c>
      <c r="O16" s="16">
        <v>0.25</v>
      </c>
      <c r="P16" s="16">
        <v>0.4</v>
      </c>
      <c r="Q16" s="16">
        <v>0.32</v>
      </c>
      <c r="R16" s="8" t="s">
        <v>65</v>
      </c>
      <c r="S16" s="2"/>
      <c r="T16" s="2"/>
      <c r="U16" s="2"/>
      <c r="V16" s="2"/>
      <c r="W16" s="2"/>
      <c r="X16" s="2"/>
      <c r="Y16" s="2"/>
      <c r="Z16" s="2"/>
      <c r="AA16" s="2"/>
      <c r="AB16" s="2"/>
      <c r="AC16" s="2"/>
      <c r="AD16" s="2"/>
      <c r="AE16" s="2"/>
      <c r="AF16" s="2"/>
      <c r="AG16" s="2"/>
      <c r="AH16" s="2"/>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row>
    <row r="17" spans="1:80" ht="22" customHeight="1" x14ac:dyDescent="0.2">
      <c r="A17" s="1"/>
      <c r="B17" s="5" t="s">
        <v>66</v>
      </c>
      <c r="C17" s="1"/>
      <c r="D17" s="1"/>
      <c r="E17" s="1"/>
      <c r="F17" s="1"/>
      <c r="G17" s="1"/>
      <c r="H17" s="1"/>
      <c r="I17" s="85">
        <f>inp_biz_period_a_label</f>
        <v>0</v>
      </c>
      <c r="J17" s="72"/>
      <c r="K17" s="1"/>
      <c r="L17" s="2"/>
      <c r="M17" s="8" t="s">
        <v>67</v>
      </c>
      <c r="N17" s="8" t="s">
        <v>68</v>
      </c>
      <c r="O17" s="16">
        <v>0.4</v>
      </c>
      <c r="P17" s="16">
        <v>0.55000000000000004</v>
      </c>
      <c r="Q17" s="16">
        <v>0.5</v>
      </c>
      <c r="R17" s="8" t="s">
        <v>69</v>
      </c>
      <c r="S17" s="2"/>
      <c r="T17" s="2"/>
      <c r="U17" s="2"/>
      <c r="V17" s="2"/>
      <c r="W17" s="2"/>
      <c r="X17" s="2"/>
      <c r="Y17" s="2"/>
      <c r="Z17" s="2"/>
      <c r="AA17" s="2"/>
      <c r="AB17" s="2"/>
      <c r="AC17" s="2"/>
      <c r="AD17" s="2"/>
      <c r="AE17" s="2"/>
      <c r="AF17" s="2"/>
      <c r="AG17" s="2"/>
      <c r="AH17" s="2"/>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row>
    <row r="18" spans="1:80" ht="22" customHeight="1" x14ac:dyDescent="0.2">
      <c r="A18" s="1"/>
      <c r="B18" s="6" t="s">
        <v>70</v>
      </c>
      <c r="C18" s="14" t="s">
        <v>71</v>
      </c>
      <c r="D18" s="14" t="s">
        <v>72</v>
      </c>
      <c r="E18" s="14" t="s">
        <v>73</v>
      </c>
      <c r="F18" s="14" t="s">
        <v>74</v>
      </c>
      <c r="G18" s="14" t="s">
        <v>75</v>
      </c>
      <c r="H18" s="14" t="s">
        <v>76</v>
      </c>
      <c r="I18" s="14" t="s">
        <v>77</v>
      </c>
      <c r="J18" s="19"/>
      <c r="K18" s="1"/>
      <c r="L18" s="2"/>
      <c r="M18" s="2"/>
      <c r="N18" s="2"/>
      <c r="O18" s="2"/>
      <c r="P18" s="2"/>
      <c r="Q18" s="2"/>
      <c r="R18" s="2"/>
      <c r="S18" s="2"/>
      <c r="T18" s="2"/>
      <c r="U18" s="2"/>
      <c r="V18" s="2"/>
      <c r="W18" s="2"/>
      <c r="X18" s="2"/>
      <c r="Y18" s="2"/>
      <c r="Z18" s="2"/>
      <c r="AA18" s="2"/>
      <c r="AB18" s="2"/>
      <c r="AC18" s="2"/>
      <c r="AD18" s="2"/>
      <c r="AE18" s="2"/>
      <c r="AF18" s="2"/>
      <c r="AG18" s="2"/>
      <c r="AH18" s="2"/>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row>
    <row r="19" spans="1:80" ht="20" customHeight="1" x14ac:dyDescent="0.2">
      <c r="A19" s="1"/>
      <c r="B19" s="15"/>
      <c r="C19" s="20"/>
      <c r="D19" s="21"/>
      <c r="E19" s="21"/>
      <c r="F19" s="22">
        <f t="shared" ref="F19:F25" si="0">IFERROR(D19/C19,0)</f>
        <v>0</v>
      </c>
      <c r="G19" s="22">
        <f t="shared" ref="G19:G24" si="1">IFERROR(L19/C19,0)</f>
        <v>0</v>
      </c>
      <c r="H19" s="22">
        <f t="shared" ref="H19:H24" si="2">IFERROR((D19-L19)/C19,0)</f>
        <v>0</v>
      </c>
      <c r="I19" s="23">
        <f t="shared" ref="I19:I24" si="3">IFERROR(D19/D$25,0)</f>
        <v>0</v>
      </c>
      <c r="J19" s="2"/>
      <c r="K19" s="1"/>
      <c r="L19" s="22">
        <f>IFERROR(VALUE(alloc_dc_a_sl1),E19)</f>
        <v>0</v>
      </c>
      <c r="M19" s="2"/>
      <c r="N19" s="2"/>
      <c r="O19" s="2"/>
      <c r="P19" s="2"/>
      <c r="Q19" s="2"/>
      <c r="R19" s="2"/>
      <c r="S19" s="2"/>
      <c r="T19" s="2"/>
      <c r="U19" s="2"/>
      <c r="V19" s="2"/>
      <c r="W19" s="2"/>
      <c r="X19" s="2"/>
      <c r="Y19" s="2"/>
      <c r="Z19" s="2"/>
      <c r="AA19" s="2"/>
      <c r="AB19" s="2"/>
      <c r="AC19" s="2"/>
      <c r="AD19" s="2"/>
      <c r="AE19" s="2"/>
      <c r="AF19" s="2"/>
      <c r="AG19" s="2"/>
      <c r="AH19" s="2"/>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row>
    <row r="20" spans="1:80" ht="20" customHeight="1" x14ac:dyDescent="0.2">
      <c r="A20" s="1"/>
      <c r="B20" s="15"/>
      <c r="C20" s="20"/>
      <c r="D20" s="21"/>
      <c r="E20" s="21"/>
      <c r="F20" s="22">
        <f t="shared" si="0"/>
        <v>0</v>
      </c>
      <c r="G20" s="22">
        <f t="shared" si="1"/>
        <v>0</v>
      </c>
      <c r="H20" s="22">
        <f t="shared" si="2"/>
        <v>0</v>
      </c>
      <c r="I20" s="23">
        <f t="shared" si="3"/>
        <v>0</v>
      </c>
      <c r="J20" s="2"/>
      <c r="K20" s="1"/>
      <c r="L20" s="22">
        <f>IFERROR(VALUE(alloc_dc_a_sl2),E20)</f>
        <v>0</v>
      </c>
      <c r="M20" s="5" t="s">
        <v>80</v>
      </c>
      <c r="N20" s="2"/>
      <c r="O20" s="2"/>
      <c r="P20" s="2"/>
      <c r="Q20" s="2"/>
      <c r="R20" s="2"/>
      <c r="S20" s="2"/>
      <c r="T20" s="5" t="s">
        <v>81</v>
      </c>
      <c r="U20" s="2"/>
      <c r="V20" s="2"/>
      <c r="W20" s="2"/>
      <c r="X20" s="2"/>
      <c r="Y20" s="2"/>
      <c r="Z20" s="2"/>
      <c r="AA20" s="2"/>
      <c r="AB20" s="2"/>
      <c r="AC20" s="2"/>
      <c r="AD20" s="2"/>
      <c r="AE20" s="2"/>
      <c r="AF20" s="2"/>
      <c r="AG20" s="2"/>
      <c r="AH20" s="2"/>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row>
    <row r="21" spans="1:80" ht="20" customHeight="1" x14ac:dyDescent="0.2">
      <c r="A21" s="1"/>
      <c r="B21" s="15"/>
      <c r="C21" s="20"/>
      <c r="D21" s="21"/>
      <c r="E21" s="21"/>
      <c r="F21" s="22">
        <f t="shared" si="0"/>
        <v>0</v>
      </c>
      <c r="G21" s="22">
        <f t="shared" si="1"/>
        <v>0</v>
      </c>
      <c r="H21" s="22">
        <f t="shared" si="2"/>
        <v>0</v>
      </c>
      <c r="I21" s="23">
        <f t="shared" si="3"/>
        <v>0</v>
      </c>
      <c r="J21" s="2"/>
      <c r="K21" s="1"/>
      <c r="L21" s="22">
        <f>IFERROR(VALUE(alloc_dc_a_sl3),E21)</f>
        <v>0</v>
      </c>
      <c r="M21" s="6" t="s">
        <v>83</v>
      </c>
      <c r="N21" s="24">
        <f>SUM(C19:C24)</f>
        <v>0</v>
      </c>
      <c r="O21" s="2"/>
      <c r="P21" s="2"/>
      <c r="Q21" s="2"/>
      <c r="R21" s="2"/>
      <c r="S21" s="2"/>
      <c r="T21" s="6" t="s">
        <v>84</v>
      </c>
      <c r="U21" s="22">
        <f>SUMPRODUCT(C19:C24,F34:F39)</f>
        <v>0</v>
      </c>
      <c r="V21" s="2"/>
      <c r="W21" s="2"/>
      <c r="X21" s="2"/>
      <c r="Y21" s="2"/>
      <c r="Z21" s="2"/>
      <c r="AA21" s="2"/>
      <c r="AB21" s="2"/>
      <c r="AC21" s="2"/>
      <c r="AD21" s="2"/>
      <c r="AE21" s="2"/>
      <c r="AF21" s="2"/>
      <c r="AG21" s="2"/>
      <c r="AH21" s="2"/>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row>
    <row r="22" spans="1:80" ht="20" customHeight="1" x14ac:dyDescent="0.2">
      <c r="A22" s="1"/>
      <c r="B22" s="15"/>
      <c r="C22" s="20"/>
      <c r="D22" s="21"/>
      <c r="E22" s="21"/>
      <c r="F22" s="22">
        <f t="shared" si="0"/>
        <v>0</v>
      </c>
      <c r="G22" s="22">
        <f t="shared" si="1"/>
        <v>0</v>
      </c>
      <c r="H22" s="22">
        <f t="shared" si="2"/>
        <v>0</v>
      </c>
      <c r="I22" s="23">
        <f t="shared" si="3"/>
        <v>0</v>
      </c>
      <c r="J22" s="2"/>
      <c r="K22" s="1"/>
      <c r="L22" s="22">
        <f>IFERROR(VALUE(alloc_dc_a_sl4),E22)</f>
        <v>0</v>
      </c>
      <c r="M22" s="6" t="s">
        <v>86</v>
      </c>
      <c r="N22" s="24">
        <f>SUM(C34:C39)</f>
        <v>0</v>
      </c>
      <c r="O22" s="2"/>
      <c r="P22" s="2"/>
      <c r="Q22" s="2"/>
      <c r="R22" s="2"/>
      <c r="S22" s="2"/>
      <c r="T22" s="6" t="s">
        <v>87</v>
      </c>
      <c r="U22" s="22">
        <f>SUMPRODUCT(C19:C24,G19:G24)</f>
        <v>0</v>
      </c>
      <c r="V22" s="2"/>
      <c r="W22" s="2"/>
      <c r="X22" s="2"/>
      <c r="Y22" s="2"/>
      <c r="Z22" s="2"/>
      <c r="AA22" s="2"/>
      <c r="AB22" s="2"/>
      <c r="AC22" s="2"/>
      <c r="AD22" s="2"/>
      <c r="AE22" s="2"/>
      <c r="AF22" s="2"/>
      <c r="AG22" s="2"/>
      <c r="AH22" s="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row>
    <row r="23" spans="1:80" ht="20" customHeight="1" x14ac:dyDescent="0.2">
      <c r="A23" s="1"/>
      <c r="B23" s="15"/>
      <c r="C23" s="20"/>
      <c r="D23" s="21"/>
      <c r="E23" s="21"/>
      <c r="F23" s="22">
        <f t="shared" si="0"/>
        <v>0</v>
      </c>
      <c r="G23" s="22">
        <f t="shared" si="1"/>
        <v>0</v>
      </c>
      <c r="H23" s="22">
        <f t="shared" si="2"/>
        <v>0</v>
      </c>
      <c r="I23" s="23">
        <f t="shared" si="3"/>
        <v>0</v>
      </c>
      <c r="J23" s="2"/>
      <c r="K23" s="1"/>
      <c r="L23" s="22">
        <f>IFERROR(VALUE(alloc_dc_a_sl5),E23)</f>
        <v>0</v>
      </c>
      <c r="M23" s="6" t="s">
        <v>89</v>
      </c>
      <c r="N23" s="22">
        <f>SUM(D19:D24)</f>
        <v>0</v>
      </c>
      <c r="O23" s="2"/>
      <c r="P23" s="2"/>
      <c r="Q23" s="2"/>
      <c r="R23" s="2"/>
      <c r="S23" s="2"/>
      <c r="T23" s="6" t="s">
        <v>90</v>
      </c>
      <c r="U23" s="22">
        <f>SUMPRODUCT(C34:C39,G19:G24)</f>
        <v>0</v>
      </c>
      <c r="V23" s="2"/>
      <c r="W23" s="2"/>
      <c r="X23" s="2"/>
      <c r="Y23" s="2"/>
      <c r="Z23" s="2"/>
      <c r="AA23" s="2"/>
      <c r="AB23" s="2"/>
      <c r="AC23" s="2"/>
      <c r="AD23" s="2"/>
      <c r="AE23" s="2"/>
      <c r="AF23" s="2"/>
      <c r="AG23" s="2"/>
      <c r="AH23" s="2"/>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row>
    <row r="24" spans="1:80" ht="20" customHeight="1" x14ac:dyDescent="0.2">
      <c r="A24" s="1"/>
      <c r="B24" s="15"/>
      <c r="C24" s="20"/>
      <c r="D24" s="21"/>
      <c r="E24" s="21"/>
      <c r="F24" s="22">
        <f t="shared" si="0"/>
        <v>0</v>
      </c>
      <c r="G24" s="22">
        <f t="shared" si="1"/>
        <v>0</v>
      </c>
      <c r="H24" s="22">
        <f t="shared" si="2"/>
        <v>0</v>
      </c>
      <c r="I24" s="23">
        <f t="shared" si="3"/>
        <v>0</v>
      </c>
      <c r="J24" s="2"/>
      <c r="K24" s="1"/>
      <c r="L24" s="22">
        <f>IFERROR(VALUE(alloc_dc_a_sl6),E24)</f>
        <v>0</v>
      </c>
      <c r="M24" s="6" t="s">
        <v>92</v>
      </c>
      <c r="N24" s="22">
        <f>SUM(D34:D39)</f>
        <v>0</v>
      </c>
      <c r="O24" s="2"/>
      <c r="P24" s="2"/>
      <c r="Q24" s="2"/>
      <c r="R24" s="2"/>
      <c r="S24" s="2"/>
      <c r="T24" s="6" t="s">
        <v>93</v>
      </c>
      <c r="U24" s="22">
        <f>SUMPRODUCT(C34:C39,F34:F39)</f>
        <v>0</v>
      </c>
      <c r="V24" s="2"/>
      <c r="W24" s="2"/>
      <c r="X24" s="2"/>
      <c r="Y24" s="2"/>
      <c r="Z24" s="2"/>
      <c r="AA24" s="2"/>
      <c r="AB24" s="2"/>
      <c r="AC24" s="2"/>
      <c r="AD24" s="2"/>
      <c r="AE24" s="2"/>
      <c r="AF24" s="2"/>
      <c r="AG24" s="2"/>
      <c r="AH24" s="2"/>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row>
    <row r="25" spans="1:80" ht="22" customHeight="1" x14ac:dyDescent="0.2">
      <c r="A25" s="1"/>
      <c r="B25" s="25" t="s">
        <v>94</v>
      </c>
      <c r="C25" s="26">
        <f>SUM(C19:C24)</f>
        <v>0</v>
      </c>
      <c r="D25" s="27">
        <f>SUM(D19:D24)</f>
        <v>0</v>
      </c>
      <c r="E25" s="27">
        <f>SUM(L19:L24)</f>
        <v>0</v>
      </c>
      <c r="F25" s="27">
        <f t="shared" si="0"/>
        <v>0</v>
      </c>
      <c r="G25" s="27">
        <f>IFERROR(E25/C25,0)</f>
        <v>0</v>
      </c>
      <c r="H25" s="27">
        <f>IFERROR((D25-E25)/C25,0)</f>
        <v>0</v>
      </c>
      <c r="I25" s="28">
        <f>IFERROR(SUM(I19:I24),0)</f>
        <v>0</v>
      </c>
      <c r="J25" s="29"/>
      <c r="K25" s="1"/>
      <c r="L25" s="27">
        <f>SUM(L19:L24)</f>
        <v>0</v>
      </c>
      <c r="M25" s="6" t="s">
        <v>95</v>
      </c>
      <c r="N25" s="22">
        <f>SUM(L19:L24)</f>
        <v>0</v>
      </c>
      <c r="O25" s="2"/>
      <c r="P25" s="2"/>
      <c r="Q25" s="2"/>
      <c r="R25" s="2"/>
      <c r="S25" s="2"/>
      <c r="T25" s="6" t="s">
        <v>96</v>
      </c>
      <c r="U25" s="22">
        <f>SUMPRODUCT(C34:C39,G34:G39)</f>
        <v>0</v>
      </c>
      <c r="V25" s="2"/>
      <c r="W25" s="2"/>
      <c r="X25" s="2"/>
      <c r="Y25" s="2"/>
      <c r="Z25" s="2"/>
      <c r="AA25" s="2"/>
      <c r="AB25" s="2"/>
      <c r="AC25" s="2"/>
      <c r="AD25" s="2"/>
      <c r="AE25" s="2"/>
      <c r="AF25" s="2"/>
      <c r="AG25" s="2"/>
      <c r="AH25" s="2"/>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row>
    <row r="26" spans="1:80" ht="4" customHeight="1" x14ac:dyDescent="0.2">
      <c r="A26" s="1"/>
      <c r="B26" s="1"/>
      <c r="C26" s="1"/>
      <c r="D26" s="1"/>
      <c r="E26" s="1"/>
      <c r="F26" s="1"/>
      <c r="G26" s="1"/>
      <c r="H26" s="1"/>
      <c r="I26" s="1"/>
      <c r="J26" s="1"/>
      <c r="K26" s="1"/>
      <c r="L26" s="2"/>
      <c r="M26" s="6" t="s">
        <v>97</v>
      </c>
      <c r="N26" s="22">
        <f>SUM(L34:L39)</f>
        <v>0</v>
      </c>
      <c r="O26" s="2"/>
      <c r="P26" s="2"/>
      <c r="Q26" s="2"/>
      <c r="R26" s="2"/>
      <c r="S26" s="2"/>
      <c r="T26" s="6" t="s">
        <v>98</v>
      </c>
      <c r="U26" s="22">
        <f>SUMPRODUCT(C19:C24,F19:F24)</f>
        <v>0</v>
      </c>
      <c r="V26" s="2"/>
      <c r="W26" s="2"/>
      <c r="X26" s="2"/>
      <c r="Y26" s="2"/>
      <c r="Z26" s="2"/>
      <c r="AA26" s="2"/>
      <c r="AB26" s="2"/>
      <c r="AC26" s="2"/>
      <c r="AD26" s="2"/>
      <c r="AE26" s="2"/>
      <c r="AF26" s="2"/>
      <c r="AG26" s="2"/>
      <c r="AH26" s="2"/>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row>
    <row r="27" spans="1:80" ht="22" customHeight="1" x14ac:dyDescent="0.2">
      <c r="A27" s="1"/>
      <c r="B27" s="8" t="s">
        <v>99</v>
      </c>
      <c r="C27" s="21"/>
      <c r="D27" s="2"/>
      <c r="E27" s="2"/>
      <c r="F27" s="2"/>
      <c r="G27" s="2"/>
      <c r="H27" s="2"/>
      <c r="I27" s="2"/>
      <c r="J27" s="2"/>
      <c r="K27" s="1"/>
      <c r="L27" s="2"/>
      <c r="M27" s="6" t="s">
        <v>100</v>
      </c>
      <c r="N27" s="22">
        <f>inp_a_fixed+IF(EXACT(inp_biz_margin_level,"EBITDA"),inp_a_opex,0)</f>
        <v>0</v>
      </c>
      <c r="O27" s="2"/>
      <c r="P27" s="2"/>
      <c r="Q27" s="2"/>
      <c r="R27" s="2"/>
      <c r="S27" s="2"/>
      <c r="T27" s="6" t="s">
        <v>101</v>
      </c>
      <c r="U27" s="22">
        <f>IFERROR(calc_H_B/calc_H_A,0)*calc_sum_hA_rB</f>
        <v>0</v>
      </c>
      <c r="V27" s="2"/>
      <c r="W27" s="2"/>
      <c r="X27" s="2"/>
      <c r="Y27" s="2"/>
      <c r="Z27" s="2"/>
      <c r="AA27" s="2"/>
      <c r="AB27" s="2"/>
      <c r="AC27" s="2"/>
      <c r="AD27" s="2"/>
      <c r="AE27" s="2"/>
      <c r="AF27" s="2"/>
      <c r="AG27" s="2"/>
      <c r="AH27" s="2"/>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row>
    <row r="28" spans="1:80" ht="22" customHeight="1" x14ac:dyDescent="0.2">
      <c r="A28" s="1"/>
      <c r="B28" s="8" t="s">
        <v>102</v>
      </c>
      <c r="C28" s="20"/>
      <c r="D28" s="2"/>
      <c r="E28" s="2"/>
      <c r="F28" s="2"/>
      <c r="G28" s="2"/>
      <c r="H28" s="2"/>
      <c r="I28" s="2"/>
      <c r="J28" s="2"/>
      <c r="K28" s="1"/>
      <c r="L28" s="2"/>
      <c r="M28" s="6" t="s">
        <v>103</v>
      </c>
      <c r="N28" s="22">
        <f>inp_b_fixed+IF(EXACT(inp_biz_margin_level,"EBITDA"),inp_b_opex,0)</f>
        <v>0</v>
      </c>
      <c r="O28" s="2"/>
      <c r="P28" s="2"/>
      <c r="Q28" s="2"/>
      <c r="R28" s="2"/>
      <c r="S28" s="2"/>
      <c r="T28" s="6" t="s">
        <v>104</v>
      </c>
      <c r="U28" s="22">
        <f>IFERROR(calc_H_B/calc_H_A,0)*calc_sum_hA_cA</f>
        <v>0</v>
      </c>
      <c r="V28" s="2"/>
      <c r="W28" s="2"/>
      <c r="X28" s="2"/>
      <c r="Y28" s="2"/>
      <c r="Z28" s="2"/>
      <c r="AA28" s="2"/>
      <c r="AB28" s="2"/>
      <c r="AC28" s="2"/>
      <c r="AD28" s="2"/>
      <c r="AE28" s="2"/>
      <c r="AF28" s="2"/>
      <c r="AG28" s="2"/>
      <c r="AH28" s="2"/>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row>
    <row r="29" spans="1:80" ht="22" customHeight="1" x14ac:dyDescent="0.2">
      <c r="A29" s="1"/>
      <c r="B29" s="8" t="s">
        <v>105</v>
      </c>
      <c r="C29" s="21"/>
      <c r="D29" s="2"/>
      <c r="E29" s="2"/>
      <c r="F29" s="2"/>
      <c r="G29" s="2"/>
      <c r="H29" s="2"/>
      <c r="I29" s="2"/>
      <c r="J29" s="2"/>
      <c r="K29" s="1"/>
      <c r="L29" s="2"/>
      <c r="M29" s="6" t="s">
        <v>106</v>
      </c>
      <c r="N29" s="22">
        <f>calc_R_A-calc_VC_A-calc_F_A</f>
        <v>0</v>
      </c>
      <c r="O29" s="2"/>
      <c r="P29" s="2"/>
      <c r="Q29" s="2"/>
      <c r="R29" s="2"/>
      <c r="S29" s="2"/>
      <c r="T29" s="2"/>
      <c r="U29" s="2"/>
      <c r="V29" s="2"/>
      <c r="W29" s="2"/>
      <c r="X29" s="2"/>
      <c r="Y29" s="2"/>
      <c r="Z29" s="2"/>
      <c r="AA29" s="2"/>
      <c r="AB29" s="2"/>
      <c r="AC29" s="2"/>
      <c r="AD29" s="2"/>
      <c r="AE29" s="2"/>
      <c r="AF29" s="2"/>
      <c r="AG29" s="2"/>
      <c r="AH29" s="2"/>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row>
    <row r="30" spans="1:80" x14ac:dyDescent="0.2">
      <c r="A30" s="1"/>
      <c r="B30" s="1"/>
      <c r="C30" s="1"/>
      <c r="D30" s="1"/>
      <c r="E30" s="1"/>
      <c r="F30" s="1"/>
      <c r="G30" s="1"/>
      <c r="H30" s="1"/>
      <c r="I30" s="1"/>
      <c r="J30" s="1"/>
      <c r="K30" s="1"/>
      <c r="L30" s="2"/>
      <c r="M30" s="6" t="s">
        <v>107</v>
      </c>
      <c r="N30" s="22">
        <f>calc_R_B-calc_VC_B-calc_F_B</f>
        <v>0</v>
      </c>
      <c r="O30" s="2"/>
      <c r="P30" s="2"/>
      <c r="Q30" s="2"/>
      <c r="R30" s="2"/>
      <c r="S30" s="2"/>
      <c r="T30" s="2"/>
      <c r="U30" s="2"/>
      <c r="V30" s="2"/>
      <c r="W30" s="2"/>
      <c r="X30" s="2"/>
      <c r="Y30" s="2"/>
      <c r="Z30" s="2"/>
      <c r="AA30" s="2"/>
      <c r="AB30" s="2"/>
      <c r="AC30" s="2"/>
      <c r="AD30" s="2"/>
      <c r="AE30" s="2"/>
      <c r="AF30" s="2"/>
      <c r="AG30" s="2"/>
      <c r="AH30" s="2"/>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row>
    <row r="31" spans="1:80" x14ac:dyDescent="0.2">
      <c r="A31" s="1"/>
      <c r="B31" s="1"/>
      <c r="C31" s="1"/>
      <c r="D31" s="1"/>
      <c r="E31" s="1"/>
      <c r="F31" s="1"/>
      <c r="G31" s="1"/>
      <c r="H31" s="1"/>
      <c r="I31" s="1"/>
      <c r="J31" s="1"/>
      <c r="K31" s="1"/>
      <c r="L31" s="2"/>
      <c r="M31" s="6" t="s">
        <v>108</v>
      </c>
      <c r="N31" s="23">
        <f>IFERROR(calc_GP_A/calc_R_A,0)</f>
        <v>0</v>
      </c>
      <c r="O31" s="2"/>
      <c r="P31" s="2"/>
      <c r="Q31" s="2"/>
      <c r="R31" s="2"/>
      <c r="S31" s="2"/>
      <c r="T31" s="2"/>
      <c r="U31" s="2"/>
      <c r="V31" s="2"/>
      <c r="W31" s="2"/>
      <c r="X31" s="2"/>
      <c r="Y31" s="2"/>
      <c r="Z31" s="2"/>
      <c r="AA31" s="2"/>
      <c r="AB31" s="2"/>
      <c r="AC31" s="2"/>
      <c r="AD31" s="2"/>
      <c r="AE31" s="2"/>
      <c r="AF31" s="2"/>
      <c r="AG31" s="2"/>
      <c r="AH31" s="2"/>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row>
    <row r="32" spans="1:80" ht="22" customHeight="1" x14ac:dyDescent="0.2">
      <c r="A32" s="1"/>
      <c r="B32" s="5" t="s">
        <v>109</v>
      </c>
      <c r="C32" s="1"/>
      <c r="D32" s="1"/>
      <c r="E32" s="1"/>
      <c r="F32" s="1"/>
      <c r="G32" s="1"/>
      <c r="H32" s="1"/>
      <c r="I32" s="85">
        <f>inp_biz_period_b_label</f>
        <v>0</v>
      </c>
      <c r="J32" s="72"/>
      <c r="K32" s="1"/>
      <c r="L32" s="2"/>
      <c r="M32" s="6" t="s">
        <v>110</v>
      </c>
      <c r="N32" s="23">
        <f>IFERROR(calc_GP_B/calc_R_B,0)</f>
        <v>0</v>
      </c>
      <c r="O32" s="2"/>
      <c r="P32" s="2"/>
      <c r="Q32" s="2"/>
      <c r="R32" s="2"/>
      <c r="S32" s="2"/>
      <c r="T32" s="2"/>
      <c r="U32" s="2"/>
      <c r="V32" s="2"/>
      <c r="W32" s="2"/>
      <c r="X32" s="2"/>
      <c r="Y32" s="2"/>
      <c r="Z32" s="2"/>
      <c r="AA32" s="2"/>
      <c r="AB32" s="2"/>
      <c r="AC32" s="2"/>
      <c r="AD32" s="2"/>
      <c r="AE32" s="2"/>
      <c r="AF32" s="2"/>
      <c r="AG32" s="2"/>
      <c r="AH32" s="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row>
    <row r="33" spans="1:80" ht="22" customHeight="1" x14ac:dyDescent="0.2">
      <c r="A33" s="1"/>
      <c r="B33" s="6" t="s">
        <v>70</v>
      </c>
      <c r="C33" s="14" t="s">
        <v>71</v>
      </c>
      <c r="D33" s="14" t="s">
        <v>72</v>
      </c>
      <c r="E33" s="14" t="s">
        <v>73</v>
      </c>
      <c r="F33" s="14" t="s">
        <v>74</v>
      </c>
      <c r="G33" s="14" t="s">
        <v>75</v>
      </c>
      <c r="H33" s="14" t="s">
        <v>76</v>
      </c>
      <c r="I33" s="14" t="s">
        <v>77</v>
      </c>
      <c r="J33" s="19"/>
      <c r="K33" s="1"/>
      <c r="L33" s="2"/>
      <c r="M33" s="6" t="s">
        <v>111</v>
      </c>
      <c r="N33" s="23">
        <f>IFERROR(calc_H_A/inp_a_capacity,0)</f>
        <v>0</v>
      </c>
      <c r="O33" s="2"/>
      <c r="P33" s="2"/>
      <c r="Q33" s="2"/>
      <c r="R33" s="2"/>
      <c r="S33" s="2"/>
      <c r="T33" s="2"/>
      <c r="U33" s="2"/>
      <c r="V33" s="2"/>
      <c r="W33" s="2"/>
      <c r="X33" s="2"/>
      <c r="Y33" s="2"/>
      <c r="Z33" s="2"/>
      <c r="AA33" s="2"/>
      <c r="AB33" s="2"/>
      <c r="AC33" s="2"/>
      <c r="AD33" s="2"/>
      <c r="AE33" s="2"/>
      <c r="AF33" s="2"/>
      <c r="AG33" s="2"/>
      <c r="AH33" s="2"/>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row>
    <row r="34" spans="1:80" ht="20" customHeight="1" x14ac:dyDescent="0.2">
      <c r="A34" s="1"/>
      <c r="B34" s="15"/>
      <c r="C34" s="20"/>
      <c r="D34" s="21"/>
      <c r="E34" s="21"/>
      <c r="F34" s="22">
        <f t="shared" ref="F34:F40" si="4">IFERROR(D34/C34,0)</f>
        <v>0</v>
      </c>
      <c r="G34" s="22">
        <f t="shared" ref="G34:G39" si="5">IFERROR(L34/C34,0)</f>
        <v>0</v>
      </c>
      <c r="H34" s="22">
        <f t="shared" ref="H34:H39" si="6">IFERROR((D34-L34)/C34,0)</f>
        <v>0</v>
      </c>
      <c r="I34" s="23">
        <f t="shared" ref="I34:I39" si="7">IFERROR(D34/D$40,0)</f>
        <v>0</v>
      </c>
      <c r="J34" s="2"/>
      <c r="K34" s="1"/>
      <c r="L34" s="22">
        <f>IFERROR(VALUE(alloc_dc_b_sl1),E34)</f>
        <v>0</v>
      </c>
      <c r="M34" s="6" t="s">
        <v>112</v>
      </c>
      <c r="N34" s="23">
        <f>IFERROR(calc_H_B/inp_b_capacity,0)</f>
        <v>0</v>
      </c>
      <c r="O34" s="2"/>
      <c r="P34" s="2"/>
      <c r="Q34" s="2"/>
      <c r="R34" s="2"/>
      <c r="S34" s="2"/>
      <c r="T34" s="2"/>
      <c r="U34" s="2"/>
      <c r="V34" s="2"/>
      <c r="W34" s="2"/>
      <c r="X34" s="2"/>
      <c r="Y34" s="2"/>
      <c r="Z34" s="2"/>
      <c r="AA34" s="2"/>
      <c r="AB34" s="2"/>
      <c r="AC34" s="2"/>
      <c r="AD34" s="2"/>
      <c r="AE34" s="2"/>
      <c r="AF34" s="2"/>
      <c r="AG34" s="2"/>
      <c r="AH34" s="2"/>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row>
    <row r="35" spans="1:80" ht="20" customHeight="1" x14ac:dyDescent="0.2">
      <c r="A35" s="1"/>
      <c r="B35" s="15"/>
      <c r="C35" s="20"/>
      <c r="D35" s="21"/>
      <c r="E35" s="21"/>
      <c r="F35" s="22">
        <f t="shared" si="4"/>
        <v>0</v>
      </c>
      <c r="G35" s="22">
        <f t="shared" si="5"/>
        <v>0</v>
      </c>
      <c r="H35" s="22">
        <f t="shared" si="6"/>
        <v>0</v>
      </c>
      <c r="I35" s="23">
        <f t="shared" si="7"/>
        <v>0</v>
      </c>
      <c r="J35" s="2"/>
      <c r="K35" s="1"/>
      <c r="L35" s="22">
        <f>IFERROR(VALUE(alloc_dc_b_sl2),E35)</f>
        <v>0</v>
      </c>
      <c r="M35" s="2"/>
      <c r="N35" s="2"/>
      <c r="O35" s="2"/>
      <c r="P35" s="2"/>
      <c r="Q35" s="2"/>
      <c r="R35" s="2"/>
      <c r="S35" s="2"/>
      <c r="T35" s="2"/>
      <c r="U35" s="2"/>
      <c r="V35" s="2"/>
      <c r="W35" s="2"/>
      <c r="X35" s="2"/>
      <c r="Y35" s="2"/>
      <c r="Z35" s="2"/>
      <c r="AA35" s="2"/>
      <c r="AB35" s="2"/>
      <c r="AC35" s="2"/>
      <c r="AD35" s="2"/>
      <c r="AE35" s="2"/>
      <c r="AF35" s="2"/>
      <c r="AG35" s="2"/>
      <c r="AH35" s="2"/>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row>
    <row r="36" spans="1:80" ht="20" customHeight="1" x14ac:dyDescent="0.2">
      <c r="A36" s="1"/>
      <c r="B36" s="15"/>
      <c r="C36" s="20"/>
      <c r="D36" s="21"/>
      <c r="E36" s="21"/>
      <c r="F36" s="22">
        <f t="shared" si="4"/>
        <v>0</v>
      </c>
      <c r="G36" s="22">
        <f t="shared" si="5"/>
        <v>0</v>
      </c>
      <c r="H36" s="22">
        <f t="shared" si="6"/>
        <v>0</v>
      </c>
      <c r="I36" s="23">
        <f t="shared" si="7"/>
        <v>0</v>
      </c>
      <c r="J36" s="2"/>
      <c r="K36" s="1"/>
      <c r="L36" s="22">
        <f>IFERROR(VALUE(alloc_dc_b_sl3),E36)</f>
        <v>0</v>
      </c>
      <c r="M36" s="2"/>
      <c r="N36" s="2"/>
      <c r="O36" s="2"/>
      <c r="P36" s="2"/>
      <c r="Q36" s="2"/>
      <c r="R36" s="2"/>
      <c r="S36" s="2"/>
      <c r="T36" s="2"/>
      <c r="U36" s="2"/>
      <c r="V36" s="2"/>
      <c r="W36" s="2"/>
      <c r="X36" s="2"/>
      <c r="Y36" s="2"/>
      <c r="Z36" s="2"/>
      <c r="AA36" s="2"/>
      <c r="AB36" s="2"/>
      <c r="AC36" s="2"/>
      <c r="AD36" s="2"/>
      <c r="AE36" s="2"/>
      <c r="AF36" s="2"/>
      <c r="AG36" s="2"/>
      <c r="AH36" s="2"/>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row>
    <row r="37" spans="1:80" ht="20" customHeight="1" x14ac:dyDescent="0.2">
      <c r="A37" s="1"/>
      <c r="B37" s="15"/>
      <c r="C37" s="20"/>
      <c r="D37" s="21"/>
      <c r="E37" s="21"/>
      <c r="F37" s="22">
        <f t="shared" si="4"/>
        <v>0</v>
      </c>
      <c r="G37" s="22">
        <f t="shared" si="5"/>
        <v>0</v>
      </c>
      <c r="H37" s="22">
        <f t="shared" si="6"/>
        <v>0</v>
      </c>
      <c r="I37" s="23">
        <f t="shared" si="7"/>
        <v>0</v>
      </c>
      <c r="J37" s="2"/>
      <c r="K37" s="1"/>
      <c r="L37" s="22">
        <f>IFERROR(VALUE(alloc_dc_b_sl4),E37)</f>
        <v>0</v>
      </c>
      <c r="M37" s="5" t="s">
        <v>113</v>
      </c>
      <c r="N37" s="2"/>
      <c r="O37" s="2"/>
      <c r="P37" s="2"/>
      <c r="Q37" s="2"/>
      <c r="R37" s="2"/>
      <c r="S37" s="2"/>
      <c r="T37" s="2"/>
      <c r="U37" s="2"/>
      <c r="V37" s="2"/>
      <c r="W37" s="2"/>
      <c r="X37" s="2"/>
      <c r="Y37" s="2"/>
      <c r="Z37" s="2"/>
      <c r="AA37" s="2"/>
      <c r="AB37" s="2"/>
      <c r="AC37" s="2"/>
      <c r="AD37" s="2"/>
      <c r="AE37" s="2"/>
      <c r="AF37" s="2"/>
      <c r="AG37" s="2"/>
      <c r="AH37" s="2"/>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row>
    <row r="38" spans="1:80" ht="20" customHeight="1" x14ac:dyDescent="0.2">
      <c r="A38" s="1"/>
      <c r="B38" s="15"/>
      <c r="C38" s="20"/>
      <c r="D38" s="21"/>
      <c r="E38" s="21"/>
      <c r="F38" s="22">
        <f t="shared" si="4"/>
        <v>0</v>
      </c>
      <c r="G38" s="22">
        <f t="shared" si="5"/>
        <v>0</v>
      </c>
      <c r="H38" s="22">
        <f t="shared" si="6"/>
        <v>0</v>
      </c>
      <c r="I38" s="23">
        <f t="shared" si="7"/>
        <v>0</v>
      </c>
      <c r="J38" s="2"/>
      <c r="K38" s="1"/>
      <c r="L38" s="22">
        <f>IFERROR(VALUE(alloc_dc_b_sl5),E38)</f>
        <v>0</v>
      </c>
      <c r="M38" s="6" t="s">
        <v>114</v>
      </c>
      <c r="N38" s="14" t="s">
        <v>115</v>
      </c>
      <c r="O38" s="14" t="s">
        <v>116</v>
      </c>
      <c r="P38" s="14" t="s">
        <v>117</v>
      </c>
      <c r="Q38" s="14" t="s">
        <v>118</v>
      </c>
      <c r="R38" s="14" t="s">
        <v>119</v>
      </c>
      <c r="S38" s="2"/>
      <c r="T38" s="2"/>
      <c r="U38" s="2"/>
      <c r="V38" s="2"/>
      <c r="W38" s="2"/>
      <c r="X38" s="2"/>
      <c r="Y38" s="2"/>
      <c r="Z38" s="2"/>
      <c r="AA38" s="2"/>
      <c r="AB38" s="2"/>
      <c r="AC38" s="2"/>
      <c r="AD38" s="2"/>
      <c r="AE38" s="2"/>
      <c r="AF38" s="2"/>
      <c r="AG38" s="2"/>
      <c r="AH38" s="2"/>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row>
    <row r="39" spans="1:80" ht="20" customHeight="1" x14ac:dyDescent="0.2">
      <c r="A39" s="1"/>
      <c r="B39" s="15"/>
      <c r="C39" s="20"/>
      <c r="D39" s="21"/>
      <c r="E39" s="21"/>
      <c r="F39" s="22">
        <f t="shared" si="4"/>
        <v>0</v>
      </c>
      <c r="G39" s="22">
        <f t="shared" si="5"/>
        <v>0</v>
      </c>
      <c r="H39" s="22">
        <f t="shared" si="6"/>
        <v>0</v>
      </c>
      <c r="I39" s="23">
        <f t="shared" si="7"/>
        <v>0</v>
      </c>
      <c r="J39" s="2"/>
      <c r="K39" s="1"/>
      <c r="L39" s="22">
        <f>IFERROR(VALUE(alloc_dc_b_sl6),E39)</f>
        <v>0</v>
      </c>
      <c r="M39" s="8" t="s">
        <v>120</v>
      </c>
      <c r="N39" s="22">
        <f>calc_GP_A</f>
        <v>0</v>
      </c>
      <c r="O39" s="22">
        <f>calc_R_A</f>
        <v>0</v>
      </c>
      <c r="P39" s="23">
        <f t="shared" ref="P39:P44" si="8">IFERROR(N39/O39,0)</f>
        <v>0</v>
      </c>
      <c r="Q39" s="30">
        <v>0</v>
      </c>
      <c r="R39" s="31">
        <v>0</v>
      </c>
      <c r="S39" s="2"/>
      <c r="T39" s="2"/>
      <c r="U39" s="2"/>
      <c r="V39" s="2"/>
      <c r="W39" s="2"/>
      <c r="X39" s="2"/>
      <c r="Y39" s="2"/>
      <c r="Z39" s="2"/>
      <c r="AA39" s="2"/>
      <c r="AB39" s="2"/>
      <c r="AC39" s="2"/>
      <c r="AD39" s="2"/>
      <c r="AE39" s="2"/>
      <c r="AF39" s="2"/>
      <c r="AG39" s="2"/>
      <c r="AH39" s="2"/>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row>
    <row r="40" spans="1:80" ht="22" customHeight="1" x14ac:dyDescent="0.2">
      <c r="A40" s="1"/>
      <c r="B40" s="25" t="s">
        <v>94</v>
      </c>
      <c r="C40" s="26">
        <f>SUM(C34:C39)</f>
        <v>0</v>
      </c>
      <c r="D40" s="27">
        <f>SUM(D34:D39)</f>
        <v>0</v>
      </c>
      <c r="E40" s="27">
        <f>SUM(L34:L39)</f>
        <v>0</v>
      </c>
      <c r="F40" s="27">
        <f t="shared" si="4"/>
        <v>0</v>
      </c>
      <c r="G40" s="27">
        <f>IFERROR(E40/C40,0)</f>
        <v>0</v>
      </c>
      <c r="H40" s="27">
        <f>IFERROR((D40-E40)/C40,0)</f>
        <v>0</v>
      </c>
      <c r="I40" s="28">
        <f>IFERROR(SUM(I34:I39),0)</f>
        <v>0</v>
      </c>
      <c r="J40" s="29"/>
      <c r="K40" s="1"/>
      <c r="L40" s="27">
        <f>SUM(L34:L39)</f>
        <v>0</v>
      </c>
      <c r="M40" s="8" t="s">
        <v>121</v>
      </c>
      <c r="N40" s="22">
        <f>calc_sum_hA_rB - calc_sum_hA_cA - calc_F_A</f>
        <v>0</v>
      </c>
      <c r="O40" s="22">
        <f>calc_sum_hA_rB</f>
        <v>0</v>
      </c>
      <c r="P40" s="23">
        <f t="shared" si="8"/>
        <v>0</v>
      </c>
      <c r="Q40" s="30">
        <f>N40-N39</f>
        <v>0</v>
      </c>
      <c r="R40" s="32">
        <f>(P40-P39)</f>
        <v>0</v>
      </c>
      <c r="S40" s="2"/>
      <c r="T40" s="2"/>
      <c r="U40" s="2"/>
      <c r="V40" s="2"/>
      <c r="W40" s="2"/>
      <c r="X40" s="2"/>
      <c r="Y40" s="2"/>
      <c r="Z40" s="2"/>
      <c r="AA40" s="2"/>
      <c r="AB40" s="2"/>
      <c r="AC40" s="2"/>
      <c r="AD40" s="2"/>
      <c r="AE40" s="2"/>
      <c r="AF40" s="2"/>
      <c r="AG40" s="2"/>
      <c r="AH40" s="2"/>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row>
    <row r="41" spans="1:80" ht="4" customHeight="1" x14ac:dyDescent="0.2">
      <c r="A41" s="1"/>
      <c r="B41" s="1"/>
      <c r="C41" s="1"/>
      <c r="D41" s="1"/>
      <c r="E41" s="1"/>
      <c r="F41" s="1"/>
      <c r="G41" s="1"/>
      <c r="H41" s="1"/>
      <c r="I41" s="1"/>
      <c r="J41" s="1"/>
      <c r="K41" s="1"/>
      <c r="L41" s="2"/>
      <c r="M41" s="8" t="s">
        <v>122</v>
      </c>
      <c r="N41" s="22">
        <f>calc_R_walk_2 - calc_VC_walk_2 - calc_F_A</f>
        <v>0</v>
      </c>
      <c r="O41" s="22">
        <f>calc_R_walk_2</f>
        <v>0</v>
      </c>
      <c r="P41" s="23">
        <f t="shared" si="8"/>
        <v>0</v>
      </c>
      <c r="Q41" s="30">
        <f>N41-N40</f>
        <v>0</v>
      </c>
      <c r="R41" s="32">
        <f>(P41-P40)</f>
        <v>0</v>
      </c>
      <c r="S41" s="2"/>
      <c r="T41" s="2"/>
      <c r="U41" s="2"/>
      <c r="V41" s="2"/>
      <c r="W41" s="2"/>
      <c r="X41" s="2"/>
      <c r="Y41" s="2"/>
      <c r="Z41" s="2"/>
      <c r="AA41" s="2"/>
      <c r="AB41" s="2"/>
      <c r="AC41" s="2"/>
      <c r="AD41" s="2"/>
      <c r="AE41" s="2"/>
      <c r="AF41" s="2"/>
      <c r="AG41" s="2"/>
      <c r="AH41" s="2"/>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row>
    <row r="42" spans="1:80" ht="22" customHeight="1" x14ac:dyDescent="0.2">
      <c r="A42" s="1"/>
      <c r="B42" s="8" t="s">
        <v>99</v>
      </c>
      <c r="C42" s="21"/>
      <c r="D42" s="2"/>
      <c r="E42" s="2"/>
      <c r="F42" s="2"/>
      <c r="G42" s="2"/>
      <c r="H42" s="2"/>
      <c r="I42" s="2"/>
      <c r="J42" s="2"/>
      <c r="K42" s="1"/>
      <c r="L42" s="2"/>
      <c r="M42" s="8" t="s">
        <v>123</v>
      </c>
      <c r="N42" s="22">
        <f>calc_R_B - calc_sum_hB_cA - calc_F_A</f>
        <v>0</v>
      </c>
      <c r="O42" s="22">
        <f>calc_R_B</f>
        <v>0</v>
      </c>
      <c r="P42" s="23">
        <f t="shared" si="8"/>
        <v>0</v>
      </c>
      <c r="Q42" s="30">
        <f>N42-N41</f>
        <v>0</v>
      </c>
      <c r="R42" s="32">
        <f>(P42-P41)</f>
        <v>0</v>
      </c>
      <c r="S42" s="2"/>
      <c r="T42" s="2"/>
      <c r="U42" s="2"/>
      <c r="V42" s="2"/>
      <c r="W42" s="2"/>
      <c r="X42" s="2"/>
      <c r="Y42" s="2"/>
      <c r="Z42" s="2"/>
      <c r="AA42" s="2"/>
      <c r="AB42" s="2"/>
      <c r="AC42" s="2"/>
      <c r="AD42" s="2"/>
      <c r="AE42" s="2"/>
      <c r="AF42" s="2"/>
      <c r="AG42" s="2"/>
      <c r="AH42" s="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row>
    <row r="43" spans="1:80" ht="22" customHeight="1" x14ac:dyDescent="0.2">
      <c r="A43" s="1"/>
      <c r="B43" s="8" t="s">
        <v>102</v>
      </c>
      <c r="C43" s="20"/>
      <c r="D43" s="2"/>
      <c r="E43" s="2"/>
      <c r="F43" s="2"/>
      <c r="G43" s="2"/>
      <c r="H43" s="2"/>
      <c r="I43" s="2"/>
      <c r="J43" s="2"/>
      <c r="K43" s="1"/>
      <c r="L43" s="2"/>
      <c r="M43" s="8" t="s">
        <v>124</v>
      </c>
      <c r="N43" s="22">
        <f>calc_R_B - calc_sum_hB_cB - calc_F_A</f>
        <v>0</v>
      </c>
      <c r="O43" s="22">
        <f>calc_R_B</f>
        <v>0</v>
      </c>
      <c r="P43" s="23">
        <f t="shared" si="8"/>
        <v>0</v>
      </c>
      <c r="Q43" s="30">
        <f>N43-N42</f>
        <v>0</v>
      </c>
      <c r="R43" s="32">
        <f>(P43-P42)</f>
        <v>0</v>
      </c>
      <c r="S43" s="2"/>
      <c r="T43" s="2"/>
      <c r="U43" s="2"/>
      <c r="V43" s="2"/>
      <c r="W43" s="2"/>
      <c r="X43" s="2"/>
      <c r="Y43" s="2"/>
      <c r="Z43" s="2"/>
      <c r="AA43" s="2"/>
      <c r="AB43" s="2"/>
      <c r="AC43" s="2"/>
      <c r="AD43" s="2"/>
      <c r="AE43" s="2"/>
      <c r="AF43" s="2"/>
      <c r="AG43" s="2"/>
      <c r="AH43" s="2"/>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row>
    <row r="44" spans="1:80" ht="22" customHeight="1" x14ac:dyDescent="0.2">
      <c r="A44" s="1"/>
      <c r="B44" s="8" t="s">
        <v>105</v>
      </c>
      <c r="C44" s="21"/>
      <c r="D44" s="2"/>
      <c r="E44" s="2"/>
      <c r="F44" s="2"/>
      <c r="G44" s="2"/>
      <c r="H44" s="2"/>
      <c r="I44" s="2"/>
      <c r="J44" s="2"/>
      <c r="K44" s="1"/>
      <c r="L44" s="2"/>
      <c r="M44" s="8" t="s">
        <v>125</v>
      </c>
      <c r="N44" s="22">
        <f>calc_GP_B</f>
        <v>0</v>
      </c>
      <c r="O44" s="22">
        <f>calc_R_B</f>
        <v>0</v>
      </c>
      <c r="P44" s="23">
        <f t="shared" si="8"/>
        <v>0</v>
      </c>
      <c r="Q44" s="30">
        <f>N44-N43</f>
        <v>0</v>
      </c>
      <c r="R44" s="32">
        <f>(P44-P43)</f>
        <v>0</v>
      </c>
      <c r="S44" s="2"/>
      <c r="T44" s="2"/>
      <c r="U44" s="2"/>
      <c r="V44" s="2"/>
      <c r="W44" s="2"/>
      <c r="X44" s="2"/>
      <c r="Y44" s="2"/>
      <c r="Z44" s="2"/>
      <c r="AA44" s="2"/>
      <c r="AB44" s="2"/>
      <c r="AC44" s="2"/>
      <c r="AD44" s="2"/>
      <c r="AE44" s="2"/>
      <c r="AF44" s="2"/>
      <c r="AG44" s="2"/>
      <c r="AH44" s="2"/>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row>
    <row r="45" spans="1:80" x14ac:dyDescent="0.2">
      <c r="A45" s="1"/>
      <c r="B45" s="1"/>
      <c r="C45" s="1"/>
      <c r="D45" s="1"/>
      <c r="E45" s="1"/>
      <c r="F45" s="1"/>
      <c r="G45" s="1"/>
      <c r="H45" s="1"/>
      <c r="I45" s="1"/>
      <c r="J45" s="1"/>
      <c r="K45" s="1"/>
      <c r="L45" s="2"/>
      <c r="M45" s="2"/>
      <c r="N45" s="2"/>
      <c r="O45" s="2"/>
      <c r="P45" s="2"/>
      <c r="Q45" s="2"/>
      <c r="R45" s="2"/>
      <c r="S45" s="2"/>
      <c r="T45" s="2"/>
      <c r="U45" s="2"/>
      <c r="V45" s="2"/>
      <c r="W45" s="2"/>
      <c r="X45" s="2"/>
      <c r="Y45" s="2"/>
      <c r="Z45" s="2"/>
      <c r="AA45" s="2"/>
      <c r="AB45" s="2"/>
      <c r="AC45" s="2"/>
      <c r="AD45" s="2"/>
      <c r="AE45" s="2"/>
      <c r="AF45" s="2"/>
      <c r="AG45" s="2"/>
      <c r="AH45" s="2"/>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row>
    <row r="46" spans="1:80" x14ac:dyDescent="0.2">
      <c r="A46" s="1"/>
      <c r="B46" s="1"/>
      <c r="C46" s="1"/>
      <c r="D46" s="1"/>
      <c r="E46" s="1"/>
      <c r="F46" s="1"/>
      <c r="G46" s="1"/>
      <c r="H46" s="1"/>
      <c r="I46" s="1"/>
      <c r="J46" s="1"/>
      <c r="K46" s="1"/>
      <c r="L46" s="2"/>
      <c r="M46" s="2"/>
      <c r="N46" s="2"/>
      <c r="O46" s="2"/>
      <c r="P46" s="2"/>
      <c r="Q46" s="2"/>
      <c r="R46" s="2"/>
      <c r="S46" s="2"/>
      <c r="T46" s="2"/>
      <c r="U46" s="2"/>
      <c r="V46" s="2"/>
      <c r="W46" s="2"/>
      <c r="X46" s="2"/>
      <c r="Y46" s="2"/>
      <c r="Z46" s="2"/>
      <c r="AA46" s="2"/>
      <c r="AB46" s="2"/>
      <c r="AC46" s="2"/>
      <c r="AD46" s="2"/>
      <c r="AE46" s="2"/>
      <c r="AF46" s="2"/>
      <c r="AG46" s="2"/>
      <c r="AH46" s="2"/>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row>
    <row r="47" spans="1:80" ht="22" customHeight="1" x14ac:dyDescent="0.2">
      <c r="A47" s="1"/>
      <c r="B47" s="5" t="s">
        <v>126</v>
      </c>
      <c r="C47" s="1"/>
      <c r="D47" s="1"/>
      <c r="E47" s="1"/>
      <c r="F47" s="1"/>
      <c r="G47" s="1"/>
      <c r="H47" s="1"/>
      <c r="I47" s="1"/>
      <c r="J47" s="1"/>
      <c r="K47" s="1"/>
      <c r="L47" s="2"/>
      <c r="M47" s="2"/>
      <c r="N47" s="2"/>
      <c r="O47" s="2"/>
      <c r="P47" s="2"/>
      <c r="Q47" s="2"/>
      <c r="R47" s="2"/>
      <c r="S47" s="2"/>
      <c r="T47" s="2"/>
      <c r="U47" s="2"/>
      <c r="V47" s="2"/>
      <c r="W47" s="2"/>
      <c r="X47" s="2"/>
      <c r="Y47" s="2"/>
      <c r="Z47" s="2"/>
      <c r="AA47" s="2"/>
      <c r="AB47" s="2"/>
      <c r="AC47" s="2"/>
      <c r="AD47" s="2"/>
      <c r="AE47" s="2"/>
      <c r="AF47" s="2"/>
      <c r="AG47" s="2"/>
      <c r="AH47" s="2"/>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row>
    <row r="48" spans="1:80" ht="20" customHeight="1" x14ac:dyDescent="0.2">
      <c r="A48" s="1"/>
      <c r="B48" s="33">
        <f>inp_biz_period_a_label</f>
        <v>0</v>
      </c>
      <c r="C48" s="65"/>
      <c r="D48" s="33">
        <f>inp_biz_period_b_label</f>
        <v>0</v>
      </c>
      <c r="E48" s="65"/>
      <c r="F48" s="33" t="s">
        <v>127</v>
      </c>
      <c r="G48" s="65"/>
      <c r="H48" s="33" t="s">
        <v>128</v>
      </c>
      <c r="I48" s="65"/>
      <c r="J48" s="33" t="s">
        <v>129</v>
      </c>
      <c r="K48" s="1"/>
      <c r="L48" s="2"/>
      <c r="M48" s="2"/>
      <c r="N48" s="2"/>
      <c r="O48" s="2"/>
      <c r="P48" s="2"/>
      <c r="Q48" s="2"/>
      <c r="R48" s="2"/>
      <c r="S48" s="2"/>
      <c r="T48" s="2"/>
      <c r="U48" s="2"/>
      <c r="V48" s="2"/>
      <c r="W48" s="2"/>
      <c r="X48" s="2"/>
      <c r="Y48" s="2"/>
      <c r="Z48" s="2"/>
      <c r="AA48" s="2"/>
      <c r="AB48" s="2"/>
      <c r="AC48" s="2"/>
      <c r="AD48" s="2"/>
      <c r="AE48" s="2"/>
      <c r="AF48" s="2"/>
      <c r="AG48" s="2"/>
      <c r="AH48" s="2"/>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row>
    <row r="49" spans="1:80" ht="36" customHeight="1" x14ac:dyDescent="0.2">
      <c r="A49" s="1"/>
      <c r="B49" s="75">
        <f>calc_GM_A</f>
        <v>0</v>
      </c>
      <c r="C49" s="72"/>
      <c r="D49" s="75">
        <f>calc_GM_B</f>
        <v>0</v>
      </c>
      <c r="E49" s="72"/>
      <c r="F49" s="77">
        <f>(calc_GM_B-calc_GM_A)*100</f>
        <v>0</v>
      </c>
      <c r="G49" s="72"/>
      <c r="H49" s="89">
        <f>calc_GP_B-calc_GP_A</f>
        <v>0</v>
      </c>
      <c r="I49" s="72"/>
      <c r="J49" s="34" t="str">
        <f>TEXT(calc_U_A,"0%")&amp;"  →  "&amp;TEXT(calc_U_B,"0%")</f>
        <v>0%  →  0%</v>
      </c>
      <c r="K49" s="1"/>
      <c r="L49" s="2"/>
      <c r="M49" s="2"/>
      <c r="N49" s="2"/>
      <c r="O49" s="2"/>
      <c r="P49" s="2"/>
      <c r="Q49" s="2"/>
      <c r="R49" s="2"/>
      <c r="S49" s="2"/>
      <c r="T49" s="2"/>
      <c r="U49" s="2"/>
      <c r="V49" s="2"/>
      <c r="W49" s="2"/>
      <c r="X49" s="2"/>
      <c r="Y49" s="2"/>
      <c r="Z49" s="2"/>
      <c r="AA49" s="2"/>
      <c r="AB49" s="2"/>
      <c r="AC49" s="2"/>
      <c r="AD49" s="2"/>
      <c r="AE49" s="2"/>
      <c r="AF49" s="2"/>
      <c r="AG49" s="2"/>
      <c r="AH49" s="2"/>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row>
    <row r="50" spans="1:80" ht="20" customHeight="1" x14ac:dyDescent="0.2">
      <c r="A50" s="1"/>
      <c r="B50" s="78" t="str">
        <f>"GP "&amp;TEXT(calc_GP_A,"$#,##0")</f>
        <v>GP $0</v>
      </c>
      <c r="C50" s="72"/>
      <c r="D50" s="78" t="str">
        <f>IF(calc_R_B=0,"","GP "&amp;TEXT(calc_GP_B,"$#,##0"))</f>
        <v/>
      </c>
      <c r="E50" s="72"/>
      <c r="F50" s="78" t="str">
        <f>IF(calc_R_B=0,"","vs. "&amp;inp_biz_period_a_label)</f>
        <v/>
      </c>
      <c r="G50" s="72"/>
      <c r="H50" s="78" t="str">
        <f>IF(calc_R_B=0,"","rev "&amp;TEXT(calc_R_A,"$#,##0")&amp;" → "&amp;TEXT(calc_R_B,"$#,##0"))</f>
        <v/>
      </c>
      <c r="I50" s="72"/>
      <c r="J50" s="33" t="str">
        <f>"billable hours "&amp;TEXT(calc_H_A,"#,##0")&amp;" → "&amp;TEXT(calc_H_B,"#,##0")</f>
        <v>billable hours 0 → 0</v>
      </c>
      <c r="K50" s="1"/>
      <c r="L50" s="2"/>
      <c r="M50" s="2"/>
      <c r="N50" s="2"/>
      <c r="O50" s="2"/>
      <c r="P50" s="2"/>
      <c r="Q50" s="2"/>
      <c r="R50" s="2"/>
      <c r="S50" s="2"/>
      <c r="T50" s="2"/>
      <c r="U50" s="2"/>
      <c r="V50" s="2"/>
      <c r="W50" s="2"/>
      <c r="X50" s="2"/>
      <c r="Y50" s="2"/>
      <c r="Z50" s="2"/>
      <c r="AA50" s="2"/>
      <c r="AB50" s="2"/>
      <c r="AC50" s="2"/>
      <c r="AD50" s="2"/>
      <c r="AE50" s="2"/>
      <c r="AF50" s="2"/>
      <c r="AG50" s="2"/>
      <c r="AH50" s="2"/>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row>
    <row r="51" spans="1:80" ht="20" customHeight="1" x14ac:dyDescent="0.2">
      <c r="A51" s="1"/>
      <c r="B51" s="81" t="str">
        <f>"Industry benchmark · "&amp;IFERROR(INDEX(ref_vertical_labels,MATCH(inp_biz_vertical,ref_vertical_codes,0)),inp_biz_vertical)&amp;": "&amp;TEXT(IFERROR(INDEX(ref_vertical_gm_lo,MATCH(inp_biz_vertical,ref_vertical_codes,0)),0),"0%")&amp;" to "&amp;TEXT(IFERROR(INDEX(ref_vertical_gm_hi,MATCH(inp_biz_vertical,ref_vertical_codes,0)),0),"0%")&amp;" gross margin   ·   "&amp;IF(calc_R_B=0,"enter Period B data to compare","your "&amp;inp_biz_period_b_label&amp;" GM "&amp;TEXT(calc_GM_B,"0.0%")&amp;" is "&amp;IF(calc_GM_B&lt;IFERROR(INDEX(ref_vertical_gm_lo,MATCH(inp_biz_vertical,ref_vertical_codes,0)),0),"BELOW",IF(calc_GM_B&gt;IFERROR(INDEX(ref_vertical_gm_hi,MATCH(inp_biz_vertical,ref_vertical_codes,0)),0),"ABOVE","WITHIN"))&amp;" the range")</f>
        <v>Industry benchmark · Agency (digital / marketing / creative): 45% to 60% gross margin   ·   enter Period B data to compare</v>
      </c>
      <c r="C51" s="72"/>
      <c r="D51" s="72"/>
      <c r="E51" s="72"/>
      <c r="F51" s="72"/>
      <c r="G51" s="72"/>
      <c r="H51" s="72"/>
      <c r="I51" s="72"/>
      <c r="J51" s="72"/>
      <c r="K51" s="1"/>
      <c r="L51" s="2"/>
      <c r="M51" s="2"/>
      <c r="N51" s="2"/>
      <c r="O51" s="2"/>
      <c r="P51" s="2"/>
      <c r="Q51" s="2"/>
      <c r="R51" s="2"/>
      <c r="S51" s="2"/>
      <c r="T51" s="2"/>
      <c r="U51" s="2"/>
      <c r="V51" s="2"/>
      <c r="W51" s="2"/>
      <c r="X51" s="2"/>
      <c r="Y51" s="2"/>
      <c r="Z51" s="2"/>
      <c r="AA51" s="2"/>
      <c r="AB51" s="2"/>
      <c r="AC51" s="2"/>
      <c r="AD51" s="2"/>
      <c r="AE51" s="2"/>
      <c r="AF51" s="2"/>
      <c r="AG51" s="2"/>
      <c r="AH51" s="2"/>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row>
    <row r="52" spans="1:80" x14ac:dyDescent="0.2">
      <c r="A52" s="1"/>
      <c r="B52" s="1"/>
      <c r="C52" s="1"/>
      <c r="D52" s="1"/>
      <c r="E52" s="1"/>
      <c r="F52" s="1"/>
      <c r="G52" s="1"/>
      <c r="H52" s="1"/>
      <c r="I52" s="1"/>
      <c r="J52" s="1"/>
      <c r="K52" s="1"/>
      <c r="L52" s="2"/>
      <c r="M52" s="5" t="s">
        <v>130</v>
      </c>
      <c r="N52" s="2"/>
      <c r="O52" s="2"/>
      <c r="P52" s="2"/>
      <c r="Q52" s="2"/>
      <c r="R52" s="2"/>
      <c r="S52" s="2"/>
      <c r="T52" s="2"/>
      <c r="U52" s="2"/>
      <c r="V52" s="2"/>
      <c r="W52" s="2"/>
      <c r="X52" s="2"/>
      <c r="Y52" s="2"/>
      <c r="Z52" s="2"/>
      <c r="AA52" s="2"/>
      <c r="AB52" s="2"/>
      <c r="AC52" s="2"/>
      <c r="AD52" s="2"/>
      <c r="AE52" s="2"/>
      <c r="AF52" s="2"/>
      <c r="AG52" s="2"/>
      <c r="AH52" s="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row>
    <row r="53" spans="1:80" ht="22" customHeight="1" x14ac:dyDescent="0.2">
      <c r="A53" s="1"/>
      <c r="B53" s="5" t="s">
        <v>131</v>
      </c>
      <c r="C53" s="1"/>
      <c r="D53" s="1"/>
      <c r="E53" s="1"/>
      <c r="F53" s="1"/>
      <c r="G53" s="1"/>
      <c r="H53" s="1"/>
      <c r="I53" s="3" t="s">
        <v>132</v>
      </c>
      <c r="J53" s="35" t="s">
        <v>133</v>
      </c>
      <c r="K53" s="1"/>
      <c r="L53" s="2"/>
      <c r="M53" s="6" t="s">
        <v>134</v>
      </c>
      <c r="N53" s="8">
        <f>inp_sens_variable</f>
        <v>0</v>
      </c>
      <c r="O53" s="2"/>
      <c r="P53" s="2"/>
      <c r="Q53" s="2"/>
      <c r="R53" s="2"/>
      <c r="S53" s="2"/>
      <c r="T53" s="2"/>
      <c r="U53" s="2"/>
      <c r="V53" s="2"/>
      <c r="W53" s="2"/>
      <c r="X53" s="2"/>
      <c r="Y53" s="2"/>
      <c r="Z53" s="2"/>
      <c r="AA53" s="2"/>
      <c r="AB53" s="2"/>
      <c r="AC53" s="2"/>
      <c r="AD53" s="2"/>
      <c r="AE53" s="2"/>
      <c r="AF53" s="2"/>
      <c r="AG53" s="2"/>
      <c r="AH53" s="2"/>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row>
    <row r="54" spans="1:80" x14ac:dyDescent="0.2">
      <c r="A54" s="1"/>
      <c r="B54" s="1"/>
      <c r="C54" s="1"/>
      <c r="D54" s="1"/>
      <c r="E54" s="1"/>
      <c r="F54" s="1"/>
      <c r="G54" s="1"/>
      <c r="H54" s="1"/>
      <c r="I54" s="1"/>
      <c r="J54" s="1"/>
      <c r="K54" s="1"/>
      <c r="L54" s="2"/>
      <c r="M54" s="6" t="s">
        <v>135</v>
      </c>
      <c r="N54" s="16">
        <f>inp_sens_delta_pct</f>
        <v>0</v>
      </c>
      <c r="O54" s="2"/>
      <c r="P54" s="2"/>
      <c r="Q54" s="2"/>
      <c r="R54" s="2"/>
      <c r="S54" s="2"/>
      <c r="T54" s="2"/>
      <c r="U54" s="2"/>
      <c r="V54" s="2"/>
      <c r="W54" s="2"/>
      <c r="X54" s="2"/>
      <c r="Y54" s="2"/>
      <c r="Z54" s="2"/>
      <c r="AA54" s="2"/>
      <c r="AB54" s="2"/>
      <c r="AC54" s="2"/>
      <c r="AD54" s="2"/>
      <c r="AE54" s="2"/>
      <c r="AF54" s="2"/>
      <c r="AG54" s="2"/>
      <c r="AH54" s="2"/>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row>
    <row r="55" spans="1:80" x14ac:dyDescent="0.2">
      <c r="A55" s="1"/>
      <c r="B55" s="1"/>
      <c r="C55" s="1"/>
      <c r="D55" s="1"/>
      <c r="E55" s="1"/>
      <c r="F55" s="1"/>
      <c r="G55" s="1"/>
      <c r="H55" s="1"/>
      <c r="I55" s="1"/>
      <c r="J55" s="1"/>
      <c r="K55" s="1"/>
      <c r="L55" s="2"/>
      <c r="M55" s="6" t="s">
        <v>136</v>
      </c>
      <c r="N55" s="22">
        <f>calc_R_B*(1+IF(EXACT(inp_sens_variable,"Period B revenue"),inp_sens_delta_pct,0))</f>
        <v>0</v>
      </c>
      <c r="O55" s="2"/>
      <c r="P55" s="2"/>
      <c r="Q55" s="2"/>
      <c r="R55" s="2"/>
      <c r="S55" s="2"/>
      <c r="T55" s="2"/>
      <c r="U55" s="2"/>
      <c r="V55" s="2"/>
      <c r="W55" s="2"/>
      <c r="X55" s="2"/>
      <c r="Y55" s="2"/>
      <c r="Z55" s="2"/>
      <c r="AA55" s="2"/>
      <c r="AB55" s="2"/>
      <c r="AC55" s="2"/>
      <c r="AD55" s="2"/>
      <c r="AE55" s="2"/>
      <c r="AF55" s="2"/>
      <c r="AG55" s="2"/>
      <c r="AH55" s="2"/>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row>
    <row r="56" spans="1:80" x14ac:dyDescent="0.2">
      <c r="A56" s="1"/>
      <c r="B56" s="1"/>
      <c r="C56" s="1"/>
      <c r="D56" s="1"/>
      <c r="E56" s="1"/>
      <c r="F56" s="1"/>
      <c r="G56" s="1"/>
      <c r="H56" s="1"/>
      <c r="I56" s="1"/>
      <c r="J56" s="1"/>
      <c r="K56" s="1"/>
      <c r="L56" s="2"/>
      <c r="M56" s="6" t="s">
        <v>137</v>
      </c>
      <c r="N56" s="22">
        <f>calc_VC_B*(1+IF(EXACT(inp_sens_variable,"Period B direct cost"),inp_sens_delta_pct,0))</f>
        <v>0</v>
      </c>
      <c r="O56" s="2"/>
      <c r="P56" s="2"/>
      <c r="Q56" s="2"/>
      <c r="R56" s="2"/>
      <c r="S56" s="2"/>
      <c r="T56" s="2"/>
      <c r="U56" s="2"/>
      <c r="V56" s="2"/>
      <c r="W56" s="2"/>
      <c r="X56" s="2"/>
      <c r="Y56" s="2"/>
      <c r="Z56" s="2"/>
      <c r="AA56" s="2"/>
      <c r="AB56" s="2"/>
      <c r="AC56" s="2"/>
      <c r="AD56" s="2"/>
      <c r="AE56" s="2"/>
      <c r="AF56" s="2"/>
      <c r="AG56" s="2"/>
      <c r="AH56" s="2"/>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row>
    <row r="57" spans="1:80" x14ac:dyDescent="0.2">
      <c r="A57" s="1"/>
      <c r="B57" s="1"/>
      <c r="C57" s="1"/>
      <c r="D57" s="1"/>
      <c r="E57" s="1"/>
      <c r="F57" s="1"/>
      <c r="G57" s="1"/>
      <c r="H57" s="1"/>
      <c r="I57" s="1"/>
      <c r="J57" s="1"/>
      <c r="K57" s="1"/>
      <c r="L57" s="2"/>
      <c r="M57" s="6" t="s">
        <v>138</v>
      </c>
      <c r="N57" s="22">
        <f>calc_F_B*(1+IF(EXACT(inp_sens_variable,"Period B fixed cost"),inp_sens_delta_pct,0))</f>
        <v>0</v>
      </c>
      <c r="O57" s="2"/>
      <c r="P57" s="2"/>
      <c r="Q57" s="2"/>
      <c r="R57" s="2"/>
      <c r="S57" s="2"/>
      <c r="T57" s="2"/>
      <c r="U57" s="2"/>
      <c r="V57" s="2"/>
      <c r="W57" s="2"/>
      <c r="X57" s="2"/>
      <c r="Y57" s="2"/>
      <c r="Z57" s="2"/>
      <c r="AA57" s="2"/>
      <c r="AB57" s="2"/>
      <c r="AC57" s="2"/>
      <c r="AD57" s="2"/>
      <c r="AE57" s="2"/>
      <c r="AF57" s="2"/>
      <c r="AG57" s="2"/>
      <c r="AH57" s="2"/>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row>
    <row r="58" spans="1:80" x14ac:dyDescent="0.2">
      <c r="A58" s="1"/>
      <c r="B58" s="1"/>
      <c r="C58" s="1"/>
      <c r="D58" s="1"/>
      <c r="E58" s="1"/>
      <c r="F58" s="1"/>
      <c r="G58" s="1"/>
      <c r="H58" s="1"/>
      <c r="I58" s="1"/>
      <c r="J58" s="1"/>
      <c r="K58" s="1"/>
      <c r="L58" s="2"/>
      <c r="M58" s="6" t="s">
        <v>139</v>
      </c>
      <c r="N58" s="22">
        <f>calc_H_B*(1+IF(EXACT(inp_sens_variable,"Period B billable hours"),inp_sens_delta_pct,0))</f>
        <v>0</v>
      </c>
      <c r="O58" s="2"/>
      <c r="P58" s="2"/>
      <c r="Q58" s="2"/>
      <c r="R58" s="2"/>
      <c r="S58" s="2"/>
      <c r="T58" s="2"/>
      <c r="U58" s="2"/>
      <c r="V58" s="2"/>
      <c r="W58" s="2"/>
      <c r="X58" s="2"/>
      <c r="Y58" s="2"/>
      <c r="Z58" s="2"/>
      <c r="AA58" s="2"/>
      <c r="AB58" s="2"/>
      <c r="AC58" s="2"/>
      <c r="AD58" s="2"/>
      <c r="AE58" s="2"/>
      <c r="AF58" s="2"/>
      <c r="AG58" s="2"/>
      <c r="AH58" s="2"/>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row>
    <row r="59" spans="1:80" x14ac:dyDescent="0.2">
      <c r="A59" s="1"/>
      <c r="B59" s="1"/>
      <c r="C59" s="1"/>
      <c r="D59" s="1"/>
      <c r="E59" s="1"/>
      <c r="F59" s="1"/>
      <c r="G59" s="1"/>
      <c r="H59" s="1"/>
      <c r="I59" s="1"/>
      <c r="J59" s="1"/>
      <c r="K59" s="1"/>
      <c r="L59" s="2"/>
      <c r="M59" s="6" t="s">
        <v>140</v>
      </c>
      <c r="N59" s="22">
        <f>N55-N56-N57</f>
        <v>0</v>
      </c>
      <c r="O59" s="2"/>
      <c r="P59" s="2"/>
      <c r="Q59" s="2"/>
      <c r="R59" s="2"/>
      <c r="S59" s="2"/>
      <c r="T59" s="2"/>
      <c r="U59" s="2"/>
      <c r="V59" s="2"/>
      <c r="W59" s="2"/>
      <c r="X59" s="2"/>
      <c r="Y59" s="2"/>
      <c r="Z59" s="2"/>
      <c r="AA59" s="2"/>
      <c r="AB59" s="2"/>
      <c r="AC59" s="2"/>
      <c r="AD59" s="2"/>
      <c r="AE59" s="2"/>
      <c r="AF59" s="2"/>
      <c r="AG59" s="2"/>
      <c r="AH59" s="2"/>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row>
    <row r="60" spans="1:80" x14ac:dyDescent="0.2">
      <c r="A60" s="1"/>
      <c r="B60" s="1"/>
      <c r="C60" s="1"/>
      <c r="D60" s="1"/>
      <c r="E60" s="1"/>
      <c r="F60" s="1"/>
      <c r="G60" s="1"/>
      <c r="H60" s="1"/>
      <c r="I60" s="1"/>
      <c r="J60" s="1"/>
      <c r="K60" s="1"/>
      <c r="L60" s="2"/>
      <c r="M60" s="6" t="s">
        <v>141</v>
      </c>
      <c r="N60" s="22">
        <f>IF(EXACT(inp_sens_variable,"Period B billable hours"),calc_R_B*(1+inp_sens_delta_pct)-calc_VC_B*(1+inp_sens_delta_pct)-calc_F_B,N55-N56-N57)</f>
        <v>0</v>
      </c>
      <c r="O60" s="2"/>
      <c r="P60" s="2"/>
      <c r="Q60" s="2"/>
      <c r="R60" s="2"/>
      <c r="S60" s="2"/>
      <c r="T60" s="2"/>
      <c r="U60" s="2"/>
      <c r="V60" s="2"/>
      <c r="W60" s="2"/>
      <c r="X60" s="2"/>
      <c r="Y60" s="2"/>
      <c r="Z60" s="2"/>
      <c r="AA60" s="2"/>
      <c r="AB60" s="6" t="s">
        <v>142</v>
      </c>
      <c r="AC60" s="14" t="s">
        <v>143</v>
      </c>
      <c r="AD60" s="14" t="s">
        <v>144</v>
      </c>
      <c r="AE60" s="14" t="s">
        <v>145</v>
      </c>
      <c r="AF60" s="14" t="s">
        <v>146</v>
      </c>
      <c r="AG60" s="14" t="s">
        <v>147</v>
      </c>
      <c r="AH60" s="36" t="s">
        <v>31</v>
      </c>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row>
    <row r="61" spans="1:80" x14ac:dyDescent="0.2">
      <c r="A61" s="1"/>
      <c r="B61" s="1"/>
      <c r="C61" s="1"/>
      <c r="D61" s="1"/>
      <c r="E61" s="1"/>
      <c r="F61" s="1"/>
      <c r="G61" s="1"/>
      <c r="H61" s="1"/>
      <c r="I61" s="1"/>
      <c r="J61" s="1"/>
      <c r="K61" s="1"/>
      <c r="L61" s="2"/>
      <c r="M61" s="6" t="s">
        <v>148</v>
      </c>
      <c r="N61" s="22">
        <f>IF(EXACT(inp_sens_variable,"Period B billable hours"),calc_R_B*(1+inp_sens_delta_pct),N55)</f>
        <v>0</v>
      </c>
      <c r="O61" s="2"/>
      <c r="P61" s="2"/>
      <c r="Q61" s="2"/>
      <c r="R61" s="2"/>
      <c r="S61" s="2"/>
      <c r="T61" s="2"/>
      <c r="U61" s="2"/>
      <c r="V61" s="2"/>
      <c r="W61" s="2"/>
      <c r="X61" s="2"/>
      <c r="Y61" s="2"/>
      <c r="Z61" s="2"/>
      <c r="AA61" s="2"/>
      <c r="AB61" s="8">
        <f>inp_biz_period_a_label</f>
        <v>0</v>
      </c>
      <c r="AC61" s="22">
        <f>0</f>
        <v>0</v>
      </c>
      <c r="AD61" s="37">
        <f>calc_GP_A</f>
        <v>0</v>
      </c>
      <c r="AE61" s="38">
        <f>0</f>
        <v>0</v>
      </c>
      <c r="AF61" s="39">
        <f>0</f>
        <v>0</v>
      </c>
      <c r="AG61" s="22">
        <f t="shared" ref="AG61:AG67" si="9">AC61+AD61+AE61+AF61</f>
        <v>0</v>
      </c>
      <c r="AH61" s="40">
        <f>AD61</f>
        <v>0</v>
      </c>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row>
    <row r="62" spans="1:80" x14ac:dyDescent="0.2">
      <c r="A62" s="1"/>
      <c r="B62" s="1"/>
      <c r="C62" s="1"/>
      <c r="D62" s="1"/>
      <c r="E62" s="1"/>
      <c r="F62" s="1"/>
      <c r="G62" s="1"/>
      <c r="H62" s="1"/>
      <c r="I62" s="1"/>
      <c r="J62" s="1"/>
      <c r="K62" s="1"/>
      <c r="L62" s="2"/>
      <c r="M62" s="6" t="s">
        <v>149</v>
      </c>
      <c r="N62" s="23">
        <f>IFERROR(N60/N61,0)</f>
        <v>0</v>
      </c>
      <c r="O62" s="2"/>
      <c r="P62" s="2"/>
      <c r="Q62" s="2"/>
      <c r="R62" s="2"/>
      <c r="S62" s="2"/>
      <c r="T62" s="2"/>
      <c r="U62" s="2"/>
      <c r="V62" s="2"/>
      <c r="W62" s="2"/>
      <c r="X62" s="2"/>
      <c r="Y62" s="2"/>
      <c r="Z62" s="2"/>
      <c r="AA62" s="2"/>
      <c r="AB62" s="8" t="s">
        <v>150</v>
      </c>
      <c r="AC62" s="22">
        <f>MIN(N39,N40)</f>
        <v>0</v>
      </c>
      <c r="AD62" s="37">
        <f>0</f>
        <v>0</v>
      </c>
      <c r="AE62" s="38">
        <f>IF(Q40&gt;=0,Q40,0)</f>
        <v>0</v>
      </c>
      <c r="AF62" s="39">
        <f>IF(Q40&lt;0,-Q40,0)</f>
        <v>0</v>
      </c>
      <c r="AG62" s="22">
        <f t="shared" si="9"/>
        <v>0</v>
      </c>
      <c r="AH62" s="40">
        <f>AE62-AF62</f>
        <v>0</v>
      </c>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row>
    <row r="63" spans="1:80" x14ac:dyDescent="0.2">
      <c r="A63" s="1"/>
      <c r="B63" s="1"/>
      <c r="C63" s="1"/>
      <c r="D63" s="1"/>
      <c r="E63" s="1"/>
      <c r="F63" s="1"/>
      <c r="G63" s="1"/>
      <c r="H63" s="1"/>
      <c r="I63" s="1"/>
      <c r="J63" s="1"/>
      <c r="K63" s="1"/>
      <c r="L63" s="2"/>
      <c r="M63" s="6" t="s">
        <v>151</v>
      </c>
      <c r="N63" s="23">
        <f>N62-calc_GM_A</f>
        <v>0</v>
      </c>
      <c r="O63" s="2"/>
      <c r="P63" s="2"/>
      <c r="Q63" s="2"/>
      <c r="R63" s="2"/>
      <c r="S63" s="2"/>
      <c r="T63" s="2"/>
      <c r="U63" s="2"/>
      <c r="V63" s="2"/>
      <c r="W63" s="2"/>
      <c r="X63" s="2"/>
      <c r="Y63" s="2"/>
      <c r="Z63" s="2"/>
      <c r="AA63" s="2"/>
      <c r="AB63" s="8" t="s">
        <v>152</v>
      </c>
      <c r="AC63" s="22">
        <f>MIN(N40,N41)</f>
        <v>0</v>
      </c>
      <c r="AD63" s="37">
        <f>0</f>
        <v>0</v>
      </c>
      <c r="AE63" s="38">
        <f>IF(Q41&gt;=0,Q41,0)</f>
        <v>0</v>
      </c>
      <c r="AF63" s="39">
        <f>IF(Q41&lt;0,-Q41,0)</f>
        <v>0</v>
      </c>
      <c r="AG63" s="22">
        <f t="shared" si="9"/>
        <v>0</v>
      </c>
      <c r="AH63" s="40">
        <f>AE63-AF63</f>
        <v>0</v>
      </c>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row>
    <row r="64" spans="1:80" x14ac:dyDescent="0.2">
      <c r="A64" s="1"/>
      <c r="B64" s="1"/>
      <c r="C64" s="1"/>
      <c r="D64" s="1"/>
      <c r="E64" s="1"/>
      <c r="F64" s="1"/>
      <c r="G64" s="1"/>
      <c r="H64" s="1"/>
      <c r="I64" s="1"/>
      <c r="J64" s="1"/>
      <c r="K64" s="1"/>
      <c r="L64" s="2"/>
      <c r="M64" s="6" t="s">
        <v>153</v>
      </c>
      <c r="N64" s="23">
        <f>N62-calc_GM_B</f>
        <v>0</v>
      </c>
      <c r="O64" s="2"/>
      <c r="P64" s="2"/>
      <c r="Q64" s="2"/>
      <c r="R64" s="2"/>
      <c r="S64" s="2"/>
      <c r="T64" s="2"/>
      <c r="U64" s="2"/>
      <c r="V64" s="2"/>
      <c r="W64" s="2"/>
      <c r="X64" s="2"/>
      <c r="Y64" s="2"/>
      <c r="Z64" s="2"/>
      <c r="AA64" s="2"/>
      <c r="AB64" s="8" t="s">
        <v>154</v>
      </c>
      <c r="AC64" s="22">
        <f>MIN(N41,N42)</f>
        <v>0</v>
      </c>
      <c r="AD64" s="37">
        <f>0</f>
        <v>0</v>
      </c>
      <c r="AE64" s="38">
        <f>IF(Q42&gt;=0,Q42,0)</f>
        <v>0</v>
      </c>
      <c r="AF64" s="39">
        <f>IF(Q42&lt;0,-Q42,0)</f>
        <v>0</v>
      </c>
      <c r="AG64" s="22">
        <f t="shared" si="9"/>
        <v>0</v>
      </c>
      <c r="AH64" s="40">
        <f>AE64-AF64</f>
        <v>0</v>
      </c>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row>
    <row r="65" spans="1:80" x14ac:dyDescent="0.2">
      <c r="A65" s="1"/>
      <c r="B65" s="1"/>
      <c r="C65" s="1"/>
      <c r="D65" s="1"/>
      <c r="E65" s="1"/>
      <c r="F65" s="1"/>
      <c r="G65" s="1"/>
      <c r="H65" s="1"/>
      <c r="I65" s="1"/>
      <c r="J65" s="1"/>
      <c r="K65" s="1"/>
      <c r="L65" s="2"/>
      <c r="M65" s="2"/>
      <c r="N65" s="2"/>
      <c r="O65" s="2"/>
      <c r="P65" s="2"/>
      <c r="Q65" s="2"/>
      <c r="R65" s="2"/>
      <c r="S65" s="2"/>
      <c r="T65" s="2"/>
      <c r="U65" s="2"/>
      <c r="V65" s="2"/>
      <c r="W65" s="2"/>
      <c r="X65" s="2"/>
      <c r="Y65" s="2"/>
      <c r="Z65" s="2"/>
      <c r="AA65" s="2"/>
      <c r="AB65" s="8" t="s">
        <v>155</v>
      </c>
      <c r="AC65" s="22">
        <f>MIN(N42,N43)</f>
        <v>0</v>
      </c>
      <c r="AD65" s="37">
        <f>0</f>
        <v>0</v>
      </c>
      <c r="AE65" s="38">
        <f>IF(Q43&gt;=0,Q43,0)</f>
        <v>0</v>
      </c>
      <c r="AF65" s="39">
        <f>IF(Q43&lt;0,-Q43,0)</f>
        <v>0</v>
      </c>
      <c r="AG65" s="22">
        <f t="shared" si="9"/>
        <v>0</v>
      </c>
      <c r="AH65" s="40">
        <f>AE65-AF65</f>
        <v>0</v>
      </c>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row>
    <row r="66" spans="1:80" x14ac:dyDescent="0.2">
      <c r="A66" s="1"/>
      <c r="B66" s="1"/>
      <c r="C66" s="1"/>
      <c r="D66" s="1"/>
      <c r="E66" s="1"/>
      <c r="F66" s="1"/>
      <c r="G66" s="1"/>
      <c r="H66" s="1"/>
      <c r="I66" s="1"/>
      <c r="J66" s="1"/>
      <c r="K66" s="1"/>
      <c r="L66" s="2"/>
      <c r="M66" s="2"/>
      <c r="N66" s="2"/>
      <c r="O66" s="2"/>
      <c r="P66" s="2"/>
      <c r="Q66" s="2"/>
      <c r="R66" s="2"/>
      <c r="S66" s="2"/>
      <c r="T66" s="2"/>
      <c r="U66" s="2"/>
      <c r="V66" s="2"/>
      <c r="W66" s="2"/>
      <c r="X66" s="2"/>
      <c r="Y66" s="2"/>
      <c r="Z66" s="2"/>
      <c r="AA66" s="2"/>
      <c r="AB66" s="8" t="s">
        <v>156</v>
      </c>
      <c r="AC66" s="22">
        <f>MIN(N43,N44)</f>
        <v>0</v>
      </c>
      <c r="AD66" s="37">
        <f>0</f>
        <v>0</v>
      </c>
      <c r="AE66" s="38">
        <f>IF(Q44&gt;=0,Q44,0)</f>
        <v>0</v>
      </c>
      <c r="AF66" s="39">
        <f>IF(Q44&lt;0,-Q44,0)</f>
        <v>0</v>
      </c>
      <c r="AG66" s="22">
        <f t="shared" si="9"/>
        <v>0</v>
      </c>
      <c r="AH66" s="40">
        <f>AE66-AF66</f>
        <v>0</v>
      </c>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row>
    <row r="67" spans="1:80" x14ac:dyDescent="0.2">
      <c r="A67" s="1"/>
      <c r="B67" s="1"/>
      <c r="C67" s="1"/>
      <c r="D67" s="1"/>
      <c r="E67" s="1"/>
      <c r="F67" s="1"/>
      <c r="G67" s="1"/>
      <c r="H67" s="1"/>
      <c r="I67" s="1"/>
      <c r="J67" s="1"/>
      <c r="K67" s="1"/>
      <c r="L67" s="2"/>
      <c r="M67" s="2"/>
      <c r="N67" s="2"/>
      <c r="O67" s="2"/>
      <c r="P67" s="2"/>
      <c r="Q67" s="2"/>
      <c r="R67" s="2"/>
      <c r="S67" s="2"/>
      <c r="T67" s="2"/>
      <c r="U67" s="2"/>
      <c r="V67" s="2"/>
      <c r="W67" s="2"/>
      <c r="X67" s="2"/>
      <c r="Y67" s="2"/>
      <c r="Z67" s="2"/>
      <c r="AA67" s="2"/>
      <c r="AB67" s="8">
        <f>inp_biz_period_b_label</f>
        <v>0</v>
      </c>
      <c r="AC67" s="22">
        <f>0</f>
        <v>0</v>
      </c>
      <c r="AD67" s="37">
        <f>calc_GP_B</f>
        <v>0</v>
      </c>
      <c r="AE67" s="38">
        <f>0</f>
        <v>0</v>
      </c>
      <c r="AF67" s="39">
        <f>0</f>
        <v>0</v>
      </c>
      <c r="AG67" s="22">
        <f t="shared" si="9"/>
        <v>0</v>
      </c>
      <c r="AH67" s="40">
        <f>AD67</f>
        <v>0</v>
      </c>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row>
    <row r="68" spans="1:80" x14ac:dyDescent="0.2">
      <c r="A68" s="1"/>
      <c r="B68" s="1"/>
      <c r="C68" s="1"/>
      <c r="D68" s="1"/>
      <c r="E68" s="1"/>
      <c r="F68" s="1"/>
      <c r="G68" s="1"/>
      <c r="H68" s="1"/>
      <c r="I68" s="1"/>
      <c r="J68" s="1"/>
      <c r="K68" s="1"/>
      <c r="L68" s="2"/>
      <c r="M68" s="2"/>
      <c r="N68" s="2"/>
      <c r="O68" s="2"/>
      <c r="P68" s="2"/>
      <c r="Q68" s="2"/>
      <c r="R68" s="2"/>
      <c r="S68" s="2"/>
      <c r="T68" s="2"/>
      <c r="U68" s="2"/>
      <c r="V68" s="2"/>
      <c r="W68" s="2"/>
      <c r="X68" s="2"/>
      <c r="Y68" s="2"/>
      <c r="Z68" s="2"/>
      <c r="AA68" s="2"/>
      <c r="AB68" s="2"/>
      <c r="AC68" s="2"/>
      <c r="AD68" s="2"/>
      <c r="AE68" s="2"/>
      <c r="AF68" s="2"/>
      <c r="AG68" s="2"/>
      <c r="AH68" s="2"/>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row>
    <row r="69" spans="1:80" x14ac:dyDescent="0.2">
      <c r="A69" s="1"/>
      <c r="B69" s="1"/>
      <c r="C69" s="1"/>
      <c r="D69" s="1"/>
      <c r="E69" s="1"/>
      <c r="F69" s="1"/>
      <c r="G69" s="1"/>
      <c r="H69" s="1"/>
      <c r="I69" s="1"/>
      <c r="J69" s="1"/>
      <c r="K69" s="1"/>
      <c r="L69" s="2"/>
      <c r="M69" s="2"/>
      <c r="N69" s="2"/>
      <c r="O69" s="2"/>
      <c r="P69" s="2"/>
      <c r="Q69" s="2"/>
      <c r="R69" s="2"/>
      <c r="S69" s="2"/>
      <c r="T69" s="2"/>
      <c r="U69" s="2"/>
      <c r="V69" s="2"/>
      <c r="W69" s="2"/>
      <c r="X69" s="2"/>
      <c r="Y69" s="2"/>
      <c r="Z69" s="2"/>
      <c r="AA69" s="2"/>
      <c r="AB69" s="2"/>
      <c r="AC69" s="2"/>
      <c r="AD69" s="2"/>
      <c r="AE69" s="2"/>
      <c r="AF69" s="2"/>
      <c r="AG69" s="2"/>
      <c r="AH69" s="2"/>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row>
    <row r="70" spans="1:80" x14ac:dyDescent="0.2">
      <c r="A70" s="1"/>
      <c r="B70" s="1"/>
      <c r="C70" s="1"/>
      <c r="D70" s="1"/>
      <c r="E70" s="1"/>
      <c r="F70" s="1"/>
      <c r="G70" s="1"/>
      <c r="H70" s="1"/>
      <c r="I70" s="1"/>
      <c r="J70" s="1"/>
      <c r="K70" s="1"/>
      <c r="L70" s="2"/>
      <c r="M70" s="2"/>
      <c r="N70" s="2"/>
      <c r="O70" s="2"/>
      <c r="P70" s="2"/>
      <c r="Q70" s="2"/>
      <c r="R70" s="2"/>
      <c r="S70" s="2"/>
      <c r="T70" s="2"/>
      <c r="U70" s="2"/>
      <c r="V70" s="2"/>
      <c r="W70" s="2"/>
      <c r="X70" s="2"/>
      <c r="Y70" s="2"/>
      <c r="Z70" s="2"/>
      <c r="AA70" s="2"/>
      <c r="AB70" s="2"/>
      <c r="AC70" s="2"/>
      <c r="AD70" s="2"/>
      <c r="AE70" s="2"/>
      <c r="AF70" s="2"/>
      <c r="AG70" s="2"/>
      <c r="AH70" s="2"/>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row>
    <row r="71" spans="1:80" x14ac:dyDescent="0.2">
      <c r="A71" s="1"/>
      <c r="B71" s="1"/>
      <c r="C71" s="1"/>
      <c r="D71" s="1"/>
      <c r="E71" s="1"/>
      <c r="F71" s="1"/>
      <c r="G71" s="1"/>
      <c r="H71" s="1"/>
      <c r="I71" s="1"/>
      <c r="J71" s="1"/>
      <c r="K71" s="1"/>
      <c r="L71" s="2"/>
      <c r="M71" s="2"/>
      <c r="N71" s="2"/>
      <c r="O71" s="2"/>
      <c r="P71" s="2"/>
      <c r="Q71" s="2"/>
      <c r="R71" s="2"/>
      <c r="S71" s="2"/>
      <c r="T71" s="2"/>
      <c r="U71" s="2"/>
      <c r="V71" s="2"/>
      <c r="W71" s="2"/>
      <c r="X71" s="2"/>
      <c r="Y71" s="2"/>
      <c r="Z71" s="2"/>
      <c r="AA71" s="2"/>
      <c r="AB71" s="2"/>
      <c r="AC71" s="2"/>
      <c r="AD71" s="2"/>
      <c r="AE71" s="2"/>
      <c r="AF71" s="2"/>
      <c r="AG71" s="2"/>
      <c r="AH71" s="2"/>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row>
    <row r="72" spans="1:80" x14ac:dyDescent="0.2">
      <c r="A72" s="1"/>
      <c r="B72" s="1"/>
      <c r="C72" s="1"/>
      <c r="D72" s="1"/>
      <c r="E72" s="1"/>
      <c r="F72" s="1"/>
      <c r="G72" s="1"/>
      <c r="H72" s="1"/>
      <c r="I72" s="1"/>
      <c r="J72" s="1"/>
      <c r="K72" s="1"/>
      <c r="L72" s="2"/>
      <c r="M72" s="2"/>
      <c r="N72" s="2"/>
      <c r="O72" s="2"/>
      <c r="P72" s="2"/>
      <c r="Q72" s="2"/>
      <c r="R72" s="2"/>
      <c r="S72" s="2"/>
      <c r="T72" s="2"/>
      <c r="U72" s="2"/>
      <c r="V72" s="2"/>
      <c r="W72" s="2"/>
      <c r="X72" s="2"/>
      <c r="Y72" s="2"/>
      <c r="Z72" s="2"/>
      <c r="AA72" s="2"/>
      <c r="AB72" s="2"/>
      <c r="AC72" s="2"/>
      <c r="AD72" s="2"/>
      <c r="AE72" s="2"/>
      <c r="AF72" s="2"/>
      <c r="AG72" s="2"/>
      <c r="AH72" s="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row>
    <row r="73" spans="1:80" x14ac:dyDescent="0.2">
      <c r="A73" s="1"/>
      <c r="B73" s="1"/>
      <c r="C73" s="1"/>
      <c r="D73" s="1"/>
      <c r="E73" s="1"/>
      <c r="F73" s="1"/>
      <c r="G73" s="1"/>
      <c r="H73" s="1"/>
      <c r="I73" s="1"/>
      <c r="J73" s="1"/>
      <c r="K73" s="1"/>
      <c r="L73" s="2"/>
      <c r="M73" s="2"/>
      <c r="N73" s="2"/>
      <c r="O73" s="2"/>
      <c r="P73" s="2"/>
      <c r="Q73" s="2"/>
      <c r="R73" s="2"/>
      <c r="S73" s="2"/>
      <c r="T73" s="2"/>
      <c r="U73" s="2"/>
      <c r="V73" s="2"/>
      <c r="W73" s="2"/>
      <c r="X73" s="2"/>
      <c r="Y73" s="2"/>
      <c r="Z73" s="2"/>
      <c r="AA73" s="2"/>
      <c r="AB73" s="2"/>
      <c r="AC73" s="2"/>
      <c r="AD73" s="2"/>
      <c r="AE73" s="2"/>
      <c r="AF73" s="2"/>
      <c r="AG73" s="2"/>
      <c r="AH73" s="2"/>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row>
    <row r="74" spans="1:80" ht="22" customHeight="1" x14ac:dyDescent="0.2">
      <c r="A74" s="1"/>
      <c r="B74" s="5" t="s">
        <v>157</v>
      </c>
      <c r="C74" s="1"/>
      <c r="D74" s="1"/>
      <c r="E74" s="1"/>
      <c r="F74" s="1"/>
      <c r="G74" s="1"/>
      <c r="H74" s="1"/>
      <c r="I74" s="1"/>
      <c r="J74" s="1"/>
      <c r="K74" s="1"/>
      <c r="L74" s="2"/>
      <c r="M74" s="2"/>
      <c r="N74" s="2"/>
      <c r="O74" s="2"/>
      <c r="P74" s="2"/>
      <c r="Q74" s="2"/>
      <c r="R74" s="2"/>
      <c r="S74" s="2"/>
      <c r="T74" s="2"/>
      <c r="U74" s="2"/>
      <c r="V74" s="2"/>
      <c r="W74" s="2"/>
      <c r="X74" s="2"/>
      <c r="Y74" s="2"/>
      <c r="Z74" s="2"/>
      <c r="AA74" s="2"/>
      <c r="AB74" s="2"/>
      <c r="AC74" s="2"/>
      <c r="AD74" s="2"/>
      <c r="AE74" s="2"/>
      <c r="AF74" s="2"/>
      <c r="AG74" s="2"/>
      <c r="AH74" s="2"/>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row>
    <row r="75" spans="1:80" ht="22" customHeight="1" x14ac:dyDescent="0.2">
      <c r="A75" s="1"/>
      <c r="B75" s="6" t="s">
        <v>158</v>
      </c>
      <c r="C75" s="6" t="s">
        <v>159</v>
      </c>
      <c r="D75" s="1"/>
      <c r="E75" s="19"/>
      <c r="F75" s="14" t="s">
        <v>118</v>
      </c>
      <c r="G75" s="14" t="s">
        <v>119</v>
      </c>
      <c r="H75" s="19"/>
      <c r="I75" s="14" t="s">
        <v>160</v>
      </c>
      <c r="J75" s="6" t="s">
        <v>161</v>
      </c>
      <c r="K75" s="1"/>
      <c r="L75" s="2"/>
      <c r="M75" s="2"/>
      <c r="N75" s="2"/>
      <c r="O75" s="2"/>
      <c r="P75" s="2"/>
      <c r="Q75" s="2"/>
      <c r="R75" s="2"/>
      <c r="S75" s="2"/>
      <c r="T75" s="2"/>
      <c r="U75" s="2"/>
      <c r="V75" s="2"/>
      <c r="W75" s="2"/>
      <c r="X75" s="2"/>
      <c r="Y75" s="2"/>
      <c r="Z75" s="2"/>
      <c r="AA75" s="2"/>
      <c r="AB75" s="2"/>
      <c r="AC75" s="2"/>
      <c r="AD75" s="2"/>
      <c r="AE75" s="2"/>
      <c r="AF75" s="2"/>
      <c r="AG75" s="2"/>
      <c r="AH75" s="2"/>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row>
    <row r="76" spans="1:80" ht="22" customHeight="1" x14ac:dyDescent="0.2">
      <c r="A76" s="1"/>
      <c r="B76" s="41">
        <f>inp_biz_period_a_label</f>
        <v>0</v>
      </c>
      <c r="C76" s="74" t="str">
        <f>"Starting point · GM "&amp;TEXT(calc_GM_A,"0.0%")</f>
        <v>Starting point · GM 0.0%</v>
      </c>
      <c r="D76" s="72"/>
      <c r="E76" s="72"/>
      <c r="F76" s="30">
        <f>0</f>
        <v>0</v>
      </c>
      <c r="G76" s="42">
        <f>0</f>
        <v>0</v>
      </c>
      <c r="H76" s="43"/>
      <c r="I76" s="23">
        <f>calc_GM_A</f>
        <v>0</v>
      </c>
      <c r="J76" s="43"/>
      <c r="K76" s="1"/>
      <c r="L76" s="2"/>
      <c r="M76" s="2"/>
      <c r="N76" s="2"/>
      <c r="O76" s="2"/>
      <c r="P76" s="2"/>
      <c r="Q76" s="2"/>
      <c r="R76" s="2"/>
      <c r="S76" s="2"/>
      <c r="T76" s="2"/>
      <c r="U76" s="2"/>
      <c r="V76" s="2"/>
      <c r="W76" s="2"/>
      <c r="X76" s="2"/>
      <c r="Y76" s="2"/>
      <c r="Z76" s="2"/>
      <c r="AA76" s="2"/>
      <c r="AB76" s="2"/>
      <c r="AC76" s="2"/>
      <c r="AD76" s="2"/>
      <c r="AE76" s="2"/>
      <c r="AF76" s="2"/>
      <c r="AG76" s="2"/>
      <c r="AH76" s="2"/>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row>
    <row r="77" spans="1:80" ht="42" customHeight="1" x14ac:dyDescent="0.2">
      <c r="A77" s="1"/>
      <c r="B77" s="8" t="s">
        <v>162</v>
      </c>
      <c r="C77" s="74" t="s">
        <v>163</v>
      </c>
      <c r="D77" s="72"/>
      <c r="E77" s="72"/>
      <c r="F77" s="30">
        <f>Q40</f>
        <v>0</v>
      </c>
      <c r="G77" s="44">
        <f>R40*100</f>
        <v>0</v>
      </c>
      <c r="H77" s="43"/>
      <c r="I77" s="23">
        <f>P40</f>
        <v>0</v>
      </c>
      <c r="J77" s="45"/>
      <c r="K77" s="1"/>
      <c r="L77" s="2"/>
      <c r="M77" s="2"/>
      <c r="N77" s="2"/>
      <c r="O77" s="2"/>
      <c r="P77" s="2"/>
      <c r="Q77" s="2"/>
      <c r="R77" s="2"/>
      <c r="S77" s="2"/>
      <c r="T77" s="2"/>
      <c r="U77" s="2"/>
      <c r="V77" s="2"/>
      <c r="W77" s="2"/>
      <c r="X77" s="2"/>
      <c r="Y77" s="2"/>
      <c r="Z77" s="2"/>
      <c r="AA77" s="2"/>
      <c r="AB77" s="2"/>
      <c r="AC77" s="2"/>
      <c r="AD77" s="2"/>
      <c r="AE77" s="2"/>
      <c r="AF77" s="2"/>
      <c r="AG77" s="2"/>
      <c r="AH77" s="2"/>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row>
    <row r="78" spans="1:80" ht="42" customHeight="1" x14ac:dyDescent="0.2">
      <c r="A78" s="1"/>
      <c r="B78" s="8" t="s">
        <v>165</v>
      </c>
      <c r="C78" s="74" t="s">
        <v>166</v>
      </c>
      <c r="D78" s="72"/>
      <c r="E78" s="72"/>
      <c r="F78" s="30">
        <f>Q41</f>
        <v>0</v>
      </c>
      <c r="G78" s="44">
        <f>R41*100</f>
        <v>0</v>
      </c>
      <c r="H78" s="43"/>
      <c r="I78" s="23">
        <f>P41</f>
        <v>0</v>
      </c>
      <c r="J78" s="45"/>
      <c r="K78" s="1"/>
      <c r="L78" s="2"/>
      <c r="M78" s="2"/>
      <c r="N78" s="2"/>
      <c r="O78" s="2"/>
      <c r="P78" s="2"/>
      <c r="Q78" s="2"/>
      <c r="R78" s="2"/>
      <c r="S78" s="2"/>
      <c r="T78" s="2"/>
      <c r="U78" s="2"/>
      <c r="V78" s="2"/>
      <c r="W78" s="2"/>
      <c r="X78" s="2"/>
      <c r="Y78" s="2"/>
      <c r="Z78" s="2"/>
      <c r="AA78" s="2"/>
      <c r="AB78" s="2"/>
      <c r="AC78" s="2"/>
      <c r="AD78" s="2"/>
      <c r="AE78" s="2"/>
      <c r="AF78" s="2"/>
      <c r="AG78" s="2"/>
      <c r="AH78" s="2"/>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row>
    <row r="79" spans="1:80" ht="42" customHeight="1" x14ac:dyDescent="0.2">
      <c r="A79" s="1"/>
      <c r="B79" s="8" t="s">
        <v>168</v>
      </c>
      <c r="C79" s="74" t="s">
        <v>169</v>
      </c>
      <c r="D79" s="72"/>
      <c r="E79" s="72"/>
      <c r="F79" s="30">
        <f>Q42</f>
        <v>0</v>
      </c>
      <c r="G79" s="44">
        <f>R42*100</f>
        <v>0</v>
      </c>
      <c r="H79" s="43"/>
      <c r="I79" s="23">
        <f>P42</f>
        <v>0</v>
      </c>
      <c r="J79" s="45"/>
      <c r="K79" s="1"/>
      <c r="L79" s="2"/>
      <c r="M79" s="2"/>
      <c r="N79" s="2"/>
      <c r="O79" s="2"/>
      <c r="P79" s="2"/>
      <c r="Q79" s="2"/>
      <c r="R79" s="2"/>
      <c r="S79" s="2"/>
      <c r="T79" s="2"/>
      <c r="U79" s="2"/>
      <c r="V79" s="2"/>
      <c r="W79" s="2"/>
      <c r="X79" s="2"/>
      <c r="Y79" s="2"/>
      <c r="Z79" s="2"/>
      <c r="AA79" s="2"/>
      <c r="AB79" s="2"/>
      <c r="AC79" s="2"/>
      <c r="AD79" s="2"/>
      <c r="AE79" s="2"/>
      <c r="AF79" s="2"/>
      <c r="AG79" s="2"/>
      <c r="AH79" s="2"/>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row>
    <row r="80" spans="1:80" ht="42" customHeight="1" x14ac:dyDescent="0.2">
      <c r="A80" s="1"/>
      <c r="B80" s="8" t="s">
        <v>171</v>
      </c>
      <c r="C80" s="74" t="s">
        <v>172</v>
      </c>
      <c r="D80" s="72"/>
      <c r="E80" s="72"/>
      <c r="F80" s="30">
        <f>Q43</f>
        <v>0</v>
      </c>
      <c r="G80" s="44">
        <f>R43*100</f>
        <v>0</v>
      </c>
      <c r="H80" s="43"/>
      <c r="I80" s="23">
        <f>P43</f>
        <v>0</v>
      </c>
      <c r="J80" s="45"/>
      <c r="K80" s="1"/>
      <c r="L80" s="2"/>
      <c r="M80" s="2"/>
      <c r="N80" s="2"/>
      <c r="O80" s="2"/>
      <c r="P80" s="2"/>
      <c r="Q80" s="2"/>
      <c r="R80" s="2"/>
      <c r="S80" s="2"/>
      <c r="T80" s="2"/>
      <c r="U80" s="2"/>
      <c r="V80" s="2"/>
      <c r="W80" s="2"/>
      <c r="X80" s="2"/>
      <c r="Y80" s="2"/>
      <c r="Z80" s="2"/>
      <c r="AA80" s="2"/>
      <c r="AB80" s="2"/>
      <c r="AC80" s="2"/>
      <c r="AD80" s="2"/>
      <c r="AE80" s="2"/>
      <c r="AF80" s="2"/>
      <c r="AG80" s="2"/>
      <c r="AH80" s="2"/>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row>
    <row r="81" spans="1:80" ht="42" customHeight="1" x14ac:dyDescent="0.2">
      <c r="A81" s="1"/>
      <c r="B81" s="8" t="s">
        <v>174</v>
      </c>
      <c r="C81" s="74" t="s">
        <v>175</v>
      </c>
      <c r="D81" s="72"/>
      <c r="E81" s="72"/>
      <c r="F81" s="30">
        <f>Q44</f>
        <v>0</v>
      </c>
      <c r="G81" s="44">
        <f>R44*100</f>
        <v>0</v>
      </c>
      <c r="H81" s="43"/>
      <c r="I81" s="23">
        <f>P44</f>
        <v>0</v>
      </c>
      <c r="J81" s="45"/>
      <c r="K81" s="1"/>
      <c r="L81" s="2"/>
      <c r="M81" s="2"/>
      <c r="N81" s="2"/>
      <c r="O81" s="2"/>
      <c r="P81" s="2"/>
      <c r="Q81" s="2"/>
      <c r="R81" s="2"/>
      <c r="S81" s="2"/>
      <c r="T81" s="2"/>
      <c r="U81" s="2"/>
      <c r="V81" s="2"/>
      <c r="W81" s="2"/>
      <c r="X81" s="2"/>
      <c r="Y81" s="2"/>
      <c r="Z81" s="2"/>
      <c r="AA81" s="2"/>
      <c r="AB81" s="2"/>
      <c r="AC81" s="2"/>
      <c r="AD81" s="2"/>
      <c r="AE81" s="2"/>
      <c r="AF81" s="2"/>
      <c r="AG81" s="2"/>
      <c r="AH81" s="2"/>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row>
    <row r="82" spans="1:80" ht="22" customHeight="1" x14ac:dyDescent="0.2">
      <c r="A82" s="1"/>
      <c r="B82" s="25">
        <f>inp_biz_period_b_label</f>
        <v>0</v>
      </c>
      <c r="C82" s="74" t="str">
        <f>"Ending point · GM "&amp;TEXT(calc_GM_B,"0.0%")</f>
        <v>Ending point · GM 0.0%</v>
      </c>
      <c r="D82" s="72"/>
      <c r="E82" s="72"/>
      <c r="F82" s="46">
        <f>calc_GP_B-calc_GP_A</f>
        <v>0</v>
      </c>
      <c r="G82" s="47">
        <f>(calc_GM_B-calc_GM_A)*100</f>
        <v>0</v>
      </c>
      <c r="H82" s="29"/>
      <c r="I82" s="48">
        <f>calc_GM_B</f>
        <v>0</v>
      </c>
      <c r="J82" s="29"/>
      <c r="K82" s="1"/>
      <c r="L82" s="2"/>
      <c r="M82" s="2"/>
      <c r="N82" s="2"/>
      <c r="O82" s="2"/>
      <c r="P82" s="2"/>
      <c r="Q82" s="2"/>
      <c r="R82" s="2"/>
      <c r="S82" s="2"/>
      <c r="T82" s="2"/>
      <c r="U82" s="2"/>
      <c r="V82" s="2"/>
      <c r="W82" s="2"/>
      <c r="X82" s="2"/>
      <c r="Y82" s="2"/>
      <c r="Z82" s="2"/>
      <c r="AA82" s="2"/>
      <c r="AB82" s="2"/>
      <c r="AC82" s="2"/>
      <c r="AD82" s="2"/>
      <c r="AE82" s="2"/>
      <c r="AF82" s="2"/>
      <c r="AG82" s="2"/>
      <c r="AH82" s="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row>
    <row r="83" spans="1:80" s="70" customFormat="1" ht="22" customHeight="1" x14ac:dyDescent="0.2">
      <c r="A83" s="1"/>
      <c r="B83" s="1"/>
      <c r="C83" s="1"/>
      <c r="D83" s="1"/>
      <c r="E83" s="1"/>
      <c r="F83" s="1"/>
      <c r="G83" s="1"/>
      <c r="H83" s="1"/>
      <c r="I83" s="1"/>
      <c r="J83" s="1"/>
      <c r="K83" s="68"/>
      <c r="L83" s="43"/>
      <c r="M83" s="43"/>
      <c r="N83" s="43"/>
      <c r="O83" s="43"/>
      <c r="P83" s="43"/>
      <c r="Q83" s="43"/>
      <c r="R83" s="43"/>
      <c r="S83" s="43"/>
      <c r="T83" s="43"/>
      <c r="U83" s="43"/>
      <c r="V83" s="43"/>
      <c r="W83" s="43"/>
      <c r="X83" s="43"/>
      <c r="Y83" s="43"/>
      <c r="Z83" s="43"/>
      <c r="AA83" s="43"/>
      <c r="AB83" s="43"/>
      <c r="AC83" s="43"/>
      <c r="AD83" s="43"/>
      <c r="AE83" s="43"/>
      <c r="AF83" s="43"/>
      <c r="AG83" s="43"/>
      <c r="AH83" s="43"/>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row>
    <row r="84" spans="1:80" x14ac:dyDescent="0.2">
      <c r="A84" s="1"/>
      <c r="B84" s="92" t="s">
        <v>320</v>
      </c>
      <c r="C84" s="92"/>
      <c r="D84" s="92"/>
      <c r="E84" s="92"/>
      <c r="F84" s="92"/>
      <c r="G84" s="92"/>
      <c r="H84" s="92"/>
      <c r="I84" s="92"/>
      <c r="J84" s="1"/>
      <c r="K84" s="1"/>
      <c r="L84" s="2"/>
      <c r="M84" s="2"/>
      <c r="N84" s="2"/>
      <c r="O84" s="2"/>
      <c r="P84" s="2"/>
      <c r="Q84" s="2"/>
      <c r="R84" s="2"/>
      <c r="S84" s="2"/>
      <c r="T84" s="2"/>
      <c r="U84" s="2"/>
      <c r="V84" s="2"/>
      <c r="W84" s="2"/>
      <c r="X84" s="2"/>
      <c r="Y84" s="2"/>
      <c r="Z84" s="2"/>
      <c r="AA84" s="2"/>
      <c r="AB84" s="2"/>
      <c r="AC84" s="2"/>
      <c r="AD84" s="2"/>
      <c r="AE84" s="2"/>
      <c r="AF84" s="2"/>
      <c r="AG84" s="2"/>
      <c r="AH84" s="2"/>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row>
    <row r="85" spans="1:80" x14ac:dyDescent="0.2">
      <c r="A85" s="1"/>
      <c r="B85" s="1"/>
      <c r="C85" s="1"/>
      <c r="D85" s="1"/>
      <c r="E85" s="1"/>
      <c r="F85" s="1"/>
      <c r="G85" s="1"/>
      <c r="H85" s="1"/>
      <c r="I85" s="1"/>
      <c r="J85" s="1"/>
      <c r="K85" s="1"/>
      <c r="L85" s="2"/>
      <c r="M85" s="2"/>
      <c r="N85" s="2"/>
      <c r="O85" s="2"/>
      <c r="P85" s="2"/>
      <c r="Q85" s="2"/>
      <c r="R85" s="2"/>
      <c r="S85" s="2"/>
      <c r="T85" s="2"/>
      <c r="U85" s="2"/>
      <c r="V85" s="2"/>
      <c r="W85" s="2"/>
      <c r="X85" s="2"/>
      <c r="Y85" s="2"/>
      <c r="Z85" s="2"/>
      <c r="AA85" s="2"/>
      <c r="AB85" s="2"/>
      <c r="AC85" s="2"/>
      <c r="AD85" s="2"/>
      <c r="AE85" s="2"/>
      <c r="AF85" s="2"/>
      <c r="AG85" s="2"/>
      <c r="AH85" s="2"/>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row>
    <row r="86" spans="1:80" ht="22" customHeight="1" x14ac:dyDescent="0.2">
      <c r="A86" s="1"/>
      <c r="B86" s="5" t="s">
        <v>300</v>
      </c>
      <c r="C86" s="1"/>
      <c r="D86" s="1"/>
      <c r="E86" s="1"/>
      <c r="F86" s="1"/>
      <c r="G86" s="1"/>
      <c r="H86" s="1"/>
      <c r="I86" s="1"/>
      <c r="J86" s="1"/>
      <c r="K86" s="1"/>
      <c r="L86" s="2"/>
      <c r="M86" s="2"/>
      <c r="N86" s="2"/>
      <c r="O86" s="2"/>
      <c r="P86" s="2"/>
      <c r="Q86" s="2"/>
      <c r="R86" s="2"/>
      <c r="S86" s="2"/>
      <c r="T86" s="2"/>
      <c r="U86" s="2"/>
      <c r="V86" s="2"/>
      <c r="W86" s="2"/>
      <c r="X86" s="2"/>
      <c r="Y86" s="2"/>
      <c r="Z86" s="2"/>
      <c r="AA86" s="2"/>
      <c r="AB86" s="2"/>
      <c r="AC86" s="2"/>
      <c r="AD86" s="2"/>
      <c r="AE86" s="2"/>
      <c r="AF86" s="2"/>
      <c r="AG86" s="2"/>
      <c r="AH86" s="2"/>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row>
    <row r="87" spans="1:80" ht="22" customHeight="1" x14ac:dyDescent="0.2">
      <c r="A87" s="1"/>
      <c r="B87" s="6" t="s">
        <v>70</v>
      </c>
      <c r="C87" s="14" t="s">
        <v>177</v>
      </c>
      <c r="D87" s="14" t="s">
        <v>301</v>
      </c>
      <c r="E87" s="14" t="s">
        <v>302</v>
      </c>
      <c r="F87" s="14" t="s">
        <v>178</v>
      </c>
      <c r="G87" s="14" t="s">
        <v>303</v>
      </c>
      <c r="H87" s="14" t="s">
        <v>304</v>
      </c>
      <c r="I87" s="14" t="s">
        <v>305</v>
      </c>
      <c r="J87" s="14" t="s">
        <v>306</v>
      </c>
      <c r="K87" s="1"/>
      <c r="L87" s="2"/>
      <c r="M87" s="2"/>
      <c r="N87" s="2"/>
      <c r="O87" s="2"/>
      <c r="P87" s="2"/>
      <c r="Q87" s="2"/>
      <c r="R87" s="2"/>
      <c r="S87" s="2"/>
      <c r="T87" s="2"/>
      <c r="U87" s="2"/>
      <c r="V87" s="2"/>
      <c r="W87" s="2"/>
      <c r="X87" s="2"/>
      <c r="Y87" s="2"/>
      <c r="Z87" s="2"/>
      <c r="AA87" s="2"/>
      <c r="AB87" s="2"/>
      <c r="AC87" s="2"/>
      <c r="AD87" s="2"/>
      <c r="AE87" s="2"/>
      <c r="AF87" s="2"/>
      <c r="AG87" s="2"/>
      <c r="AH87" s="2"/>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row>
    <row r="88" spans="1:80" ht="20" customHeight="1" x14ac:dyDescent="0.2">
      <c r="A88" s="1"/>
      <c r="B88" s="8">
        <f t="shared" ref="B88:B93" si="10">IF(B34&lt;&gt;"",B34,B19)</f>
        <v>0</v>
      </c>
      <c r="C88" s="22">
        <f t="shared" ref="C88:C93" si="11">D19</f>
        <v>0</v>
      </c>
      <c r="D88" s="22">
        <f t="shared" ref="D88:D93" si="12">D19-L19</f>
        <v>0</v>
      </c>
      <c r="E88" s="23">
        <f t="shared" ref="E88:E93" si="13">IFERROR((D19-L19)/D19,0)</f>
        <v>0</v>
      </c>
      <c r="F88" s="22">
        <f t="shared" ref="F88:F93" si="14">D34</f>
        <v>0</v>
      </c>
      <c r="G88" s="22">
        <f t="shared" ref="G88:G93" si="15">D34-L34</f>
        <v>0</v>
      </c>
      <c r="H88" s="23">
        <f t="shared" ref="H88:H93" si="16">IFERROR((D34-L34)/D34,0)</f>
        <v>0</v>
      </c>
      <c r="I88" s="30">
        <f t="shared" ref="I88:I93" si="17">G88-D88</f>
        <v>0</v>
      </c>
      <c r="J88" s="32">
        <f t="shared" ref="J88:J93" si="18">(H88-E88)*100</f>
        <v>0</v>
      </c>
      <c r="K88" s="1"/>
      <c r="L88" s="2"/>
      <c r="M88" s="2"/>
      <c r="N88" s="2"/>
      <c r="O88" s="2"/>
      <c r="P88" s="2"/>
      <c r="Q88" s="2"/>
      <c r="R88" s="2"/>
      <c r="S88" s="2"/>
      <c r="T88" s="2"/>
      <c r="U88" s="2"/>
      <c r="V88" s="2"/>
      <c r="W88" s="2"/>
      <c r="X88" s="2"/>
      <c r="Y88" s="2"/>
      <c r="Z88" s="2"/>
      <c r="AA88" s="2"/>
      <c r="AB88" s="2"/>
      <c r="AC88" s="2"/>
      <c r="AD88" s="2"/>
      <c r="AE88" s="2"/>
      <c r="AF88" s="2"/>
      <c r="AG88" s="2"/>
      <c r="AH88" s="2"/>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row>
    <row r="89" spans="1:80" ht="20" customHeight="1" x14ac:dyDescent="0.2">
      <c r="A89" s="1"/>
      <c r="B89" s="8">
        <f t="shared" si="10"/>
        <v>0</v>
      </c>
      <c r="C89" s="22">
        <f t="shared" si="11"/>
        <v>0</v>
      </c>
      <c r="D89" s="22">
        <f t="shared" si="12"/>
        <v>0</v>
      </c>
      <c r="E89" s="23">
        <f t="shared" si="13"/>
        <v>0</v>
      </c>
      <c r="F89" s="22">
        <f t="shared" si="14"/>
        <v>0</v>
      </c>
      <c r="G89" s="22">
        <f t="shared" si="15"/>
        <v>0</v>
      </c>
      <c r="H89" s="23">
        <f t="shared" si="16"/>
        <v>0</v>
      </c>
      <c r="I89" s="30">
        <f t="shared" si="17"/>
        <v>0</v>
      </c>
      <c r="J89" s="32">
        <f t="shared" si="18"/>
        <v>0</v>
      </c>
      <c r="K89" s="1"/>
      <c r="L89" s="2"/>
      <c r="M89" s="2"/>
      <c r="N89" s="2"/>
      <c r="O89" s="2"/>
      <c r="P89" s="2"/>
      <c r="Q89" s="2"/>
      <c r="R89" s="2"/>
      <c r="S89" s="2"/>
      <c r="T89" s="2"/>
      <c r="U89" s="2"/>
      <c r="V89" s="2"/>
      <c r="W89" s="2"/>
      <c r="X89" s="2"/>
      <c r="Y89" s="2"/>
      <c r="Z89" s="2"/>
      <c r="AA89" s="2"/>
      <c r="AB89" s="2"/>
      <c r="AC89" s="2"/>
      <c r="AD89" s="2"/>
      <c r="AE89" s="2"/>
      <c r="AF89" s="2"/>
      <c r="AG89" s="2"/>
      <c r="AH89" s="2"/>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row>
    <row r="90" spans="1:80" ht="20" customHeight="1" x14ac:dyDescent="0.2">
      <c r="A90" s="1"/>
      <c r="B90" s="8">
        <f t="shared" si="10"/>
        <v>0</v>
      </c>
      <c r="C90" s="22">
        <f t="shared" si="11"/>
        <v>0</v>
      </c>
      <c r="D90" s="22">
        <f t="shared" si="12"/>
        <v>0</v>
      </c>
      <c r="E90" s="23">
        <f t="shared" si="13"/>
        <v>0</v>
      </c>
      <c r="F90" s="22">
        <f t="shared" si="14"/>
        <v>0</v>
      </c>
      <c r="G90" s="22">
        <f t="shared" si="15"/>
        <v>0</v>
      </c>
      <c r="H90" s="23">
        <f t="shared" si="16"/>
        <v>0</v>
      </c>
      <c r="I90" s="30">
        <f t="shared" si="17"/>
        <v>0</v>
      </c>
      <c r="J90" s="32">
        <f t="shared" si="18"/>
        <v>0</v>
      </c>
      <c r="K90" s="1"/>
      <c r="L90" s="2"/>
      <c r="M90" s="2"/>
      <c r="N90" s="2"/>
      <c r="O90" s="2"/>
      <c r="P90" s="2"/>
      <c r="Q90" s="2"/>
      <c r="R90" s="2"/>
      <c r="S90" s="2"/>
      <c r="T90" s="2"/>
      <c r="U90" s="2"/>
      <c r="V90" s="2"/>
      <c r="W90" s="2"/>
      <c r="X90" s="2"/>
      <c r="Y90" s="2"/>
      <c r="Z90" s="2"/>
      <c r="AA90" s="2"/>
      <c r="AB90" s="2"/>
      <c r="AC90" s="2"/>
      <c r="AD90" s="2"/>
      <c r="AE90" s="2"/>
      <c r="AF90" s="2"/>
      <c r="AG90" s="2"/>
      <c r="AH90" s="2"/>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row>
    <row r="91" spans="1:80" ht="20" customHeight="1" x14ac:dyDescent="0.2">
      <c r="A91" s="1"/>
      <c r="B91" s="8">
        <f t="shared" si="10"/>
        <v>0</v>
      </c>
      <c r="C91" s="22">
        <f t="shared" si="11"/>
        <v>0</v>
      </c>
      <c r="D91" s="22">
        <f t="shared" si="12"/>
        <v>0</v>
      </c>
      <c r="E91" s="23">
        <f t="shared" si="13"/>
        <v>0</v>
      </c>
      <c r="F91" s="22">
        <f t="shared" si="14"/>
        <v>0</v>
      </c>
      <c r="G91" s="22">
        <f t="shared" si="15"/>
        <v>0</v>
      </c>
      <c r="H91" s="23">
        <f t="shared" si="16"/>
        <v>0</v>
      </c>
      <c r="I91" s="30">
        <f t="shared" si="17"/>
        <v>0</v>
      </c>
      <c r="J91" s="32">
        <f t="shared" si="18"/>
        <v>0</v>
      </c>
      <c r="K91" s="1"/>
      <c r="L91" s="2"/>
      <c r="M91" s="2"/>
      <c r="N91" s="2"/>
      <c r="O91" s="2"/>
      <c r="P91" s="2"/>
      <c r="Q91" s="2"/>
      <c r="R91" s="2"/>
      <c r="S91" s="2"/>
      <c r="T91" s="2"/>
      <c r="U91" s="2"/>
      <c r="V91" s="2"/>
      <c r="W91" s="2"/>
      <c r="X91" s="2"/>
      <c r="Y91" s="2"/>
      <c r="Z91" s="2"/>
      <c r="AA91" s="2"/>
      <c r="AB91" s="2"/>
      <c r="AC91" s="2"/>
      <c r="AD91" s="2"/>
      <c r="AE91" s="2"/>
      <c r="AF91" s="2"/>
      <c r="AG91" s="2"/>
      <c r="AH91" s="2"/>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row>
    <row r="92" spans="1:80" ht="20" customHeight="1" x14ac:dyDescent="0.2">
      <c r="A92" s="1"/>
      <c r="B92" s="8">
        <f t="shared" si="10"/>
        <v>0</v>
      </c>
      <c r="C92" s="22">
        <f t="shared" si="11"/>
        <v>0</v>
      </c>
      <c r="D92" s="22">
        <f t="shared" si="12"/>
        <v>0</v>
      </c>
      <c r="E92" s="23">
        <f t="shared" si="13"/>
        <v>0</v>
      </c>
      <c r="F92" s="22">
        <f t="shared" si="14"/>
        <v>0</v>
      </c>
      <c r="G92" s="22">
        <f t="shared" si="15"/>
        <v>0</v>
      </c>
      <c r="H92" s="23">
        <f t="shared" si="16"/>
        <v>0</v>
      </c>
      <c r="I92" s="30">
        <f t="shared" si="17"/>
        <v>0</v>
      </c>
      <c r="J92" s="32">
        <f t="shared" si="18"/>
        <v>0</v>
      </c>
      <c r="K92" s="1"/>
      <c r="L92" s="2"/>
      <c r="M92" s="2"/>
      <c r="N92" s="2"/>
      <c r="O92" s="2"/>
      <c r="P92" s="2"/>
      <c r="Q92" s="2"/>
      <c r="R92" s="2"/>
      <c r="S92" s="2"/>
      <c r="T92" s="2"/>
      <c r="U92" s="2"/>
      <c r="V92" s="2"/>
      <c r="W92" s="2"/>
      <c r="X92" s="2"/>
      <c r="Y92" s="2"/>
      <c r="Z92" s="2"/>
      <c r="AA92" s="2"/>
      <c r="AB92" s="2"/>
      <c r="AC92" s="2"/>
      <c r="AD92" s="2"/>
      <c r="AE92" s="2"/>
      <c r="AF92" s="2"/>
      <c r="AG92" s="2"/>
      <c r="AH92" s="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row>
    <row r="93" spans="1:80" ht="20" customHeight="1" x14ac:dyDescent="0.2">
      <c r="A93" s="1"/>
      <c r="B93" s="8">
        <f t="shared" si="10"/>
        <v>0</v>
      </c>
      <c r="C93" s="22">
        <f t="shared" si="11"/>
        <v>0</v>
      </c>
      <c r="D93" s="22">
        <f t="shared" si="12"/>
        <v>0</v>
      </c>
      <c r="E93" s="23">
        <f t="shared" si="13"/>
        <v>0</v>
      </c>
      <c r="F93" s="22">
        <f t="shared" si="14"/>
        <v>0</v>
      </c>
      <c r="G93" s="22">
        <f t="shared" si="15"/>
        <v>0</v>
      </c>
      <c r="H93" s="23">
        <f t="shared" si="16"/>
        <v>0</v>
      </c>
      <c r="I93" s="30">
        <f t="shared" si="17"/>
        <v>0</v>
      </c>
      <c r="J93" s="32">
        <f t="shared" si="18"/>
        <v>0</v>
      </c>
      <c r="K93" s="1"/>
      <c r="L93" s="2"/>
      <c r="M93" s="2"/>
      <c r="N93" s="2"/>
      <c r="O93" s="2"/>
      <c r="P93" s="2"/>
      <c r="Q93" s="2"/>
      <c r="R93" s="2"/>
      <c r="S93" s="2"/>
      <c r="T93" s="2"/>
      <c r="U93" s="2"/>
      <c r="V93" s="2"/>
      <c r="W93" s="2"/>
      <c r="X93" s="2"/>
      <c r="Y93" s="2"/>
      <c r="Z93" s="2"/>
      <c r="AA93" s="2"/>
      <c r="AB93" s="2"/>
      <c r="AC93" s="2"/>
      <c r="AD93" s="2"/>
      <c r="AE93" s="2"/>
      <c r="AF93" s="2"/>
      <c r="AG93" s="2"/>
      <c r="AH93" s="2"/>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row>
    <row r="94" spans="1:80" x14ac:dyDescent="0.2">
      <c r="A94" s="1"/>
      <c r="B94" s="1"/>
      <c r="C94" s="1"/>
      <c r="D94" s="1"/>
      <c r="E94" s="1"/>
      <c r="F94" s="1"/>
      <c r="G94" s="1"/>
      <c r="H94" s="1"/>
      <c r="I94" s="1"/>
      <c r="J94" s="1"/>
      <c r="K94" s="1"/>
      <c r="L94" s="2"/>
      <c r="M94" s="2"/>
      <c r="N94" s="2"/>
      <c r="O94" s="2"/>
      <c r="P94" s="2"/>
      <c r="Q94" s="2"/>
      <c r="R94" s="2"/>
      <c r="S94" s="2"/>
      <c r="T94" s="2"/>
      <c r="U94" s="2"/>
      <c r="V94" s="2"/>
      <c r="W94" s="2"/>
      <c r="X94" s="2"/>
      <c r="Y94" s="2"/>
      <c r="Z94" s="2"/>
      <c r="AA94" s="2"/>
      <c r="AB94" s="2"/>
      <c r="AC94" s="2"/>
      <c r="AD94" s="2"/>
      <c r="AE94" s="2"/>
      <c r="AF94" s="2"/>
      <c r="AG94" s="2"/>
      <c r="AH94" s="2"/>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row>
    <row r="95" spans="1:80" x14ac:dyDescent="0.2">
      <c r="A95" s="1"/>
      <c r="B95" s="1"/>
      <c r="C95" s="1"/>
      <c r="D95" s="1"/>
      <c r="E95" s="1"/>
      <c r="F95" s="1"/>
      <c r="G95" s="1"/>
      <c r="H95" s="1"/>
      <c r="I95" s="1"/>
      <c r="J95" s="1"/>
      <c r="K95" s="1"/>
      <c r="L95" s="2"/>
      <c r="M95" s="2"/>
      <c r="N95" s="2"/>
      <c r="O95" s="2"/>
      <c r="P95" s="2"/>
      <c r="Q95" s="2"/>
      <c r="R95" s="2"/>
      <c r="S95" s="2"/>
      <c r="T95" s="2"/>
      <c r="U95" s="2"/>
      <c r="V95" s="2"/>
      <c r="W95" s="2"/>
      <c r="X95" s="2"/>
      <c r="Y95" s="2"/>
      <c r="Z95" s="2"/>
      <c r="AA95" s="2"/>
      <c r="AB95" s="2"/>
      <c r="AC95" s="2"/>
      <c r="AD95" s="2"/>
      <c r="AE95" s="2"/>
      <c r="AF95" s="2"/>
      <c r="AG95" s="2"/>
      <c r="AH95" s="2"/>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row>
    <row r="96" spans="1:80" ht="22" customHeight="1" x14ac:dyDescent="0.2">
      <c r="A96" s="1"/>
      <c r="B96" s="5" t="s">
        <v>179</v>
      </c>
      <c r="C96" s="1"/>
      <c r="D96" s="1"/>
      <c r="E96" s="1"/>
      <c r="F96" s="1"/>
      <c r="G96" s="1"/>
      <c r="H96" s="1"/>
      <c r="I96" s="1"/>
      <c r="J96" s="1"/>
      <c r="K96" s="1"/>
      <c r="L96" s="2"/>
      <c r="M96" s="2"/>
      <c r="N96" s="2"/>
      <c r="O96" s="2"/>
      <c r="P96" s="2"/>
      <c r="Q96" s="2"/>
      <c r="R96" s="2"/>
      <c r="S96" s="2"/>
      <c r="T96" s="2"/>
      <c r="U96" s="2"/>
      <c r="V96" s="2"/>
      <c r="W96" s="2"/>
      <c r="X96" s="2"/>
      <c r="Y96" s="2"/>
      <c r="Z96" s="2"/>
      <c r="AA96" s="2"/>
      <c r="AB96" s="2"/>
      <c r="AC96" s="2"/>
      <c r="AD96" s="2"/>
      <c r="AE96" s="2"/>
      <c r="AF96" s="2"/>
      <c r="AG96" s="2"/>
      <c r="AH96" s="2"/>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row>
    <row r="97" spans="1:80" ht="22" customHeight="1" x14ac:dyDescent="0.2">
      <c r="A97" s="1"/>
      <c r="B97" s="6" t="s">
        <v>180</v>
      </c>
      <c r="C97" s="1"/>
      <c r="D97" s="1"/>
      <c r="E97" s="14" t="s">
        <v>181</v>
      </c>
      <c r="F97" s="1"/>
      <c r="G97" s="14" t="s">
        <v>182</v>
      </c>
      <c r="H97" s="1"/>
      <c r="I97" s="14" t="s">
        <v>183</v>
      </c>
      <c r="J97" s="1"/>
      <c r="K97" s="1"/>
      <c r="L97" s="2"/>
      <c r="M97" s="2"/>
      <c r="N97" s="2"/>
      <c r="O97" s="2"/>
      <c r="P97" s="2"/>
      <c r="Q97" s="2"/>
      <c r="R97" s="2"/>
      <c r="S97" s="2"/>
      <c r="T97" s="2"/>
      <c r="U97" s="2"/>
      <c r="V97" s="2"/>
      <c r="W97" s="2"/>
      <c r="X97" s="2"/>
      <c r="Y97" s="2"/>
      <c r="Z97" s="2"/>
      <c r="AA97" s="2"/>
      <c r="AB97" s="2"/>
      <c r="AC97" s="2"/>
      <c r="AD97" s="2"/>
      <c r="AE97" s="2"/>
      <c r="AF97" s="2"/>
      <c r="AG97" s="2"/>
      <c r="AH97" s="2"/>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row>
    <row r="98" spans="1:80" ht="24" customHeight="1" x14ac:dyDescent="0.2">
      <c r="A98" s="1"/>
      <c r="B98" s="82"/>
      <c r="C98" s="83"/>
      <c r="D98" s="84"/>
      <c r="E98" s="49"/>
      <c r="F98" s="2"/>
      <c r="G98" s="91">
        <f>N62</f>
        <v>0</v>
      </c>
      <c r="H98" s="72"/>
      <c r="I98" s="79">
        <f>N64*100</f>
        <v>0</v>
      </c>
      <c r="J98" s="72"/>
      <c r="K98" s="1"/>
      <c r="L98" s="2"/>
      <c r="M98" s="2"/>
      <c r="N98" s="2"/>
      <c r="O98" s="2"/>
      <c r="P98" s="2"/>
      <c r="Q98" s="2"/>
      <c r="R98" s="2"/>
      <c r="S98" s="2"/>
      <c r="T98" s="2"/>
      <c r="U98" s="2"/>
      <c r="V98" s="2"/>
      <c r="W98" s="2"/>
      <c r="X98" s="2"/>
      <c r="Y98" s="2"/>
      <c r="Z98" s="2"/>
      <c r="AA98" s="2"/>
      <c r="AB98" s="2"/>
      <c r="AC98" s="2"/>
      <c r="AD98" s="2"/>
      <c r="AE98" s="2"/>
      <c r="AF98" s="2"/>
      <c r="AG98" s="2"/>
      <c r="AH98" s="2"/>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row>
    <row r="99" spans="1:80" x14ac:dyDescent="0.2">
      <c r="A99" s="1"/>
      <c r="B99" s="1"/>
      <c r="C99" s="1"/>
      <c r="D99" s="1"/>
      <c r="E99" s="1"/>
      <c r="F99" s="1"/>
      <c r="G99" s="1"/>
      <c r="H99" s="1"/>
      <c r="I99" s="1"/>
      <c r="J99" s="1"/>
      <c r="K99" s="1"/>
      <c r="L99" s="2"/>
      <c r="M99" s="2"/>
      <c r="N99" s="2"/>
      <c r="O99" s="2"/>
      <c r="P99" s="2"/>
      <c r="Q99" s="2"/>
      <c r="R99" s="2"/>
      <c r="S99" s="2"/>
      <c r="T99" s="2"/>
      <c r="U99" s="2"/>
      <c r="V99" s="2"/>
      <c r="W99" s="2"/>
      <c r="X99" s="2"/>
      <c r="Y99" s="2"/>
      <c r="Z99" s="2"/>
      <c r="AA99" s="2"/>
      <c r="AB99" s="2"/>
      <c r="AC99" s="2"/>
      <c r="AD99" s="2"/>
      <c r="AE99" s="2"/>
      <c r="AF99" s="2"/>
      <c r="AG99" s="2"/>
      <c r="AH99" s="2"/>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row>
    <row r="100" spans="1:80" ht="18" customHeight="1" x14ac:dyDescent="0.2">
      <c r="A100" s="1"/>
      <c r="B100" s="88" t="str">
        <f>"Holding Period A constant; flex applied to Period B only. Reset by setting % to 0."</f>
        <v>Holding Period A constant; flex applied to Period B only. Reset by setting % to 0.</v>
      </c>
      <c r="C100" s="72"/>
      <c r="D100" s="72"/>
      <c r="E100" s="72"/>
      <c r="F100" s="72"/>
      <c r="G100" s="72"/>
      <c r="H100" s="72"/>
      <c r="I100" s="72"/>
      <c r="J100" s="72"/>
      <c r="K100" s="1"/>
      <c r="L100" s="2"/>
      <c r="M100" s="2"/>
      <c r="N100" s="2"/>
      <c r="O100" s="2"/>
      <c r="P100" s="2"/>
      <c r="Q100" s="2"/>
      <c r="R100" s="2"/>
      <c r="S100" s="2"/>
      <c r="T100" s="2"/>
      <c r="U100" s="2"/>
      <c r="V100" s="2"/>
      <c r="W100" s="2"/>
      <c r="X100" s="2"/>
      <c r="Y100" s="2"/>
      <c r="Z100" s="2"/>
      <c r="AA100" s="2"/>
      <c r="AB100" s="2"/>
      <c r="AC100" s="2"/>
      <c r="AD100" s="2"/>
      <c r="AE100" s="2"/>
      <c r="AF100" s="2"/>
      <c r="AG100" s="2"/>
      <c r="AH100" s="2"/>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row>
    <row r="101" spans="1:80" x14ac:dyDescent="0.2">
      <c r="A101" s="1"/>
      <c r="B101" s="1"/>
      <c r="C101" s="1"/>
      <c r="D101" s="1"/>
      <c r="E101" s="1"/>
      <c r="F101" s="1"/>
      <c r="G101" s="1"/>
      <c r="H101" s="1"/>
      <c r="I101" s="1"/>
      <c r="J101" s="1"/>
      <c r="K101" s="1"/>
      <c r="L101" s="2"/>
      <c r="M101" s="2"/>
      <c r="N101" s="2"/>
      <c r="O101" s="2"/>
      <c r="P101" s="2"/>
      <c r="Q101" s="2"/>
      <c r="R101" s="2"/>
      <c r="S101" s="2"/>
      <c r="T101" s="2"/>
      <c r="U101" s="2"/>
      <c r="V101" s="2"/>
      <c r="W101" s="2"/>
      <c r="X101" s="2"/>
      <c r="Y101" s="2"/>
      <c r="Z101" s="2"/>
      <c r="AA101" s="2"/>
      <c r="AB101" s="2"/>
      <c r="AC101" s="2"/>
      <c r="AD101" s="2"/>
      <c r="AE101" s="2"/>
      <c r="AF101" s="2"/>
      <c r="AG101" s="2"/>
      <c r="AH101" s="2"/>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row>
    <row r="102" spans="1:80" x14ac:dyDescent="0.2">
      <c r="A102" s="1"/>
      <c r="B102" s="1"/>
      <c r="C102" s="1"/>
      <c r="D102" s="1"/>
      <c r="E102" s="1"/>
      <c r="F102" s="1"/>
      <c r="G102" s="1"/>
      <c r="H102" s="1"/>
      <c r="I102" s="1"/>
      <c r="J102" s="1"/>
      <c r="K102" s="1"/>
      <c r="L102" s="2"/>
      <c r="M102" s="2"/>
      <c r="N102" s="2"/>
      <c r="O102" s="2"/>
      <c r="P102" s="2"/>
      <c r="Q102" s="2"/>
      <c r="R102" s="2"/>
      <c r="S102" s="2"/>
      <c r="T102" s="2"/>
      <c r="U102" s="2"/>
      <c r="V102" s="2"/>
      <c r="W102" s="2"/>
      <c r="X102" s="2"/>
      <c r="Y102" s="2"/>
      <c r="Z102" s="2"/>
      <c r="AA102" s="2"/>
      <c r="AB102" s="2"/>
      <c r="AC102" s="2"/>
      <c r="AD102" s="2"/>
      <c r="AE102" s="2"/>
      <c r="AF102" s="2"/>
      <c r="AG102" s="2"/>
      <c r="AH102" s="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row>
    <row r="103" spans="1:80" ht="22" customHeight="1" x14ac:dyDescent="0.2">
      <c r="A103" s="1"/>
      <c r="B103" s="5" t="s">
        <v>185</v>
      </c>
      <c r="C103" s="1"/>
      <c r="D103" s="1"/>
      <c r="E103" s="1"/>
      <c r="F103" s="1"/>
      <c r="G103" s="1"/>
      <c r="H103" s="1"/>
      <c r="I103" s="1"/>
      <c r="J103" s="1"/>
      <c r="K103" s="1"/>
      <c r="L103" s="2"/>
      <c r="M103" s="2"/>
      <c r="N103" s="2"/>
      <c r="O103" s="2"/>
      <c r="P103" s="2"/>
      <c r="Q103" s="2"/>
      <c r="R103" s="2"/>
      <c r="S103" s="2"/>
      <c r="T103" s="2"/>
      <c r="U103" s="2"/>
      <c r="V103" s="2"/>
      <c r="W103" s="2"/>
      <c r="X103" s="2"/>
      <c r="Y103" s="2"/>
      <c r="Z103" s="2"/>
      <c r="AA103" s="2"/>
      <c r="AB103" s="2"/>
      <c r="AC103" s="2"/>
      <c r="AD103" s="2"/>
      <c r="AE103" s="2"/>
      <c r="AF103" s="2"/>
      <c r="AG103" s="2"/>
      <c r="AH103" s="2"/>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row>
    <row r="104" spans="1:80" ht="22" customHeight="1" x14ac:dyDescent="0.2">
      <c r="A104" s="1"/>
      <c r="B104" s="8" t="str">
        <f>inp_biz_period_a_label&amp;" gross margin"</f>
        <v xml:space="preserve"> gross margin</v>
      </c>
      <c r="C104" s="2"/>
      <c r="D104" s="2"/>
      <c r="E104" s="23">
        <f>calc_GM_A</f>
        <v>0</v>
      </c>
      <c r="F104" s="50">
        <f>IFERROR(INDEX(ref_vertical_gm_mid,MATCH(inp_biz_vertical,ref_vertical_codes,0)),0)</f>
        <v>0.55000000000000004</v>
      </c>
      <c r="G104" s="51" t="s">
        <v>186</v>
      </c>
      <c r="H104" s="2"/>
      <c r="I104" s="32">
        <f>(calc_GM_A-IFERROR(INDEX(ref_vertical_gm_mid,MATCH(inp_biz_vertical,ref_vertical_codes,0)),0))*100</f>
        <v>-55.000000000000007</v>
      </c>
      <c r="J104" s="2"/>
      <c r="K104" s="1"/>
      <c r="L104" s="2"/>
      <c r="M104" s="2"/>
      <c r="N104" s="2"/>
      <c r="O104" s="2"/>
      <c r="P104" s="2"/>
      <c r="Q104" s="2"/>
      <c r="R104" s="2"/>
      <c r="S104" s="2"/>
      <c r="T104" s="2"/>
      <c r="U104" s="2"/>
      <c r="V104" s="2"/>
      <c r="W104" s="2"/>
      <c r="X104" s="2"/>
      <c r="Y104" s="2"/>
      <c r="Z104" s="2"/>
      <c r="AA104" s="2"/>
      <c r="AB104" s="2"/>
      <c r="AC104" s="2"/>
      <c r="AD104" s="2"/>
      <c r="AE104" s="2"/>
      <c r="AF104" s="2"/>
      <c r="AG104" s="2"/>
      <c r="AH104" s="2"/>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row>
    <row r="105" spans="1:80" ht="22" customHeight="1" x14ac:dyDescent="0.2">
      <c r="A105" s="1"/>
      <c r="B105" s="8" t="str">
        <f>inp_biz_period_b_label&amp;" gross margin"</f>
        <v xml:space="preserve"> gross margin</v>
      </c>
      <c r="C105" s="2"/>
      <c r="D105" s="2"/>
      <c r="E105" s="23">
        <f>calc_GM_B</f>
        <v>0</v>
      </c>
      <c r="F105" s="50">
        <f>IFERROR(INDEX(ref_vertical_gm_mid,MATCH(inp_biz_vertical,ref_vertical_codes,0)),0)</f>
        <v>0.55000000000000004</v>
      </c>
      <c r="G105" s="51" t="s">
        <v>186</v>
      </c>
      <c r="H105" s="2"/>
      <c r="I105" s="32">
        <f>(calc_GM_B-IFERROR(INDEX(ref_vertical_gm_mid,MATCH(inp_biz_vertical,ref_vertical_codes,0)),0))*100</f>
        <v>-55.000000000000007</v>
      </c>
      <c r="J105" s="2"/>
      <c r="K105" s="1"/>
      <c r="L105" s="2"/>
      <c r="M105" s="2"/>
      <c r="N105" s="2"/>
      <c r="O105" s="2"/>
      <c r="P105" s="2"/>
      <c r="Q105" s="2"/>
      <c r="R105" s="2"/>
      <c r="S105" s="2"/>
      <c r="T105" s="2"/>
      <c r="U105" s="2"/>
      <c r="V105" s="2"/>
      <c r="W105" s="2"/>
      <c r="X105" s="2"/>
      <c r="Y105" s="2"/>
      <c r="Z105" s="2"/>
      <c r="AA105" s="2"/>
      <c r="AB105" s="2"/>
      <c r="AC105" s="2"/>
      <c r="AD105" s="2"/>
      <c r="AE105" s="2"/>
      <c r="AF105" s="2"/>
      <c r="AG105" s="2"/>
      <c r="AH105" s="2"/>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row>
    <row r="106" spans="1:80" ht="22" customHeight="1" x14ac:dyDescent="0.2">
      <c r="A106" s="1"/>
      <c r="B106" s="51" t="s">
        <v>187</v>
      </c>
      <c r="C106" s="2"/>
      <c r="D106" s="2"/>
      <c r="E106" s="90" t="str">
        <f>IFERROR(INDEX(ref_vertical_source,MATCH(inp_biz_vertical,ref_vertical_codes,0)),"")</f>
        <v>Parakeeto / AgencyAnalytics: healthy agency delivery (gross) margin 50-60%+ at P&amp;L level.</v>
      </c>
      <c r="F106" s="72"/>
      <c r="G106" s="72"/>
      <c r="H106" s="72"/>
      <c r="I106" s="72"/>
      <c r="J106" s="72"/>
      <c r="K106" s="1"/>
      <c r="L106" s="2"/>
      <c r="M106" s="2"/>
      <c r="N106" s="2"/>
      <c r="O106" s="2"/>
      <c r="P106" s="2"/>
      <c r="Q106" s="2"/>
      <c r="R106" s="2"/>
      <c r="S106" s="2"/>
      <c r="T106" s="2"/>
      <c r="U106" s="2"/>
      <c r="V106" s="2"/>
      <c r="W106" s="2"/>
      <c r="X106" s="2"/>
      <c r="Y106" s="2"/>
      <c r="Z106" s="2"/>
      <c r="AA106" s="2"/>
      <c r="AB106" s="2"/>
      <c r="AC106" s="2"/>
      <c r="AD106" s="2"/>
      <c r="AE106" s="2"/>
      <c r="AF106" s="2"/>
      <c r="AG106" s="2"/>
      <c r="AH106" s="2"/>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row>
    <row r="107" spans="1:80" x14ac:dyDescent="0.2">
      <c r="A107" s="1"/>
      <c r="B107" s="1"/>
      <c r="C107" s="1"/>
      <c r="D107" s="1"/>
      <c r="E107" s="1"/>
      <c r="F107" s="1"/>
      <c r="G107" s="1"/>
      <c r="H107" s="1"/>
      <c r="I107" s="1"/>
      <c r="J107" s="1"/>
      <c r="K107" s="1"/>
      <c r="L107" s="2"/>
      <c r="M107" s="2"/>
      <c r="N107" s="2"/>
      <c r="O107" s="2"/>
      <c r="P107" s="2"/>
      <c r="Q107" s="2"/>
      <c r="R107" s="2"/>
      <c r="S107" s="2"/>
      <c r="T107" s="2"/>
      <c r="U107" s="2"/>
      <c r="V107" s="2"/>
      <c r="W107" s="2"/>
      <c r="X107" s="2"/>
      <c r="Y107" s="2"/>
      <c r="Z107" s="2"/>
      <c r="AA107" s="2"/>
      <c r="AB107" s="2"/>
      <c r="AC107" s="2"/>
      <c r="AD107" s="2"/>
      <c r="AE107" s="2"/>
      <c r="AF107" s="2"/>
      <c r="AG107" s="2"/>
      <c r="AH107" s="2"/>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row>
    <row r="108" spans="1:80" x14ac:dyDescent="0.2">
      <c r="A108" s="1"/>
      <c r="B108" s="1"/>
      <c r="C108" s="1"/>
      <c r="D108" s="1"/>
      <c r="E108" s="1"/>
      <c r="F108" s="1"/>
      <c r="G108" s="1"/>
      <c r="H108" s="1"/>
      <c r="I108" s="1"/>
      <c r="J108" s="1"/>
      <c r="K108" s="1"/>
      <c r="L108" s="2"/>
      <c r="M108" s="2"/>
      <c r="N108" s="2"/>
      <c r="O108" s="2"/>
      <c r="P108" s="2"/>
      <c r="Q108" s="2"/>
      <c r="R108" s="2"/>
      <c r="S108" s="2"/>
      <c r="T108" s="2"/>
      <c r="U108" s="2"/>
      <c r="V108" s="2"/>
      <c r="W108" s="2"/>
      <c r="X108" s="2"/>
      <c r="Y108" s="2"/>
      <c r="Z108" s="2"/>
      <c r="AA108" s="2"/>
      <c r="AB108" s="2"/>
      <c r="AC108" s="2"/>
      <c r="AD108" s="2"/>
      <c r="AE108" s="2"/>
      <c r="AF108" s="2"/>
      <c r="AG108" s="2"/>
      <c r="AH108" s="2"/>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row>
    <row r="109" spans="1:80" ht="22" customHeight="1" x14ac:dyDescent="0.2">
      <c r="A109" s="1"/>
      <c r="B109" s="5" t="s">
        <v>188</v>
      </c>
      <c r="C109" s="1"/>
      <c r="D109" s="1"/>
      <c r="E109" s="1"/>
      <c r="F109" s="1"/>
      <c r="G109" s="1"/>
      <c r="H109" s="1"/>
      <c r="I109" s="3" t="s">
        <v>189</v>
      </c>
      <c r="J109" s="52" t="str">
        <f>IF(COUNTIF(J111:J125,"FAIL")=0,"PASS","FAIL ("&amp;COUNTIF(J111:J125,"FAIL")&amp;")")</f>
        <v>PASS</v>
      </c>
      <c r="K109" s="1"/>
      <c r="L109" s="2"/>
      <c r="M109" s="2"/>
      <c r="N109" s="2"/>
      <c r="O109" s="2"/>
      <c r="P109" s="2"/>
      <c r="Q109" s="2"/>
      <c r="R109" s="2"/>
      <c r="S109" s="2"/>
      <c r="T109" s="2"/>
      <c r="U109" s="2"/>
      <c r="V109" s="2"/>
      <c r="W109" s="2"/>
      <c r="X109" s="2"/>
      <c r="Y109" s="2"/>
      <c r="Z109" s="2"/>
      <c r="AA109" s="2"/>
      <c r="AB109" s="2"/>
      <c r="AC109" s="2"/>
      <c r="AD109" s="2"/>
      <c r="AE109" s="2"/>
      <c r="AF109" s="2"/>
      <c r="AG109" s="2"/>
      <c r="AH109" s="2"/>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row>
    <row r="110" spans="1:80" ht="22" customHeight="1" x14ac:dyDescent="0.2">
      <c r="A110" s="1"/>
      <c r="B110" s="6" t="s">
        <v>190</v>
      </c>
      <c r="C110" s="86" t="s">
        <v>191</v>
      </c>
      <c r="D110" s="87"/>
      <c r="E110" s="87"/>
      <c r="F110" s="87"/>
      <c r="G110" s="87"/>
      <c r="H110" s="14" t="s">
        <v>192</v>
      </c>
      <c r="I110" s="14" t="s">
        <v>193</v>
      </c>
      <c r="J110" s="53" t="s">
        <v>194</v>
      </c>
      <c r="K110" s="1"/>
      <c r="L110" s="2"/>
      <c r="M110" s="2"/>
      <c r="N110" s="2"/>
      <c r="O110" s="2"/>
      <c r="P110" s="2"/>
      <c r="Q110" s="2"/>
      <c r="R110" s="2"/>
      <c r="S110" s="2"/>
      <c r="T110" s="2"/>
      <c r="U110" s="2"/>
      <c r="V110" s="2"/>
      <c r="W110" s="2"/>
      <c r="X110" s="2"/>
      <c r="Y110" s="2"/>
      <c r="Z110" s="2"/>
      <c r="AA110" s="2"/>
      <c r="AB110" s="2"/>
      <c r="AC110" s="2"/>
      <c r="AD110" s="2"/>
      <c r="AE110" s="2"/>
      <c r="AF110" s="2"/>
      <c r="AG110" s="2"/>
      <c r="AH110" s="2"/>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row>
    <row r="111" spans="1:80" ht="20" customHeight="1" x14ac:dyDescent="0.2">
      <c r="A111" s="1"/>
      <c r="B111" s="33" t="s">
        <v>195</v>
      </c>
      <c r="C111" s="73" t="s">
        <v>196</v>
      </c>
      <c r="D111" s="72"/>
      <c r="E111" s="72"/>
      <c r="F111" s="72"/>
      <c r="G111" s="72"/>
      <c r="H111" s="54">
        <f>SUM(D19:D24)</f>
        <v>0</v>
      </c>
      <c r="I111" s="55">
        <f>calc_R_A</f>
        <v>0</v>
      </c>
      <c r="J111" s="56" t="str">
        <f t="shared" ref="J111:J118" si="19">IF(ABS(I111-H111)&lt;=0.5,"PASS","FAIL")</f>
        <v>PASS</v>
      </c>
      <c r="K111" s="1"/>
      <c r="L111" s="2"/>
      <c r="M111" s="2"/>
      <c r="N111" s="2"/>
      <c r="O111" s="2"/>
      <c r="P111" s="2"/>
      <c r="Q111" s="2"/>
      <c r="R111" s="2"/>
      <c r="S111" s="2"/>
      <c r="T111" s="2"/>
      <c r="U111" s="2"/>
      <c r="V111" s="2"/>
      <c r="W111" s="2"/>
      <c r="X111" s="2"/>
      <c r="Y111" s="2"/>
      <c r="Z111" s="2"/>
      <c r="AA111" s="2"/>
      <c r="AB111" s="2"/>
      <c r="AC111" s="2"/>
      <c r="AD111" s="2"/>
      <c r="AE111" s="2"/>
      <c r="AF111" s="2"/>
      <c r="AG111" s="2"/>
      <c r="AH111" s="2"/>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row>
    <row r="112" spans="1:80" ht="20" customHeight="1" x14ac:dyDescent="0.2">
      <c r="A112" s="1"/>
      <c r="B112" s="33" t="s">
        <v>197</v>
      </c>
      <c r="C112" s="73" t="s">
        <v>198</v>
      </c>
      <c r="D112" s="72"/>
      <c r="E112" s="72"/>
      <c r="F112" s="72"/>
      <c r="G112" s="72"/>
      <c r="H112" s="54">
        <f>SUM(D34:D39)</f>
        <v>0</v>
      </c>
      <c r="I112" s="55">
        <f>calc_R_B</f>
        <v>0</v>
      </c>
      <c r="J112" s="56" t="str">
        <f t="shared" si="19"/>
        <v>PASS</v>
      </c>
      <c r="K112" s="1"/>
      <c r="L112" s="2"/>
      <c r="M112" s="2"/>
      <c r="N112" s="2"/>
      <c r="O112" s="2"/>
      <c r="P112" s="2"/>
      <c r="Q112" s="2"/>
      <c r="R112" s="2"/>
      <c r="S112" s="2"/>
      <c r="T112" s="2"/>
      <c r="U112" s="2"/>
      <c r="V112" s="2"/>
      <c r="W112" s="2"/>
      <c r="X112" s="2"/>
      <c r="Y112" s="2"/>
      <c r="Z112" s="2"/>
      <c r="AA112" s="2"/>
      <c r="AB112" s="2"/>
      <c r="AC112" s="2"/>
      <c r="AD112" s="2"/>
      <c r="AE112" s="2"/>
      <c r="AF112" s="2"/>
      <c r="AG112" s="2"/>
      <c r="AH112" s="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row>
    <row r="113" spans="1:80" ht="20" customHeight="1" x14ac:dyDescent="0.2">
      <c r="A113" s="1"/>
      <c r="B113" s="33" t="s">
        <v>199</v>
      </c>
      <c r="C113" s="73" t="s">
        <v>200</v>
      </c>
      <c r="D113" s="72"/>
      <c r="E113" s="72"/>
      <c r="F113" s="72"/>
      <c r="G113" s="72"/>
      <c r="H113" s="54">
        <f>SUM(L19:L24)</f>
        <v>0</v>
      </c>
      <c r="I113" s="55">
        <f>calc_VC_A</f>
        <v>0</v>
      </c>
      <c r="J113" s="56" t="str">
        <f t="shared" si="19"/>
        <v>PASS</v>
      </c>
      <c r="K113" s="1"/>
      <c r="L113" s="2"/>
      <c r="M113" s="2"/>
      <c r="N113" s="2"/>
      <c r="O113" s="2"/>
      <c r="P113" s="2"/>
      <c r="Q113" s="2"/>
      <c r="R113" s="2"/>
      <c r="S113" s="2"/>
      <c r="T113" s="2"/>
      <c r="U113" s="2"/>
      <c r="V113" s="2"/>
      <c r="W113" s="2"/>
      <c r="X113" s="2"/>
      <c r="Y113" s="2"/>
      <c r="Z113" s="2"/>
      <c r="AA113" s="2"/>
      <c r="AB113" s="2"/>
      <c r="AC113" s="2"/>
      <c r="AD113" s="2"/>
      <c r="AE113" s="2"/>
      <c r="AF113" s="2"/>
      <c r="AG113" s="2"/>
      <c r="AH113" s="2"/>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row>
    <row r="114" spans="1:80" ht="20" customHeight="1" x14ac:dyDescent="0.2">
      <c r="A114" s="1"/>
      <c r="B114" s="33" t="s">
        <v>201</v>
      </c>
      <c r="C114" s="73" t="s">
        <v>202</v>
      </c>
      <c r="D114" s="72"/>
      <c r="E114" s="72"/>
      <c r="F114" s="72"/>
      <c r="G114" s="72"/>
      <c r="H114" s="54">
        <f>SUM(L34:L39)</f>
        <v>0</v>
      </c>
      <c r="I114" s="55">
        <f>calc_VC_B</f>
        <v>0</v>
      </c>
      <c r="J114" s="56" t="str">
        <f t="shared" si="19"/>
        <v>PASS</v>
      </c>
      <c r="K114" s="1"/>
      <c r="L114" s="2"/>
      <c r="M114" s="2"/>
      <c r="N114" s="2"/>
      <c r="O114" s="2"/>
      <c r="P114" s="2"/>
      <c r="Q114" s="2"/>
      <c r="R114" s="2"/>
      <c r="S114" s="2"/>
      <c r="T114" s="2"/>
      <c r="U114" s="2"/>
      <c r="V114" s="2"/>
      <c r="W114" s="2"/>
      <c r="X114" s="2"/>
      <c r="Y114" s="2"/>
      <c r="Z114" s="2"/>
      <c r="AA114" s="2"/>
      <c r="AB114" s="2"/>
      <c r="AC114" s="2"/>
      <c r="AD114" s="2"/>
      <c r="AE114" s="2"/>
      <c r="AF114" s="2"/>
      <c r="AG114" s="2"/>
      <c r="AH114" s="2"/>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row>
    <row r="115" spans="1:80" ht="20" customHeight="1" x14ac:dyDescent="0.2">
      <c r="A115" s="1"/>
      <c r="B115" s="33" t="s">
        <v>203</v>
      </c>
      <c r="C115" s="73" t="s">
        <v>204</v>
      </c>
      <c r="D115" s="72"/>
      <c r="E115" s="72"/>
      <c r="F115" s="72"/>
      <c r="G115" s="72"/>
      <c r="H115" s="54">
        <f>calc_R_A-calc_VC_A-calc_F_A</f>
        <v>0</v>
      </c>
      <c r="I115" s="55">
        <f>calc_GP_A</f>
        <v>0</v>
      </c>
      <c r="J115" s="56" t="str">
        <f t="shared" si="19"/>
        <v>PASS</v>
      </c>
      <c r="K115" s="1"/>
      <c r="L115" s="2"/>
      <c r="M115" s="2"/>
      <c r="N115" s="2"/>
      <c r="O115" s="2"/>
      <c r="P115" s="2"/>
      <c r="Q115" s="2"/>
      <c r="R115" s="2"/>
      <c r="S115" s="2"/>
      <c r="T115" s="2"/>
      <c r="U115" s="2"/>
      <c r="V115" s="2"/>
      <c r="W115" s="2"/>
      <c r="X115" s="2"/>
      <c r="Y115" s="2"/>
      <c r="Z115" s="2"/>
      <c r="AA115" s="2"/>
      <c r="AB115" s="2"/>
      <c r="AC115" s="2"/>
      <c r="AD115" s="2"/>
      <c r="AE115" s="2"/>
      <c r="AF115" s="2"/>
      <c r="AG115" s="2"/>
      <c r="AH115" s="2"/>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row>
    <row r="116" spans="1:80" ht="20" customHeight="1" x14ac:dyDescent="0.2">
      <c r="A116" s="1"/>
      <c r="B116" s="33" t="s">
        <v>205</v>
      </c>
      <c r="C116" s="73" t="s">
        <v>206</v>
      </c>
      <c r="D116" s="72"/>
      <c r="E116" s="72"/>
      <c r="F116" s="72"/>
      <c r="G116" s="72"/>
      <c r="H116" s="54">
        <f>calc_R_B-calc_VC_B-calc_F_B</f>
        <v>0</v>
      </c>
      <c r="I116" s="55">
        <f>calc_GP_B</f>
        <v>0</v>
      </c>
      <c r="J116" s="56" t="str">
        <f t="shared" si="19"/>
        <v>PASS</v>
      </c>
      <c r="K116" s="1"/>
      <c r="L116" s="2"/>
      <c r="M116" s="2"/>
      <c r="N116" s="2"/>
      <c r="O116" s="2"/>
      <c r="P116" s="2"/>
      <c r="Q116" s="2"/>
      <c r="R116" s="2"/>
      <c r="S116" s="2"/>
      <c r="T116" s="2"/>
      <c r="U116" s="2"/>
      <c r="V116" s="2"/>
      <c r="W116" s="2"/>
      <c r="X116" s="2"/>
      <c r="Y116" s="2"/>
      <c r="Z116" s="2"/>
      <c r="AA116" s="2"/>
      <c r="AB116" s="2"/>
      <c r="AC116" s="2"/>
      <c r="AD116" s="2"/>
      <c r="AE116" s="2"/>
      <c r="AF116" s="2"/>
      <c r="AG116" s="2"/>
      <c r="AH116" s="2"/>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row>
    <row r="117" spans="1:80" ht="20" customHeight="1" x14ac:dyDescent="0.2">
      <c r="A117" s="1"/>
      <c r="B117" s="33" t="s">
        <v>207</v>
      </c>
      <c r="C117" s="73" t="s">
        <v>208</v>
      </c>
      <c r="D117" s="72"/>
      <c r="E117" s="72"/>
      <c r="F117" s="72"/>
      <c r="G117" s="72"/>
      <c r="H117" s="54">
        <f>calc_GP_A</f>
        <v>0</v>
      </c>
      <c r="I117" s="55">
        <f>N39</f>
        <v>0</v>
      </c>
      <c r="J117" s="56" t="str">
        <f t="shared" si="19"/>
        <v>PASS</v>
      </c>
      <c r="K117" s="1"/>
      <c r="L117" s="2"/>
      <c r="M117" s="2"/>
      <c r="N117" s="2"/>
      <c r="O117" s="2"/>
      <c r="P117" s="2"/>
      <c r="Q117" s="2"/>
      <c r="R117" s="2"/>
      <c r="S117" s="2"/>
      <c r="T117" s="2"/>
      <c r="U117" s="2"/>
      <c r="V117" s="2"/>
      <c r="W117" s="2"/>
      <c r="X117" s="2"/>
      <c r="Y117" s="2"/>
      <c r="Z117" s="2"/>
      <c r="AA117" s="2"/>
      <c r="AB117" s="2"/>
      <c r="AC117" s="2"/>
      <c r="AD117" s="2"/>
      <c r="AE117" s="2"/>
      <c r="AF117" s="2"/>
      <c r="AG117" s="2"/>
      <c r="AH117" s="2"/>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row>
    <row r="118" spans="1:80" ht="20" customHeight="1" x14ac:dyDescent="0.2">
      <c r="A118" s="1"/>
      <c r="B118" s="33" t="s">
        <v>209</v>
      </c>
      <c r="C118" s="73" t="s">
        <v>210</v>
      </c>
      <c r="D118" s="72"/>
      <c r="E118" s="72"/>
      <c r="F118" s="72"/>
      <c r="G118" s="72"/>
      <c r="H118" s="54">
        <f>calc_GP_B</f>
        <v>0</v>
      </c>
      <c r="I118" s="55">
        <f>N44</f>
        <v>0</v>
      </c>
      <c r="J118" s="56" t="str">
        <f t="shared" si="19"/>
        <v>PASS</v>
      </c>
      <c r="K118" s="1"/>
      <c r="L118" s="2"/>
      <c r="M118" s="2"/>
      <c r="N118" s="2"/>
      <c r="O118" s="2"/>
      <c r="P118" s="2"/>
      <c r="Q118" s="2"/>
      <c r="R118" s="2"/>
      <c r="S118" s="2"/>
      <c r="T118" s="2"/>
      <c r="U118" s="2"/>
      <c r="V118" s="2"/>
      <c r="W118" s="2"/>
      <c r="X118" s="2"/>
      <c r="Y118" s="2"/>
      <c r="Z118" s="2"/>
      <c r="AA118" s="2"/>
      <c r="AB118" s="2"/>
      <c r="AC118" s="2"/>
      <c r="AD118" s="2"/>
      <c r="AE118" s="2"/>
      <c r="AF118" s="2"/>
      <c r="AG118" s="2"/>
      <c r="AH118" s="2"/>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row>
    <row r="119" spans="1:80" ht="20" customHeight="1" x14ac:dyDescent="0.2">
      <c r="A119" s="1"/>
      <c r="B119" s="33" t="s">
        <v>211</v>
      </c>
      <c r="C119" s="73" t="s">
        <v>212</v>
      </c>
      <c r="D119" s="72"/>
      <c r="E119" s="72"/>
      <c r="F119" s="72"/>
      <c r="G119" s="72"/>
      <c r="H119" s="54">
        <f>calc_GP_B</f>
        <v>0</v>
      </c>
      <c r="I119" s="55">
        <f>calc_GP_A+Q40+Q41+Q42+Q43+Q44</f>
        <v>0</v>
      </c>
      <c r="J119" s="56" t="str">
        <f>IF(ROUND(I119,2)=ROUND(H119,2),"PASS","FAIL")</f>
        <v>PASS</v>
      </c>
      <c r="K119" s="1"/>
      <c r="L119" s="2"/>
      <c r="M119" s="2"/>
      <c r="N119" s="2"/>
      <c r="O119" s="2"/>
      <c r="P119" s="2"/>
      <c r="Q119" s="2"/>
      <c r="R119" s="2"/>
      <c r="S119" s="2"/>
      <c r="T119" s="2"/>
      <c r="U119" s="2"/>
      <c r="V119" s="2"/>
      <c r="W119" s="2"/>
      <c r="X119" s="2"/>
      <c r="Y119" s="2"/>
      <c r="Z119" s="2"/>
      <c r="AA119" s="2"/>
      <c r="AB119" s="2"/>
      <c r="AC119" s="2"/>
      <c r="AD119" s="2"/>
      <c r="AE119" s="2"/>
      <c r="AF119" s="2"/>
      <c r="AG119" s="2"/>
      <c r="AH119" s="2"/>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row>
    <row r="120" spans="1:80" ht="20" customHeight="1" x14ac:dyDescent="0.2">
      <c r="A120" s="1"/>
      <c r="B120" s="33" t="s">
        <v>213</v>
      </c>
      <c r="C120" s="73" t="s">
        <v>214</v>
      </c>
      <c r="D120" s="72"/>
      <c r="E120" s="72"/>
      <c r="F120" s="72"/>
      <c r="G120" s="72"/>
      <c r="H120" s="50">
        <f>calc_GM_B</f>
        <v>0</v>
      </c>
      <c r="I120" s="57">
        <f>calc_GM_A+R40+R41+R42+R43+R44</f>
        <v>0</v>
      </c>
      <c r="J120" s="56" t="str">
        <f>IF(ABS(I120-H120)&lt;=0.000001,"PASS","FAIL")</f>
        <v>PASS</v>
      </c>
      <c r="K120" s="1"/>
      <c r="L120" s="2"/>
      <c r="M120" s="2"/>
      <c r="N120" s="2"/>
      <c r="O120" s="2"/>
      <c r="P120" s="2"/>
      <c r="Q120" s="2"/>
      <c r="R120" s="2"/>
      <c r="S120" s="2"/>
      <c r="T120" s="2"/>
      <c r="U120" s="2"/>
      <c r="V120" s="2"/>
      <c r="W120" s="2"/>
      <c r="X120" s="2"/>
      <c r="Y120" s="2"/>
      <c r="Z120" s="2"/>
      <c r="AA120" s="2"/>
      <c r="AB120" s="2"/>
      <c r="AC120" s="2"/>
      <c r="AD120" s="2"/>
      <c r="AE120" s="2"/>
      <c r="AF120" s="2"/>
      <c r="AG120" s="2"/>
      <c r="AH120" s="2"/>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row>
    <row r="121" spans="1:80" ht="20" customHeight="1" x14ac:dyDescent="0.2">
      <c r="A121" s="1"/>
      <c r="B121" s="33" t="s">
        <v>215</v>
      </c>
      <c r="C121" s="73" t="s">
        <v>216</v>
      </c>
      <c r="D121" s="72"/>
      <c r="E121" s="72"/>
      <c r="F121" s="72"/>
      <c r="G121" s="72"/>
      <c r="H121" s="58">
        <f>1</f>
        <v>1</v>
      </c>
      <c r="I121" s="59">
        <f>IF(calc_R_A=0,1,SUM(I19:I24))</f>
        <v>1</v>
      </c>
      <c r="J121" s="56" t="str">
        <f>IF(ABS(I121-H121)&lt;=0.0001,"PASS","FAIL")</f>
        <v>PASS</v>
      </c>
      <c r="K121" s="1"/>
      <c r="L121" s="2"/>
      <c r="M121" s="2"/>
      <c r="N121" s="2"/>
      <c r="O121" s="2"/>
      <c r="P121" s="2"/>
      <c r="Q121" s="2"/>
      <c r="R121" s="2"/>
      <c r="S121" s="2"/>
      <c r="T121" s="2"/>
      <c r="U121" s="2"/>
      <c r="V121" s="2"/>
      <c r="W121" s="2"/>
      <c r="X121" s="2"/>
      <c r="Y121" s="2"/>
      <c r="Z121" s="2"/>
      <c r="AA121" s="2"/>
      <c r="AB121" s="2"/>
      <c r="AC121" s="2"/>
      <c r="AD121" s="2"/>
      <c r="AE121" s="2"/>
      <c r="AF121" s="2"/>
      <c r="AG121" s="2"/>
      <c r="AH121" s="2"/>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row>
    <row r="122" spans="1:80" ht="20" customHeight="1" x14ac:dyDescent="0.2">
      <c r="A122" s="1"/>
      <c r="B122" s="33" t="s">
        <v>217</v>
      </c>
      <c r="C122" s="73" t="s">
        <v>218</v>
      </c>
      <c r="D122" s="72"/>
      <c r="E122" s="72"/>
      <c r="F122" s="72"/>
      <c r="G122" s="72"/>
      <c r="H122" s="58">
        <f>1</f>
        <v>1</v>
      </c>
      <c r="I122" s="59">
        <f>IF(calc_R_B=0,1,SUM(I34:I39))</f>
        <v>1</v>
      </c>
      <c r="J122" s="56" t="str">
        <f>IF(ABS(I122-H122)&lt;=0.0001,"PASS","FAIL")</f>
        <v>PASS</v>
      </c>
      <c r="K122" s="1"/>
      <c r="L122" s="2"/>
      <c r="M122" s="2"/>
      <c r="N122" s="2"/>
      <c r="O122" s="2"/>
      <c r="P122" s="2"/>
      <c r="Q122" s="2"/>
      <c r="R122" s="2"/>
      <c r="S122" s="2"/>
      <c r="T122" s="2"/>
      <c r="U122" s="2"/>
      <c r="V122" s="2"/>
      <c r="W122" s="2"/>
      <c r="X122" s="2"/>
      <c r="Y122" s="2"/>
      <c r="Z122" s="2"/>
      <c r="AA122" s="2"/>
      <c r="AB122" s="2"/>
      <c r="AC122" s="2"/>
      <c r="AD122" s="2"/>
      <c r="AE122" s="2"/>
      <c r="AF122" s="2"/>
      <c r="AG122" s="2"/>
      <c r="AH122" s="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row>
    <row r="123" spans="1:80" ht="20" customHeight="1" x14ac:dyDescent="0.2">
      <c r="A123" s="1"/>
      <c r="B123" s="33" t="s">
        <v>219</v>
      </c>
      <c r="C123" s="73" t="s">
        <v>220</v>
      </c>
      <c r="D123" s="72"/>
      <c r="E123" s="72"/>
      <c r="F123" s="72"/>
      <c r="G123" s="72"/>
      <c r="H123" s="60">
        <f>1</f>
        <v>1</v>
      </c>
      <c r="I123" s="61">
        <f>IF(IFERROR(INDEX(ref_vertical_gm_mid,MATCH(inp_biz_vertical,ref_vertical_codes,0)),-1)&gt;0,1,0)</f>
        <v>1</v>
      </c>
      <c r="J123" s="56" t="str">
        <f>IF(ROUND(I123,2)=ROUND(H123,2),"PASS","FAIL")</f>
        <v>PASS</v>
      </c>
      <c r="K123" s="1"/>
      <c r="L123" s="2"/>
      <c r="M123" s="2"/>
      <c r="N123" s="2"/>
      <c r="O123" s="2"/>
      <c r="P123" s="2"/>
      <c r="Q123" s="2"/>
      <c r="R123" s="2"/>
      <c r="S123" s="2"/>
      <c r="T123" s="2"/>
      <c r="U123" s="2"/>
      <c r="V123" s="2"/>
      <c r="W123" s="2"/>
      <c r="X123" s="2"/>
      <c r="Y123" s="2"/>
      <c r="Z123" s="2"/>
      <c r="AA123" s="2"/>
      <c r="AB123" s="2"/>
      <c r="AC123" s="2"/>
      <c r="AD123" s="2"/>
      <c r="AE123" s="2"/>
      <c r="AF123" s="2"/>
      <c r="AG123" s="2"/>
      <c r="AH123" s="2"/>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row>
    <row r="124" spans="1:80" ht="20" customHeight="1" x14ac:dyDescent="0.2">
      <c r="A124" s="1"/>
      <c r="B124" s="33" t="s">
        <v>221</v>
      </c>
      <c r="C124" s="73" t="s">
        <v>222</v>
      </c>
      <c r="D124" s="72"/>
      <c r="E124" s="72"/>
      <c r="F124" s="72"/>
      <c r="G124" s="72"/>
      <c r="H124" s="60">
        <f>1</f>
        <v>1</v>
      </c>
      <c r="I124" s="61">
        <f>IF(LEN(inp_biz_currency_label)&gt;0,1,0)</f>
        <v>1</v>
      </c>
      <c r="J124" s="56" t="str">
        <f>IF(ROUND(I124,2)=ROUND(H124,2),"PASS","FAIL")</f>
        <v>PASS</v>
      </c>
      <c r="K124" s="1"/>
      <c r="L124" s="2"/>
      <c r="M124" s="2"/>
      <c r="N124" s="2"/>
      <c r="O124" s="2"/>
      <c r="P124" s="2"/>
      <c r="Q124" s="2"/>
      <c r="R124" s="2"/>
      <c r="S124" s="2"/>
      <c r="T124" s="2"/>
      <c r="U124" s="2"/>
      <c r="V124" s="2"/>
      <c r="W124" s="2"/>
      <c r="X124" s="2"/>
      <c r="Y124" s="2"/>
      <c r="Z124" s="2"/>
      <c r="AA124" s="2"/>
      <c r="AB124" s="2"/>
      <c r="AC124" s="2"/>
      <c r="AD124" s="2"/>
      <c r="AE124" s="2"/>
      <c r="AF124" s="2"/>
      <c r="AG124" s="2"/>
      <c r="AH124" s="2"/>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row>
    <row r="125" spans="1:80" ht="20" customHeight="1" x14ac:dyDescent="0.2">
      <c r="A125" s="1"/>
      <c r="B125" s="33" t="s">
        <v>223</v>
      </c>
      <c r="C125" s="73" t="str">
        <f>"Residual line (Δ $ unexplained by 5 effects) within "&amp;TEXT(IF(inp_biz_residual_tol="",0.005,inp_biz_residual_tol),"0.0%")&amp;" of Period A revenue"</f>
        <v>Residual line (Δ $ unexplained by 5 effects) within 0.5% of Period A revenue</v>
      </c>
      <c r="D125" s="72"/>
      <c r="E125" s="72"/>
      <c r="F125" s="72"/>
      <c r="G125" s="72"/>
      <c r="H125" s="54">
        <f>0</f>
        <v>0</v>
      </c>
      <c r="I125" s="55">
        <f>(calc_GP_B-calc_GP_A)-(Q40+Q41+Q42+Q43+Q44)</f>
        <v>0</v>
      </c>
      <c r="J125" s="56" t="str">
        <f>IF(ABS(I125-H125)&lt;=MAX(0.5,IF(inp_biz_residual_tol="",0.005,inp_biz_residual_tol)*ABS(calc_R_A)),"PASS","FAIL")</f>
        <v>PASS</v>
      </c>
      <c r="K125" s="1"/>
      <c r="L125" s="2"/>
      <c r="M125" s="2"/>
      <c r="N125" s="2"/>
      <c r="O125" s="2"/>
      <c r="P125" s="2"/>
      <c r="Q125" s="2"/>
      <c r="R125" s="2"/>
      <c r="S125" s="2"/>
      <c r="T125" s="2"/>
      <c r="U125" s="2"/>
      <c r="V125" s="2"/>
      <c r="W125" s="2"/>
      <c r="X125" s="2"/>
      <c r="Y125" s="2"/>
      <c r="Z125" s="2"/>
      <c r="AA125" s="2"/>
      <c r="AB125" s="2"/>
      <c r="AC125" s="2"/>
      <c r="AD125" s="2"/>
      <c r="AE125" s="2"/>
      <c r="AF125" s="2"/>
      <c r="AG125" s="2"/>
      <c r="AH125" s="2"/>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row>
    <row r="126" spans="1:80" x14ac:dyDescent="0.2">
      <c r="A126" s="1"/>
      <c r="B126" s="1"/>
      <c r="C126" s="1"/>
      <c r="D126" s="1"/>
      <c r="E126" s="1"/>
      <c r="F126" s="1"/>
      <c r="G126" s="1"/>
      <c r="H126" s="1"/>
      <c r="I126" s="1"/>
      <c r="J126" s="1"/>
      <c r="K126" s="1"/>
      <c r="L126" s="2"/>
      <c r="M126" s="2"/>
      <c r="N126" s="2"/>
      <c r="O126" s="2"/>
      <c r="P126" s="2"/>
      <c r="Q126" s="2"/>
      <c r="R126" s="2"/>
      <c r="S126" s="2"/>
      <c r="T126" s="2"/>
      <c r="U126" s="2"/>
      <c r="V126" s="2"/>
      <c r="W126" s="2"/>
      <c r="X126" s="2"/>
      <c r="Y126" s="2"/>
      <c r="Z126" s="2"/>
      <c r="AA126" s="2"/>
      <c r="AB126" s="2"/>
      <c r="AC126" s="2"/>
      <c r="AD126" s="2"/>
      <c r="AE126" s="2"/>
      <c r="AF126" s="2"/>
      <c r="AG126" s="2"/>
      <c r="AH126" s="2"/>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row>
    <row r="127" spans="1:80" ht="22" customHeight="1" x14ac:dyDescent="0.2">
      <c r="A127" s="1"/>
      <c r="B127" s="10" t="s">
        <v>224</v>
      </c>
      <c r="C127" s="1"/>
      <c r="D127" s="1"/>
      <c r="E127" s="1"/>
      <c r="F127" s="1"/>
      <c r="G127" s="1"/>
      <c r="H127" s="1"/>
      <c r="I127" s="1"/>
      <c r="J127" s="3" t="s">
        <v>225</v>
      </c>
      <c r="K127" s="1"/>
      <c r="L127" s="2"/>
      <c r="M127" s="2"/>
      <c r="N127" s="2"/>
      <c r="O127" s="2"/>
      <c r="P127" s="2"/>
      <c r="Q127" s="2"/>
      <c r="R127" s="2"/>
      <c r="S127" s="2"/>
      <c r="T127" s="2"/>
      <c r="U127" s="2"/>
      <c r="V127" s="2"/>
      <c r="W127" s="2"/>
      <c r="X127" s="2"/>
      <c r="Y127" s="2"/>
      <c r="Z127" s="2"/>
      <c r="AA127" s="2"/>
      <c r="AB127" s="2"/>
      <c r="AC127" s="2"/>
      <c r="AD127" s="2"/>
      <c r="AE127" s="2"/>
      <c r="AF127" s="2"/>
      <c r="AG127" s="2"/>
      <c r="AH127" s="2"/>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row>
    <row r="128" spans="1:80" x14ac:dyDescent="0.2">
      <c r="A128" s="1"/>
      <c r="B128" s="1"/>
      <c r="C128" s="1"/>
      <c r="D128" s="1"/>
      <c r="E128" s="1"/>
      <c r="F128" s="1"/>
      <c r="G128" s="1"/>
      <c r="H128" s="1"/>
      <c r="I128" s="1"/>
      <c r="J128" s="1"/>
      <c r="K128" s="1"/>
      <c r="L128" s="2"/>
      <c r="M128" s="2"/>
      <c r="N128" s="2"/>
      <c r="O128" s="2"/>
      <c r="P128" s="2"/>
      <c r="Q128" s="2"/>
      <c r="R128" s="2"/>
      <c r="S128" s="2"/>
      <c r="T128" s="2"/>
      <c r="U128" s="2"/>
      <c r="V128" s="2"/>
      <c r="W128" s="2"/>
      <c r="X128" s="2"/>
      <c r="Y128" s="2"/>
      <c r="Z128" s="2"/>
      <c r="AA128" s="2"/>
      <c r="AB128" s="2"/>
      <c r="AC128" s="2"/>
      <c r="AD128" s="2"/>
      <c r="AE128" s="2"/>
      <c r="AF128" s="2"/>
      <c r="AG128" s="2"/>
      <c r="AH128" s="2"/>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row>
  </sheetData>
  <mergeCells count="43">
    <mergeCell ref="I32:J32"/>
    <mergeCell ref="D49:E49"/>
    <mergeCell ref="B100:J100"/>
    <mergeCell ref="C113:G113"/>
    <mergeCell ref="H49:I49"/>
    <mergeCell ref="C80:E80"/>
    <mergeCell ref="H50:I50"/>
    <mergeCell ref="E106:J106"/>
    <mergeCell ref="G98:H98"/>
    <mergeCell ref="C76:E76"/>
    <mergeCell ref="B84:I84"/>
    <mergeCell ref="C125:G125"/>
    <mergeCell ref="I98:J98"/>
    <mergeCell ref="F50:G50"/>
    <mergeCell ref="H3:J3"/>
    <mergeCell ref="C82:E82"/>
    <mergeCell ref="C119:G119"/>
    <mergeCell ref="C81:E81"/>
    <mergeCell ref="C115:G115"/>
    <mergeCell ref="B51:J51"/>
    <mergeCell ref="C116:G116"/>
    <mergeCell ref="C121:G121"/>
    <mergeCell ref="B98:D98"/>
    <mergeCell ref="C78:E78"/>
    <mergeCell ref="I17:J17"/>
    <mergeCell ref="C122:G122"/>
    <mergeCell ref="C110:G110"/>
    <mergeCell ref="C2:F2"/>
    <mergeCell ref="C124:G124"/>
    <mergeCell ref="C120:G120"/>
    <mergeCell ref="C77:E77"/>
    <mergeCell ref="C111:G111"/>
    <mergeCell ref="B49:C49"/>
    <mergeCell ref="B3:G3"/>
    <mergeCell ref="C123:G123"/>
    <mergeCell ref="C79:E79"/>
    <mergeCell ref="F49:G49"/>
    <mergeCell ref="B50:C50"/>
    <mergeCell ref="D50:E50"/>
    <mergeCell ref="C112:G112"/>
    <mergeCell ref="C118:G118"/>
    <mergeCell ref="C117:G117"/>
    <mergeCell ref="C114:G114"/>
  </mergeCells>
  <conditionalFormatting sqref="B51">
    <cfRule type="expression" dxfId="35" priority="1">
      <formula>ISNUMBER(SEARCH("BELOW",B51))</formula>
    </cfRule>
    <cfRule type="expression" dxfId="34" priority="2">
      <formula>OR(ISNUMBER(SEARCH("ABOVE",B51)),ISNUMBER(SEARCH("WITHIN",B51)))</formula>
    </cfRule>
  </conditionalFormatting>
  <conditionalFormatting sqref="F49">
    <cfRule type="expression" dxfId="33" priority="21">
      <formula>F49&gt;0</formula>
    </cfRule>
    <cfRule type="expression" dxfId="32" priority="22">
      <formula>F49&lt;0</formula>
    </cfRule>
  </conditionalFormatting>
  <conditionalFormatting sqref="F77:G81">
    <cfRule type="expression" dxfId="31" priority="3">
      <formula>F77&gt;0</formula>
    </cfRule>
    <cfRule type="expression" dxfId="30" priority="4">
      <formula>F77&lt;0</formula>
    </cfRule>
  </conditionalFormatting>
  <conditionalFormatting sqref="H49">
    <cfRule type="expression" dxfId="29" priority="23">
      <formula>H49&gt;0</formula>
    </cfRule>
    <cfRule type="expression" dxfId="28" priority="24">
      <formula>H49&lt;0</formula>
    </cfRule>
  </conditionalFormatting>
  <conditionalFormatting sqref="I98">
    <cfRule type="expression" dxfId="27" priority="19">
      <formula>I98&gt;0</formula>
    </cfRule>
    <cfRule type="expression" dxfId="26" priority="20">
      <formula>I98&lt;0</formula>
    </cfRule>
  </conditionalFormatting>
  <conditionalFormatting sqref="I104:I105">
    <cfRule type="expression" dxfId="25" priority="11">
      <formula>I104&gt;0</formula>
    </cfRule>
    <cfRule type="expression" dxfId="24" priority="12">
      <formula>I104&lt;0</formula>
    </cfRule>
  </conditionalFormatting>
  <conditionalFormatting sqref="I88:J93">
    <cfRule type="expression" dxfId="23" priority="7">
      <formula>I88&gt;0</formula>
    </cfRule>
    <cfRule type="expression" dxfId="22" priority="8">
      <formula>I88&lt;0</formula>
    </cfRule>
  </conditionalFormatting>
  <conditionalFormatting sqref="J109">
    <cfRule type="expression" dxfId="21" priority="17">
      <formula>LEFT(J109,4)="PASS"</formula>
    </cfRule>
    <cfRule type="expression" dxfId="20" priority="18">
      <formula>LEFT(J109,4)="FAIL"</formula>
    </cfRule>
  </conditionalFormatting>
  <conditionalFormatting sqref="J111:J125">
    <cfRule type="expression" dxfId="19" priority="15">
      <formula>EXACT(J111,"PASS")</formula>
    </cfRule>
    <cfRule type="expression" dxfId="18" priority="16">
      <formula>EXACT(J111,"FAIL")</formula>
    </cfRule>
  </conditionalFormatting>
  <dataValidations count="4">
    <dataValidation type="list" error="Region must be AU, NZ, or US." promptTitle="Region" prompt="Select region — switches currency label." sqref="H2" xr:uid="{00000000-0002-0000-0000-000000000000}">
      <formula1>"AU,NZ,US"</formula1>
    </dataValidation>
    <dataValidation type="list" error="Vertical must be one of the listed codes." promptTitle="Vertical" prompt="Select your business vertical — drives the industry benchmark comparison." sqref="J2" xr:uid="{00000000-0002-0000-0000-000001000000}">
      <formula1>"Agency,Consulting,Engineering,IT_Services,Professional,Recruiting,Trades,Other"</formula1>
    </dataValidation>
    <dataValidation type="list" promptTitle="Margin level" prompt="Pick Gross (revenue − direct cost) or EBITDA (gross − opex)." sqref="C13" xr:uid="{00000000-0002-0000-0000-000002000000}">
      <formula1>"Gross,EBITDA"</formula1>
    </dataValidation>
    <dataValidation type="list" promptTitle="Sensitivity variable" prompt="Choose which Period B input to flex. Period A stays unchanged." sqref="B98" xr:uid="{00000000-0002-0000-0000-000003000000}">
      <formula1>"Period B revenue,Period B direct cost,Period B fixed cost,Period B billable hours"</formula1>
    </dataValidation>
  </dataValidations>
  <hyperlinks>
    <hyperlink ref="B84" r:id="rId1" tooltip="Book a fit call · Infraxus" xr:uid="{6AD4871D-0BC0-F74F-AA04-BF628376234C}"/>
  </hyperlinks>
  <printOptions horizontalCentered="1"/>
  <pageMargins left="0.4" right="0.4" top="0.5" bottom="0.5" header="0.3" footer="0.3"/>
  <pageSetup fitToHeight="0" orientation="landscape"/>
  <headerFooter>
    <oddHeader>&amp;L&amp;9 &amp;K8896B3Infraxus · Margin Bridge and Variance Walk&amp;R&amp;9 &amp;K8896B3&amp;D</oddHeader>
    <oddFooter>&amp;L&amp;9 &amp;K8896B3infraxus.com&amp;R&amp;9 &amp;K8896B3Page &amp;P of &amp;N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E50FF"/>
    <pageSetUpPr fitToPage="1"/>
  </sheetPr>
  <dimension ref="A1:S58"/>
  <sheetViews>
    <sheetView showGridLines="0" zoomScale="140" zoomScaleNormal="140" workbookViewId="0">
      <pane xSplit="2" ySplit="7" topLeftCell="C8" activePane="bottomRight" state="frozen"/>
      <selection pane="topRight"/>
      <selection pane="bottomLeft"/>
      <selection pane="bottomRight" activeCell="T12" sqref="T12"/>
    </sheetView>
  </sheetViews>
  <sheetFormatPr baseColWidth="10" defaultColWidth="8.83203125" defaultRowHeight="15" x14ac:dyDescent="0.2"/>
  <cols>
    <col min="1" max="1" width="2" style="64" customWidth="1"/>
    <col min="2" max="2" width="26" style="64" customWidth="1"/>
    <col min="3" max="9" width="11.5" style="64" customWidth="1"/>
    <col min="10" max="10" width="12.33203125" style="64" bestFit="1" customWidth="1"/>
    <col min="11" max="17" width="11.5" style="64" customWidth="1"/>
    <col min="18" max="18" width="12.33203125" style="64" bestFit="1" customWidth="1"/>
    <col min="19" max="16384" width="8.83203125" style="64"/>
  </cols>
  <sheetData>
    <row r="1" spans="1:19" ht="8" customHeight="1" x14ac:dyDescent="0.2">
      <c r="A1" s="1"/>
      <c r="B1" s="1"/>
      <c r="C1" s="1"/>
      <c r="D1" s="1"/>
      <c r="E1" s="1"/>
      <c r="F1" s="1"/>
      <c r="G1" s="1"/>
      <c r="H1" s="1"/>
      <c r="I1" s="1"/>
      <c r="J1" s="1"/>
      <c r="K1" s="1"/>
      <c r="L1" s="66"/>
      <c r="M1" s="66"/>
      <c r="N1" s="66"/>
      <c r="O1" s="66"/>
      <c r="P1" s="66"/>
      <c r="Q1" s="66"/>
      <c r="R1" s="66"/>
      <c r="S1" s="67"/>
    </row>
    <row r="2" spans="1:19" ht="30" customHeight="1" x14ac:dyDescent="0.2">
      <c r="A2" s="1"/>
      <c r="B2" s="1"/>
      <c r="C2" s="71" t="s">
        <v>318</v>
      </c>
      <c r="D2" s="72"/>
      <c r="E2" s="72"/>
      <c r="F2" s="72"/>
      <c r="G2" s="3" t="s">
        <v>1</v>
      </c>
      <c r="H2" s="11" t="s">
        <v>2</v>
      </c>
      <c r="I2" s="1"/>
      <c r="J2" s="1"/>
      <c r="K2" s="1"/>
      <c r="L2" s="66"/>
      <c r="M2" s="66"/>
      <c r="N2" s="66"/>
      <c r="O2" s="66"/>
      <c r="P2" s="66"/>
      <c r="Q2" s="66"/>
      <c r="R2" s="66"/>
      <c r="S2" s="67"/>
    </row>
    <row r="3" spans="1:19" ht="22" customHeight="1" x14ac:dyDescent="0.2">
      <c r="A3" s="1"/>
      <c r="B3" s="76" t="s">
        <v>228</v>
      </c>
      <c r="C3" s="72"/>
      <c r="D3" s="72"/>
      <c r="E3" s="72"/>
      <c r="F3" s="72"/>
      <c r="G3" s="72"/>
      <c r="H3" s="80" t="s">
        <v>6</v>
      </c>
      <c r="I3" s="72"/>
      <c r="J3" s="72"/>
      <c r="K3" s="1"/>
      <c r="L3" s="66"/>
      <c r="M3" s="66"/>
      <c r="N3" s="66"/>
      <c r="O3" s="66"/>
      <c r="P3" s="66"/>
      <c r="Q3" s="66"/>
      <c r="R3" s="66"/>
      <c r="S3" s="67"/>
    </row>
    <row r="4" spans="1:19" ht="10" customHeight="1" x14ac:dyDescent="0.2">
      <c r="A4" s="1"/>
      <c r="B4" s="1"/>
      <c r="C4" s="1"/>
      <c r="D4" s="1"/>
      <c r="E4" s="1"/>
      <c r="F4" s="1"/>
      <c r="G4" s="1"/>
      <c r="H4" s="1"/>
      <c r="I4" s="1"/>
      <c r="J4" s="1"/>
      <c r="K4" s="1"/>
      <c r="L4" s="66"/>
      <c r="M4" s="66"/>
      <c r="N4" s="66"/>
      <c r="O4" s="66"/>
      <c r="P4" s="66"/>
      <c r="Q4" s="66"/>
      <c r="R4" s="66"/>
      <c r="S4" s="67"/>
    </row>
    <row r="5" spans="1:19" x14ac:dyDescent="0.2">
      <c r="A5" s="1"/>
      <c r="B5" s="96" t="s">
        <v>229</v>
      </c>
      <c r="C5" s="72"/>
      <c r="D5" s="72"/>
      <c r="E5" s="72"/>
      <c r="F5" s="72"/>
      <c r="G5" s="72"/>
      <c r="H5" s="72"/>
      <c r="I5" s="72"/>
      <c r="J5" s="72"/>
      <c r="K5" s="72"/>
      <c r="L5" s="72"/>
      <c r="M5" s="72"/>
      <c r="N5" s="72"/>
      <c r="O5" s="72"/>
      <c r="P5" s="72"/>
      <c r="Q5" s="72"/>
      <c r="R5" s="72"/>
      <c r="S5" s="67"/>
    </row>
    <row r="6" spans="1:19" x14ac:dyDescent="0.2">
      <c r="A6" s="1"/>
      <c r="B6" s="1"/>
      <c r="C6" s="1"/>
      <c r="D6" s="1"/>
      <c r="E6" s="1"/>
      <c r="F6" s="1"/>
      <c r="G6" s="1"/>
      <c r="H6" s="1"/>
      <c r="I6" s="1"/>
      <c r="J6" s="1"/>
      <c r="K6" s="1"/>
      <c r="L6" s="66"/>
      <c r="M6" s="66"/>
      <c r="N6" s="66"/>
      <c r="O6" s="66"/>
      <c r="P6" s="66"/>
      <c r="Q6" s="66"/>
      <c r="R6" s="66"/>
      <c r="S6" s="67"/>
    </row>
    <row r="7" spans="1:19" x14ac:dyDescent="0.2">
      <c r="A7" s="1"/>
      <c r="B7" s="5" t="s">
        <v>230</v>
      </c>
      <c r="C7" s="1"/>
      <c r="D7" s="1"/>
      <c r="E7" s="1"/>
      <c r="F7" s="1"/>
      <c r="G7" s="1"/>
      <c r="H7" s="1"/>
      <c r="I7" s="1"/>
      <c r="J7" s="1"/>
      <c r="K7" s="1"/>
      <c r="L7" s="66"/>
      <c r="M7" s="66"/>
      <c r="N7" s="66"/>
      <c r="O7" s="66"/>
      <c r="P7" s="66"/>
      <c r="Q7" s="66"/>
      <c r="R7" s="66"/>
      <c r="S7" s="67"/>
    </row>
    <row r="8" spans="1:19" ht="22" customHeight="1" x14ac:dyDescent="0.2">
      <c r="A8" s="1"/>
      <c r="B8" s="6" t="s">
        <v>231</v>
      </c>
      <c r="C8" s="14" t="s">
        <v>232</v>
      </c>
      <c r="D8" s="14" t="s">
        <v>233</v>
      </c>
      <c r="E8" s="14" t="s">
        <v>234</v>
      </c>
      <c r="F8" s="14" t="s">
        <v>235</v>
      </c>
      <c r="G8" s="14" t="s">
        <v>236</v>
      </c>
      <c r="H8" s="14" t="s">
        <v>237</v>
      </c>
      <c r="I8" s="14" t="s">
        <v>238</v>
      </c>
      <c r="J8" s="14" t="s">
        <v>239</v>
      </c>
      <c r="K8" s="14" t="s">
        <v>240</v>
      </c>
      <c r="L8" s="14" t="s">
        <v>241</v>
      </c>
      <c r="M8" s="14" t="s">
        <v>242</v>
      </c>
      <c r="N8" s="14" t="s">
        <v>243</v>
      </c>
      <c r="O8" s="14" t="s">
        <v>244</v>
      </c>
      <c r="P8" s="14" t="s">
        <v>245</v>
      </c>
      <c r="Q8" s="14" t="s">
        <v>246</v>
      </c>
      <c r="R8" s="14" t="s">
        <v>247</v>
      </c>
      <c r="S8" s="67"/>
    </row>
    <row r="9" spans="1:19" ht="19" customHeight="1" x14ac:dyDescent="0.2">
      <c r="A9" s="1"/>
      <c r="B9" s="15"/>
      <c r="C9" s="21"/>
      <c r="D9" s="20"/>
      <c r="E9" s="20"/>
      <c r="F9" s="20"/>
      <c r="G9" s="20"/>
      <c r="H9" s="20"/>
      <c r="I9" s="20"/>
      <c r="J9" s="24">
        <f t="shared" ref="J9:J28" si="0">SUM(D9:I9)</f>
        <v>0</v>
      </c>
      <c r="K9" s="21"/>
      <c r="L9" s="20"/>
      <c r="M9" s="20"/>
      <c r="N9" s="20"/>
      <c r="O9" s="20"/>
      <c r="P9" s="20"/>
      <c r="Q9" s="20"/>
      <c r="R9" s="24">
        <f t="shared" ref="R9:R28" si="1">SUM(L9:Q9)</f>
        <v>0</v>
      </c>
      <c r="S9" s="67"/>
    </row>
    <row r="10" spans="1:19" ht="19" customHeight="1" x14ac:dyDescent="0.2">
      <c r="A10" s="1"/>
      <c r="B10" s="15"/>
      <c r="C10" s="21"/>
      <c r="D10" s="20"/>
      <c r="E10" s="20"/>
      <c r="F10" s="20"/>
      <c r="G10" s="20"/>
      <c r="H10" s="20"/>
      <c r="I10" s="20"/>
      <c r="J10" s="24">
        <f t="shared" si="0"/>
        <v>0</v>
      </c>
      <c r="K10" s="21"/>
      <c r="L10" s="20"/>
      <c r="M10" s="20"/>
      <c r="N10" s="20"/>
      <c r="O10" s="20"/>
      <c r="P10" s="20"/>
      <c r="Q10" s="20"/>
      <c r="R10" s="24">
        <f t="shared" si="1"/>
        <v>0</v>
      </c>
      <c r="S10" s="67"/>
    </row>
    <row r="11" spans="1:19" ht="19" customHeight="1" x14ac:dyDescent="0.2">
      <c r="A11" s="1"/>
      <c r="B11" s="15"/>
      <c r="C11" s="21"/>
      <c r="D11" s="20"/>
      <c r="E11" s="20"/>
      <c r="F11" s="20"/>
      <c r="G11" s="20"/>
      <c r="H11" s="20"/>
      <c r="I11" s="20"/>
      <c r="J11" s="24">
        <f t="shared" si="0"/>
        <v>0</v>
      </c>
      <c r="K11" s="21"/>
      <c r="L11" s="20"/>
      <c r="M11" s="20"/>
      <c r="N11" s="20"/>
      <c r="O11" s="20"/>
      <c r="P11" s="20"/>
      <c r="Q11" s="20"/>
      <c r="R11" s="24">
        <f t="shared" si="1"/>
        <v>0</v>
      </c>
      <c r="S11" s="67"/>
    </row>
    <row r="12" spans="1:19" ht="19" customHeight="1" x14ac:dyDescent="0.2">
      <c r="A12" s="1"/>
      <c r="B12" s="15"/>
      <c r="C12" s="21"/>
      <c r="D12" s="20"/>
      <c r="E12" s="20"/>
      <c r="F12" s="20"/>
      <c r="G12" s="20"/>
      <c r="H12" s="20"/>
      <c r="I12" s="20"/>
      <c r="J12" s="24">
        <f t="shared" si="0"/>
        <v>0</v>
      </c>
      <c r="K12" s="21"/>
      <c r="L12" s="20"/>
      <c r="M12" s="20"/>
      <c r="N12" s="20"/>
      <c r="O12" s="20"/>
      <c r="P12" s="20"/>
      <c r="Q12" s="20"/>
      <c r="R12" s="24">
        <f t="shared" si="1"/>
        <v>0</v>
      </c>
      <c r="S12" s="67"/>
    </row>
    <row r="13" spans="1:19" ht="19" customHeight="1" x14ac:dyDescent="0.2">
      <c r="A13" s="1"/>
      <c r="B13" s="15"/>
      <c r="C13" s="21"/>
      <c r="D13" s="20"/>
      <c r="E13" s="20"/>
      <c r="F13" s="20"/>
      <c r="G13" s="20"/>
      <c r="H13" s="20"/>
      <c r="I13" s="20"/>
      <c r="J13" s="24">
        <f t="shared" si="0"/>
        <v>0</v>
      </c>
      <c r="K13" s="21"/>
      <c r="L13" s="20"/>
      <c r="M13" s="20"/>
      <c r="N13" s="20"/>
      <c r="O13" s="20"/>
      <c r="P13" s="20"/>
      <c r="Q13" s="20"/>
      <c r="R13" s="24">
        <f t="shared" si="1"/>
        <v>0</v>
      </c>
      <c r="S13" s="67"/>
    </row>
    <row r="14" spans="1:19" ht="19" customHeight="1" x14ac:dyDescent="0.2">
      <c r="A14" s="1"/>
      <c r="B14" s="15"/>
      <c r="C14" s="21"/>
      <c r="D14" s="20"/>
      <c r="E14" s="20"/>
      <c r="F14" s="20"/>
      <c r="G14" s="20"/>
      <c r="H14" s="20"/>
      <c r="I14" s="20"/>
      <c r="J14" s="24">
        <f t="shared" si="0"/>
        <v>0</v>
      </c>
      <c r="K14" s="21"/>
      <c r="L14" s="20"/>
      <c r="M14" s="20"/>
      <c r="N14" s="20"/>
      <c r="O14" s="20"/>
      <c r="P14" s="20"/>
      <c r="Q14" s="20"/>
      <c r="R14" s="24">
        <f t="shared" si="1"/>
        <v>0</v>
      </c>
      <c r="S14" s="67"/>
    </row>
    <row r="15" spans="1:19" ht="19" customHeight="1" x14ac:dyDescent="0.2">
      <c r="A15" s="1"/>
      <c r="B15" s="15"/>
      <c r="C15" s="21"/>
      <c r="D15" s="20"/>
      <c r="E15" s="20"/>
      <c r="F15" s="20"/>
      <c r="G15" s="20"/>
      <c r="H15" s="20"/>
      <c r="I15" s="20"/>
      <c r="J15" s="24">
        <f t="shared" si="0"/>
        <v>0</v>
      </c>
      <c r="K15" s="21"/>
      <c r="L15" s="20"/>
      <c r="M15" s="20"/>
      <c r="N15" s="20"/>
      <c r="O15" s="20"/>
      <c r="P15" s="20"/>
      <c r="Q15" s="20"/>
      <c r="R15" s="24">
        <f t="shared" si="1"/>
        <v>0</v>
      </c>
      <c r="S15" s="67"/>
    </row>
    <row r="16" spans="1:19" ht="19" customHeight="1" x14ac:dyDescent="0.2">
      <c r="A16" s="1"/>
      <c r="B16" s="15"/>
      <c r="C16" s="21"/>
      <c r="D16" s="20"/>
      <c r="E16" s="20"/>
      <c r="F16" s="20"/>
      <c r="G16" s="20"/>
      <c r="H16" s="20"/>
      <c r="I16" s="20"/>
      <c r="J16" s="24">
        <f t="shared" si="0"/>
        <v>0</v>
      </c>
      <c r="K16" s="21"/>
      <c r="L16" s="20"/>
      <c r="M16" s="20"/>
      <c r="N16" s="20"/>
      <c r="O16" s="20"/>
      <c r="P16" s="20"/>
      <c r="Q16" s="20"/>
      <c r="R16" s="24">
        <f t="shared" si="1"/>
        <v>0</v>
      </c>
      <c r="S16" s="67"/>
    </row>
    <row r="17" spans="1:19" ht="19" customHeight="1" x14ac:dyDescent="0.2">
      <c r="A17" s="1"/>
      <c r="B17" s="15"/>
      <c r="C17" s="21"/>
      <c r="D17" s="20"/>
      <c r="E17" s="20"/>
      <c r="F17" s="20"/>
      <c r="G17" s="20"/>
      <c r="H17" s="20"/>
      <c r="I17" s="20"/>
      <c r="J17" s="24">
        <f t="shared" si="0"/>
        <v>0</v>
      </c>
      <c r="K17" s="21"/>
      <c r="L17" s="20"/>
      <c r="M17" s="20"/>
      <c r="N17" s="20"/>
      <c r="O17" s="20"/>
      <c r="P17" s="20"/>
      <c r="Q17" s="20"/>
      <c r="R17" s="24">
        <f t="shared" si="1"/>
        <v>0</v>
      </c>
      <c r="S17" s="67"/>
    </row>
    <row r="18" spans="1:19" ht="19" customHeight="1" x14ac:dyDescent="0.2">
      <c r="A18" s="1"/>
      <c r="B18" s="15"/>
      <c r="C18" s="21"/>
      <c r="D18" s="20"/>
      <c r="E18" s="20"/>
      <c r="F18" s="20"/>
      <c r="G18" s="20"/>
      <c r="H18" s="20"/>
      <c r="I18" s="20"/>
      <c r="J18" s="24">
        <f t="shared" si="0"/>
        <v>0</v>
      </c>
      <c r="K18" s="21"/>
      <c r="L18" s="20"/>
      <c r="M18" s="20"/>
      <c r="N18" s="20"/>
      <c r="O18" s="20"/>
      <c r="P18" s="20"/>
      <c r="Q18" s="20"/>
      <c r="R18" s="24">
        <f t="shared" si="1"/>
        <v>0</v>
      </c>
      <c r="S18" s="67"/>
    </row>
    <row r="19" spans="1:19" ht="19" customHeight="1" x14ac:dyDescent="0.2">
      <c r="A19" s="1"/>
      <c r="B19" s="15"/>
      <c r="C19" s="21"/>
      <c r="D19" s="20"/>
      <c r="E19" s="20"/>
      <c r="F19" s="20"/>
      <c r="G19" s="20"/>
      <c r="H19" s="20"/>
      <c r="I19" s="20"/>
      <c r="J19" s="24">
        <f t="shared" si="0"/>
        <v>0</v>
      </c>
      <c r="K19" s="21"/>
      <c r="L19" s="20"/>
      <c r="M19" s="20"/>
      <c r="N19" s="20"/>
      <c r="O19" s="20"/>
      <c r="P19" s="20"/>
      <c r="Q19" s="20"/>
      <c r="R19" s="24">
        <f t="shared" si="1"/>
        <v>0</v>
      </c>
      <c r="S19" s="67"/>
    </row>
    <row r="20" spans="1:19" ht="19" customHeight="1" x14ac:dyDescent="0.2">
      <c r="A20" s="1"/>
      <c r="B20" s="15"/>
      <c r="C20" s="21"/>
      <c r="D20" s="20"/>
      <c r="E20" s="20"/>
      <c r="F20" s="20"/>
      <c r="G20" s="20"/>
      <c r="H20" s="20"/>
      <c r="I20" s="20"/>
      <c r="J20" s="24">
        <f t="shared" si="0"/>
        <v>0</v>
      </c>
      <c r="K20" s="21"/>
      <c r="L20" s="20"/>
      <c r="M20" s="20"/>
      <c r="N20" s="20"/>
      <c r="O20" s="20"/>
      <c r="P20" s="20"/>
      <c r="Q20" s="20"/>
      <c r="R20" s="24">
        <f t="shared" si="1"/>
        <v>0</v>
      </c>
      <c r="S20" s="67"/>
    </row>
    <row r="21" spans="1:19" ht="19" customHeight="1" x14ac:dyDescent="0.2">
      <c r="A21" s="1"/>
      <c r="B21" s="15"/>
      <c r="C21" s="21"/>
      <c r="D21" s="20"/>
      <c r="E21" s="20"/>
      <c r="F21" s="20"/>
      <c r="G21" s="20"/>
      <c r="H21" s="20"/>
      <c r="I21" s="20"/>
      <c r="J21" s="24">
        <f t="shared" si="0"/>
        <v>0</v>
      </c>
      <c r="K21" s="21"/>
      <c r="L21" s="20"/>
      <c r="M21" s="20"/>
      <c r="N21" s="20"/>
      <c r="O21" s="20"/>
      <c r="P21" s="20"/>
      <c r="Q21" s="20"/>
      <c r="R21" s="24">
        <f t="shared" si="1"/>
        <v>0</v>
      </c>
      <c r="S21" s="67"/>
    </row>
    <row r="22" spans="1:19" ht="19" customHeight="1" x14ac:dyDescent="0.2">
      <c r="A22" s="1"/>
      <c r="B22" s="15"/>
      <c r="C22" s="21"/>
      <c r="D22" s="20"/>
      <c r="E22" s="20"/>
      <c r="F22" s="20"/>
      <c r="G22" s="20"/>
      <c r="H22" s="20"/>
      <c r="I22" s="20"/>
      <c r="J22" s="24">
        <f t="shared" si="0"/>
        <v>0</v>
      </c>
      <c r="K22" s="21"/>
      <c r="L22" s="20"/>
      <c r="M22" s="20"/>
      <c r="N22" s="20"/>
      <c r="O22" s="20"/>
      <c r="P22" s="20"/>
      <c r="Q22" s="20"/>
      <c r="R22" s="24">
        <f t="shared" si="1"/>
        <v>0</v>
      </c>
      <c r="S22" s="67"/>
    </row>
    <row r="23" spans="1:19" ht="19" customHeight="1" x14ac:dyDescent="0.2">
      <c r="A23" s="1"/>
      <c r="B23" s="15"/>
      <c r="C23" s="21"/>
      <c r="D23" s="20"/>
      <c r="E23" s="20"/>
      <c r="F23" s="20"/>
      <c r="G23" s="20"/>
      <c r="H23" s="20"/>
      <c r="I23" s="20"/>
      <c r="J23" s="24">
        <f t="shared" si="0"/>
        <v>0</v>
      </c>
      <c r="K23" s="21"/>
      <c r="L23" s="20"/>
      <c r="M23" s="20"/>
      <c r="N23" s="20"/>
      <c r="O23" s="20"/>
      <c r="P23" s="20"/>
      <c r="Q23" s="20"/>
      <c r="R23" s="24">
        <f t="shared" si="1"/>
        <v>0</v>
      </c>
      <c r="S23" s="67"/>
    </row>
    <row r="24" spans="1:19" ht="19" customHeight="1" x14ac:dyDescent="0.2">
      <c r="A24" s="1"/>
      <c r="B24" s="15"/>
      <c r="C24" s="21"/>
      <c r="D24" s="20"/>
      <c r="E24" s="20"/>
      <c r="F24" s="20"/>
      <c r="G24" s="20"/>
      <c r="H24" s="20"/>
      <c r="I24" s="20"/>
      <c r="J24" s="24">
        <f t="shared" si="0"/>
        <v>0</v>
      </c>
      <c r="K24" s="21"/>
      <c r="L24" s="20"/>
      <c r="M24" s="20"/>
      <c r="N24" s="20"/>
      <c r="O24" s="20"/>
      <c r="P24" s="20"/>
      <c r="Q24" s="20"/>
      <c r="R24" s="24">
        <f t="shared" si="1"/>
        <v>0</v>
      </c>
      <c r="S24" s="67"/>
    </row>
    <row r="25" spans="1:19" ht="19" customHeight="1" x14ac:dyDescent="0.2">
      <c r="A25" s="1"/>
      <c r="B25" s="15"/>
      <c r="C25" s="21"/>
      <c r="D25" s="20"/>
      <c r="E25" s="20"/>
      <c r="F25" s="20"/>
      <c r="G25" s="20"/>
      <c r="H25" s="20"/>
      <c r="I25" s="20"/>
      <c r="J25" s="24">
        <f t="shared" si="0"/>
        <v>0</v>
      </c>
      <c r="K25" s="21"/>
      <c r="L25" s="20"/>
      <c r="M25" s="20"/>
      <c r="N25" s="20"/>
      <c r="O25" s="20"/>
      <c r="P25" s="20"/>
      <c r="Q25" s="20"/>
      <c r="R25" s="24">
        <f t="shared" si="1"/>
        <v>0</v>
      </c>
      <c r="S25" s="67"/>
    </row>
    <row r="26" spans="1:19" ht="19" customHeight="1" x14ac:dyDescent="0.2">
      <c r="A26" s="1"/>
      <c r="B26" s="15"/>
      <c r="C26" s="21"/>
      <c r="D26" s="20"/>
      <c r="E26" s="20"/>
      <c r="F26" s="20"/>
      <c r="G26" s="20"/>
      <c r="H26" s="20"/>
      <c r="I26" s="20"/>
      <c r="J26" s="24">
        <f t="shared" si="0"/>
        <v>0</v>
      </c>
      <c r="K26" s="21"/>
      <c r="L26" s="20"/>
      <c r="M26" s="20"/>
      <c r="N26" s="20"/>
      <c r="O26" s="20"/>
      <c r="P26" s="20"/>
      <c r="Q26" s="20"/>
      <c r="R26" s="24">
        <f t="shared" si="1"/>
        <v>0</v>
      </c>
      <c r="S26" s="67"/>
    </row>
    <row r="27" spans="1:19" ht="19" customHeight="1" x14ac:dyDescent="0.2">
      <c r="A27" s="1"/>
      <c r="B27" s="15"/>
      <c r="C27" s="21"/>
      <c r="D27" s="20"/>
      <c r="E27" s="20"/>
      <c r="F27" s="20"/>
      <c r="G27" s="20"/>
      <c r="H27" s="20"/>
      <c r="I27" s="20"/>
      <c r="J27" s="24">
        <f t="shared" si="0"/>
        <v>0</v>
      </c>
      <c r="K27" s="21"/>
      <c r="L27" s="20"/>
      <c r="M27" s="20"/>
      <c r="N27" s="20"/>
      <c r="O27" s="20"/>
      <c r="P27" s="20"/>
      <c r="Q27" s="20"/>
      <c r="R27" s="24">
        <f t="shared" si="1"/>
        <v>0</v>
      </c>
      <c r="S27" s="67"/>
    </row>
    <row r="28" spans="1:19" ht="19" customHeight="1" x14ac:dyDescent="0.2">
      <c r="A28" s="1"/>
      <c r="B28" s="15"/>
      <c r="C28" s="21"/>
      <c r="D28" s="20"/>
      <c r="E28" s="20"/>
      <c r="F28" s="20"/>
      <c r="G28" s="20"/>
      <c r="H28" s="20"/>
      <c r="I28" s="20"/>
      <c r="J28" s="24">
        <f t="shared" si="0"/>
        <v>0</v>
      </c>
      <c r="K28" s="21"/>
      <c r="L28" s="20"/>
      <c r="M28" s="20"/>
      <c r="N28" s="20"/>
      <c r="O28" s="20"/>
      <c r="P28" s="20"/>
      <c r="Q28" s="20"/>
      <c r="R28" s="24">
        <f t="shared" si="1"/>
        <v>0</v>
      </c>
      <c r="S28" s="67"/>
    </row>
    <row r="29" spans="1:19" x14ac:dyDescent="0.2">
      <c r="A29" s="1"/>
      <c r="B29" s="1"/>
      <c r="C29" s="1"/>
      <c r="D29" s="1"/>
      <c r="E29" s="1"/>
      <c r="F29" s="1"/>
      <c r="G29" s="1"/>
      <c r="H29" s="1"/>
      <c r="I29" s="1"/>
      <c r="J29" s="1"/>
      <c r="K29" s="1"/>
      <c r="L29" s="66"/>
      <c r="M29" s="66"/>
      <c r="N29" s="66"/>
      <c r="O29" s="66"/>
      <c r="P29" s="66"/>
      <c r="Q29" s="66"/>
      <c r="R29" s="66"/>
      <c r="S29" s="67"/>
    </row>
    <row r="30" spans="1:19" x14ac:dyDescent="0.2">
      <c r="A30" s="1"/>
      <c r="B30" s="1"/>
      <c r="C30" s="1"/>
      <c r="D30" s="1"/>
      <c r="E30" s="1"/>
      <c r="F30" s="1"/>
      <c r="G30" s="1"/>
      <c r="H30" s="1"/>
      <c r="I30" s="1"/>
      <c r="J30" s="1"/>
      <c r="K30" s="1"/>
      <c r="L30" s="66"/>
      <c r="M30" s="66"/>
      <c r="N30" s="66"/>
      <c r="O30" s="66"/>
      <c r="P30" s="66"/>
      <c r="Q30" s="66"/>
      <c r="R30" s="66"/>
      <c r="S30" s="67"/>
    </row>
    <row r="31" spans="1:19" ht="22" customHeight="1" x14ac:dyDescent="0.2">
      <c r="A31" s="1"/>
      <c r="B31" s="5" t="s">
        <v>248</v>
      </c>
      <c r="C31" s="1"/>
      <c r="D31" s="1"/>
      <c r="E31" s="1"/>
      <c r="F31" s="1"/>
      <c r="G31" s="1"/>
      <c r="H31" s="1"/>
      <c r="I31" s="1"/>
      <c r="J31" s="1"/>
      <c r="K31" s="1"/>
      <c r="L31" s="66"/>
      <c r="M31" s="66"/>
      <c r="N31" s="66"/>
      <c r="O31" s="66"/>
      <c r="P31" s="66"/>
      <c r="Q31" s="66"/>
      <c r="R31" s="66"/>
      <c r="S31" s="67"/>
    </row>
    <row r="32" spans="1:19" ht="22" customHeight="1" x14ac:dyDescent="0.2">
      <c r="A32" s="1"/>
      <c r="B32" s="6" t="s">
        <v>70</v>
      </c>
      <c r="C32" s="14" t="s">
        <v>249</v>
      </c>
      <c r="D32" s="14" t="s">
        <v>250</v>
      </c>
      <c r="E32" s="14" t="s">
        <v>251</v>
      </c>
      <c r="F32" s="14" t="s">
        <v>252</v>
      </c>
      <c r="G32" s="14" t="s">
        <v>253</v>
      </c>
      <c r="H32" s="1"/>
      <c r="I32" s="1"/>
      <c r="J32" s="1"/>
      <c r="K32" s="14" t="s">
        <v>254</v>
      </c>
      <c r="L32" s="14" t="s">
        <v>255</v>
      </c>
      <c r="M32" s="14" t="s">
        <v>256</v>
      </c>
      <c r="N32" s="14" t="s">
        <v>257</v>
      </c>
      <c r="O32" s="14" t="s">
        <v>258</v>
      </c>
      <c r="P32" s="66"/>
      <c r="Q32" s="66"/>
      <c r="R32" s="66"/>
      <c r="S32" s="67"/>
    </row>
    <row r="33" spans="1:19" ht="19" customHeight="1" x14ac:dyDescent="0.2">
      <c r="A33" s="1"/>
      <c r="B33" s="8" t="s">
        <v>259</v>
      </c>
      <c r="C33" s="21"/>
      <c r="D33" s="21"/>
      <c r="E33" s="21"/>
      <c r="F33" s="21"/>
      <c r="G33" s="22">
        <f t="shared" ref="G33:G38" si="2">SUM(C33:F33)</f>
        <v>0</v>
      </c>
      <c r="H33" s="1"/>
      <c r="I33" s="1"/>
      <c r="J33" s="1"/>
      <c r="K33" s="21"/>
      <c r="L33" s="21"/>
      <c r="M33" s="21"/>
      <c r="N33" s="21"/>
      <c r="O33" s="22">
        <f t="shared" ref="O33:O38" si="3">SUM(K33:N33)</f>
        <v>0</v>
      </c>
      <c r="P33" s="66"/>
      <c r="Q33" s="66"/>
      <c r="R33" s="66"/>
      <c r="S33" s="67"/>
    </row>
    <row r="34" spans="1:19" ht="19" customHeight="1" x14ac:dyDescent="0.2">
      <c r="A34" s="1"/>
      <c r="B34" s="8" t="s">
        <v>260</v>
      </c>
      <c r="C34" s="21"/>
      <c r="D34" s="21"/>
      <c r="E34" s="21"/>
      <c r="F34" s="21"/>
      <c r="G34" s="22">
        <f t="shared" si="2"/>
        <v>0</v>
      </c>
      <c r="H34" s="1"/>
      <c r="I34" s="1"/>
      <c r="J34" s="1"/>
      <c r="K34" s="21"/>
      <c r="L34" s="21"/>
      <c r="M34" s="21"/>
      <c r="N34" s="21"/>
      <c r="O34" s="22">
        <f t="shared" si="3"/>
        <v>0</v>
      </c>
      <c r="P34" s="66"/>
      <c r="Q34" s="66"/>
      <c r="R34" s="66"/>
      <c r="S34" s="67"/>
    </row>
    <row r="35" spans="1:19" ht="19" customHeight="1" x14ac:dyDescent="0.2">
      <c r="A35" s="1"/>
      <c r="B35" s="8" t="s">
        <v>261</v>
      </c>
      <c r="C35" s="21"/>
      <c r="D35" s="21"/>
      <c r="E35" s="21"/>
      <c r="F35" s="21"/>
      <c r="G35" s="22">
        <f t="shared" si="2"/>
        <v>0</v>
      </c>
      <c r="H35" s="1"/>
      <c r="I35" s="1"/>
      <c r="J35" s="1"/>
      <c r="K35" s="21"/>
      <c r="L35" s="21"/>
      <c r="M35" s="21"/>
      <c r="N35" s="21"/>
      <c r="O35" s="22">
        <f t="shared" si="3"/>
        <v>0</v>
      </c>
      <c r="P35" s="66"/>
      <c r="Q35" s="66"/>
      <c r="R35" s="66"/>
      <c r="S35" s="67"/>
    </row>
    <row r="36" spans="1:19" ht="19" customHeight="1" x14ac:dyDescent="0.2">
      <c r="A36" s="1"/>
      <c r="B36" s="8" t="s">
        <v>262</v>
      </c>
      <c r="C36" s="21"/>
      <c r="D36" s="21"/>
      <c r="E36" s="21"/>
      <c r="F36" s="21"/>
      <c r="G36" s="22">
        <f t="shared" si="2"/>
        <v>0</v>
      </c>
      <c r="H36" s="1"/>
      <c r="I36" s="1"/>
      <c r="J36" s="1"/>
      <c r="K36" s="21"/>
      <c r="L36" s="21"/>
      <c r="M36" s="21"/>
      <c r="N36" s="21"/>
      <c r="O36" s="22">
        <f t="shared" si="3"/>
        <v>0</v>
      </c>
      <c r="P36" s="66"/>
      <c r="Q36" s="66"/>
      <c r="R36" s="66"/>
      <c r="S36" s="67"/>
    </row>
    <row r="37" spans="1:19" ht="19" customHeight="1" x14ac:dyDescent="0.2">
      <c r="A37" s="1"/>
      <c r="B37" s="8" t="s">
        <v>88</v>
      </c>
      <c r="C37" s="21"/>
      <c r="D37" s="21"/>
      <c r="E37" s="21"/>
      <c r="F37" s="21"/>
      <c r="G37" s="22">
        <f t="shared" si="2"/>
        <v>0</v>
      </c>
      <c r="H37" s="1"/>
      <c r="I37" s="1"/>
      <c r="J37" s="1"/>
      <c r="K37" s="21"/>
      <c r="L37" s="21"/>
      <c r="M37" s="21"/>
      <c r="N37" s="21"/>
      <c r="O37" s="22">
        <f t="shared" si="3"/>
        <v>0</v>
      </c>
      <c r="P37" s="66"/>
      <c r="Q37" s="66"/>
      <c r="R37" s="66"/>
      <c r="S37" s="67"/>
    </row>
    <row r="38" spans="1:19" ht="19" customHeight="1" x14ac:dyDescent="0.2">
      <c r="A38" s="1"/>
      <c r="B38" s="8" t="s">
        <v>91</v>
      </c>
      <c r="C38" s="21"/>
      <c r="D38" s="21"/>
      <c r="E38" s="21"/>
      <c r="F38" s="21"/>
      <c r="G38" s="22">
        <f t="shared" si="2"/>
        <v>0</v>
      </c>
      <c r="H38" s="1"/>
      <c r="I38" s="1"/>
      <c r="J38" s="1"/>
      <c r="K38" s="21"/>
      <c r="L38" s="21"/>
      <c r="M38" s="21"/>
      <c r="N38" s="21"/>
      <c r="O38" s="22">
        <f t="shared" si="3"/>
        <v>0</v>
      </c>
      <c r="P38" s="66"/>
      <c r="Q38" s="66"/>
      <c r="R38" s="66"/>
      <c r="S38" s="67"/>
    </row>
    <row r="39" spans="1:19" x14ac:dyDescent="0.2">
      <c r="A39" s="1"/>
      <c r="B39" s="1"/>
      <c r="C39" s="1"/>
      <c r="D39" s="1"/>
      <c r="E39" s="1"/>
      <c r="F39" s="1"/>
      <c r="G39" s="1"/>
      <c r="H39" s="1"/>
      <c r="I39" s="1"/>
      <c r="J39" s="1"/>
      <c r="K39" s="1"/>
      <c r="L39" s="66"/>
      <c r="M39" s="66"/>
      <c r="N39" s="66"/>
      <c r="O39" s="66"/>
      <c r="P39" s="66"/>
      <c r="Q39" s="66"/>
      <c r="R39" s="66"/>
      <c r="S39" s="67"/>
    </row>
    <row r="40" spans="1:19" x14ac:dyDescent="0.2">
      <c r="A40" s="1"/>
      <c r="B40" s="1"/>
      <c r="C40" s="1"/>
      <c r="D40" s="1"/>
      <c r="E40" s="1"/>
      <c r="F40" s="1"/>
      <c r="G40" s="1"/>
      <c r="H40" s="1"/>
      <c r="I40" s="1"/>
      <c r="J40" s="1"/>
      <c r="K40" s="1"/>
      <c r="L40" s="66"/>
      <c r="M40" s="66"/>
      <c r="N40" s="66"/>
      <c r="O40" s="66"/>
      <c r="P40" s="66"/>
      <c r="Q40" s="66"/>
      <c r="R40" s="66"/>
      <c r="S40" s="67"/>
    </row>
    <row r="41" spans="1:19" ht="22" customHeight="1" x14ac:dyDescent="0.2">
      <c r="A41" s="1"/>
      <c r="B41" s="5" t="s">
        <v>263</v>
      </c>
      <c r="C41" s="1"/>
      <c r="D41" s="1"/>
      <c r="E41" s="1"/>
      <c r="F41" s="1"/>
      <c r="G41" s="1"/>
      <c r="H41" s="1"/>
      <c r="I41" s="1"/>
      <c r="J41" s="1"/>
      <c r="K41" s="1"/>
      <c r="L41" s="66"/>
      <c r="M41" s="66"/>
      <c r="N41" s="66"/>
      <c r="O41" s="66"/>
      <c r="P41" s="66"/>
      <c r="Q41" s="66"/>
      <c r="R41" s="66"/>
      <c r="S41" s="67"/>
    </row>
    <row r="42" spans="1:19" ht="22" customHeight="1" x14ac:dyDescent="0.2">
      <c r="A42" s="1"/>
      <c r="B42" s="6" t="s">
        <v>70</v>
      </c>
      <c r="C42" s="14" t="s">
        <v>264</v>
      </c>
      <c r="D42" s="14" t="s">
        <v>265</v>
      </c>
      <c r="E42" s="14" t="s">
        <v>266</v>
      </c>
      <c r="F42" s="14" t="s">
        <v>267</v>
      </c>
      <c r="G42" s="14" t="s">
        <v>268</v>
      </c>
      <c r="H42" s="14" t="s">
        <v>269</v>
      </c>
      <c r="I42" s="1"/>
      <c r="J42" s="1"/>
      <c r="K42" s="1"/>
      <c r="L42" s="66"/>
      <c r="M42" s="66"/>
      <c r="N42" s="66"/>
      <c r="O42" s="66"/>
      <c r="P42" s="66"/>
      <c r="Q42" s="66"/>
      <c r="R42" s="66"/>
      <c r="S42" s="67"/>
    </row>
    <row r="43" spans="1:19" ht="19" customHeight="1" x14ac:dyDescent="0.2">
      <c r="A43" s="1"/>
      <c r="B43" s="8" t="s">
        <v>259</v>
      </c>
      <c r="C43" s="22">
        <f t="array" ref="C43">ROUND(SUMPRODUCT(D9:D28*$C$9:$C$28*IFERROR(1/$J$9:$J$28,0)),0)</f>
        <v>0</v>
      </c>
      <c r="D43" s="22">
        <f t="shared" ref="D43:D48" si="4">G33</f>
        <v>0</v>
      </c>
      <c r="E43" s="22" t="str">
        <f>IF(OR(SUM(C9:C28)&gt;0,SUM(C33:F38)&gt;0),C43+D43,"")</f>
        <v/>
      </c>
      <c r="F43" s="22">
        <f t="array" ref="F43">ROUND(SUMPRODUCT(L9:L28*$K$9:$K$28*IFERROR(1/$R$9:$R$28,0)),0)</f>
        <v>0</v>
      </c>
      <c r="G43" s="22">
        <f t="shared" ref="G43:G48" si="5">O33</f>
        <v>0</v>
      </c>
      <c r="H43" s="22" t="str">
        <f>IF(OR(SUM(K9:K28)&gt;0,SUM(K33:N38)&gt;0),F43+G43,"")</f>
        <v/>
      </c>
      <c r="I43" s="1"/>
      <c r="J43" s="1"/>
      <c r="K43" s="1"/>
      <c r="L43" s="66"/>
      <c r="M43" s="66"/>
      <c r="N43" s="66"/>
      <c r="O43" s="66"/>
      <c r="P43" s="66"/>
      <c r="Q43" s="66"/>
      <c r="R43" s="66"/>
      <c r="S43" s="67"/>
    </row>
    <row r="44" spans="1:19" ht="19" customHeight="1" x14ac:dyDescent="0.2">
      <c r="A44" s="1"/>
      <c r="B44" s="8" t="s">
        <v>260</v>
      </c>
      <c r="C44" s="22">
        <f t="array" ref="C44">ROUND(SUMPRODUCT(E9:E28*$C$9:$C$28*IFERROR(1/$J$9:$J$28,0)),0)</f>
        <v>0</v>
      </c>
      <c r="D44" s="22">
        <f t="shared" si="4"/>
        <v>0</v>
      </c>
      <c r="E44" s="22" t="str">
        <f>IF(OR(SUM(C9:C28)&gt;0,SUM(C33:F38)&gt;0),C44+D44,"")</f>
        <v/>
      </c>
      <c r="F44" s="22">
        <f t="array" ref="F44">ROUND(SUMPRODUCT(M9:M28*$K$9:$K$28*IFERROR(1/$R$9:$R$28,0)),0)</f>
        <v>0</v>
      </c>
      <c r="G44" s="22">
        <f t="shared" si="5"/>
        <v>0</v>
      </c>
      <c r="H44" s="22" t="str">
        <f>IF(OR(SUM(K9:K28)&gt;0,SUM(K33:N38)&gt;0),F44+G44,"")</f>
        <v/>
      </c>
      <c r="I44" s="1"/>
      <c r="J44" s="1"/>
      <c r="K44" s="1"/>
      <c r="L44" s="66"/>
      <c r="M44" s="66"/>
      <c r="N44" s="66"/>
      <c r="O44" s="66"/>
      <c r="P44" s="66"/>
      <c r="Q44" s="66"/>
      <c r="R44" s="66"/>
      <c r="S44" s="67"/>
    </row>
    <row r="45" spans="1:19" ht="19" customHeight="1" x14ac:dyDescent="0.2">
      <c r="A45" s="1"/>
      <c r="B45" s="8" t="s">
        <v>261</v>
      </c>
      <c r="C45" s="22">
        <f t="array" ref="C45">ROUND(SUMPRODUCT(F9:F28*$C$9:$C$28*IFERROR(1/$J$9:$J$28,0)),0)</f>
        <v>0</v>
      </c>
      <c r="D45" s="22">
        <f t="shared" si="4"/>
        <v>0</v>
      </c>
      <c r="E45" s="22" t="str">
        <f>IF(OR(SUM(C9:C28)&gt;0,SUM(C33:F38)&gt;0),C45+D45,"")</f>
        <v/>
      </c>
      <c r="F45" s="22">
        <f t="array" ref="F45">ROUND(SUMPRODUCT(N9:N28*$K$9:$K$28*IFERROR(1/$R$9:$R$28,0)),0)</f>
        <v>0</v>
      </c>
      <c r="G45" s="22">
        <f t="shared" si="5"/>
        <v>0</v>
      </c>
      <c r="H45" s="22" t="str">
        <f>IF(OR(SUM(K9:K28)&gt;0,SUM(K33:N38)&gt;0),F45+G45,"")</f>
        <v/>
      </c>
      <c r="I45" s="1"/>
      <c r="J45" s="1"/>
      <c r="K45" s="1"/>
      <c r="L45" s="66"/>
      <c r="M45" s="66"/>
      <c r="N45" s="66"/>
      <c r="O45" s="66"/>
      <c r="P45" s="66"/>
      <c r="Q45" s="66"/>
      <c r="R45" s="66"/>
      <c r="S45" s="67"/>
    </row>
    <row r="46" spans="1:19" ht="19" customHeight="1" x14ac:dyDescent="0.2">
      <c r="A46" s="1"/>
      <c r="B46" s="8" t="s">
        <v>262</v>
      </c>
      <c r="C46" s="22">
        <f t="array" ref="C46">ROUND(SUMPRODUCT(G9:G28*$C$9:$C$28*IFERROR(1/$J$9:$J$28,0)),0)</f>
        <v>0</v>
      </c>
      <c r="D46" s="22">
        <f t="shared" si="4"/>
        <v>0</v>
      </c>
      <c r="E46" s="22" t="str">
        <f>IF(OR(SUM(C9:C28)&gt;0,SUM(C33:F38)&gt;0),C46+D46,"")</f>
        <v/>
      </c>
      <c r="F46" s="22">
        <f t="array" ref="F46">ROUND(SUMPRODUCT(O9:O28*$K$9:$K$28*IFERROR(1/$R$9:$R$28,0)),0)</f>
        <v>0</v>
      </c>
      <c r="G46" s="22">
        <f t="shared" si="5"/>
        <v>0</v>
      </c>
      <c r="H46" s="22" t="str">
        <f>IF(OR(SUM(K9:K28)&gt;0,SUM(K33:N38)&gt;0),F46+G46,"")</f>
        <v/>
      </c>
      <c r="I46" s="1"/>
      <c r="J46" s="1"/>
      <c r="K46" s="1"/>
      <c r="L46" s="66"/>
      <c r="M46" s="66"/>
      <c r="N46" s="66"/>
      <c r="O46" s="66"/>
      <c r="P46" s="66"/>
      <c r="Q46" s="66"/>
      <c r="R46" s="66"/>
      <c r="S46" s="67"/>
    </row>
    <row r="47" spans="1:19" ht="19" customHeight="1" x14ac:dyDescent="0.2">
      <c r="A47" s="1"/>
      <c r="B47" s="8" t="s">
        <v>88</v>
      </c>
      <c r="C47" s="22">
        <f t="array" ref="C47">ROUND(SUMPRODUCT(H9:H28*$C$9:$C$28*IFERROR(1/$J$9:$J$28,0)),0)</f>
        <v>0</v>
      </c>
      <c r="D47" s="22">
        <f t="shared" si="4"/>
        <v>0</v>
      </c>
      <c r="E47" s="22" t="str">
        <f>IF(OR(SUM(C9:C28)&gt;0,SUM(C33:F38)&gt;0),C47+D47,"")</f>
        <v/>
      </c>
      <c r="F47" s="22">
        <f t="array" ref="F47">ROUND(SUMPRODUCT(P9:P28*$K$9:$K$28*IFERROR(1/$R$9:$R$28,0)),0)</f>
        <v>0</v>
      </c>
      <c r="G47" s="22">
        <f t="shared" si="5"/>
        <v>0</v>
      </c>
      <c r="H47" s="22" t="str">
        <f>IF(OR(SUM(K9:K28)&gt;0,SUM(K33:N38)&gt;0),F47+G47,"")</f>
        <v/>
      </c>
      <c r="I47" s="1"/>
      <c r="J47" s="1"/>
      <c r="K47" s="1"/>
      <c r="L47" s="66"/>
      <c r="M47" s="66"/>
      <c r="N47" s="66"/>
      <c r="O47" s="66"/>
      <c r="P47" s="66"/>
      <c r="Q47" s="66"/>
      <c r="R47" s="66"/>
      <c r="S47" s="67"/>
    </row>
    <row r="48" spans="1:19" ht="19" customHeight="1" x14ac:dyDescent="0.2">
      <c r="A48" s="1"/>
      <c r="B48" s="8" t="s">
        <v>91</v>
      </c>
      <c r="C48" s="22">
        <f t="array" ref="C48">ROUND(SUMPRODUCT(I9:I28*$C$9:$C$28*IFERROR(1/$J$9:$J$28,0)),0)</f>
        <v>0</v>
      </c>
      <c r="D48" s="22">
        <f t="shared" si="4"/>
        <v>0</v>
      </c>
      <c r="E48" s="22" t="str">
        <f>IF(OR(SUM(C9:C28)&gt;0,SUM(C33:F38)&gt;0),C48+D48,"")</f>
        <v/>
      </c>
      <c r="F48" s="22">
        <f t="array" ref="F48">ROUND(SUMPRODUCT(Q9:Q28*$K$9:$K$28*IFERROR(1/$R$9:$R$28,0)),0)</f>
        <v>0</v>
      </c>
      <c r="G48" s="22">
        <f t="shared" si="5"/>
        <v>0</v>
      </c>
      <c r="H48" s="22" t="str">
        <f>IF(OR(SUM(K9:K28)&gt;0,SUM(K33:N38)&gt;0),F48+G48,"")</f>
        <v/>
      </c>
      <c r="I48" s="1"/>
      <c r="J48" s="1"/>
      <c r="K48" s="1"/>
      <c r="L48" s="66"/>
      <c r="M48" s="66"/>
      <c r="N48" s="66"/>
      <c r="O48" s="66"/>
      <c r="P48" s="66"/>
      <c r="Q48" s="66"/>
      <c r="R48" s="66"/>
      <c r="S48" s="67"/>
    </row>
    <row r="49" spans="1:19" x14ac:dyDescent="0.2">
      <c r="A49" s="1"/>
      <c r="B49" s="1"/>
      <c r="C49" s="1"/>
      <c r="D49" s="1"/>
      <c r="E49" s="1"/>
      <c r="F49" s="1"/>
      <c r="G49" s="1"/>
      <c r="H49" s="1"/>
      <c r="I49" s="1"/>
      <c r="J49" s="1"/>
      <c r="K49" s="1"/>
      <c r="L49" s="66"/>
      <c r="M49" s="66"/>
      <c r="N49" s="66"/>
      <c r="O49" s="66"/>
      <c r="P49" s="66"/>
      <c r="Q49" s="66"/>
      <c r="R49" s="66"/>
      <c r="S49" s="67"/>
    </row>
    <row r="50" spans="1:19" x14ac:dyDescent="0.2">
      <c r="A50" s="1"/>
      <c r="B50" s="1"/>
      <c r="C50" s="1"/>
      <c r="D50" s="1"/>
      <c r="E50" s="1"/>
      <c r="F50" s="1"/>
      <c r="G50" s="1"/>
      <c r="H50" s="1"/>
      <c r="I50" s="1"/>
      <c r="J50" s="1"/>
      <c r="K50" s="1"/>
      <c r="L50" s="66"/>
      <c r="M50" s="66"/>
      <c r="N50" s="66"/>
      <c r="O50" s="66"/>
      <c r="P50" s="66"/>
      <c r="Q50" s="66"/>
      <c r="R50" s="66"/>
      <c r="S50" s="67"/>
    </row>
    <row r="51" spans="1:19" ht="22" customHeight="1" x14ac:dyDescent="0.2">
      <c r="A51" s="1"/>
      <c r="B51" s="5" t="s">
        <v>270</v>
      </c>
      <c r="C51" s="1"/>
      <c r="D51" s="1"/>
      <c r="E51" s="1"/>
      <c r="F51" s="1"/>
      <c r="G51" s="1"/>
      <c r="H51" s="1"/>
      <c r="I51" s="1"/>
      <c r="J51" s="1"/>
      <c r="K51" s="1"/>
      <c r="L51" s="66"/>
      <c r="M51" s="66"/>
      <c r="N51" s="66"/>
      <c r="O51" s="66"/>
      <c r="P51" s="66"/>
      <c r="Q51" s="66"/>
      <c r="R51" s="66"/>
      <c r="S51" s="67"/>
    </row>
    <row r="52" spans="1:19" ht="20" customHeight="1" x14ac:dyDescent="0.2">
      <c r="A52" s="1"/>
      <c r="B52" s="8" t="s">
        <v>271</v>
      </c>
      <c r="C52" s="62">
        <f>SUM(E43:E48)</f>
        <v>0</v>
      </c>
      <c r="D52" s="1"/>
      <c r="E52" s="1"/>
      <c r="F52" s="62">
        <f>SUM(H43:H48)</f>
        <v>0</v>
      </c>
      <c r="G52" s="1"/>
      <c r="H52" s="1"/>
      <c r="I52" s="1"/>
      <c r="J52" s="1"/>
      <c r="K52" s="1"/>
      <c r="L52" s="66"/>
      <c r="M52" s="66"/>
      <c r="N52" s="66"/>
      <c r="O52" s="66"/>
      <c r="P52" s="66"/>
      <c r="Q52" s="66"/>
      <c r="R52" s="66"/>
      <c r="S52" s="67"/>
    </row>
    <row r="53" spans="1:19" ht="20" customHeight="1" x14ac:dyDescent="0.2">
      <c r="A53" s="1"/>
      <c r="B53" s="8" t="s">
        <v>272</v>
      </c>
      <c r="C53" s="21"/>
      <c r="D53" s="1"/>
      <c r="E53" s="1"/>
      <c r="F53" s="21"/>
      <c r="G53" s="1"/>
      <c r="H53" s="1"/>
      <c r="I53" s="1"/>
      <c r="J53" s="1"/>
      <c r="K53" s="1"/>
      <c r="L53" s="66"/>
      <c r="M53" s="66"/>
      <c r="N53" s="66"/>
      <c r="O53" s="66"/>
      <c r="P53" s="66"/>
      <c r="Q53" s="66"/>
      <c r="R53" s="66"/>
      <c r="S53" s="67"/>
    </row>
    <row r="54" spans="1:19" ht="20" customHeight="1" x14ac:dyDescent="0.2">
      <c r="A54" s="1"/>
      <c r="B54" s="8" t="s">
        <v>273</v>
      </c>
      <c r="C54" s="22">
        <f>C52-C53</f>
        <v>0</v>
      </c>
      <c r="D54" s="1"/>
      <c r="E54" s="1"/>
      <c r="F54" s="22">
        <f>F52-F53</f>
        <v>0</v>
      </c>
      <c r="G54" s="1"/>
      <c r="H54" s="1"/>
      <c r="I54" s="1"/>
      <c r="J54" s="1"/>
      <c r="K54" s="1"/>
      <c r="L54" s="66"/>
      <c r="M54" s="66"/>
      <c r="N54" s="66"/>
      <c r="O54" s="66"/>
      <c r="P54" s="66"/>
      <c r="Q54" s="66"/>
      <c r="R54" s="66"/>
      <c r="S54" s="67"/>
    </row>
    <row r="55" spans="1:19" ht="22" customHeight="1" x14ac:dyDescent="0.2">
      <c r="A55" s="1"/>
      <c r="B55" s="8" t="s">
        <v>274</v>
      </c>
      <c r="C55" s="95" t="str">
        <f>IF(AND(C53=0,F53=0),"Enter your P&amp;L total direct cost to check the allocation",IF(AND(OR(C53=0,ABS(C54)&lt;=0.01*C53),OR(F53=0,ABS(F54)&lt;=0.01*F53)),"PASS - allocation ties to P&amp;L within tolerance","REVIEW - allocation does not match P&amp;L; check workforce hours or non-labour costs for missing entries"))</f>
        <v>Enter your P&amp;L total direct cost to check the allocation</v>
      </c>
      <c r="D55" s="72"/>
      <c r="E55" s="72"/>
      <c r="F55" s="72"/>
      <c r="G55" s="72"/>
      <c r="H55" s="72"/>
      <c r="I55" s="72"/>
      <c r="J55" s="72"/>
      <c r="K55" s="72"/>
      <c r="L55" s="72"/>
      <c r="M55" s="72"/>
      <c r="N55" s="72"/>
      <c r="O55" s="72"/>
      <c r="P55" s="72"/>
      <c r="Q55" s="72"/>
      <c r="R55" s="72"/>
      <c r="S55" s="67"/>
    </row>
    <row r="56" spans="1:19" x14ac:dyDescent="0.2">
      <c r="A56" s="1"/>
      <c r="B56" s="1"/>
      <c r="C56" s="1"/>
      <c r="D56" s="1"/>
      <c r="E56" s="1"/>
      <c r="F56" s="1"/>
      <c r="G56" s="1"/>
      <c r="H56" s="1"/>
      <c r="I56" s="1"/>
      <c r="J56" s="1"/>
      <c r="K56" s="1"/>
      <c r="L56" s="66"/>
      <c r="M56" s="66"/>
      <c r="N56" s="66"/>
      <c r="O56" s="66"/>
      <c r="P56" s="66"/>
      <c r="Q56" s="66"/>
      <c r="R56" s="66"/>
      <c r="S56" s="67"/>
    </row>
    <row r="57" spans="1:19" ht="20" customHeight="1" x14ac:dyDescent="0.2">
      <c r="A57" s="1"/>
      <c r="B57" s="10" t="s">
        <v>275</v>
      </c>
      <c r="C57" s="1"/>
      <c r="D57" s="1"/>
      <c r="E57" s="1"/>
      <c r="F57" s="1"/>
      <c r="G57" s="1"/>
      <c r="H57" s="1"/>
      <c r="I57" s="1"/>
      <c r="J57" s="1"/>
      <c r="K57" s="1"/>
      <c r="L57" s="66"/>
      <c r="M57" s="66"/>
      <c r="N57" s="66"/>
      <c r="O57" s="66"/>
      <c r="P57" s="66"/>
      <c r="Q57" s="66"/>
      <c r="R57" s="66"/>
      <c r="S57" s="67"/>
    </row>
    <row r="58" spans="1:19" x14ac:dyDescent="0.2">
      <c r="A58" s="1"/>
      <c r="B58" s="1"/>
      <c r="C58" s="1"/>
      <c r="D58" s="1"/>
      <c r="E58" s="1"/>
      <c r="F58" s="1"/>
      <c r="G58" s="1"/>
      <c r="H58" s="1"/>
      <c r="I58" s="1"/>
      <c r="J58" s="1"/>
      <c r="K58" s="1"/>
      <c r="L58" s="66"/>
      <c r="M58" s="66"/>
      <c r="N58" s="66"/>
      <c r="O58" s="66"/>
      <c r="P58" s="66"/>
      <c r="Q58" s="66"/>
      <c r="R58" s="66"/>
      <c r="S58" s="67"/>
    </row>
  </sheetData>
  <mergeCells count="5">
    <mergeCell ref="B3:G3"/>
    <mergeCell ref="C55:R55"/>
    <mergeCell ref="B5:R5"/>
    <mergeCell ref="H3:J3"/>
    <mergeCell ref="C2:F2"/>
  </mergeCells>
  <printOptions horizontalCentered="1"/>
  <pageMargins left="0.4" right="0.4" top="0.5" bottom="0.5" header="0.3" footer="0.3"/>
  <pageSetup fitToHeight="0" orientation="landscape"/>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896B3"/>
    <pageSetUpPr fitToPage="1"/>
  </sheetPr>
  <dimension ref="A1:CB128"/>
  <sheetViews>
    <sheetView showGridLines="0" zoomScale="140" zoomScaleNormal="140" workbookViewId="0">
      <pane xSplit="1" ySplit="4" topLeftCell="B5" activePane="bottomRight" state="frozen"/>
      <selection pane="topRight"/>
      <selection pane="bottomLeft"/>
      <selection pane="bottomRight" activeCell="CE12" sqref="CE12"/>
    </sheetView>
  </sheetViews>
  <sheetFormatPr baseColWidth="10" defaultColWidth="8.83203125" defaultRowHeight="15" x14ac:dyDescent="0.2"/>
  <cols>
    <col min="1" max="1" width="2" style="64" customWidth="1"/>
    <col min="2" max="2" width="30" style="64" customWidth="1"/>
    <col min="3" max="9" width="16" style="64" customWidth="1"/>
    <col min="10" max="10" width="34" style="64" customWidth="1"/>
    <col min="11" max="11" width="2" style="64" customWidth="1"/>
    <col min="12" max="12" width="1.5" style="64" hidden="1" customWidth="1"/>
    <col min="13" max="80" width="14" style="64" hidden="1" customWidth="1"/>
    <col min="81" max="16384" width="8.83203125" style="64"/>
  </cols>
  <sheetData>
    <row r="1" spans="1:80" ht="8" customHeight="1" x14ac:dyDescent="0.2">
      <c r="A1" s="1"/>
      <c r="B1" s="1"/>
      <c r="C1" s="1"/>
      <c r="D1" s="1"/>
      <c r="E1" s="1"/>
      <c r="F1" s="1"/>
      <c r="G1" s="1"/>
      <c r="H1" s="1"/>
      <c r="I1" s="1"/>
      <c r="J1" s="1"/>
      <c r="K1" s="1"/>
      <c r="L1" s="2"/>
      <c r="M1" s="2"/>
      <c r="N1" s="2"/>
      <c r="O1" s="2"/>
      <c r="P1" s="2"/>
      <c r="Q1" s="2"/>
      <c r="R1" s="2"/>
      <c r="S1" s="2"/>
      <c r="T1" s="2"/>
      <c r="U1" s="2"/>
      <c r="V1" s="2"/>
      <c r="W1" s="2"/>
      <c r="X1" s="2"/>
      <c r="Y1" s="2"/>
      <c r="Z1" s="2"/>
      <c r="AA1" s="2"/>
      <c r="AB1" s="2"/>
      <c r="AC1" s="2"/>
      <c r="AD1" s="2"/>
      <c r="AE1" s="2"/>
      <c r="AF1" s="2"/>
      <c r="AG1" s="2"/>
      <c r="AH1" s="2"/>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row>
    <row r="2" spans="1:80" ht="30" customHeight="1" x14ac:dyDescent="0.2">
      <c r="A2" s="1"/>
      <c r="B2" s="1"/>
      <c r="C2" s="71" t="s">
        <v>0</v>
      </c>
      <c r="D2" s="72"/>
      <c r="E2" s="72"/>
      <c r="F2" s="72"/>
      <c r="G2" s="3" t="s">
        <v>1</v>
      </c>
      <c r="H2" s="11" t="s">
        <v>2</v>
      </c>
      <c r="I2" s="3" t="s">
        <v>3</v>
      </c>
      <c r="J2" s="11" t="s">
        <v>4</v>
      </c>
      <c r="K2" s="1"/>
      <c r="L2" s="2"/>
      <c r="M2" s="5" t="s">
        <v>5</v>
      </c>
      <c r="N2" s="2"/>
      <c r="O2" s="2"/>
      <c r="P2" s="2"/>
      <c r="Q2" s="2"/>
      <c r="R2" s="2"/>
      <c r="S2" s="2"/>
      <c r="T2" s="2"/>
      <c r="U2" s="2"/>
      <c r="V2" s="2"/>
      <c r="W2" s="2"/>
      <c r="X2" s="2"/>
      <c r="Y2" s="2"/>
      <c r="Z2" s="2"/>
      <c r="AA2" s="2"/>
      <c r="AB2" s="2"/>
      <c r="AC2" s="2"/>
      <c r="AD2" s="2"/>
      <c r="AE2" s="2"/>
      <c r="AF2" s="2"/>
      <c r="AG2" s="2"/>
      <c r="AH2" s="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row>
    <row r="3" spans="1:80" ht="22" customHeight="1" x14ac:dyDescent="0.2">
      <c r="A3" s="1"/>
      <c r="B3" s="76" t="s">
        <v>317</v>
      </c>
      <c r="C3" s="72"/>
      <c r="D3" s="72"/>
      <c r="E3" s="72"/>
      <c r="F3" s="72"/>
      <c r="G3" s="72"/>
      <c r="H3" s="80" t="s">
        <v>6</v>
      </c>
      <c r="I3" s="72"/>
      <c r="J3" s="72"/>
      <c r="K3" s="1"/>
      <c r="L3" s="2"/>
      <c r="M3" s="6" t="s">
        <v>7</v>
      </c>
      <c r="N3" s="6" t="s">
        <v>8</v>
      </c>
      <c r="O3" s="6" t="s">
        <v>9</v>
      </c>
      <c r="P3" s="6" t="s">
        <v>10</v>
      </c>
      <c r="Q3" s="2"/>
      <c r="R3" s="2"/>
      <c r="S3" s="2"/>
      <c r="T3" s="2"/>
      <c r="U3" s="2"/>
      <c r="V3" s="2"/>
      <c r="W3" s="2"/>
      <c r="X3" s="2"/>
      <c r="Y3" s="2"/>
      <c r="Z3" s="2"/>
      <c r="AA3" s="2"/>
      <c r="AB3" s="2"/>
      <c r="AC3" s="2"/>
      <c r="AD3" s="2"/>
      <c r="AE3" s="2"/>
      <c r="AF3" s="2"/>
      <c r="AG3" s="2"/>
      <c r="AH3" s="2"/>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row>
    <row r="4" spans="1:80" ht="10" customHeight="1" x14ac:dyDescent="0.2">
      <c r="A4" s="1"/>
      <c r="B4" s="96" t="s">
        <v>11</v>
      </c>
      <c r="C4" s="72"/>
      <c r="D4" s="72"/>
      <c r="E4" s="72"/>
      <c r="F4" s="72"/>
      <c r="G4" s="72"/>
      <c r="H4" s="72"/>
      <c r="I4" s="72"/>
      <c r="J4" s="72"/>
      <c r="K4" s="1"/>
      <c r="L4" s="2"/>
      <c r="M4" s="8" t="s">
        <v>2</v>
      </c>
      <c r="N4" s="8" t="s">
        <v>12</v>
      </c>
      <c r="O4" s="8" t="s">
        <v>13</v>
      </c>
      <c r="P4" s="8" t="s">
        <v>14</v>
      </c>
      <c r="Q4" s="2"/>
      <c r="R4" s="2"/>
      <c r="S4" s="2"/>
      <c r="T4" s="2"/>
      <c r="U4" s="2"/>
      <c r="V4" s="2"/>
      <c r="W4" s="2"/>
      <c r="X4" s="2"/>
      <c r="Y4" s="2"/>
      <c r="Z4" s="2"/>
      <c r="AA4" s="2"/>
      <c r="AB4" s="2"/>
      <c r="AC4" s="2"/>
      <c r="AD4" s="2"/>
      <c r="AE4" s="2"/>
      <c r="AF4" s="2"/>
      <c r="AG4" s="2"/>
      <c r="AH4" s="2"/>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row>
    <row r="5" spans="1:80" x14ac:dyDescent="0.2">
      <c r="A5" s="1"/>
      <c r="B5" s="1"/>
      <c r="C5" s="1"/>
      <c r="D5" s="1"/>
      <c r="E5" s="1"/>
      <c r="F5" s="1"/>
      <c r="G5" s="1"/>
      <c r="H5" s="1"/>
      <c r="I5" s="1"/>
      <c r="J5" s="1"/>
      <c r="K5" s="1"/>
      <c r="L5" s="2"/>
      <c r="M5" s="8" t="s">
        <v>15</v>
      </c>
      <c r="N5" s="8" t="s">
        <v>16</v>
      </c>
      <c r="O5" s="8" t="s">
        <v>13</v>
      </c>
      <c r="P5" s="8" t="s">
        <v>17</v>
      </c>
      <c r="Q5" s="2"/>
      <c r="R5" s="2"/>
      <c r="S5" s="2"/>
      <c r="T5" s="2"/>
      <c r="U5" s="2"/>
      <c r="V5" s="2"/>
      <c r="W5" s="2"/>
      <c r="X5" s="2"/>
      <c r="Y5" s="2"/>
      <c r="Z5" s="2"/>
      <c r="AA5" s="2"/>
      <c r="AB5" s="2"/>
      <c r="AC5" s="2"/>
      <c r="AD5" s="2"/>
      <c r="AE5" s="2"/>
      <c r="AF5" s="2"/>
      <c r="AG5" s="2"/>
      <c r="AH5" s="2"/>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row>
    <row r="6" spans="1:80" ht="22" customHeight="1" x14ac:dyDescent="0.2">
      <c r="A6" s="1"/>
      <c r="B6" s="9" t="s">
        <v>18</v>
      </c>
      <c r="C6" s="4" t="s">
        <v>19</v>
      </c>
      <c r="D6" s="10" t="s">
        <v>20</v>
      </c>
      <c r="E6" s="11" t="s">
        <v>19</v>
      </c>
      <c r="F6" s="10" t="s">
        <v>21</v>
      </c>
      <c r="G6" s="12" t="s">
        <v>22</v>
      </c>
      <c r="H6" s="10" t="s">
        <v>23</v>
      </c>
      <c r="I6" s="13" t="s">
        <v>24</v>
      </c>
      <c r="J6" s="10" t="s">
        <v>25</v>
      </c>
      <c r="K6" s="1"/>
      <c r="L6" s="2"/>
      <c r="M6" s="8" t="s">
        <v>26</v>
      </c>
      <c r="N6" s="8" t="s">
        <v>27</v>
      </c>
      <c r="O6" s="8" t="s">
        <v>13</v>
      </c>
      <c r="P6" s="8" t="s">
        <v>28</v>
      </c>
      <c r="Q6" s="2"/>
      <c r="R6" s="2"/>
      <c r="S6" s="2"/>
      <c r="T6" s="2"/>
      <c r="U6" s="2"/>
      <c r="V6" s="2"/>
      <c r="W6" s="2"/>
      <c r="X6" s="2"/>
      <c r="Y6" s="2"/>
      <c r="Z6" s="2"/>
      <c r="AA6" s="2"/>
      <c r="AB6" s="2"/>
      <c r="AC6" s="2"/>
      <c r="AD6" s="2"/>
      <c r="AE6" s="2"/>
      <c r="AF6" s="2"/>
      <c r="AG6" s="2"/>
      <c r="AH6" s="2"/>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row>
    <row r="7" spans="1:80" ht="4" customHeight="1" x14ac:dyDescent="0.2">
      <c r="A7" s="1"/>
      <c r="B7" s="1"/>
      <c r="C7" s="1"/>
      <c r="D7" s="1"/>
      <c r="E7" s="1"/>
      <c r="F7" s="1"/>
      <c r="G7" s="1"/>
      <c r="H7" s="1"/>
      <c r="I7" s="1"/>
      <c r="J7" s="1"/>
      <c r="K7" s="1"/>
      <c r="L7" s="2"/>
      <c r="M7" s="2"/>
      <c r="N7" s="2"/>
      <c r="O7" s="2"/>
      <c r="P7" s="2"/>
      <c r="Q7" s="2"/>
      <c r="R7" s="2"/>
      <c r="S7" s="2"/>
      <c r="T7" s="2"/>
      <c r="U7" s="2"/>
      <c r="V7" s="2"/>
      <c r="W7" s="2"/>
      <c r="X7" s="2"/>
      <c r="Y7" s="2"/>
      <c r="Z7" s="2"/>
      <c r="AA7" s="2"/>
      <c r="AB7" s="2"/>
      <c r="AC7" s="2"/>
      <c r="AD7" s="2"/>
      <c r="AE7" s="2"/>
      <c r="AF7" s="2"/>
      <c r="AG7" s="2"/>
      <c r="AH7" s="2"/>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row>
    <row r="8" spans="1:80" x14ac:dyDescent="0.2">
      <c r="A8" s="1"/>
      <c r="B8" s="1"/>
      <c r="C8" s="1"/>
      <c r="D8" s="1"/>
      <c r="E8" s="1"/>
      <c r="F8" s="1"/>
      <c r="G8" s="1"/>
      <c r="H8" s="1"/>
      <c r="I8" s="1"/>
      <c r="J8" s="1"/>
      <c r="K8" s="1"/>
      <c r="L8" s="2"/>
      <c r="M8" s="5" t="s">
        <v>29</v>
      </c>
      <c r="N8" s="2"/>
      <c r="O8" s="2"/>
      <c r="P8" s="2"/>
      <c r="Q8" s="2"/>
      <c r="R8" s="2"/>
      <c r="S8" s="2"/>
      <c r="T8" s="2"/>
      <c r="U8" s="2"/>
      <c r="V8" s="2"/>
      <c r="W8" s="2"/>
      <c r="X8" s="2"/>
      <c r="Y8" s="2"/>
      <c r="Z8" s="2"/>
      <c r="AA8" s="2"/>
      <c r="AB8" s="2"/>
      <c r="AC8" s="2"/>
      <c r="AD8" s="2"/>
      <c r="AE8" s="2"/>
      <c r="AF8" s="2"/>
      <c r="AG8" s="2"/>
      <c r="AH8" s="2"/>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row>
    <row r="9" spans="1:80" ht="22" customHeight="1" x14ac:dyDescent="0.2">
      <c r="A9" s="1"/>
      <c r="B9" s="5" t="s">
        <v>30</v>
      </c>
      <c r="C9" s="1"/>
      <c r="D9" s="1"/>
      <c r="E9" s="1"/>
      <c r="F9" s="1"/>
      <c r="G9" s="1"/>
      <c r="H9" s="1"/>
      <c r="I9" s="1"/>
      <c r="J9" s="1"/>
      <c r="K9" s="1"/>
      <c r="L9" s="2"/>
      <c r="M9" s="6" t="s">
        <v>7</v>
      </c>
      <c r="N9" s="6" t="s">
        <v>31</v>
      </c>
      <c r="O9" s="14" t="s">
        <v>32</v>
      </c>
      <c r="P9" s="14" t="s">
        <v>33</v>
      </c>
      <c r="Q9" s="14" t="s">
        <v>34</v>
      </c>
      <c r="R9" s="6" t="s">
        <v>35</v>
      </c>
      <c r="S9" s="2"/>
      <c r="T9" s="2"/>
      <c r="U9" s="2"/>
      <c r="V9" s="2"/>
      <c r="W9" s="2"/>
      <c r="X9" s="2"/>
      <c r="Y9" s="2"/>
      <c r="Z9" s="2"/>
      <c r="AA9" s="2"/>
      <c r="AB9" s="2"/>
      <c r="AC9" s="2"/>
      <c r="AD9" s="2"/>
      <c r="AE9" s="2"/>
      <c r="AF9" s="2"/>
      <c r="AG9" s="2"/>
      <c r="AH9" s="2"/>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row>
    <row r="10" spans="1:80" ht="22" customHeight="1" x14ac:dyDescent="0.2">
      <c r="A10" s="1"/>
      <c r="B10" s="8" t="s">
        <v>36</v>
      </c>
      <c r="C10" s="15" t="s">
        <v>37</v>
      </c>
      <c r="D10" s="2"/>
      <c r="E10" s="2"/>
      <c r="F10" s="2"/>
      <c r="G10" s="2"/>
      <c r="H10" s="2"/>
      <c r="I10" s="2"/>
      <c r="J10" s="2"/>
      <c r="K10" s="1"/>
      <c r="L10" s="2"/>
      <c r="M10" s="8" t="s">
        <v>4</v>
      </c>
      <c r="N10" s="8" t="s">
        <v>38</v>
      </c>
      <c r="O10" s="16">
        <v>0.45</v>
      </c>
      <c r="P10" s="16">
        <v>0.6</v>
      </c>
      <c r="Q10" s="16">
        <v>0.55000000000000004</v>
      </c>
      <c r="R10" s="8" t="s">
        <v>39</v>
      </c>
      <c r="S10" s="2"/>
      <c r="T10" s="2"/>
      <c r="U10" s="2"/>
      <c r="V10" s="2"/>
      <c r="W10" s="2"/>
      <c r="X10" s="2"/>
      <c r="Y10" s="2"/>
      <c r="Z10" s="2"/>
      <c r="AA10" s="2"/>
      <c r="AB10" s="2"/>
      <c r="AC10" s="2"/>
      <c r="AD10" s="2"/>
      <c r="AE10" s="2"/>
      <c r="AF10" s="2"/>
      <c r="AG10" s="2"/>
      <c r="AH10" s="2"/>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row>
    <row r="11" spans="1:80" ht="22" customHeight="1" x14ac:dyDescent="0.2">
      <c r="A11" s="1"/>
      <c r="B11" s="8" t="s">
        <v>40</v>
      </c>
      <c r="C11" s="15" t="s">
        <v>41</v>
      </c>
      <c r="D11" s="2"/>
      <c r="E11" s="2"/>
      <c r="F11" s="2"/>
      <c r="G11" s="2"/>
      <c r="H11" s="2"/>
      <c r="I11" s="2"/>
      <c r="J11" s="2"/>
      <c r="K11" s="1"/>
      <c r="L11" s="2"/>
      <c r="M11" s="8" t="s">
        <v>42</v>
      </c>
      <c r="N11" s="8" t="s">
        <v>43</v>
      </c>
      <c r="O11" s="16">
        <v>0.5</v>
      </c>
      <c r="P11" s="16">
        <v>0.62</v>
      </c>
      <c r="Q11" s="16">
        <v>0.56000000000000005</v>
      </c>
      <c r="R11" s="8" t="s">
        <v>44</v>
      </c>
      <c r="S11" s="2"/>
      <c r="T11" s="2"/>
      <c r="U11" s="2"/>
      <c r="V11" s="2"/>
      <c r="W11" s="2"/>
      <c r="X11" s="2"/>
      <c r="Y11" s="2"/>
      <c r="Z11" s="2"/>
      <c r="AA11" s="2"/>
      <c r="AB11" s="2"/>
      <c r="AC11" s="2"/>
      <c r="AD11" s="2"/>
      <c r="AE11" s="2"/>
      <c r="AF11" s="2"/>
      <c r="AG11" s="2"/>
      <c r="AH11" s="2"/>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row>
    <row r="12" spans="1:80" ht="22" customHeight="1" x14ac:dyDescent="0.2">
      <c r="A12" s="1"/>
      <c r="B12" s="8" t="s">
        <v>45</v>
      </c>
      <c r="C12" s="15" t="s">
        <v>46</v>
      </c>
      <c r="D12" s="2"/>
      <c r="E12" s="2"/>
      <c r="F12" s="2"/>
      <c r="G12" s="2"/>
      <c r="H12" s="2"/>
      <c r="I12" s="2"/>
      <c r="J12" s="2"/>
      <c r="K12" s="1"/>
      <c r="L12" s="2"/>
      <c r="M12" s="8" t="s">
        <v>47</v>
      </c>
      <c r="N12" s="8" t="s">
        <v>48</v>
      </c>
      <c r="O12" s="16">
        <v>0.4</v>
      </c>
      <c r="P12" s="16">
        <v>0.55000000000000004</v>
      </c>
      <c r="Q12" s="16">
        <v>0.47</v>
      </c>
      <c r="R12" s="8" t="s">
        <v>49</v>
      </c>
      <c r="S12" s="2"/>
      <c r="T12" s="2"/>
      <c r="U12" s="2"/>
      <c r="V12" s="2"/>
      <c r="W12" s="2"/>
      <c r="X12" s="2"/>
      <c r="Y12" s="2"/>
      <c r="Z12" s="2"/>
      <c r="AA12" s="2"/>
      <c r="AB12" s="2"/>
      <c r="AC12" s="2"/>
      <c r="AD12" s="2"/>
      <c r="AE12" s="2"/>
      <c r="AF12" s="2"/>
      <c r="AG12" s="2"/>
      <c r="AH12" s="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row>
    <row r="13" spans="1:80" ht="22" customHeight="1" x14ac:dyDescent="0.2">
      <c r="A13" s="1"/>
      <c r="B13" s="8" t="s">
        <v>50</v>
      </c>
      <c r="C13" s="15" t="s">
        <v>51</v>
      </c>
      <c r="D13" s="2"/>
      <c r="E13" s="2"/>
      <c r="F13" s="2"/>
      <c r="G13" s="2"/>
      <c r="H13" s="2"/>
      <c r="I13" s="2"/>
      <c r="J13" s="2"/>
      <c r="K13" s="1"/>
      <c r="L13" s="2"/>
      <c r="M13" s="8" t="s">
        <v>52</v>
      </c>
      <c r="N13" s="8" t="s">
        <v>53</v>
      </c>
      <c r="O13" s="16">
        <v>0.42</v>
      </c>
      <c r="P13" s="16">
        <v>0.57999999999999996</v>
      </c>
      <c r="Q13" s="16">
        <v>0.5</v>
      </c>
      <c r="R13" s="8" t="s">
        <v>54</v>
      </c>
      <c r="S13" s="2"/>
      <c r="T13" s="2"/>
      <c r="U13" s="2"/>
      <c r="V13" s="2"/>
      <c r="W13" s="2"/>
      <c r="X13" s="2"/>
      <c r="Y13" s="2"/>
      <c r="Z13" s="2"/>
      <c r="AA13" s="2"/>
      <c r="AB13" s="2"/>
      <c r="AC13" s="2"/>
      <c r="AD13" s="2"/>
      <c r="AE13" s="2"/>
      <c r="AF13" s="2"/>
      <c r="AG13" s="2"/>
      <c r="AH13" s="2"/>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row>
    <row r="14" spans="1:80" ht="22" customHeight="1" x14ac:dyDescent="0.2">
      <c r="A14" s="1"/>
      <c r="B14" s="8" t="s">
        <v>55</v>
      </c>
      <c r="C14" s="17">
        <v>5.0000000000000001E-3</v>
      </c>
      <c r="D14" s="2"/>
      <c r="E14" s="2"/>
      <c r="F14" s="2"/>
      <c r="G14" s="2"/>
      <c r="H14" s="2"/>
      <c r="I14" s="2"/>
      <c r="J14" s="2"/>
      <c r="K14" s="1"/>
      <c r="L14" s="2"/>
      <c r="M14" s="8" t="s">
        <v>56</v>
      </c>
      <c r="N14" s="8" t="s">
        <v>57</v>
      </c>
      <c r="O14" s="16">
        <v>0.4</v>
      </c>
      <c r="P14" s="16">
        <v>0.55000000000000004</v>
      </c>
      <c r="Q14" s="16">
        <v>0.5</v>
      </c>
      <c r="R14" s="8" t="s">
        <v>58</v>
      </c>
      <c r="S14" s="2"/>
      <c r="T14" s="2"/>
      <c r="U14" s="2"/>
      <c r="V14" s="2"/>
      <c r="W14" s="2"/>
      <c r="X14" s="2"/>
      <c r="Y14" s="2"/>
      <c r="Z14" s="2"/>
      <c r="AA14" s="2"/>
      <c r="AB14" s="2"/>
      <c r="AC14" s="2"/>
      <c r="AD14" s="2"/>
      <c r="AE14" s="2"/>
      <c r="AF14" s="2"/>
      <c r="AG14" s="2"/>
      <c r="AH14" s="2"/>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row>
    <row r="15" spans="1:80" ht="22" customHeight="1" x14ac:dyDescent="0.2">
      <c r="A15" s="1"/>
      <c r="B15" s="8" t="s">
        <v>59</v>
      </c>
      <c r="C15" s="18" t="str">
        <f>IFERROR(INDEX(ref_region_currency,MATCH(inp_biz_region,ref_region_codes,0)),"AUD")</f>
        <v>AUD</v>
      </c>
      <c r="D15" s="2"/>
      <c r="E15" s="2"/>
      <c r="F15" s="2"/>
      <c r="G15" s="2"/>
      <c r="H15" s="2"/>
      <c r="I15" s="2"/>
      <c r="J15" s="2"/>
      <c r="K15" s="1"/>
      <c r="L15" s="2"/>
      <c r="M15" s="8" t="s">
        <v>60</v>
      </c>
      <c r="N15" s="8" t="s">
        <v>61</v>
      </c>
      <c r="O15" s="16">
        <v>0.2</v>
      </c>
      <c r="P15" s="16">
        <v>0.4</v>
      </c>
      <c r="Q15" s="16">
        <v>0.3</v>
      </c>
      <c r="R15" s="8" t="s">
        <v>62</v>
      </c>
      <c r="S15" s="2"/>
      <c r="T15" s="2"/>
      <c r="U15" s="2"/>
      <c r="V15" s="2"/>
      <c r="W15" s="2"/>
      <c r="X15" s="2"/>
      <c r="Y15" s="2"/>
      <c r="Z15" s="2"/>
      <c r="AA15" s="2"/>
      <c r="AB15" s="2"/>
      <c r="AC15" s="2"/>
      <c r="AD15" s="2"/>
      <c r="AE15" s="2"/>
      <c r="AF15" s="2"/>
      <c r="AG15" s="2"/>
      <c r="AH15" s="2"/>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row>
    <row r="16" spans="1:80" ht="4" customHeight="1" x14ac:dyDescent="0.2">
      <c r="A16" s="1"/>
      <c r="B16" s="1"/>
      <c r="C16" s="1"/>
      <c r="D16" s="1"/>
      <c r="E16" s="1"/>
      <c r="F16" s="1"/>
      <c r="G16" s="1"/>
      <c r="H16" s="1"/>
      <c r="I16" s="1"/>
      <c r="J16" s="1"/>
      <c r="K16" s="1"/>
      <c r="L16" s="2"/>
      <c r="M16" s="8" t="s">
        <v>63</v>
      </c>
      <c r="N16" s="8" t="s">
        <v>64</v>
      </c>
      <c r="O16" s="16">
        <v>0.25</v>
      </c>
      <c r="P16" s="16">
        <v>0.4</v>
      </c>
      <c r="Q16" s="16">
        <v>0.32</v>
      </c>
      <c r="R16" s="8" t="s">
        <v>65</v>
      </c>
      <c r="S16" s="2"/>
      <c r="T16" s="2"/>
      <c r="U16" s="2"/>
      <c r="V16" s="2"/>
      <c r="W16" s="2"/>
      <c r="X16" s="2"/>
      <c r="Y16" s="2"/>
      <c r="Z16" s="2"/>
      <c r="AA16" s="2"/>
      <c r="AB16" s="2"/>
      <c r="AC16" s="2"/>
      <c r="AD16" s="2"/>
      <c r="AE16" s="2"/>
      <c r="AF16" s="2"/>
      <c r="AG16" s="2"/>
      <c r="AH16" s="2"/>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row>
    <row r="17" spans="1:80" ht="22" customHeight="1" x14ac:dyDescent="0.2">
      <c r="A17" s="1"/>
      <c r="B17" s="5" t="s">
        <v>66</v>
      </c>
      <c r="C17" s="1"/>
      <c r="D17" s="1"/>
      <c r="E17" s="1"/>
      <c r="F17" s="1"/>
      <c r="G17" s="1"/>
      <c r="H17" s="1"/>
      <c r="I17" s="85" t="str">
        <f>inp_biz_period_a_label</f>
        <v>Q1 FY26</v>
      </c>
      <c r="J17" s="72"/>
      <c r="K17" s="1"/>
      <c r="L17" s="2"/>
      <c r="M17" s="8" t="s">
        <v>67</v>
      </c>
      <c r="N17" s="8" t="s">
        <v>68</v>
      </c>
      <c r="O17" s="16">
        <v>0.4</v>
      </c>
      <c r="P17" s="16">
        <v>0.55000000000000004</v>
      </c>
      <c r="Q17" s="16">
        <v>0.5</v>
      </c>
      <c r="R17" s="8" t="s">
        <v>69</v>
      </c>
      <c r="S17" s="2"/>
      <c r="T17" s="2"/>
      <c r="U17" s="2"/>
      <c r="V17" s="2"/>
      <c r="W17" s="2"/>
      <c r="X17" s="2"/>
      <c r="Y17" s="2"/>
      <c r="Z17" s="2"/>
      <c r="AA17" s="2"/>
      <c r="AB17" s="2"/>
      <c r="AC17" s="2"/>
      <c r="AD17" s="2"/>
      <c r="AE17" s="2"/>
      <c r="AF17" s="2"/>
      <c r="AG17" s="2"/>
      <c r="AH17" s="2"/>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row>
    <row r="18" spans="1:80" ht="22" customHeight="1" x14ac:dyDescent="0.2">
      <c r="A18" s="1"/>
      <c r="B18" s="6" t="s">
        <v>70</v>
      </c>
      <c r="C18" s="14" t="s">
        <v>71</v>
      </c>
      <c r="D18" s="14" t="s">
        <v>72</v>
      </c>
      <c r="E18" s="14" t="s">
        <v>73</v>
      </c>
      <c r="F18" s="14" t="s">
        <v>74</v>
      </c>
      <c r="G18" s="14" t="s">
        <v>75</v>
      </c>
      <c r="H18" s="14" t="s">
        <v>76</v>
      </c>
      <c r="I18" s="14" t="s">
        <v>77</v>
      </c>
      <c r="J18" s="19"/>
      <c r="K18" s="1"/>
      <c r="L18" s="2"/>
      <c r="M18" s="2"/>
      <c r="N18" s="2"/>
      <c r="O18" s="2"/>
      <c r="P18" s="2"/>
      <c r="Q18" s="2"/>
      <c r="R18" s="2"/>
      <c r="S18" s="2"/>
      <c r="T18" s="2"/>
      <c r="U18" s="2"/>
      <c r="V18" s="2"/>
      <c r="W18" s="2"/>
      <c r="X18" s="2"/>
      <c r="Y18" s="2"/>
      <c r="Z18" s="2"/>
      <c r="AA18" s="2"/>
      <c r="AB18" s="2"/>
      <c r="AC18" s="2"/>
      <c r="AD18" s="2"/>
      <c r="AE18" s="2"/>
      <c r="AF18" s="2"/>
      <c r="AG18" s="2"/>
      <c r="AH18" s="2"/>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row>
    <row r="19" spans="1:80" ht="20" customHeight="1" x14ac:dyDescent="0.2">
      <c r="A19" s="1"/>
      <c r="B19" s="15" t="s">
        <v>78</v>
      </c>
      <c r="C19" s="20">
        <v>1900</v>
      </c>
      <c r="D19" s="21">
        <v>437000</v>
      </c>
      <c r="E19" s="21">
        <v>152000</v>
      </c>
      <c r="F19" s="22">
        <f t="shared" ref="F19:F25" si="0">IFERROR(D19/C19,0)</f>
        <v>230</v>
      </c>
      <c r="G19" s="22">
        <f t="shared" ref="G19:G24" si="1">IFERROR(L19/C19,0)</f>
        <v>80</v>
      </c>
      <c r="H19" s="22">
        <f t="shared" ref="H19:H24" si="2">IFERROR((D19-L19)/C19,0)</f>
        <v>150</v>
      </c>
      <c r="I19" s="23">
        <f t="shared" ref="I19:I24" si="3">IFERROR(D19/D$25,0)</f>
        <v>0.51351351351351349</v>
      </c>
      <c r="J19" s="2"/>
      <c r="K19" s="1"/>
      <c r="L19" s="22">
        <f>IFERROR(VALUE(alloc_dc_a_sl1),E19)</f>
        <v>152000</v>
      </c>
      <c r="M19" s="2"/>
      <c r="N19" s="2"/>
      <c r="O19" s="2"/>
      <c r="P19" s="2"/>
      <c r="Q19" s="2"/>
      <c r="R19" s="2"/>
      <c r="S19" s="2"/>
      <c r="T19" s="2"/>
      <c r="U19" s="2"/>
      <c r="V19" s="2"/>
      <c r="W19" s="2"/>
      <c r="X19" s="2"/>
      <c r="Y19" s="2"/>
      <c r="Z19" s="2"/>
      <c r="AA19" s="2"/>
      <c r="AB19" s="2"/>
      <c r="AC19" s="2"/>
      <c r="AD19" s="2"/>
      <c r="AE19" s="2"/>
      <c r="AF19" s="2"/>
      <c r="AG19" s="2"/>
      <c r="AH19" s="2"/>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row>
    <row r="20" spans="1:80" ht="20" customHeight="1" x14ac:dyDescent="0.2">
      <c r="A20" s="1"/>
      <c r="B20" s="15" t="s">
        <v>79</v>
      </c>
      <c r="C20" s="20">
        <v>350</v>
      </c>
      <c r="D20" s="21">
        <v>119000</v>
      </c>
      <c r="E20" s="21">
        <v>38500</v>
      </c>
      <c r="F20" s="22">
        <f t="shared" si="0"/>
        <v>340</v>
      </c>
      <c r="G20" s="22">
        <f t="shared" si="1"/>
        <v>110</v>
      </c>
      <c r="H20" s="22">
        <f t="shared" si="2"/>
        <v>230</v>
      </c>
      <c r="I20" s="23">
        <f t="shared" si="3"/>
        <v>0.13983548766157461</v>
      </c>
      <c r="J20" s="2"/>
      <c r="K20" s="1"/>
      <c r="L20" s="22">
        <f>IFERROR(VALUE(alloc_dc_a_sl2),E20)</f>
        <v>38500</v>
      </c>
      <c r="M20" s="5" t="s">
        <v>80</v>
      </c>
      <c r="N20" s="2"/>
      <c r="O20" s="2"/>
      <c r="P20" s="2"/>
      <c r="Q20" s="2"/>
      <c r="R20" s="2"/>
      <c r="S20" s="2"/>
      <c r="T20" s="5" t="s">
        <v>81</v>
      </c>
      <c r="U20" s="2"/>
      <c r="V20" s="2"/>
      <c r="W20" s="2"/>
      <c r="X20" s="2"/>
      <c r="Y20" s="2"/>
      <c r="Z20" s="2"/>
      <c r="AA20" s="2"/>
      <c r="AB20" s="2"/>
      <c r="AC20" s="2"/>
      <c r="AD20" s="2"/>
      <c r="AE20" s="2"/>
      <c r="AF20" s="2"/>
      <c r="AG20" s="2"/>
      <c r="AH20" s="2"/>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row>
    <row r="21" spans="1:80" ht="20" customHeight="1" x14ac:dyDescent="0.2">
      <c r="A21" s="1"/>
      <c r="B21" s="15" t="s">
        <v>82</v>
      </c>
      <c r="C21" s="20">
        <v>1000</v>
      </c>
      <c r="D21" s="21">
        <v>175000</v>
      </c>
      <c r="E21" s="21">
        <v>80000</v>
      </c>
      <c r="F21" s="22">
        <f t="shared" si="0"/>
        <v>175</v>
      </c>
      <c r="G21" s="22">
        <f t="shared" si="1"/>
        <v>80</v>
      </c>
      <c r="H21" s="22">
        <f t="shared" si="2"/>
        <v>95</v>
      </c>
      <c r="I21" s="23">
        <f t="shared" si="3"/>
        <v>0.20564042303172739</v>
      </c>
      <c r="J21" s="2"/>
      <c r="K21" s="1"/>
      <c r="L21" s="22">
        <f>IFERROR(VALUE(alloc_dc_a_sl3),E21)</f>
        <v>80000</v>
      </c>
      <c r="M21" s="6" t="s">
        <v>83</v>
      </c>
      <c r="N21" s="24">
        <f>SUM(C19:C24)</f>
        <v>3850</v>
      </c>
      <c r="O21" s="2"/>
      <c r="P21" s="2"/>
      <c r="Q21" s="2"/>
      <c r="R21" s="2"/>
      <c r="S21" s="2"/>
      <c r="T21" s="6" t="s">
        <v>84</v>
      </c>
      <c r="U21" s="22">
        <f>SUMPRODUCT(C19:C24,F34:F39)</f>
        <v>908200</v>
      </c>
      <c r="V21" s="2"/>
      <c r="W21" s="2"/>
      <c r="X21" s="2"/>
      <c r="Y21" s="2"/>
      <c r="Z21" s="2"/>
      <c r="AA21" s="2"/>
      <c r="AB21" s="2"/>
      <c r="AC21" s="2"/>
      <c r="AD21" s="2"/>
      <c r="AE21" s="2"/>
      <c r="AF21" s="2"/>
      <c r="AG21" s="2"/>
      <c r="AH21" s="2"/>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row>
    <row r="22" spans="1:80" ht="20" customHeight="1" x14ac:dyDescent="0.2">
      <c r="A22" s="1"/>
      <c r="B22" s="15" t="s">
        <v>85</v>
      </c>
      <c r="C22" s="20">
        <v>600</v>
      </c>
      <c r="D22" s="21">
        <v>120000</v>
      </c>
      <c r="E22" s="21">
        <v>51000</v>
      </c>
      <c r="F22" s="22">
        <f t="shared" si="0"/>
        <v>200</v>
      </c>
      <c r="G22" s="22">
        <f t="shared" si="1"/>
        <v>85</v>
      </c>
      <c r="H22" s="22">
        <f t="shared" si="2"/>
        <v>115</v>
      </c>
      <c r="I22" s="23">
        <f t="shared" si="3"/>
        <v>0.14101057579318449</v>
      </c>
      <c r="J22" s="2"/>
      <c r="K22" s="1"/>
      <c r="L22" s="22">
        <f>IFERROR(VALUE(alloc_dc_a_sl4),E22)</f>
        <v>51000</v>
      </c>
      <c r="M22" s="6" t="s">
        <v>86</v>
      </c>
      <c r="N22" s="24">
        <f>SUM(C34:C39)</f>
        <v>3600</v>
      </c>
      <c r="O22" s="2"/>
      <c r="P22" s="2"/>
      <c r="Q22" s="2"/>
      <c r="R22" s="2"/>
      <c r="S22" s="2"/>
      <c r="T22" s="6" t="s">
        <v>87</v>
      </c>
      <c r="U22" s="22">
        <f>SUMPRODUCT(C19:C24,G19:G24)</f>
        <v>321500</v>
      </c>
      <c r="V22" s="2"/>
      <c r="W22" s="2"/>
      <c r="X22" s="2"/>
      <c r="Y22" s="2"/>
      <c r="Z22" s="2"/>
      <c r="AA22" s="2"/>
      <c r="AB22" s="2"/>
      <c r="AC22" s="2"/>
      <c r="AD22" s="2"/>
      <c r="AE22" s="2"/>
      <c r="AF22" s="2"/>
      <c r="AG22" s="2"/>
      <c r="AH22" s="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row>
    <row r="23" spans="1:80" ht="20" customHeight="1" x14ac:dyDescent="0.2">
      <c r="A23" s="1"/>
      <c r="B23" s="15" t="s">
        <v>88</v>
      </c>
      <c r="C23" s="20">
        <v>0</v>
      </c>
      <c r="D23" s="21">
        <v>0</v>
      </c>
      <c r="E23" s="21">
        <v>0</v>
      </c>
      <c r="F23" s="22">
        <f t="shared" si="0"/>
        <v>0</v>
      </c>
      <c r="G23" s="22">
        <f t="shared" si="1"/>
        <v>0</v>
      </c>
      <c r="H23" s="22">
        <f t="shared" si="2"/>
        <v>0</v>
      </c>
      <c r="I23" s="23">
        <f t="shared" si="3"/>
        <v>0</v>
      </c>
      <c r="J23" s="2"/>
      <c r="K23" s="1"/>
      <c r="L23" s="22">
        <f>IFERROR(VALUE(alloc_dc_a_sl5),E23)</f>
        <v>0</v>
      </c>
      <c r="M23" s="6" t="s">
        <v>89</v>
      </c>
      <c r="N23" s="22">
        <f>SUM(D19:D24)</f>
        <v>851000</v>
      </c>
      <c r="O23" s="2"/>
      <c r="P23" s="2"/>
      <c r="Q23" s="2"/>
      <c r="R23" s="2"/>
      <c r="S23" s="2"/>
      <c r="T23" s="6" t="s">
        <v>90</v>
      </c>
      <c r="U23" s="22">
        <f>SUMPRODUCT(C34:C39,G19:G24)</f>
        <v>311250</v>
      </c>
      <c r="V23" s="2"/>
      <c r="W23" s="2"/>
      <c r="X23" s="2"/>
      <c r="Y23" s="2"/>
      <c r="Z23" s="2"/>
      <c r="AA23" s="2"/>
      <c r="AB23" s="2"/>
      <c r="AC23" s="2"/>
      <c r="AD23" s="2"/>
      <c r="AE23" s="2"/>
      <c r="AF23" s="2"/>
      <c r="AG23" s="2"/>
      <c r="AH23" s="2"/>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row>
    <row r="24" spans="1:80" ht="20" customHeight="1" x14ac:dyDescent="0.2">
      <c r="A24" s="1"/>
      <c r="B24" s="15" t="s">
        <v>91</v>
      </c>
      <c r="C24" s="20">
        <v>0</v>
      </c>
      <c r="D24" s="21">
        <v>0</v>
      </c>
      <c r="E24" s="21">
        <v>0</v>
      </c>
      <c r="F24" s="22">
        <f t="shared" si="0"/>
        <v>0</v>
      </c>
      <c r="G24" s="22">
        <f t="shared" si="1"/>
        <v>0</v>
      </c>
      <c r="H24" s="22">
        <f t="shared" si="2"/>
        <v>0</v>
      </c>
      <c r="I24" s="23">
        <f t="shared" si="3"/>
        <v>0</v>
      </c>
      <c r="J24" s="2"/>
      <c r="K24" s="1"/>
      <c r="L24" s="22">
        <f>IFERROR(VALUE(alloc_dc_a_sl6),E24)</f>
        <v>0</v>
      </c>
      <c r="M24" s="6" t="s">
        <v>92</v>
      </c>
      <c r="N24" s="22">
        <f>SUM(D34:D39)</f>
        <v>919650</v>
      </c>
      <c r="O24" s="2"/>
      <c r="P24" s="2"/>
      <c r="Q24" s="2"/>
      <c r="R24" s="2"/>
      <c r="S24" s="2"/>
      <c r="T24" s="6" t="s">
        <v>93</v>
      </c>
      <c r="U24" s="22">
        <f>SUMPRODUCT(C34:C39,F34:F39)</f>
        <v>919650</v>
      </c>
      <c r="V24" s="2"/>
      <c r="W24" s="2"/>
      <c r="X24" s="2"/>
      <c r="Y24" s="2"/>
      <c r="Z24" s="2"/>
      <c r="AA24" s="2"/>
      <c r="AB24" s="2"/>
      <c r="AC24" s="2"/>
      <c r="AD24" s="2"/>
      <c r="AE24" s="2"/>
      <c r="AF24" s="2"/>
      <c r="AG24" s="2"/>
      <c r="AH24" s="2"/>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row>
    <row r="25" spans="1:80" ht="22" customHeight="1" x14ac:dyDescent="0.2">
      <c r="A25" s="1"/>
      <c r="B25" s="25" t="s">
        <v>94</v>
      </c>
      <c r="C25" s="26">
        <f>SUM(C19:C24)</f>
        <v>3850</v>
      </c>
      <c r="D25" s="27">
        <f>SUM(D19:D24)</f>
        <v>851000</v>
      </c>
      <c r="E25" s="27">
        <f>SUM(L19:L24)</f>
        <v>321500</v>
      </c>
      <c r="F25" s="27">
        <f t="shared" si="0"/>
        <v>221.03896103896105</v>
      </c>
      <c r="G25" s="27">
        <f>IFERROR(E25/C25,0)</f>
        <v>83.506493506493513</v>
      </c>
      <c r="H25" s="27">
        <f>IFERROR((D25-E25)/C25,0)</f>
        <v>137.53246753246754</v>
      </c>
      <c r="I25" s="28">
        <f>IFERROR(SUM(I19:I24),0)</f>
        <v>1</v>
      </c>
      <c r="J25" s="29"/>
      <c r="K25" s="1"/>
      <c r="L25" s="27">
        <f>SUM(L19:L24)</f>
        <v>321500</v>
      </c>
      <c r="M25" s="6" t="s">
        <v>95</v>
      </c>
      <c r="N25" s="22">
        <f>SUM(L19:L24)</f>
        <v>321500</v>
      </c>
      <c r="O25" s="2"/>
      <c r="P25" s="2"/>
      <c r="Q25" s="2"/>
      <c r="R25" s="2"/>
      <c r="S25" s="2"/>
      <c r="T25" s="6" t="s">
        <v>96</v>
      </c>
      <c r="U25" s="22">
        <f>SUMPRODUCT(C34:C39,G34:G39)</f>
        <v>330550</v>
      </c>
      <c r="V25" s="2"/>
      <c r="W25" s="2"/>
      <c r="X25" s="2"/>
      <c r="Y25" s="2"/>
      <c r="Z25" s="2"/>
      <c r="AA25" s="2"/>
      <c r="AB25" s="2"/>
      <c r="AC25" s="2"/>
      <c r="AD25" s="2"/>
      <c r="AE25" s="2"/>
      <c r="AF25" s="2"/>
      <c r="AG25" s="2"/>
      <c r="AH25" s="2"/>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row>
    <row r="26" spans="1:80" ht="4" customHeight="1" x14ac:dyDescent="0.2">
      <c r="A26" s="1"/>
      <c r="B26" s="1"/>
      <c r="C26" s="1"/>
      <c r="D26" s="1"/>
      <c r="E26" s="1"/>
      <c r="F26" s="1"/>
      <c r="G26" s="1"/>
      <c r="H26" s="1"/>
      <c r="I26" s="1"/>
      <c r="J26" s="1"/>
      <c r="K26" s="1"/>
      <c r="L26" s="2"/>
      <c r="M26" s="6" t="s">
        <v>97</v>
      </c>
      <c r="N26" s="22">
        <f>SUM(L34:L39)</f>
        <v>330550</v>
      </c>
      <c r="O26" s="2"/>
      <c r="P26" s="2"/>
      <c r="Q26" s="2"/>
      <c r="R26" s="2"/>
      <c r="S26" s="2"/>
      <c r="T26" s="6" t="s">
        <v>98</v>
      </c>
      <c r="U26" s="22">
        <f>SUMPRODUCT(C19:C24,F19:F24)</f>
        <v>851000</v>
      </c>
      <c r="V26" s="2"/>
      <c r="W26" s="2"/>
      <c r="X26" s="2"/>
      <c r="Y26" s="2"/>
      <c r="Z26" s="2"/>
      <c r="AA26" s="2"/>
      <c r="AB26" s="2"/>
      <c r="AC26" s="2"/>
      <c r="AD26" s="2"/>
      <c r="AE26" s="2"/>
      <c r="AF26" s="2"/>
      <c r="AG26" s="2"/>
      <c r="AH26" s="2"/>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row>
    <row r="27" spans="1:80" ht="22" customHeight="1" x14ac:dyDescent="0.2">
      <c r="A27" s="1"/>
      <c r="B27" s="8" t="s">
        <v>99</v>
      </c>
      <c r="C27" s="21">
        <v>130000</v>
      </c>
      <c r="D27" s="2"/>
      <c r="E27" s="2"/>
      <c r="F27" s="2"/>
      <c r="G27" s="2"/>
      <c r="H27" s="2"/>
      <c r="I27" s="2"/>
      <c r="J27" s="2"/>
      <c r="K27" s="1"/>
      <c r="L27" s="2"/>
      <c r="M27" s="6" t="s">
        <v>100</v>
      </c>
      <c r="N27" s="22">
        <f>inp_a_fixed+IF(EXACT(inp_biz_margin_level,"EBITDA"),inp_a_opex,0)</f>
        <v>130000</v>
      </c>
      <c r="O27" s="2"/>
      <c r="P27" s="2"/>
      <c r="Q27" s="2"/>
      <c r="R27" s="2"/>
      <c r="S27" s="2"/>
      <c r="T27" s="6" t="s">
        <v>101</v>
      </c>
      <c r="U27" s="22">
        <f>IFERROR(calc_H_B/calc_H_A,0)*calc_sum_hA_rB</f>
        <v>849225.97402597405</v>
      </c>
      <c r="V27" s="2"/>
      <c r="W27" s="2"/>
      <c r="X27" s="2"/>
      <c r="Y27" s="2"/>
      <c r="Z27" s="2"/>
      <c r="AA27" s="2"/>
      <c r="AB27" s="2"/>
      <c r="AC27" s="2"/>
      <c r="AD27" s="2"/>
      <c r="AE27" s="2"/>
      <c r="AF27" s="2"/>
      <c r="AG27" s="2"/>
      <c r="AH27" s="2"/>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row>
    <row r="28" spans="1:80" ht="22" customHeight="1" x14ac:dyDescent="0.2">
      <c r="A28" s="1"/>
      <c r="B28" s="8" t="s">
        <v>102</v>
      </c>
      <c r="C28" s="20">
        <v>4200</v>
      </c>
      <c r="D28" s="2"/>
      <c r="E28" s="2"/>
      <c r="F28" s="2"/>
      <c r="G28" s="2"/>
      <c r="H28" s="2"/>
      <c r="I28" s="2"/>
      <c r="J28" s="2"/>
      <c r="K28" s="1"/>
      <c r="L28" s="2"/>
      <c r="M28" s="6" t="s">
        <v>103</v>
      </c>
      <c r="N28" s="22">
        <f>inp_b_fixed+IF(EXACT(inp_biz_margin_level,"EBITDA"),inp_b_opex,0)</f>
        <v>135000</v>
      </c>
      <c r="O28" s="2"/>
      <c r="P28" s="2"/>
      <c r="Q28" s="2"/>
      <c r="R28" s="2"/>
      <c r="S28" s="2"/>
      <c r="T28" s="6" t="s">
        <v>104</v>
      </c>
      <c r="U28" s="22">
        <f>IFERROR(calc_H_B/calc_H_A,0)*calc_sum_hA_cA</f>
        <v>300623.37662337662</v>
      </c>
      <c r="V28" s="2"/>
      <c r="W28" s="2"/>
      <c r="X28" s="2"/>
      <c r="Y28" s="2"/>
      <c r="Z28" s="2"/>
      <c r="AA28" s="2"/>
      <c r="AB28" s="2"/>
      <c r="AC28" s="2"/>
      <c r="AD28" s="2"/>
      <c r="AE28" s="2"/>
      <c r="AF28" s="2"/>
      <c r="AG28" s="2"/>
      <c r="AH28" s="2"/>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row>
    <row r="29" spans="1:80" ht="22" customHeight="1" x14ac:dyDescent="0.2">
      <c r="A29" s="1"/>
      <c r="B29" s="8" t="s">
        <v>105</v>
      </c>
      <c r="C29" s="21">
        <v>0</v>
      </c>
      <c r="D29" s="2"/>
      <c r="E29" s="2"/>
      <c r="F29" s="2"/>
      <c r="G29" s="2"/>
      <c r="H29" s="2"/>
      <c r="I29" s="2"/>
      <c r="J29" s="2"/>
      <c r="K29" s="1"/>
      <c r="L29" s="2"/>
      <c r="M29" s="6" t="s">
        <v>106</v>
      </c>
      <c r="N29" s="22">
        <f>calc_R_A-calc_VC_A-calc_F_A</f>
        <v>399500</v>
      </c>
      <c r="O29" s="2"/>
      <c r="P29" s="2"/>
      <c r="Q29" s="2"/>
      <c r="R29" s="2"/>
      <c r="S29" s="2"/>
      <c r="T29" s="2"/>
      <c r="U29" s="2"/>
      <c r="V29" s="2"/>
      <c r="W29" s="2"/>
      <c r="X29" s="2"/>
      <c r="Y29" s="2"/>
      <c r="Z29" s="2"/>
      <c r="AA29" s="2"/>
      <c r="AB29" s="2"/>
      <c r="AC29" s="2"/>
      <c r="AD29" s="2"/>
      <c r="AE29" s="2"/>
      <c r="AF29" s="2"/>
      <c r="AG29" s="2"/>
      <c r="AH29" s="2"/>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row>
    <row r="30" spans="1:80" x14ac:dyDescent="0.2">
      <c r="A30" s="1"/>
      <c r="B30" s="1"/>
      <c r="C30" s="1"/>
      <c r="D30" s="1"/>
      <c r="E30" s="1"/>
      <c r="F30" s="1"/>
      <c r="G30" s="1"/>
      <c r="H30" s="1"/>
      <c r="I30" s="1"/>
      <c r="J30" s="1"/>
      <c r="K30" s="1"/>
      <c r="L30" s="2"/>
      <c r="M30" s="6" t="s">
        <v>107</v>
      </c>
      <c r="N30" s="22">
        <f>calc_R_B-calc_VC_B-calc_F_B</f>
        <v>454100</v>
      </c>
      <c r="O30" s="2"/>
      <c r="P30" s="2"/>
      <c r="Q30" s="2"/>
      <c r="R30" s="2"/>
      <c r="S30" s="2"/>
      <c r="T30" s="2"/>
      <c r="U30" s="2"/>
      <c r="V30" s="2"/>
      <c r="W30" s="2"/>
      <c r="X30" s="2"/>
      <c r="Y30" s="2"/>
      <c r="Z30" s="2"/>
      <c r="AA30" s="2"/>
      <c r="AB30" s="2"/>
      <c r="AC30" s="2"/>
      <c r="AD30" s="2"/>
      <c r="AE30" s="2"/>
      <c r="AF30" s="2"/>
      <c r="AG30" s="2"/>
      <c r="AH30" s="2"/>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row>
    <row r="31" spans="1:80" x14ac:dyDescent="0.2">
      <c r="A31" s="1"/>
      <c r="B31" s="1"/>
      <c r="C31" s="1"/>
      <c r="D31" s="1"/>
      <c r="E31" s="1"/>
      <c r="F31" s="1"/>
      <c r="G31" s="1"/>
      <c r="H31" s="1"/>
      <c r="I31" s="1"/>
      <c r="J31" s="1"/>
      <c r="K31" s="1"/>
      <c r="L31" s="2"/>
      <c r="M31" s="6" t="s">
        <v>108</v>
      </c>
      <c r="N31" s="23">
        <f>IFERROR(calc_GP_A/calc_R_A,0)</f>
        <v>0.46944770857814339</v>
      </c>
      <c r="O31" s="2"/>
      <c r="P31" s="2"/>
      <c r="Q31" s="2"/>
      <c r="R31" s="2"/>
      <c r="S31" s="2"/>
      <c r="T31" s="2"/>
      <c r="U31" s="2"/>
      <c r="V31" s="2"/>
      <c r="W31" s="2"/>
      <c r="X31" s="2"/>
      <c r="Y31" s="2"/>
      <c r="Z31" s="2"/>
      <c r="AA31" s="2"/>
      <c r="AB31" s="2"/>
      <c r="AC31" s="2"/>
      <c r="AD31" s="2"/>
      <c r="AE31" s="2"/>
      <c r="AF31" s="2"/>
      <c r="AG31" s="2"/>
      <c r="AH31" s="2"/>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row>
    <row r="32" spans="1:80" ht="22" customHeight="1" x14ac:dyDescent="0.2">
      <c r="A32" s="1"/>
      <c r="B32" s="5" t="s">
        <v>109</v>
      </c>
      <c r="C32" s="1"/>
      <c r="D32" s="1"/>
      <c r="E32" s="1"/>
      <c r="F32" s="1"/>
      <c r="G32" s="1"/>
      <c r="H32" s="1"/>
      <c r="I32" s="85" t="str">
        <f>inp_biz_period_b_label</f>
        <v>Q2 FY26</v>
      </c>
      <c r="J32" s="72"/>
      <c r="K32" s="1"/>
      <c r="L32" s="2"/>
      <c r="M32" s="6" t="s">
        <v>110</v>
      </c>
      <c r="N32" s="23">
        <f>IFERROR(calc_GP_B/calc_R_B,0)</f>
        <v>0.49377480563257758</v>
      </c>
      <c r="O32" s="2"/>
      <c r="P32" s="2"/>
      <c r="Q32" s="2"/>
      <c r="R32" s="2"/>
      <c r="S32" s="2"/>
      <c r="T32" s="2"/>
      <c r="U32" s="2"/>
      <c r="V32" s="2"/>
      <c r="W32" s="2"/>
      <c r="X32" s="2"/>
      <c r="Y32" s="2"/>
      <c r="Z32" s="2"/>
      <c r="AA32" s="2"/>
      <c r="AB32" s="2"/>
      <c r="AC32" s="2"/>
      <c r="AD32" s="2"/>
      <c r="AE32" s="2"/>
      <c r="AF32" s="2"/>
      <c r="AG32" s="2"/>
      <c r="AH32" s="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row>
    <row r="33" spans="1:80" ht="22" customHeight="1" x14ac:dyDescent="0.2">
      <c r="A33" s="1"/>
      <c r="B33" s="6" t="s">
        <v>70</v>
      </c>
      <c r="C33" s="14" t="s">
        <v>71</v>
      </c>
      <c r="D33" s="14" t="s">
        <v>72</v>
      </c>
      <c r="E33" s="14" t="s">
        <v>73</v>
      </c>
      <c r="F33" s="14" t="s">
        <v>74</v>
      </c>
      <c r="G33" s="14" t="s">
        <v>75</v>
      </c>
      <c r="H33" s="14" t="s">
        <v>76</v>
      </c>
      <c r="I33" s="14" t="s">
        <v>77</v>
      </c>
      <c r="J33" s="19"/>
      <c r="K33" s="1"/>
      <c r="L33" s="2"/>
      <c r="M33" s="6" t="s">
        <v>111</v>
      </c>
      <c r="N33" s="23">
        <f>IFERROR(calc_H_A/inp_a_capacity,0)</f>
        <v>0.91666666666666663</v>
      </c>
      <c r="O33" s="2"/>
      <c r="P33" s="2"/>
      <c r="Q33" s="2"/>
      <c r="R33" s="2"/>
      <c r="S33" s="2"/>
      <c r="T33" s="2"/>
      <c r="U33" s="2"/>
      <c r="V33" s="2"/>
      <c r="W33" s="2"/>
      <c r="X33" s="2"/>
      <c r="Y33" s="2"/>
      <c r="Z33" s="2"/>
      <c r="AA33" s="2"/>
      <c r="AB33" s="2"/>
      <c r="AC33" s="2"/>
      <c r="AD33" s="2"/>
      <c r="AE33" s="2"/>
      <c r="AF33" s="2"/>
      <c r="AG33" s="2"/>
      <c r="AH33" s="2"/>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row>
    <row r="34" spans="1:80" ht="20" customHeight="1" x14ac:dyDescent="0.2">
      <c r="A34" s="1"/>
      <c r="B34" s="15" t="s">
        <v>78</v>
      </c>
      <c r="C34" s="20">
        <v>1800</v>
      </c>
      <c r="D34" s="21">
        <v>455400</v>
      </c>
      <c r="E34" s="21">
        <v>153000</v>
      </c>
      <c r="F34" s="22">
        <f t="shared" ref="F34:F40" si="4">IFERROR(D34/C34,0)</f>
        <v>253</v>
      </c>
      <c r="G34" s="22">
        <f t="shared" ref="G34:G39" si="5">IFERROR(L34/C34,0)</f>
        <v>85</v>
      </c>
      <c r="H34" s="22">
        <f t="shared" ref="H34:H39" si="6">IFERROR((D34-L34)/C34,0)</f>
        <v>168</v>
      </c>
      <c r="I34" s="23">
        <f t="shared" ref="I34:I39" si="7">IFERROR(D34/D$40,0)</f>
        <v>0.49518838688631545</v>
      </c>
      <c r="J34" s="2"/>
      <c r="K34" s="1"/>
      <c r="L34" s="22">
        <f>IFERROR(VALUE(alloc_dc_b_sl1),E34)</f>
        <v>153000</v>
      </c>
      <c r="M34" s="6" t="s">
        <v>112</v>
      </c>
      <c r="N34" s="23">
        <f>IFERROR(calc_H_B/inp_b_capacity,0)</f>
        <v>0.8571428571428571</v>
      </c>
      <c r="O34" s="2"/>
      <c r="P34" s="2"/>
      <c r="Q34" s="2"/>
      <c r="R34" s="2"/>
      <c r="S34" s="2"/>
      <c r="T34" s="2"/>
      <c r="U34" s="2"/>
      <c r="V34" s="2"/>
      <c r="W34" s="2"/>
      <c r="X34" s="2"/>
      <c r="Y34" s="2"/>
      <c r="Z34" s="2"/>
      <c r="AA34" s="2"/>
      <c r="AB34" s="2"/>
      <c r="AC34" s="2"/>
      <c r="AD34" s="2"/>
      <c r="AE34" s="2"/>
      <c r="AF34" s="2"/>
      <c r="AG34" s="2"/>
      <c r="AH34" s="2"/>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row>
    <row r="35" spans="1:80" ht="20" customHeight="1" x14ac:dyDescent="0.2">
      <c r="A35" s="1"/>
      <c r="B35" s="15" t="s">
        <v>79</v>
      </c>
      <c r="C35" s="20">
        <v>650</v>
      </c>
      <c r="D35" s="21">
        <v>240500</v>
      </c>
      <c r="E35" s="21">
        <v>76050</v>
      </c>
      <c r="F35" s="22">
        <f t="shared" si="4"/>
        <v>370</v>
      </c>
      <c r="G35" s="22">
        <f t="shared" si="5"/>
        <v>117</v>
      </c>
      <c r="H35" s="22">
        <f t="shared" si="6"/>
        <v>253</v>
      </c>
      <c r="I35" s="23">
        <f t="shared" si="7"/>
        <v>0.26151253194149948</v>
      </c>
      <c r="J35" s="2"/>
      <c r="K35" s="1"/>
      <c r="L35" s="22">
        <f>IFERROR(VALUE(alloc_dc_b_sl2),E35)</f>
        <v>76050</v>
      </c>
      <c r="M35" s="2"/>
      <c r="N35" s="2"/>
      <c r="O35" s="2"/>
      <c r="P35" s="2"/>
      <c r="Q35" s="2"/>
      <c r="R35" s="2"/>
      <c r="S35" s="2"/>
      <c r="T35" s="2"/>
      <c r="U35" s="2"/>
      <c r="V35" s="2"/>
      <c r="W35" s="2"/>
      <c r="X35" s="2"/>
      <c r="Y35" s="2"/>
      <c r="Z35" s="2"/>
      <c r="AA35" s="2"/>
      <c r="AB35" s="2"/>
      <c r="AC35" s="2"/>
      <c r="AD35" s="2"/>
      <c r="AE35" s="2"/>
      <c r="AF35" s="2"/>
      <c r="AG35" s="2"/>
      <c r="AH35" s="2"/>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row>
    <row r="36" spans="1:80" ht="20" customHeight="1" x14ac:dyDescent="0.2">
      <c r="A36" s="1"/>
      <c r="B36" s="15" t="s">
        <v>82</v>
      </c>
      <c r="C36" s="20">
        <v>400</v>
      </c>
      <c r="D36" s="21">
        <v>70000</v>
      </c>
      <c r="E36" s="21">
        <v>34000</v>
      </c>
      <c r="F36" s="22">
        <f t="shared" si="4"/>
        <v>175</v>
      </c>
      <c r="G36" s="22">
        <f t="shared" si="5"/>
        <v>85</v>
      </c>
      <c r="H36" s="22">
        <f t="shared" si="6"/>
        <v>90</v>
      </c>
      <c r="I36" s="23">
        <f t="shared" si="7"/>
        <v>7.6115913662806498E-2</v>
      </c>
      <c r="J36" s="2"/>
      <c r="K36" s="1"/>
      <c r="L36" s="22">
        <f>IFERROR(VALUE(alloc_dc_b_sl3),E36)</f>
        <v>34000</v>
      </c>
      <c r="M36" s="2"/>
      <c r="N36" s="2"/>
      <c r="O36" s="2"/>
      <c r="P36" s="2"/>
      <c r="Q36" s="2"/>
      <c r="R36" s="2"/>
      <c r="S36" s="2"/>
      <c r="T36" s="2"/>
      <c r="U36" s="2"/>
      <c r="V36" s="2"/>
      <c r="W36" s="2"/>
      <c r="X36" s="2"/>
      <c r="Y36" s="2"/>
      <c r="Z36" s="2"/>
      <c r="AA36" s="2"/>
      <c r="AB36" s="2"/>
      <c r="AC36" s="2"/>
      <c r="AD36" s="2"/>
      <c r="AE36" s="2"/>
      <c r="AF36" s="2"/>
      <c r="AG36" s="2"/>
      <c r="AH36" s="2"/>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row>
    <row r="37" spans="1:80" ht="20" customHeight="1" x14ac:dyDescent="0.2">
      <c r="A37" s="1"/>
      <c r="B37" s="15" t="s">
        <v>85</v>
      </c>
      <c r="C37" s="20">
        <v>750</v>
      </c>
      <c r="D37" s="21">
        <v>153750</v>
      </c>
      <c r="E37" s="21">
        <v>67500</v>
      </c>
      <c r="F37" s="22">
        <f t="shared" si="4"/>
        <v>205</v>
      </c>
      <c r="G37" s="22">
        <f t="shared" si="5"/>
        <v>90</v>
      </c>
      <c r="H37" s="22">
        <f t="shared" si="6"/>
        <v>115</v>
      </c>
      <c r="I37" s="23">
        <f t="shared" si="7"/>
        <v>0.16718316750937856</v>
      </c>
      <c r="J37" s="2"/>
      <c r="K37" s="1"/>
      <c r="L37" s="22">
        <f>IFERROR(VALUE(alloc_dc_b_sl4),E37)</f>
        <v>67500</v>
      </c>
      <c r="M37" s="5" t="s">
        <v>113</v>
      </c>
      <c r="N37" s="2"/>
      <c r="O37" s="2"/>
      <c r="P37" s="2"/>
      <c r="Q37" s="2"/>
      <c r="R37" s="2"/>
      <c r="S37" s="2"/>
      <c r="T37" s="2"/>
      <c r="U37" s="2"/>
      <c r="V37" s="2"/>
      <c r="W37" s="2"/>
      <c r="X37" s="2"/>
      <c r="Y37" s="2"/>
      <c r="Z37" s="2"/>
      <c r="AA37" s="2"/>
      <c r="AB37" s="2"/>
      <c r="AC37" s="2"/>
      <c r="AD37" s="2"/>
      <c r="AE37" s="2"/>
      <c r="AF37" s="2"/>
      <c r="AG37" s="2"/>
      <c r="AH37" s="2"/>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row>
    <row r="38" spans="1:80" ht="20" customHeight="1" x14ac:dyDescent="0.2">
      <c r="A38" s="1"/>
      <c r="B38" s="15" t="s">
        <v>88</v>
      </c>
      <c r="C38" s="20">
        <v>0</v>
      </c>
      <c r="D38" s="21">
        <v>0</v>
      </c>
      <c r="E38" s="21">
        <v>0</v>
      </c>
      <c r="F38" s="22">
        <f t="shared" si="4"/>
        <v>0</v>
      </c>
      <c r="G38" s="22">
        <f t="shared" si="5"/>
        <v>0</v>
      </c>
      <c r="H38" s="22">
        <f t="shared" si="6"/>
        <v>0</v>
      </c>
      <c r="I38" s="23">
        <f t="shared" si="7"/>
        <v>0</v>
      </c>
      <c r="J38" s="2"/>
      <c r="K38" s="1"/>
      <c r="L38" s="22">
        <f>IFERROR(VALUE(alloc_dc_b_sl5),E38)</f>
        <v>0</v>
      </c>
      <c r="M38" s="6" t="s">
        <v>114</v>
      </c>
      <c r="N38" s="14" t="s">
        <v>115</v>
      </c>
      <c r="O38" s="14" t="s">
        <v>116</v>
      </c>
      <c r="P38" s="14" t="s">
        <v>117</v>
      </c>
      <c r="Q38" s="14" t="s">
        <v>118</v>
      </c>
      <c r="R38" s="14" t="s">
        <v>119</v>
      </c>
      <c r="S38" s="2"/>
      <c r="T38" s="2"/>
      <c r="U38" s="2"/>
      <c r="V38" s="2"/>
      <c r="W38" s="2"/>
      <c r="X38" s="2"/>
      <c r="Y38" s="2"/>
      <c r="Z38" s="2"/>
      <c r="AA38" s="2"/>
      <c r="AB38" s="2"/>
      <c r="AC38" s="2"/>
      <c r="AD38" s="2"/>
      <c r="AE38" s="2"/>
      <c r="AF38" s="2"/>
      <c r="AG38" s="2"/>
      <c r="AH38" s="2"/>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row>
    <row r="39" spans="1:80" ht="20" customHeight="1" x14ac:dyDescent="0.2">
      <c r="A39" s="1"/>
      <c r="B39" s="15" t="s">
        <v>91</v>
      </c>
      <c r="C39" s="20">
        <v>0</v>
      </c>
      <c r="D39" s="21">
        <v>0</v>
      </c>
      <c r="E39" s="21">
        <v>0</v>
      </c>
      <c r="F39" s="22">
        <f t="shared" si="4"/>
        <v>0</v>
      </c>
      <c r="G39" s="22">
        <f t="shared" si="5"/>
        <v>0</v>
      </c>
      <c r="H39" s="22">
        <f t="shared" si="6"/>
        <v>0</v>
      </c>
      <c r="I39" s="23">
        <f t="shared" si="7"/>
        <v>0</v>
      </c>
      <c r="J39" s="2"/>
      <c r="K39" s="1"/>
      <c r="L39" s="22">
        <f>IFERROR(VALUE(alloc_dc_b_sl6),E39)</f>
        <v>0</v>
      </c>
      <c r="M39" s="8" t="s">
        <v>120</v>
      </c>
      <c r="N39" s="22">
        <f>calc_GP_A</f>
        <v>399500</v>
      </c>
      <c r="O39" s="22">
        <f>calc_R_A</f>
        <v>851000</v>
      </c>
      <c r="P39" s="23">
        <f t="shared" ref="P39:P44" si="8">IFERROR(N39/O39,0)</f>
        <v>0.46944770857814339</v>
      </c>
      <c r="Q39" s="30">
        <v>0</v>
      </c>
      <c r="R39" s="31">
        <v>0</v>
      </c>
      <c r="S39" s="2"/>
      <c r="T39" s="2"/>
      <c r="U39" s="2"/>
      <c r="V39" s="2"/>
      <c r="W39" s="2"/>
      <c r="X39" s="2"/>
      <c r="Y39" s="2"/>
      <c r="Z39" s="2"/>
      <c r="AA39" s="2"/>
      <c r="AB39" s="2"/>
      <c r="AC39" s="2"/>
      <c r="AD39" s="2"/>
      <c r="AE39" s="2"/>
      <c r="AF39" s="2"/>
      <c r="AG39" s="2"/>
      <c r="AH39" s="2"/>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row>
    <row r="40" spans="1:80" ht="22" customHeight="1" x14ac:dyDescent="0.2">
      <c r="A40" s="1"/>
      <c r="B40" s="25" t="s">
        <v>94</v>
      </c>
      <c r="C40" s="26">
        <f>SUM(C34:C39)</f>
        <v>3600</v>
      </c>
      <c r="D40" s="27">
        <f>SUM(D34:D39)</f>
        <v>919650</v>
      </c>
      <c r="E40" s="27">
        <f>SUM(L34:L39)</f>
        <v>330550</v>
      </c>
      <c r="F40" s="27">
        <f t="shared" si="4"/>
        <v>255.45833333333334</v>
      </c>
      <c r="G40" s="27">
        <f>IFERROR(E40/C40,0)</f>
        <v>91.819444444444443</v>
      </c>
      <c r="H40" s="27">
        <f>IFERROR((D40-E40)/C40,0)</f>
        <v>163.63888888888889</v>
      </c>
      <c r="I40" s="28">
        <f>IFERROR(SUM(I34:I39),0)</f>
        <v>0.99999999999999989</v>
      </c>
      <c r="J40" s="29"/>
      <c r="K40" s="1"/>
      <c r="L40" s="27">
        <f>SUM(L34:L39)</f>
        <v>330550</v>
      </c>
      <c r="M40" s="8" t="s">
        <v>121</v>
      </c>
      <c r="N40" s="22">
        <f>calc_sum_hA_rB - calc_sum_hA_cA - calc_F_A</f>
        <v>456700</v>
      </c>
      <c r="O40" s="22">
        <f>calc_sum_hA_rB</f>
        <v>908200</v>
      </c>
      <c r="P40" s="23">
        <f t="shared" si="8"/>
        <v>0.50286280554943841</v>
      </c>
      <c r="Q40" s="30">
        <f>N40-N39</f>
        <v>57200</v>
      </c>
      <c r="R40" s="32">
        <f>(P40-P39)</f>
        <v>3.3415096971295022E-2</v>
      </c>
      <c r="S40" s="2"/>
      <c r="T40" s="2"/>
      <c r="U40" s="2"/>
      <c r="V40" s="2"/>
      <c r="W40" s="2"/>
      <c r="X40" s="2"/>
      <c r="Y40" s="2"/>
      <c r="Z40" s="2"/>
      <c r="AA40" s="2"/>
      <c r="AB40" s="2"/>
      <c r="AC40" s="2"/>
      <c r="AD40" s="2"/>
      <c r="AE40" s="2"/>
      <c r="AF40" s="2"/>
      <c r="AG40" s="2"/>
      <c r="AH40" s="2"/>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row>
    <row r="41" spans="1:80" ht="4" customHeight="1" x14ac:dyDescent="0.2">
      <c r="A41" s="1"/>
      <c r="B41" s="1"/>
      <c r="C41" s="1"/>
      <c r="D41" s="1"/>
      <c r="E41" s="1"/>
      <c r="F41" s="1"/>
      <c r="G41" s="1"/>
      <c r="H41" s="1"/>
      <c r="I41" s="1"/>
      <c r="J41" s="1"/>
      <c r="K41" s="1"/>
      <c r="L41" s="2"/>
      <c r="M41" s="8" t="s">
        <v>122</v>
      </c>
      <c r="N41" s="22">
        <f>calc_R_walk_2 - calc_VC_walk_2 - calc_F_A</f>
        <v>418602.59740259743</v>
      </c>
      <c r="O41" s="22">
        <f>calc_R_walk_2</f>
        <v>849225.97402597405</v>
      </c>
      <c r="P41" s="23">
        <f t="shared" si="8"/>
        <v>0.49292250850277719</v>
      </c>
      <c r="Q41" s="30">
        <f>N41-N40</f>
        <v>-38097.402597402572</v>
      </c>
      <c r="R41" s="32">
        <f>(P41-P40)</f>
        <v>-9.9402970466612173E-3</v>
      </c>
      <c r="S41" s="2"/>
      <c r="T41" s="2"/>
      <c r="U41" s="2"/>
      <c r="V41" s="2"/>
      <c r="W41" s="2"/>
      <c r="X41" s="2"/>
      <c r="Y41" s="2"/>
      <c r="Z41" s="2"/>
      <c r="AA41" s="2"/>
      <c r="AB41" s="2"/>
      <c r="AC41" s="2"/>
      <c r="AD41" s="2"/>
      <c r="AE41" s="2"/>
      <c r="AF41" s="2"/>
      <c r="AG41" s="2"/>
      <c r="AH41" s="2"/>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row>
    <row r="42" spans="1:80" ht="22" customHeight="1" x14ac:dyDescent="0.2">
      <c r="A42" s="1"/>
      <c r="B42" s="8" t="s">
        <v>99</v>
      </c>
      <c r="C42" s="21">
        <v>135000</v>
      </c>
      <c r="D42" s="2"/>
      <c r="E42" s="2"/>
      <c r="F42" s="2"/>
      <c r="G42" s="2"/>
      <c r="H42" s="2"/>
      <c r="I42" s="2"/>
      <c r="J42" s="2"/>
      <c r="K42" s="1"/>
      <c r="L42" s="2"/>
      <c r="M42" s="8" t="s">
        <v>123</v>
      </c>
      <c r="N42" s="22">
        <f>calc_R_B - calc_sum_hB_cA - calc_F_A</f>
        <v>478400</v>
      </c>
      <c r="O42" s="22">
        <f>calc_R_B</f>
        <v>919650</v>
      </c>
      <c r="P42" s="23">
        <f t="shared" si="8"/>
        <v>0.52019790137552324</v>
      </c>
      <c r="Q42" s="30">
        <f>N42-N41</f>
        <v>59797.402597402572</v>
      </c>
      <c r="R42" s="32">
        <f>(P42-P41)</f>
        <v>2.7275392872746052E-2</v>
      </c>
      <c r="S42" s="2"/>
      <c r="T42" s="2"/>
      <c r="U42" s="2"/>
      <c r="V42" s="2"/>
      <c r="W42" s="2"/>
      <c r="X42" s="2"/>
      <c r="Y42" s="2"/>
      <c r="Z42" s="2"/>
      <c r="AA42" s="2"/>
      <c r="AB42" s="2"/>
      <c r="AC42" s="2"/>
      <c r="AD42" s="2"/>
      <c r="AE42" s="2"/>
      <c r="AF42" s="2"/>
      <c r="AG42" s="2"/>
      <c r="AH42" s="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row>
    <row r="43" spans="1:80" ht="22" customHeight="1" x14ac:dyDescent="0.2">
      <c r="A43" s="1"/>
      <c r="B43" s="8" t="s">
        <v>102</v>
      </c>
      <c r="C43" s="20">
        <v>4200</v>
      </c>
      <c r="D43" s="2"/>
      <c r="E43" s="2"/>
      <c r="F43" s="2"/>
      <c r="G43" s="2"/>
      <c r="H43" s="2"/>
      <c r="I43" s="2"/>
      <c r="J43" s="2"/>
      <c r="K43" s="1"/>
      <c r="L43" s="2"/>
      <c r="M43" s="8" t="s">
        <v>124</v>
      </c>
      <c r="N43" s="22">
        <f>calc_R_B - calc_sum_hB_cB - calc_F_A</f>
        <v>459100</v>
      </c>
      <c r="O43" s="22">
        <f>calc_R_B</f>
        <v>919650</v>
      </c>
      <c r="P43" s="23">
        <f t="shared" si="8"/>
        <v>0.49921165660849237</v>
      </c>
      <c r="Q43" s="30">
        <f>N43-N42</f>
        <v>-19300</v>
      </c>
      <c r="R43" s="32">
        <f>(P43-P42)</f>
        <v>-2.098624476703087E-2</v>
      </c>
      <c r="S43" s="2"/>
      <c r="T43" s="2"/>
      <c r="U43" s="2"/>
      <c r="V43" s="2"/>
      <c r="W43" s="2"/>
      <c r="X43" s="2"/>
      <c r="Y43" s="2"/>
      <c r="Z43" s="2"/>
      <c r="AA43" s="2"/>
      <c r="AB43" s="2"/>
      <c r="AC43" s="2"/>
      <c r="AD43" s="2"/>
      <c r="AE43" s="2"/>
      <c r="AF43" s="2"/>
      <c r="AG43" s="2"/>
      <c r="AH43" s="2"/>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row>
    <row r="44" spans="1:80" ht="22" customHeight="1" x14ac:dyDescent="0.2">
      <c r="A44" s="1"/>
      <c r="B44" s="8" t="s">
        <v>105</v>
      </c>
      <c r="C44" s="21">
        <v>0</v>
      </c>
      <c r="D44" s="2"/>
      <c r="E44" s="2"/>
      <c r="F44" s="2"/>
      <c r="G44" s="2"/>
      <c r="H44" s="2"/>
      <c r="I44" s="2"/>
      <c r="J44" s="2"/>
      <c r="K44" s="1"/>
      <c r="L44" s="2"/>
      <c r="M44" s="8" t="s">
        <v>125</v>
      </c>
      <c r="N44" s="22">
        <f>calc_GP_B</f>
        <v>454100</v>
      </c>
      <c r="O44" s="22">
        <f>calc_R_B</f>
        <v>919650</v>
      </c>
      <c r="P44" s="23">
        <f t="shared" si="8"/>
        <v>0.49377480563257758</v>
      </c>
      <c r="Q44" s="30">
        <f>N44-N43</f>
        <v>-5000</v>
      </c>
      <c r="R44" s="32">
        <f>(P44-P43)</f>
        <v>-5.4368509759147865E-3</v>
      </c>
      <c r="S44" s="2"/>
      <c r="T44" s="2"/>
      <c r="U44" s="2"/>
      <c r="V44" s="2"/>
      <c r="W44" s="2"/>
      <c r="X44" s="2"/>
      <c r="Y44" s="2"/>
      <c r="Z44" s="2"/>
      <c r="AA44" s="2"/>
      <c r="AB44" s="2"/>
      <c r="AC44" s="2"/>
      <c r="AD44" s="2"/>
      <c r="AE44" s="2"/>
      <c r="AF44" s="2"/>
      <c r="AG44" s="2"/>
      <c r="AH44" s="2"/>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row>
    <row r="45" spans="1:80" x14ac:dyDescent="0.2">
      <c r="A45" s="1"/>
      <c r="B45" s="1"/>
      <c r="C45" s="1"/>
      <c r="D45" s="1"/>
      <c r="E45" s="1"/>
      <c r="F45" s="1"/>
      <c r="G45" s="1"/>
      <c r="H45" s="1"/>
      <c r="I45" s="1"/>
      <c r="J45" s="1"/>
      <c r="K45" s="1"/>
      <c r="L45" s="2"/>
      <c r="M45" s="2"/>
      <c r="N45" s="2"/>
      <c r="O45" s="2"/>
      <c r="P45" s="2"/>
      <c r="Q45" s="2"/>
      <c r="R45" s="2"/>
      <c r="S45" s="2"/>
      <c r="T45" s="2"/>
      <c r="U45" s="2"/>
      <c r="V45" s="2"/>
      <c r="W45" s="2"/>
      <c r="X45" s="2"/>
      <c r="Y45" s="2"/>
      <c r="Z45" s="2"/>
      <c r="AA45" s="2"/>
      <c r="AB45" s="2"/>
      <c r="AC45" s="2"/>
      <c r="AD45" s="2"/>
      <c r="AE45" s="2"/>
      <c r="AF45" s="2"/>
      <c r="AG45" s="2"/>
      <c r="AH45" s="2"/>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row>
    <row r="46" spans="1:80" x14ac:dyDescent="0.2">
      <c r="A46" s="1"/>
      <c r="B46" s="1"/>
      <c r="C46" s="1"/>
      <c r="D46" s="1"/>
      <c r="E46" s="1"/>
      <c r="F46" s="1"/>
      <c r="G46" s="1"/>
      <c r="H46" s="1"/>
      <c r="I46" s="1"/>
      <c r="J46" s="1"/>
      <c r="K46" s="1"/>
      <c r="L46" s="2"/>
      <c r="M46" s="2"/>
      <c r="N46" s="2"/>
      <c r="O46" s="2"/>
      <c r="P46" s="2"/>
      <c r="Q46" s="2"/>
      <c r="R46" s="2"/>
      <c r="S46" s="2"/>
      <c r="T46" s="2"/>
      <c r="U46" s="2"/>
      <c r="V46" s="2"/>
      <c r="W46" s="2"/>
      <c r="X46" s="2"/>
      <c r="Y46" s="2"/>
      <c r="Z46" s="2"/>
      <c r="AA46" s="2"/>
      <c r="AB46" s="2"/>
      <c r="AC46" s="2"/>
      <c r="AD46" s="2"/>
      <c r="AE46" s="2"/>
      <c r="AF46" s="2"/>
      <c r="AG46" s="2"/>
      <c r="AH46" s="2"/>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row>
    <row r="47" spans="1:80" ht="22" customHeight="1" x14ac:dyDescent="0.2">
      <c r="A47" s="1"/>
      <c r="B47" s="5" t="s">
        <v>126</v>
      </c>
      <c r="C47" s="1"/>
      <c r="D47" s="1"/>
      <c r="E47" s="1"/>
      <c r="F47" s="1"/>
      <c r="G47" s="1"/>
      <c r="H47" s="1"/>
      <c r="I47" s="1"/>
      <c r="J47" s="1"/>
      <c r="K47" s="1"/>
      <c r="L47" s="2"/>
      <c r="M47" s="2"/>
      <c r="N47" s="2"/>
      <c r="O47" s="2"/>
      <c r="P47" s="2"/>
      <c r="Q47" s="2"/>
      <c r="R47" s="2"/>
      <c r="S47" s="2"/>
      <c r="T47" s="2"/>
      <c r="U47" s="2"/>
      <c r="V47" s="2"/>
      <c r="W47" s="2"/>
      <c r="X47" s="2"/>
      <c r="Y47" s="2"/>
      <c r="Z47" s="2"/>
      <c r="AA47" s="2"/>
      <c r="AB47" s="2"/>
      <c r="AC47" s="2"/>
      <c r="AD47" s="2"/>
      <c r="AE47" s="2"/>
      <c r="AF47" s="2"/>
      <c r="AG47" s="2"/>
      <c r="AH47" s="2"/>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row>
    <row r="48" spans="1:80" ht="20" customHeight="1" x14ac:dyDescent="0.2">
      <c r="A48" s="1"/>
      <c r="B48" s="33" t="str">
        <f>inp_biz_period_a_label</f>
        <v>Q1 FY26</v>
      </c>
      <c r="C48" s="65"/>
      <c r="D48" s="33" t="str">
        <f>inp_biz_period_b_label</f>
        <v>Q2 FY26</v>
      </c>
      <c r="E48" s="65"/>
      <c r="F48" s="33" t="s">
        <v>127</v>
      </c>
      <c r="G48" s="65"/>
      <c r="H48" s="33" t="s">
        <v>128</v>
      </c>
      <c r="I48" s="65"/>
      <c r="J48" s="33" t="s">
        <v>129</v>
      </c>
      <c r="K48" s="1"/>
      <c r="L48" s="2"/>
      <c r="M48" s="2"/>
      <c r="N48" s="2"/>
      <c r="O48" s="2"/>
      <c r="P48" s="2"/>
      <c r="Q48" s="2"/>
      <c r="R48" s="2"/>
      <c r="S48" s="2"/>
      <c r="T48" s="2"/>
      <c r="U48" s="2"/>
      <c r="V48" s="2"/>
      <c r="W48" s="2"/>
      <c r="X48" s="2"/>
      <c r="Y48" s="2"/>
      <c r="Z48" s="2"/>
      <c r="AA48" s="2"/>
      <c r="AB48" s="2"/>
      <c r="AC48" s="2"/>
      <c r="AD48" s="2"/>
      <c r="AE48" s="2"/>
      <c r="AF48" s="2"/>
      <c r="AG48" s="2"/>
      <c r="AH48" s="2"/>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row>
    <row r="49" spans="1:80" ht="36" customHeight="1" x14ac:dyDescent="0.2">
      <c r="A49" s="1"/>
      <c r="B49" s="75">
        <f>calc_GM_A</f>
        <v>0.46944770857814339</v>
      </c>
      <c r="C49" s="72"/>
      <c r="D49" s="75">
        <f>calc_GM_B</f>
        <v>0.49377480563257758</v>
      </c>
      <c r="E49" s="72"/>
      <c r="F49" s="77">
        <f>(calc_GM_B-calc_GM_A)*100</f>
        <v>2.4327097054434201</v>
      </c>
      <c r="G49" s="72"/>
      <c r="H49" s="89">
        <f>calc_GP_B-calc_GP_A</f>
        <v>54600</v>
      </c>
      <c r="I49" s="72"/>
      <c r="J49" s="34" t="str">
        <f>TEXT(calc_U_A,"0%")&amp;"  →  "&amp;TEXT(calc_U_B,"0%")</f>
        <v>92%  →  86%</v>
      </c>
      <c r="K49" s="1"/>
      <c r="L49" s="2"/>
      <c r="M49" s="2"/>
      <c r="N49" s="2"/>
      <c r="O49" s="2"/>
      <c r="P49" s="2"/>
      <c r="Q49" s="2"/>
      <c r="R49" s="2"/>
      <c r="S49" s="2"/>
      <c r="T49" s="2"/>
      <c r="U49" s="2"/>
      <c r="V49" s="2"/>
      <c r="W49" s="2"/>
      <c r="X49" s="2"/>
      <c r="Y49" s="2"/>
      <c r="Z49" s="2"/>
      <c r="AA49" s="2"/>
      <c r="AB49" s="2"/>
      <c r="AC49" s="2"/>
      <c r="AD49" s="2"/>
      <c r="AE49" s="2"/>
      <c r="AF49" s="2"/>
      <c r="AG49" s="2"/>
      <c r="AH49" s="2"/>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row>
    <row r="50" spans="1:80" ht="20" customHeight="1" x14ac:dyDescent="0.2">
      <c r="A50" s="1"/>
      <c r="B50" s="78" t="str">
        <f>"GP "&amp;TEXT(calc_GP_A,"$#,##0")</f>
        <v>GP $399,500</v>
      </c>
      <c r="C50" s="72"/>
      <c r="D50" s="78" t="str">
        <f>IF(calc_R_B=0,"","GP "&amp;TEXT(calc_GP_B,"$#,##0"))</f>
        <v>GP $454,100</v>
      </c>
      <c r="E50" s="72"/>
      <c r="F50" s="78" t="str">
        <f>IF(calc_R_B=0,"","vs. "&amp;inp_biz_period_a_label)</f>
        <v>vs. Q1 FY26</v>
      </c>
      <c r="G50" s="72"/>
      <c r="H50" s="78" t="str">
        <f>IF(calc_R_B=0,"","rev "&amp;TEXT(calc_R_A,"$#,##0")&amp;" → "&amp;TEXT(calc_R_B,"$#,##0"))</f>
        <v>rev $851,000 → $919,650</v>
      </c>
      <c r="I50" s="72"/>
      <c r="J50" s="33" t="str">
        <f>"billable hours "&amp;TEXT(calc_H_A,"#,##0")&amp;" → "&amp;TEXT(calc_H_B,"#,##0")</f>
        <v>billable hours 3,850 → 3,600</v>
      </c>
      <c r="K50" s="1"/>
      <c r="L50" s="2"/>
      <c r="M50" s="2"/>
      <c r="N50" s="2"/>
      <c r="O50" s="2"/>
      <c r="P50" s="2"/>
      <c r="Q50" s="2"/>
      <c r="R50" s="2"/>
      <c r="S50" s="2"/>
      <c r="T50" s="2"/>
      <c r="U50" s="2"/>
      <c r="V50" s="2"/>
      <c r="W50" s="2"/>
      <c r="X50" s="2"/>
      <c r="Y50" s="2"/>
      <c r="Z50" s="2"/>
      <c r="AA50" s="2"/>
      <c r="AB50" s="2"/>
      <c r="AC50" s="2"/>
      <c r="AD50" s="2"/>
      <c r="AE50" s="2"/>
      <c r="AF50" s="2"/>
      <c r="AG50" s="2"/>
      <c r="AH50" s="2"/>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row>
    <row r="51" spans="1:80" ht="20" customHeight="1" x14ac:dyDescent="0.2">
      <c r="A51" s="1"/>
      <c r="B51" s="81" t="str">
        <f>"Industry benchmark · "&amp;IFERROR(INDEX(ref_vertical_labels,MATCH(inp_biz_vertical,ref_vertical_codes,0)),inp_biz_vertical)&amp;": "&amp;TEXT(IFERROR(INDEX(ref_vertical_gm_lo,MATCH(inp_biz_vertical,ref_vertical_codes,0)),0),"0%")&amp;" to "&amp;TEXT(IFERROR(INDEX(ref_vertical_gm_hi,MATCH(inp_biz_vertical,ref_vertical_codes,0)),0),"0%")&amp;" gross margin   ·   "&amp;IF(calc_R_B=0,"enter Period B data to compare","your "&amp;inp_biz_period_b_label&amp;" GM "&amp;TEXT(calc_GM_B,"0.0%")&amp;" is "&amp;IF(calc_GM_B&lt;IFERROR(INDEX(ref_vertical_gm_lo,MATCH(inp_biz_vertical,ref_vertical_codes,0)),0),"BELOW",IF(calc_GM_B&gt;IFERROR(INDEX(ref_vertical_gm_hi,MATCH(inp_biz_vertical,ref_vertical_codes,0)),0),"ABOVE","WITHIN"))&amp;" the range")</f>
        <v>Industry benchmark · Agency (digital / marketing / creative): 45% to 60% gross margin   ·   your Q2 FY26 GM 49.4% is WITHIN the range</v>
      </c>
      <c r="C51" s="72"/>
      <c r="D51" s="72"/>
      <c r="E51" s="72"/>
      <c r="F51" s="72"/>
      <c r="G51" s="72"/>
      <c r="H51" s="72"/>
      <c r="I51" s="72"/>
      <c r="J51" s="72"/>
      <c r="K51" s="1"/>
      <c r="L51" s="2"/>
      <c r="M51" s="2"/>
      <c r="N51" s="2"/>
      <c r="O51" s="2"/>
      <c r="P51" s="2"/>
      <c r="Q51" s="2"/>
      <c r="R51" s="2"/>
      <c r="S51" s="2"/>
      <c r="T51" s="2"/>
      <c r="U51" s="2"/>
      <c r="V51" s="2"/>
      <c r="W51" s="2"/>
      <c r="X51" s="2"/>
      <c r="Y51" s="2"/>
      <c r="Z51" s="2"/>
      <c r="AA51" s="2"/>
      <c r="AB51" s="2"/>
      <c r="AC51" s="2"/>
      <c r="AD51" s="2"/>
      <c r="AE51" s="2"/>
      <c r="AF51" s="2"/>
      <c r="AG51" s="2"/>
      <c r="AH51" s="2"/>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row>
    <row r="52" spans="1:80" x14ac:dyDescent="0.2">
      <c r="A52" s="1"/>
      <c r="B52" s="1"/>
      <c r="C52" s="1"/>
      <c r="D52" s="1"/>
      <c r="E52" s="1"/>
      <c r="F52" s="1"/>
      <c r="G52" s="1"/>
      <c r="H52" s="1"/>
      <c r="I52" s="1"/>
      <c r="J52" s="1"/>
      <c r="K52" s="1"/>
      <c r="L52" s="2"/>
      <c r="M52" s="5" t="s">
        <v>130</v>
      </c>
      <c r="N52" s="2"/>
      <c r="O52" s="2"/>
      <c r="P52" s="2"/>
      <c r="Q52" s="2"/>
      <c r="R52" s="2"/>
      <c r="S52" s="2"/>
      <c r="T52" s="2"/>
      <c r="U52" s="2"/>
      <c r="V52" s="2"/>
      <c r="W52" s="2"/>
      <c r="X52" s="2"/>
      <c r="Y52" s="2"/>
      <c r="Z52" s="2"/>
      <c r="AA52" s="2"/>
      <c r="AB52" s="2"/>
      <c r="AC52" s="2"/>
      <c r="AD52" s="2"/>
      <c r="AE52" s="2"/>
      <c r="AF52" s="2"/>
      <c r="AG52" s="2"/>
      <c r="AH52" s="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row>
    <row r="53" spans="1:80" ht="22" customHeight="1" x14ac:dyDescent="0.2">
      <c r="A53" s="1"/>
      <c r="B53" s="5" t="s">
        <v>131</v>
      </c>
      <c r="C53" s="1"/>
      <c r="D53" s="1"/>
      <c r="E53" s="1"/>
      <c r="F53" s="1"/>
      <c r="G53" s="1"/>
      <c r="H53" s="1"/>
      <c r="I53" s="3" t="s">
        <v>132</v>
      </c>
      <c r="J53" s="35" t="s">
        <v>133</v>
      </c>
      <c r="K53" s="1"/>
      <c r="L53" s="2"/>
      <c r="M53" s="6" t="s">
        <v>134</v>
      </c>
      <c r="N53" s="8" t="str">
        <f>inp_sens_variable</f>
        <v>Period B revenue</v>
      </c>
      <c r="O53" s="2"/>
      <c r="P53" s="2"/>
      <c r="Q53" s="2"/>
      <c r="R53" s="2"/>
      <c r="S53" s="2"/>
      <c r="T53" s="2"/>
      <c r="U53" s="2"/>
      <c r="V53" s="2"/>
      <c r="W53" s="2"/>
      <c r="X53" s="2"/>
      <c r="Y53" s="2"/>
      <c r="Z53" s="2"/>
      <c r="AA53" s="2"/>
      <c r="AB53" s="2"/>
      <c r="AC53" s="2"/>
      <c r="AD53" s="2"/>
      <c r="AE53" s="2"/>
      <c r="AF53" s="2"/>
      <c r="AG53" s="2"/>
      <c r="AH53" s="2"/>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row>
    <row r="54" spans="1:80" x14ac:dyDescent="0.2">
      <c r="A54" s="1"/>
      <c r="B54" s="1"/>
      <c r="C54" s="1"/>
      <c r="D54" s="1"/>
      <c r="E54" s="1"/>
      <c r="F54" s="1"/>
      <c r="G54" s="1"/>
      <c r="H54" s="1"/>
      <c r="I54" s="1"/>
      <c r="J54" s="1"/>
      <c r="K54" s="1"/>
      <c r="L54" s="2"/>
      <c r="M54" s="6" t="s">
        <v>135</v>
      </c>
      <c r="N54" s="16">
        <f>inp_sens_delta_pct</f>
        <v>0.05</v>
      </c>
      <c r="O54" s="2"/>
      <c r="P54" s="2"/>
      <c r="Q54" s="2"/>
      <c r="R54" s="2"/>
      <c r="S54" s="2"/>
      <c r="T54" s="2"/>
      <c r="U54" s="2"/>
      <c r="V54" s="2"/>
      <c r="W54" s="2"/>
      <c r="X54" s="2"/>
      <c r="Y54" s="2"/>
      <c r="Z54" s="2"/>
      <c r="AA54" s="2"/>
      <c r="AB54" s="2"/>
      <c r="AC54" s="2"/>
      <c r="AD54" s="2"/>
      <c r="AE54" s="2"/>
      <c r="AF54" s="2"/>
      <c r="AG54" s="2"/>
      <c r="AH54" s="2"/>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row>
    <row r="55" spans="1:80" x14ac:dyDescent="0.2">
      <c r="A55" s="1"/>
      <c r="B55" s="1"/>
      <c r="C55" s="1"/>
      <c r="D55" s="1"/>
      <c r="E55" s="1"/>
      <c r="F55" s="1"/>
      <c r="G55" s="1"/>
      <c r="H55" s="1"/>
      <c r="I55" s="1"/>
      <c r="J55" s="1"/>
      <c r="K55" s="1"/>
      <c r="L55" s="2"/>
      <c r="M55" s="6" t="s">
        <v>136</v>
      </c>
      <c r="N55" s="22">
        <f>calc_R_B*(1+IF(EXACT(inp_sens_variable,"Period B revenue"),inp_sens_delta_pct,0))</f>
        <v>965632.5</v>
      </c>
      <c r="O55" s="2"/>
      <c r="P55" s="2"/>
      <c r="Q55" s="2"/>
      <c r="R55" s="2"/>
      <c r="S55" s="2"/>
      <c r="T55" s="2"/>
      <c r="U55" s="2"/>
      <c r="V55" s="2"/>
      <c r="W55" s="2"/>
      <c r="X55" s="2"/>
      <c r="Y55" s="2"/>
      <c r="Z55" s="2"/>
      <c r="AA55" s="2"/>
      <c r="AB55" s="2"/>
      <c r="AC55" s="2"/>
      <c r="AD55" s="2"/>
      <c r="AE55" s="2"/>
      <c r="AF55" s="2"/>
      <c r="AG55" s="2"/>
      <c r="AH55" s="2"/>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row>
    <row r="56" spans="1:80" x14ac:dyDescent="0.2">
      <c r="A56" s="1"/>
      <c r="B56" s="1"/>
      <c r="C56" s="1"/>
      <c r="D56" s="1"/>
      <c r="E56" s="1"/>
      <c r="F56" s="1"/>
      <c r="G56" s="1"/>
      <c r="H56" s="1"/>
      <c r="I56" s="1"/>
      <c r="J56" s="1"/>
      <c r="K56" s="1"/>
      <c r="L56" s="2"/>
      <c r="M56" s="6" t="s">
        <v>137</v>
      </c>
      <c r="N56" s="22">
        <f>calc_VC_B*(1+IF(EXACT(inp_sens_variable,"Period B direct cost"),inp_sens_delta_pct,0))</f>
        <v>330550</v>
      </c>
      <c r="O56" s="2"/>
      <c r="P56" s="2"/>
      <c r="Q56" s="2"/>
      <c r="R56" s="2"/>
      <c r="S56" s="2"/>
      <c r="T56" s="2"/>
      <c r="U56" s="2"/>
      <c r="V56" s="2"/>
      <c r="W56" s="2"/>
      <c r="X56" s="2"/>
      <c r="Y56" s="2"/>
      <c r="Z56" s="2"/>
      <c r="AA56" s="2"/>
      <c r="AB56" s="2"/>
      <c r="AC56" s="2"/>
      <c r="AD56" s="2"/>
      <c r="AE56" s="2"/>
      <c r="AF56" s="2"/>
      <c r="AG56" s="2"/>
      <c r="AH56" s="2"/>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row>
    <row r="57" spans="1:80" x14ac:dyDescent="0.2">
      <c r="A57" s="1"/>
      <c r="B57" s="1"/>
      <c r="C57" s="1"/>
      <c r="D57" s="1"/>
      <c r="E57" s="1"/>
      <c r="F57" s="1"/>
      <c r="G57" s="1"/>
      <c r="H57" s="1"/>
      <c r="I57" s="1"/>
      <c r="J57" s="1"/>
      <c r="K57" s="1"/>
      <c r="L57" s="2"/>
      <c r="M57" s="6" t="s">
        <v>138</v>
      </c>
      <c r="N57" s="22">
        <f>calc_F_B*(1+IF(EXACT(inp_sens_variable,"Period B fixed cost"),inp_sens_delta_pct,0))</f>
        <v>135000</v>
      </c>
      <c r="O57" s="2"/>
      <c r="P57" s="2"/>
      <c r="Q57" s="2"/>
      <c r="R57" s="2"/>
      <c r="S57" s="2"/>
      <c r="T57" s="2"/>
      <c r="U57" s="2"/>
      <c r="V57" s="2"/>
      <c r="W57" s="2"/>
      <c r="X57" s="2"/>
      <c r="Y57" s="2"/>
      <c r="Z57" s="2"/>
      <c r="AA57" s="2"/>
      <c r="AB57" s="2"/>
      <c r="AC57" s="2"/>
      <c r="AD57" s="2"/>
      <c r="AE57" s="2"/>
      <c r="AF57" s="2"/>
      <c r="AG57" s="2"/>
      <c r="AH57" s="2"/>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row>
    <row r="58" spans="1:80" x14ac:dyDescent="0.2">
      <c r="A58" s="1"/>
      <c r="B58" s="1"/>
      <c r="C58" s="1"/>
      <c r="D58" s="1"/>
      <c r="E58" s="1"/>
      <c r="F58" s="1"/>
      <c r="G58" s="1"/>
      <c r="H58" s="1"/>
      <c r="I58" s="1"/>
      <c r="J58" s="1"/>
      <c r="K58" s="1"/>
      <c r="L58" s="2"/>
      <c r="M58" s="6" t="s">
        <v>139</v>
      </c>
      <c r="N58" s="22">
        <f>calc_H_B*(1+IF(EXACT(inp_sens_variable,"Period B billable hours"),inp_sens_delta_pct,0))</f>
        <v>3600</v>
      </c>
      <c r="O58" s="2"/>
      <c r="P58" s="2"/>
      <c r="Q58" s="2"/>
      <c r="R58" s="2"/>
      <c r="S58" s="2"/>
      <c r="T58" s="2"/>
      <c r="U58" s="2"/>
      <c r="V58" s="2"/>
      <c r="W58" s="2"/>
      <c r="X58" s="2"/>
      <c r="Y58" s="2"/>
      <c r="Z58" s="2"/>
      <c r="AA58" s="2"/>
      <c r="AB58" s="2"/>
      <c r="AC58" s="2"/>
      <c r="AD58" s="2"/>
      <c r="AE58" s="2"/>
      <c r="AF58" s="2"/>
      <c r="AG58" s="2"/>
      <c r="AH58" s="2"/>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row>
    <row r="59" spans="1:80" x14ac:dyDescent="0.2">
      <c r="A59" s="1"/>
      <c r="B59" s="1"/>
      <c r="C59" s="1"/>
      <c r="D59" s="1"/>
      <c r="E59" s="1"/>
      <c r="F59" s="1"/>
      <c r="G59" s="1"/>
      <c r="H59" s="1"/>
      <c r="I59" s="1"/>
      <c r="J59" s="1"/>
      <c r="K59" s="1"/>
      <c r="L59" s="2"/>
      <c r="M59" s="6" t="s">
        <v>140</v>
      </c>
      <c r="N59" s="22">
        <f>N55-N56-N57</f>
        <v>500082.5</v>
      </c>
      <c r="O59" s="2"/>
      <c r="P59" s="2"/>
      <c r="Q59" s="2"/>
      <c r="R59" s="2"/>
      <c r="S59" s="2"/>
      <c r="T59" s="2"/>
      <c r="U59" s="2"/>
      <c r="V59" s="2"/>
      <c r="W59" s="2"/>
      <c r="X59" s="2"/>
      <c r="Y59" s="2"/>
      <c r="Z59" s="2"/>
      <c r="AA59" s="2"/>
      <c r="AB59" s="2"/>
      <c r="AC59" s="2"/>
      <c r="AD59" s="2"/>
      <c r="AE59" s="2"/>
      <c r="AF59" s="2"/>
      <c r="AG59" s="2"/>
      <c r="AH59" s="2"/>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row>
    <row r="60" spans="1:80" x14ac:dyDescent="0.2">
      <c r="A60" s="1"/>
      <c r="B60" s="1"/>
      <c r="C60" s="1"/>
      <c r="D60" s="1"/>
      <c r="E60" s="1"/>
      <c r="F60" s="1"/>
      <c r="G60" s="1"/>
      <c r="H60" s="1"/>
      <c r="I60" s="1"/>
      <c r="J60" s="1"/>
      <c r="K60" s="1"/>
      <c r="L60" s="2"/>
      <c r="M60" s="6" t="s">
        <v>141</v>
      </c>
      <c r="N60" s="22">
        <f>IF(EXACT(inp_sens_variable,"Period B billable hours"),calc_R_B*(1+inp_sens_delta_pct)-calc_VC_B*(1+inp_sens_delta_pct)-calc_F_B,N55-N56-N57)</f>
        <v>500082.5</v>
      </c>
      <c r="O60" s="2"/>
      <c r="P60" s="2"/>
      <c r="Q60" s="2"/>
      <c r="R60" s="2"/>
      <c r="S60" s="2"/>
      <c r="T60" s="2"/>
      <c r="U60" s="2"/>
      <c r="V60" s="2"/>
      <c r="W60" s="2"/>
      <c r="X60" s="2"/>
      <c r="Y60" s="2"/>
      <c r="Z60" s="2"/>
      <c r="AA60" s="2"/>
      <c r="AB60" s="6" t="s">
        <v>142</v>
      </c>
      <c r="AC60" s="14" t="s">
        <v>143</v>
      </c>
      <c r="AD60" s="14" t="s">
        <v>144</v>
      </c>
      <c r="AE60" s="14" t="s">
        <v>145</v>
      </c>
      <c r="AF60" s="14" t="s">
        <v>146</v>
      </c>
      <c r="AG60" s="14" t="s">
        <v>147</v>
      </c>
      <c r="AH60" s="36" t="s">
        <v>31</v>
      </c>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row>
    <row r="61" spans="1:80" x14ac:dyDescent="0.2">
      <c r="A61" s="1"/>
      <c r="B61" s="1"/>
      <c r="C61" s="1"/>
      <c r="D61" s="1"/>
      <c r="E61" s="1"/>
      <c r="F61" s="1"/>
      <c r="G61" s="1"/>
      <c r="H61" s="1"/>
      <c r="I61" s="1"/>
      <c r="J61" s="1"/>
      <c r="K61" s="1"/>
      <c r="L61" s="2"/>
      <c r="M61" s="6" t="s">
        <v>148</v>
      </c>
      <c r="N61" s="22">
        <f>IF(EXACT(inp_sens_variable,"Period B billable hours"),calc_R_B*(1+inp_sens_delta_pct),N55)</f>
        <v>965632.5</v>
      </c>
      <c r="O61" s="2"/>
      <c r="P61" s="2"/>
      <c r="Q61" s="2"/>
      <c r="R61" s="2"/>
      <c r="S61" s="2"/>
      <c r="T61" s="2"/>
      <c r="U61" s="2"/>
      <c r="V61" s="2"/>
      <c r="W61" s="2"/>
      <c r="X61" s="2"/>
      <c r="Y61" s="2"/>
      <c r="Z61" s="2"/>
      <c r="AA61" s="2"/>
      <c r="AB61" s="8" t="str">
        <f>inp_biz_period_a_label</f>
        <v>Q1 FY26</v>
      </c>
      <c r="AC61" s="22">
        <f>0</f>
        <v>0</v>
      </c>
      <c r="AD61" s="37">
        <f>calc_GP_A</f>
        <v>399500</v>
      </c>
      <c r="AE61" s="38">
        <f>0</f>
        <v>0</v>
      </c>
      <c r="AF61" s="39">
        <f>0</f>
        <v>0</v>
      </c>
      <c r="AG61" s="22">
        <f t="shared" ref="AG61:AG67" si="9">AC61+AD61+AE61+AF61</f>
        <v>399500</v>
      </c>
      <c r="AH61" s="40">
        <f>AD61</f>
        <v>399500</v>
      </c>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row>
    <row r="62" spans="1:80" x14ac:dyDescent="0.2">
      <c r="A62" s="1"/>
      <c r="B62" s="1"/>
      <c r="C62" s="1"/>
      <c r="D62" s="1"/>
      <c r="E62" s="1"/>
      <c r="F62" s="1"/>
      <c r="G62" s="1"/>
      <c r="H62" s="1"/>
      <c r="I62" s="1"/>
      <c r="J62" s="1"/>
      <c r="K62" s="1"/>
      <c r="L62" s="2"/>
      <c r="M62" s="6" t="s">
        <v>149</v>
      </c>
      <c r="N62" s="23">
        <f>IFERROR(N60/N61,0)</f>
        <v>0.51788076726912158</v>
      </c>
      <c r="O62" s="2"/>
      <c r="P62" s="2"/>
      <c r="Q62" s="2"/>
      <c r="R62" s="2"/>
      <c r="S62" s="2"/>
      <c r="T62" s="2"/>
      <c r="U62" s="2"/>
      <c r="V62" s="2"/>
      <c r="W62" s="2"/>
      <c r="X62" s="2"/>
      <c r="Y62" s="2"/>
      <c r="Z62" s="2"/>
      <c r="AA62" s="2"/>
      <c r="AB62" s="8" t="s">
        <v>150</v>
      </c>
      <c r="AC62" s="22">
        <f>MIN(N39,N40)</f>
        <v>399500</v>
      </c>
      <c r="AD62" s="37">
        <f>0</f>
        <v>0</v>
      </c>
      <c r="AE62" s="38">
        <f>IF(Q40&gt;=0,Q40,0)</f>
        <v>57200</v>
      </c>
      <c r="AF62" s="39">
        <f>IF(Q40&lt;0,-Q40,0)</f>
        <v>0</v>
      </c>
      <c r="AG62" s="22">
        <f t="shared" si="9"/>
        <v>456700</v>
      </c>
      <c r="AH62" s="40">
        <f>AE62-AF62</f>
        <v>57200</v>
      </c>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row>
    <row r="63" spans="1:80" x14ac:dyDescent="0.2">
      <c r="A63" s="1"/>
      <c r="B63" s="1"/>
      <c r="C63" s="1"/>
      <c r="D63" s="1"/>
      <c r="E63" s="1"/>
      <c r="F63" s="1"/>
      <c r="G63" s="1"/>
      <c r="H63" s="1"/>
      <c r="I63" s="1"/>
      <c r="J63" s="1"/>
      <c r="K63" s="1"/>
      <c r="L63" s="2"/>
      <c r="M63" s="6" t="s">
        <v>151</v>
      </c>
      <c r="N63" s="23">
        <f>N62-calc_GM_A</f>
        <v>4.8433058690978192E-2</v>
      </c>
      <c r="O63" s="2"/>
      <c r="P63" s="2"/>
      <c r="Q63" s="2"/>
      <c r="R63" s="2"/>
      <c r="S63" s="2"/>
      <c r="T63" s="2"/>
      <c r="U63" s="2"/>
      <c r="V63" s="2"/>
      <c r="W63" s="2"/>
      <c r="X63" s="2"/>
      <c r="Y63" s="2"/>
      <c r="Z63" s="2"/>
      <c r="AA63" s="2"/>
      <c r="AB63" s="8" t="s">
        <v>152</v>
      </c>
      <c r="AC63" s="22">
        <f>MIN(N40,N41)</f>
        <v>418602.59740259743</v>
      </c>
      <c r="AD63" s="37">
        <f>0</f>
        <v>0</v>
      </c>
      <c r="AE63" s="38">
        <f>IF(Q41&gt;=0,Q41,0)</f>
        <v>0</v>
      </c>
      <c r="AF63" s="39">
        <f>IF(Q41&lt;0,-Q41,0)</f>
        <v>38097.402597402572</v>
      </c>
      <c r="AG63" s="22">
        <f t="shared" si="9"/>
        <v>456700</v>
      </c>
      <c r="AH63" s="40">
        <f>AE63-AF63</f>
        <v>-38097.402597402572</v>
      </c>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row>
    <row r="64" spans="1:80" x14ac:dyDescent="0.2">
      <c r="A64" s="1"/>
      <c r="B64" s="1"/>
      <c r="C64" s="1"/>
      <c r="D64" s="1"/>
      <c r="E64" s="1"/>
      <c r="F64" s="1"/>
      <c r="G64" s="1"/>
      <c r="H64" s="1"/>
      <c r="I64" s="1"/>
      <c r="J64" s="1"/>
      <c r="K64" s="1"/>
      <c r="L64" s="2"/>
      <c r="M64" s="6" t="s">
        <v>153</v>
      </c>
      <c r="N64" s="23">
        <f>N62-calc_GM_B</f>
        <v>2.4105961636543993E-2</v>
      </c>
      <c r="O64" s="2"/>
      <c r="P64" s="2"/>
      <c r="Q64" s="2"/>
      <c r="R64" s="2"/>
      <c r="S64" s="2"/>
      <c r="T64" s="2"/>
      <c r="U64" s="2"/>
      <c r="V64" s="2"/>
      <c r="W64" s="2"/>
      <c r="X64" s="2"/>
      <c r="Y64" s="2"/>
      <c r="Z64" s="2"/>
      <c r="AA64" s="2"/>
      <c r="AB64" s="8" t="s">
        <v>154</v>
      </c>
      <c r="AC64" s="22">
        <f>MIN(N41,N42)</f>
        <v>418602.59740259743</v>
      </c>
      <c r="AD64" s="37">
        <f>0</f>
        <v>0</v>
      </c>
      <c r="AE64" s="38">
        <f>IF(Q42&gt;=0,Q42,0)</f>
        <v>59797.402597402572</v>
      </c>
      <c r="AF64" s="39">
        <f>IF(Q42&lt;0,-Q42,0)</f>
        <v>0</v>
      </c>
      <c r="AG64" s="22">
        <f t="shared" si="9"/>
        <v>478400</v>
      </c>
      <c r="AH64" s="40">
        <f>AE64-AF64</f>
        <v>59797.402597402572</v>
      </c>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row>
    <row r="65" spans="1:80" x14ac:dyDescent="0.2">
      <c r="A65" s="1"/>
      <c r="B65" s="1"/>
      <c r="C65" s="1"/>
      <c r="D65" s="1"/>
      <c r="E65" s="1"/>
      <c r="F65" s="1"/>
      <c r="G65" s="1"/>
      <c r="H65" s="1"/>
      <c r="I65" s="1"/>
      <c r="J65" s="1"/>
      <c r="K65" s="1"/>
      <c r="L65" s="2"/>
      <c r="M65" s="2"/>
      <c r="N65" s="2"/>
      <c r="O65" s="2"/>
      <c r="P65" s="2"/>
      <c r="Q65" s="2"/>
      <c r="R65" s="2"/>
      <c r="S65" s="2"/>
      <c r="T65" s="2"/>
      <c r="U65" s="2"/>
      <c r="V65" s="2"/>
      <c r="W65" s="2"/>
      <c r="X65" s="2"/>
      <c r="Y65" s="2"/>
      <c r="Z65" s="2"/>
      <c r="AA65" s="2"/>
      <c r="AB65" s="8" t="s">
        <v>155</v>
      </c>
      <c r="AC65" s="22">
        <f>MIN(N42,N43)</f>
        <v>459100</v>
      </c>
      <c r="AD65" s="37">
        <f>0</f>
        <v>0</v>
      </c>
      <c r="AE65" s="38">
        <f>IF(Q43&gt;=0,Q43,0)</f>
        <v>0</v>
      </c>
      <c r="AF65" s="39">
        <f>IF(Q43&lt;0,-Q43,0)</f>
        <v>19300</v>
      </c>
      <c r="AG65" s="22">
        <f t="shared" si="9"/>
        <v>478400</v>
      </c>
      <c r="AH65" s="40">
        <f>AE65-AF65</f>
        <v>-19300</v>
      </c>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row>
    <row r="66" spans="1:80" x14ac:dyDescent="0.2">
      <c r="A66" s="1"/>
      <c r="B66" s="1"/>
      <c r="C66" s="1"/>
      <c r="D66" s="1"/>
      <c r="E66" s="1"/>
      <c r="F66" s="1"/>
      <c r="G66" s="1"/>
      <c r="H66" s="1"/>
      <c r="I66" s="1"/>
      <c r="J66" s="1"/>
      <c r="K66" s="1"/>
      <c r="L66" s="2"/>
      <c r="M66" s="2"/>
      <c r="N66" s="2"/>
      <c r="O66" s="2"/>
      <c r="P66" s="2"/>
      <c r="Q66" s="2"/>
      <c r="R66" s="2"/>
      <c r="S66" s="2"/>
      <c r="T66" s="2"/>
      <c r="U66" s="2"/>
      <c r="V66" s="2"/>
      <c r="W66" s="2"/>
      <c r="X66" s="2"/>
      <c r="Y66" s="2"/>
      <c r="Z66" s="2"/>
      <c r="AA66" s="2"/>
      <c r="AB66" s="8" t="s">
        <v>156</v>
      </c>
      <c r="AC66" s="22">
        <f>MIN(N43,N44)</f>
        <v>454100</v>
      </c>
      <c r="AD66" s="37">
        <f>0</f>
        <v>0</v>
      </c>
      <c r="AE66" s="38">
        <f>IF(Q44&gt;=0,Q44,0)</f>
        <v>0</v>
      </c>
      <c r="AF66" s="39">
        <f>IF(Q44&lt;0,-Q44,0)</f>
        <v>5000</v>
      </c>
      <c r="AG66" s="22">
        <f t="shared" si="9"/>
        <v>459100</v>
      </c>
      <c r="AH66" s="40">
        <f>AE66-AF66</f>
        <v>-5000</v>
      </c>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row>
    <row r="67" spans="1:80" x14ac:dyDescent="0.2">
      <c r="A67" s="1"/>
      <c r="B67" s="1"/>
      <c r="C67" s="1"/>
      <c r="D67" s="1"/>
      <c r="E67" s="1"/>
      <c r="F67" s="1"/>
      <c r="G67" s="1"/>
      <c r="H67" s="1"/>
      <c r="I67" s="1"/>
      <c r="J67" s="1"/>
      <c r="K67" s="1"/>
      <c r="L67" s="2"/>
      <c r="M67" s="2"/>
      <c r="N67" s="2"/>
      <c r="O67" s="2"/>
      <c r="P67" s="2"/>
      <c r="Q67" s="2"/>
      <c r="R67" s="2"/>
      <c r="S67" s="2"/>
      <c r="T67" s="2"/>
      <c r="U67" s="2"/>
      <c r="V67" s="2"/>
      <c r="W67" s="2"/>
      <c r="X67" s="2"/>
      <c r="Y67" s="2"/>
      <c r="Z67" s="2"/>
      <c r="AA67" s="2"/>
      <c r="AB67" s="8" t="str">
        <f>inp_biz_period_b_label</f>
        <v>Q2 FY26</v>
      </c>
      <c r="AC67" s="22">
        <f>0</f>
        <v>0</v>
      </c>
      <c r="AD67" s="37">
        <f>calc_GP_B</f>
        <v>454100</v>
      </c>
      <c r="AE67" s="38">
        <f>0</f>
        <v>0</v>
      </c>
      <c r="AF67" s="39">
        <f>0</f>
        <v>0</v>
      </c>
      <c r="AG67" s="22">
        <f t="shared" si="9"/>
        <v>454100</v>
      </c>
      <c r="AH67" s="40">
        <f>AD67</f>
        <v>454100</v>
      </c>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row>
    <row r="68" spans="1:80" x14ac:dyDescent="0.2">
      <c r="A68" s="1"/>
      <c r="B68" s="1"/>
      <c r="C68" s="1"/>
      <c r="D68" s="1"/>
      <c r="E68" s="1"/>
      <c r="F68" s="1"/>
      <c r="G68" s="1"/>
      <c r="H68" s="1"/>
      <c r="I68" s="1"/>
      <c r="J68" s="1"/>
      <c r="K68" s="1"/>
      <c r="L68" s="2"/>
      <c r="M68" s="2"/>
      <c r="N68" s="2"/>
      <c r="O68" s="2"/>
      <c r="P68" s="2"/>
      <c r="Q68" s="2"/>
      <c r="R68" s="2"/>
      <c r="S68" s="2"/>
      <c r="T68" s="2"/>
      <c r="U68" s="2"/>
      <c r="V68" s="2"/>
      <c r="W68" s="2"/>
      <c r="X68" s="2"/>
      <c r="Y68" s="2"/>
      <c r="Z68" s="2"/>
      <c r="AA68" s="2"/>
      <c r="AB68" s="2"/>
      <c r="AC68" s="2"/>
      <c r="AD68" s="2"/>
      <c r="AE68" s="2"/>
      <c r="AF68" s="2"/>
      <c r="AG68" s="2"/>
      <c r="AH68" s="2"/>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row>
    <row r="69" spans="1:80" x14ac:dyDescent="0.2">
      <c r="A69" s="1"/>
      <c r="B69" s="1"/>
      <c r="C69" s="1"/>
      <c r="D69" s="1"/>
      <c r="E69" s="1"/>
      <c r="F69" s="1"/>
      <c r="G69" s="1"/>
      <c r="H69" s="1"/>
      <c r="I69" s="1"/>
      <c r="J69" s="1"/>
      <c r="K69" s="1"/>
      <c r="L69" s="2"/>
      <c r="M69" s="2"/>
      <c r="N69" s="2"/>
      <c r="O69" s="2"/>
      <c r="P69" s="2"/>
      <c r="Q69" s="2"/>
      <c r="R69" s="2"/>
      <c r="S69" s="2"/>
      <c r="T69" s="2"/>
      <c r="U69" s="2"/>
      <c r="V69" s="2"/>
      <c r="W69" s="2"/>
      <c r="X69" s="2"/>
      <c r="Y69" s="2"/>
      <c r="Z69" s="2"/>
      <c r="AA69" s="2"/>
      <c r="AB69" s="2"/>
      <c r="AC69" s="2"/>
      <c r="AD69" s="2"/>
      <c r="AE69" s="2"/>
      <c r="AF69" s="2"/>
      <c r="AG69" s="2"/>
      <c r="AH69" s="2"/>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row>
    <row r="70" spans="1:80" x14ac:dyDescent="0.2">
      <c r="A70" s="1"/>
      <c r="B70" s="1"/>
      <c r="C70" s="1"/>
      <c r="D70" s="1"/>
      <c r="E70" s="1"/>
      <c r="F70" s="1"/>
      <c r="G70" s="1"/>
      <c r="H70" s="1"/>
      <c r="I70" s="1"/>
      <c r="J70" s="1"/>
      <c r="K70" s="1"/>
      <c r="L70" s="2"/>
      <c r="M70" s="2"/>
      <c r="N70" s="2"/>
      <c r="O70" s="2"/>
      <c r="P70" s="2"/>
      <c r="Q70" s="2"/>
      <c r="R70" s="2"/>
      <c r="S70" s="2"/>
      <c r="T70" s="2"/>
      <c r="U70" s="2"/>
      <c r="V70" s="2"/>
      <c r="W70" s="2"/>
      <c r="X70" s="2"/>
      <c r="Y70" s="2"/>
      <c r="Z70" s="2"/>
      <c r="AA70" s="2"/>
      <c r="AB70" s="2"/>
      <c r="AC70" s="2"/>
      <c r="AD70" s="2"/>
      <c r="AE70" s="2"/>
      <c r="AF70" s="2"/>
      <c r="AG70" s="2"/>
      <c r="AH70" s="2"/>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row>
    <row r="71" spans="1:80" x14ac:dyDescent="0.2">
      <c r="A71" s="1"/>
      <c r="B71" s="1"/>
      <c r="C71" s="1"/>
      <c r="D71" s="1"/>
      <c r="E71" s="1"/>
      <c r="F71" s="1"/>
      <c r="G71" s="1"/>
      <c r="H71" s="1"/>
      <c r="I71" s="1"/>
      <c r="J71" s="1"/>
      <c r="K71" s="1"/>
      <c r="L71" s="2"/>
      <c r="M71" s="2"/>
      <c r="N71" s="2"/>
      <c r="O71" s="2"/>
      <c r="P71" s="2"/>
      <c r="Q71" s="2"/>
      <c r="R71" s="2"/>
      <c r="S71" s="2"/>
      <c r="T71" s="2"/>
      <c r="U71" s="2"/>
      <c r="V71" s="2"/>
      <c r="W71" s="2"/>
      <c r="X71" s="2"/>
      <c r="Y71" s="2"/>
      <c r="Z71" s="2"/>
      <c r="AA71" s="2"/>
      <c r="AB71" s="2"/>
      <c r="AC71" s="2"/>
      <c r="AD71" s="2"/>
      <c r="AE71" s="2"/>
      <c r="AF71" s="2"/>
      <c r="AG71" s="2"/>
      <c r="AH71" s="2"/>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row>
    <row r="72" spans="1:80" x14ac:dyDescent="0.2">
      <c r="A72" s="1"/>
      <c r="B72" s="1"/>
      <c r="C72" s="1"/>
      <c r="D72" s="1"/>
      <c r="E72" s="1"/>
      <c r="F72" s="1"/>
      <c r="G72" s="1"/>
      <c r="H72" s="1"/>
      <c r="I72" s="1"/>
      <c r="J72" s="1"/>
      <c r="K72" s="1"/>
      <c r="L72" s="2"/>
      <c r="M72" s="2"/>
      <c r="N72" s="2"/>
      <c r="O72" s="2"/>
      <c r="P72" s="2"/>
      <c r="Q72" s="2"/>
      <c r="R72" s="2"/>
      <c r="S72" s="2"/>
      <c r="T72" s="2"/>
      <c r="U72" s="2"/>
      <c r="V72" s="2"/>
      <c r="W72" s="2"/>
      <c r="X72" s="2"/>
      <c r="Y72" s="2"/>
      <c r="Z72" s="2"/>
      <c r="AA72" s="2"/>
      <c r="AB72" s="2"/>
      <c r="AC72" s="2"/>
      <c r="AD72" s="2"/>
      <c r="AE72" s="2"/>
      <c r="AF72" s="2"/>
      <c r="AG72" s="2"/>
      <c r="AH72" s="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row>
    <row r="73" spans="1:80" x14ac:dyDescent="0.2">
      <c r="A73" s="1"/>
      <c r="B73" s="1"/>
      <c r="C73" s="1"/>
      <c r="D73" s="1"/>
      <c r="E73" s="1"/>
      <c r="F73" s="1"/>
      <c r="G73" s="1"/>
      <c r="H73" s="1"/>
      <c r="I73" s="1"/>
      <c r="J73" s="1"/>
      <c r="K73" s="1"/>
      <c r="L73" s="2"/>
      <c r="M73" s="2"/>
      <c r="N73" s="2"/>
      <c r="O73" s="2"/>
      <c r="P73" s="2"/>
      <c r="Q73" s="2"/>
      <c r="R73" s="2"/>
      <c r="S73" s="2"/>
      <c r="T73" s="2"/>
      <c r="U73" s="2"/>
      <c r="V73" s="2"/>
      <c r="W73" s="2"/>
      <c r="X73" s="2"/>
      <c r="Y73" s="2"/>
      <c r="Z73" s="2"/>
      <c r="AA73" s="2"/>
      <c r="AB73" s="2"/>
      <c r="AC73" s="2"/>
      <c r="AD73" s="2"/>
      <c r="AE73" s="2"/>
      <c r="AF73" s="2"/>
      <c r="AG73" s="2"/>
      <c r="AH73" s="2"/>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row>
    <row r="74" spans="1:80" ht="22" customHeight="1" x14ac:dyDescent="0.2">
      <c r="A74" s="1"/>
      <c r="B74" s="5" t="s">
        <v>157</v>
      </c>
      <c r="C74" s="1"/>
      <c r="D74" s="1"/>
      <c r="E74" s="1"/>
      <c r="F74" s="1"/>
      <c r="G74" s="1"/>
      <c r="H74" s="1"/>
      <c r="I74" s="1"/>
      <c r="J74" s="1"/>
      <c r="K74" s="1"/>
      <c r="L74" s="2"/>
      <c r="M74" s="2"/>
      <c r="N74" s="2"/>
      <c r="O74" s="2"/>
      <c r="P74" s="2"/>
      <c r="Q74" s="2"/>
      <c r="R74" s="2"/>
      <c r="S74" s="2"/>
      <c r="T74" s="2"/>
      <c r="U74" s="2"/>
      <c r="V74" s="2"/>
      <c r="W74" s="2"/>
      <c r="X74" s="2"/>
      <c r="Y74" s="2"/>
      <c r="Z74" s="2"/>
      <c r="AA74" s="2"/>
      <c r="AB74" s="2"/>
      <c r="AC74" s="2"/>
      <c r="AD74" s="2"/>
      <c r="AE74" s="2"/>
      <c r="AF74" s="2"/>
      <c r="AG74" s="2"/>
      <c r="AH74" s="2"/>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row>
    <row r="75" spans="1:80" ht="22" customHeight="1" x14ac:dyDescent="0.2">
      <c r="A75" s="1"/>
      <c r="B75" s="6" t="s">
        <v>158</v>
      </c>
      <c r="C75" s="6" t="s">
        <v>159</v>
      </c>
      <c r="D75" s="1"/>
      <c r="E75" s="19"/>
      <c r="F75" s="14" t="s">
        <v>118</v>
      </c>
      <c r="G75" s="14" t="s">
        <v>119</v>
      </c>
      <c r="H75" s="19"/>
      <c r="I75" s="14" t="s">
        <v>160</v>
      </c>
      <c r="J75" s="6" t="s">
        <v>161</v>
      </c>
      <c r="K75" s="1"/>
      <c r="L75" s="2"/>
      <c r="M75" s="2"/>
      <c r="N75" s="2"/>
      <c r="O75" s="2"/>
      <c r="P75" s="2"/>
      <c r="Q75" s="2"/>
      <c r="R75" s="2"/>
      <c r="S75" s="2"/>
      <c r="T75" s="2"/>
      <c r="U75" s="2"/>
      <c r="V75" s="2"/>
      <c r="W75" s="2"/>
      <c r="X75" s="2"/>
      <c r="Y75" s="2"/>
      <c r="Z75" s="2"/>
      <c r="AA75" s="2"/>
      <c r="AB75" s="2"/>
      <c r="AC75" s="2"/>
      <c r="AD75" s="2"/>
      <c r="AE75" s="2"/>
      <c r="AF75" s="2"/>
      <c r="AG75" s="2"/>
      <c r="AH75" s="2"/>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row>
    <row r="76" spans="1:80" ht="22" customHeight="1" x14ac:dyDescent="0.2">
      <c r="A76" s="1"/>
      <c r="B76" s="41" t="str">
        <f>inp_biz_period_a_label</f>
        <v>Q1 FY26</v>
      </c>
      <c r="C76" s="74" t="str">
        <f>"Starting point · GM "&amp;TEXT(calc_GM_A,"0.0%")</f>
        <v>Starting point · GM 46.9%</v>
      </c>
      <c r="D76" s="72"/>
      <c r="E76" s="72"/>
      <c r="F76" s="30">
        <f>0</f>
        <v>0</v>
      </c>
      <c r="G76" s="42">
        <f>0</f>
        <v>0</v>
      </c>
      <c r="H76" s="43"/>
      <c r="I76" s="23">
        <f>calc_GM_A</f>
        <v>0.46944770857814339</v>
      </c>
      <c r="J76" s="43"/>
      <c r="K76" s="1"/>
      <c r="L76" s="2"/>
      <c r="M76" s="2"/>
      <c r="N76" s="2"/>
      <c r="O76" s="2"/>
      <c r="P76" s="2"/>
      <c r="Q76" s="2"/>
      <c r="R76" s="2"/>
      <c r="S76" s="2"/>
      <c r="T76" s="2"/>
      <c r="U76" s="2"/>
      <c r="V76" s="2"/>
      <c r="W76" s="2"/>
      <c r="X76" s="2"/>
      <c r="Y76" s="2"/>
      <c r="Z76" s="2"/>
      <c r="AA76" s="2"/>
      <c r="AB76" s="2"/>
      <c r="AC76" s="2"/>
      <c r="AD76" s="2"/>
      <c r="AE76" s="2"/>
      <c r="AF76" s="2"/>
      <c r="AG76" s="2"/>
      <c r="AH76" s="2"/>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row>
    <row r="77" spans="1:80" ht="42" customHeight="1" x14ac:dyDescent="0.2">
      <c r="A77" s="1"/>
      <c r="B77" s="8" t="s">
        <v>162</v>
      </c>
      <c r="C77" s="74" t="s">
        <v>163</v>
      </c>
      <c r="D77" s="72"/>
      <c r="E77" s="72"/>
      <c r="F77" s="30">
        <f>Q40</f>
        <v>57200</v>
      </c>
      <c r="G77" s="44">
        <f>R40*100</f>
        <v>3.341509697129502</v>
      </c>
      <c r="H77" s="43"/>
      <c r="I77" s="23">
        <f>P40</f>
        <v>0.50286280554943841</v>
      </c>
      <c r="J77" s="45" t="s">
        <v>164</v>
      </c>
      <c r="K77" s="1"/>
      <c r="L77" s="2"/>
      <c r="M77" s="2"/>
      <c r="N77" s="2"/>
      <c r="O77" s="2"/>
      <c r="P77" s="2"/>
      <c r="Q77" s="2"/>
      <c r="R77" s="2"/>
      <c r="S77" s="2"/>
      <c r="T77" s="2"/>
      <c r="U77" s="2"/>
      <c r="V77" s="2"/>
      <c r="W77" s="2"/>
      <c r="X77" s="2"/>
      <c r="Y77" s="2"/>
      <c r="Z77" s="2"/>
      <c r="AA77" s="2"/>
      <c r="AB77" s="2"/>
      <c r="AC77" s="2"/>
      <c r="AD77" s="2"/>
      <c r="AE77" s="2"/>
      <c r="AF77" s="2"/>
      <c r="AG77" s="2"/>
      <c r="AH77" s="2"/>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row>
    <row r="78" spans="1:80" ht="42" customHeight="1" x14ac:dyDescent="0.2">
      <c r="A78" s="1"/>
      <c r="B78" s="8" t="s">
        <v>165</v>
      </c>
      <c r="C78" s="74" t="s">
        <v>166</v>
      </c>
      <c r="D78" s="72"/>
      <c r="E78" s="72"/>
      <c r="F78" s="30">
        <f>Q41</f>
        <v>-38097.402597402572</v>
      </c>
      <c r="G78" s="44">
        <f>R41*100</f>
        <v>-0.99402970466612173</v>
      </c>
      <c r="H78" s="43"/>
      <c r="I78" s="23">
        <f>P41</f>
        <v>0.49292250850277719</v>
      </c>
      <c r="J78" s="45" t="s">
        <v>167</v>
      </c>
      <c r="K78" s="1"/>
      <c r="L78" s="2"/>
      <c r="M78" s="2"/>
      <c r="N78" s="2"/>
      <c r="O78" s="2"/>
      <c r="P78" s="2"/>
      <c r="Q78" s="2"/>
      <c r="R78" s="2"/>
      <c r="S78" s="2"/>
      <c r="T78" s="2"/>
      <c r="U78" s="2"/>
      <c r="V78" s="2"/>
      <c r="W78" s="2"/>
      <c r="X78" s="2"/>
      <c r="Y78" s="2"/>
      <c r="Z78" s="2"/>
      <c r="AA78" s="2"/>
      <c r="AB78" s="2"/>
      <c r="AC78" s="2"/>
      <c r="AD78" s="2"/>
      <c r="AE78" s="2"/>
      <c r="AF78" s="2"/>
      <c r="AG78" s="2"/>
      <c r="AH78" s="2"/>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row>
    <row r="79" spans="1:80" ht="42" customHeight="1" x14ac:dyDescent="0.2">
      <c r="A79" s="1"/>
      <c r="B79" s="8" t="s">
        <v>168</v>
      </c>
      <c r="C79" s="74" t="s">
        <v>169</v>
      </c>
      <c r="D79" s="72"/>
      <c r="E79" s="72"/>
      <c r="F79" s="30">
        <f>Q42</f>
        <v>59797.402597402572</v>
      </c>
      <c r="G79" s="44">
        <f>R42*100</f>
        <v>2.7275392872746052</v>
      </c>
      <c r="H79" s="43"/>
      <c r="I79" s="23">
        <f>P42</f>
        <v>0.52019790137552324</v>
      </c>
      <c r="J79" s="45" t="s">
        <v>170</v>
      </c>
      <c r="K79" s="1"/>
      <c r="L79" s="2"/>
      <c r="M79" s="2"/>
      <c r="N79" s="2"/>
      <c r="O79" s="2"/>
      <c r="P79" s="2"/>
      <c r="Q79" s="2"/>
      <c r="R79" s="2"/>
      <c r="S79" s="2"/>
      <c r="T79" s="2"/>
      <c r="U79" s="2"/>
      <c r="V79" s="2"/>
      <c r="W79" s="2"/>
      <c r="X79" s="2"/>
      <c r="Y79" s="2"/>
      <c r="Z79" s="2"/>
      <c r="AA79" s="2"/>
      <c r="AB79" s="2"/>
      <c r="AC79" s="2"/>
      <c r="AD79" s="2"/>
      <c r="AE79" s="2"/>
      <c r="AF79" s="2"/>
      <c r="AG79" s="2"/>
      <c r="AH79" s="2"/>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row>
    <row r="80" spans="1:80" ht="42" customHeight="1" x14ac:dyDescent="0.2">
      <c r="A80" s="1"/>
      <c r="B80" s="8" t="s">
        <v>171</v>
      </c>
      <c r="C80" s="74" t="s">
        <v>172</v>
      </c>
      <c r="D80" s="72"/>
      <c r="E80" s="72"/>
      <c r="F80" s="30">
        <f>Q43</f>
        <v>-19300</v>
      </c>
      <c r="G80" s="44">
        <f>R43*100</f>
        <v>-2.0986244767030868</v>
      </c>
      <c r="H80" s="43"/>
      <c r="I80" s="23">
        <f>P43</f>
        <v>0.49921165660849237</v>
      </c>
      <c r="J80" s="45" t="s">
        <v>173</v>
      </c>
      <c r="K80" s="1"/>
      <c r="L80" s="2"/>
      <c r="M80" s="2"/>
      <c r="N80" s="2"/>
      <c r="O80" s="2"/>
      <c r="P80" s="2"/>
      <c r="Q80" s="2"/>
      <c r="R80" s="2"/>
      <c r="S80" s="2"/>
      <c r="T80" s="2"/>
      <c r="U80" s="2"/>
      <c r="V80" s="2"/>
      <c r="W80" s="2"/>
      <c r="X80" s="2"/>
      <c r="Y80" s="2"/>
      <c r="Z80" s="2"/>
      <c r="AA80" s="2"/>
      <c r="AB80" s="2"/>
      <c r="AC80" s="2"/>
      <c r="AD80" s="2"/>
      <c r="AE80" s="2"/>
      <c r="AF80" s="2"/>
      <c r="AG80" s="2"/>
      <c r="AH80" s="2"/>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row>
    <row r="81" spans="1:80" ht="42" customHeight="1" x14ac:dyDescent="0.2">
      <c r="A81" s="1"/>
      <c r="B81" s="8" t="s">
        <v>174</v>
      </c>
      <c r="C81" s="74" t="s">
        <v>175</v>
      </c>
      <c r="D81" s="72"/>
      <c r="E81" s="72"/>
      <c r="F81" s="30">
        <f>Q44</f>
        <v>-5000</v>
      </c>
      <c r="G81" s="44">
        <f>R44*100</f>
        <v>-0.54368509759147865</v>
      </c>
      <c r="H81" s="43"/>
      <c r="I81" s="23">
        <f>P44</f>
        <v>0.49377480563257758</v>
      </c>
      <c r="J81" s="45" t="s">
        <v>176</v>
      </c>
      <c r="K81" s="1"/>
      <c r="L81" s="2"/>
      <c r="M81" s="2"/>
      <c r="N81" s="2"/>
      <c r="O81" s="2"/>
      <c r="P81" s="2"/>
      <c r="Q81" s="2"/>
      <c r="R81" s="2"/>
      <c r="S81" s="2"/>
      <c r="T81" s="2"/>
      <c r="U81" s="2"/>
      <c r="V81" s="2"/>
      <c r="W81" s="2"/>
      <c r="X81" s="2"/>
      <c r="Y81" s="2"/>
      <c r="Z81" s="2"/>
      <c r="AA81" s="2"/>
      <c r="AB81" s="2"/>
      <c r="AC81" s="2"/>
      <c r="AD81" s="2"/>
      <c r="AE81" s="2"/>
      <c r="AF81" s="2"/>
      <c r="AG81" s="2"/>
      <c r="AH81" s="2"/>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row>
    <row r="82" spans="1:80" ht="22" customHeight="1" x14ac:dyDescent="0.2">
      <c r="A82" s="1"/>
      <c r="B82" s="25" t="str">
        <f>inp_biz_period_b_label</f>
        <v>Q2 FY26</v>
      </c>
      <c r="C82" s="74" t="str">
        <f>"Ending point · GM "&amp;TEXT(calc_GM_B,"0.0%")</f>
        <v>Ending point · GM 49.4%</v>
      </c>
      <c r="D82" s="72"/>
      <c r="E82" s="72"/>
      <c r="F82" s="46">
        <f>calc_GP_B-calc_GP_A</f>
        <v>54600</v>
      </c>
      <c r="G82" s="47">
        <f>(calc_GM_B-calc_GM_A)*100</f>
        <v>2.4327097054434201</v>
      </c>
      <c r="H82" s="29"/>
      <c r="I82" s="48">
        <f>calc_GM_B</f>
        <v>0.49377480563257758</v>
      </c>
      <c r="J82" s="29"/>
      <c r="K82" s="1"/>
      <c r="L82" s="2"/>
      <c r="M82" s="2"/>
      <c r="N82" s="2"/>
      <c r="O82" s="2"/>
      <c r="P82" s="2"/>
      <c r="Q82" s="2"/>
      <c r="R82" s="2"/>
      <c r="S82" s="2"/>
      <c r="T82" s="2"/>
      <c r="U82" s="2"/>
      <c r="V82" s="2"/>
      <c r="W82" s="2"/>
      <c r="X82" s="2"/>
      <c r="Y82" s="2"/>
      <c r="Z82" s="2"/>
      <c r="AA82" s="2"/>
      <c r="AB82" s="2"/>
      <c r="AC82" s="2"/>
      <c r="AD82" s="2"/>
      <c r="AE82" s="2"/>
      <c r="AF82" s="2"/>
      <c r="AG82" s="2"/>
      <c r="AH82" s="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row>
    <row r="83" spans="1:80" s="70" customFormat="1" ht="22" customHeight="1" x14ac:dyDescent="0.2">
      <c r="A83" s="1"/>
      <c r="B83" s="1"/>
      <c r="C83" s="1"/>
      <c r="D83" s="1"/>
      <c r="E83" s="1"/>
      <c r="F83" s="1"/>
      <c r="G83" s="1"/>
      <c r="H83" s="1"/>
      <c r="I83" s="1"/>
      <c r="J83" s="1"/>
      <c r="K83" s="68"/>
      <c r="L83" s="43"/>
      <c r="M83" s="43"/>
      <c r="N83" s="43"/>
      <c r="O83" s="43"/>
      <c r="P83" s="43"/>
      <c r="Q83" s="43"/>
      <c r="R83" s="43"/>
      <c r="S83" s="43"/>
      <c r="T83" s="43"/>
      <c r="U83" s="43"/>
      <c r="V83" s="43"/>
      <c r="W83" s="43"/>
      <c r="X83" s="43"/>
      <c r="Y83" s="43"/>
      <c r="Z83" s="43"/>
      <c r="AA83" s="43"/>
      <c r="AB83" s="43"/>
      <c r="AC83" s="43"/>
      <c r="AD83" s="43"/>
      <c r="AE83" s="43"/>
      <c r="AF83" s="43"/>
      <c r="AG83" s="43"/>
      <c r="AH83" s="43"/>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row>
    <row r="84" spans="1:80" x14ac:dyDescent="0.2">
      <c r="A84" s="1"/>
      <c r="B84" s="92" t="s">
        <v>320</v>
      </c>
      <c r="C84" s="92"/>
      <c r="D84" s="92"/>
      <c r="E84" s="92"/>
      <c r="F84" s="92"/>
      <c r="G84" s="92"/>
      <c r="H84" s="92"/>
      <c r="I84" s="92"/>
      <c r="J84" s="1"/>
      <c r="K84" s="1"/>
      <c r="L84" s="2"/>
      <c r="M84" s="2"/>
      <c r="N84" s="2"/>
      <c r="O84" s="2"/>
      <c r="P84" s="2"/>
      <c r="Q84" s="2"/>
      <c r="R84" s="2"/>
      <c r="S84" s="2"/>
      <c r="T84" s="2"/>
      <c r="U84" s="2"/>
      <c r="V84" s="2"/>
      <c r="W84" s="2"/>
      <c r="X84" s="2"/>
      <c r="Y84" s="2"/>
      <c r="Z84" s="2"/>
      <c r="AA84" s="2"/>
      <c r="AB84" s="2"/>
      <c r="AC84" s="2"/>
      <c r="AD84" s="2"/>
      <c r="AE84" s="2"/>
      <c r="AF84" s="2"/>
      <c r="AG84" s="2"/>
      <c r="AH84" s="2"/>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row>
    <row r="85" spans="1:80" x14ac:dyDescent="0.2">
      <c r="A85" s="1"/>
      <c r="B85" s="1"/>
      <c r="C85" s="1"/>
      <c r="D85" s="1"/>
      <c r="E85" s="1"/>
      <c r="F85" s="1"/>
      <c r="G85" s="1"/>
      <c r="H85" s="1"/>
      <c r="I85" s="1"/>
      <c r="J85" s="1"/>
      <c r="K85" s="1"/>
      <c r="L85" s="2"/>
      <c r="M85" s="2"/>
      <c r="N85" s="2"/>
      <c r="O85" s="2"/>
      <c r="P85" s="2"/>
      <c r="Q85" s="2"/>
      <c r="R85" s="2"/>
      <c r="S85" s="2"/>
      <c r="T85" s="2"/>
      <c r="U85" s="2"/>
      <c r="V85" s="2"/>
      <c r="W85" s="2"/>
      <c r="X85" s="2"/>
      <c r="Y85" s="2"/>
      <c r="Z85" s="2"/>
      <c r="AA85" s="2"/>
      <c r="AB85" s="2"/>
      <c r="AC85" s="2"/>
      <c r="AD85" s="2"/>
      <c r="AE85" s="2"/>
      <c r="AF85" s="2"/>
      <c r="AG85" s="2"/>
      <c r="AH85" s="2"/>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row>
    <row r="86" spans="1:80" ht="22" customHeight="1" x14ac:dyDescent="0.2">
      <c r="A86" s="1"/>
      <c r="B86" s="5" t="s">
        <v>300</v>
      </c>
      <c r="C86" s="1"/>
      <c r="D86" s="1"/>
      <c r="E86" s="1"/>
      <c r="F86" s="1"/>
      <c r="G86" s="1"/>
      <c r="H86" s="1"/>
      <c r="I86" s="1"/>
      <c r="J86" s="1"/>
      <c r="K86" s="1"/>
      <c r="L86" s="2"/>
      <c r="M86" s="2"/>
      <c r="N86" s="2"/>
      <c r="O86" s="2"/>
      <c r="P86" s="2"/>
      <c r="Q86" s="2"/>
      <c r="R86" s="2"/>
      <c r="S86" s="2"/>
      <c r="T86" s="2"/>
      <c r="U86" s="2"/>
      <c r="V86" s="2"/>
      <c r="W86" s="2"/>
      <c r="X86" s="2"/>
      <c r="Y86" s="2"/>
      <c r="Z86" s="2"/>
      <c r="AA86" s="2"/>
      <c r="AB86" s="2"/>
      <c r="AC86" s="2"/>
      <c r="AD86" s="2"/>
      <c r="AE86" s="2"/>
      <c r="AF86" s="2"/>
      <c r="AG86" s="2"/>
      <c r="AH86" s="2"/>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row>
    <row r="87" spans="1:80" ht="22" customHeight="1" x14ac:dyDescent="0.2">
      <c r="A87" s="1"/>
      <c r="B87" s="6" t="s">
        <v>70</v>
      </c>
      <c r="C87" s="14" t="s">
        <v>177</v>
      </c>
      <c r="D87" s="14" t="s">
        <v>301</v>
      </c>
      <c r="E87" s="14" t="s">
        <v>302</v>
      </c>
      <c r="F87" s="14" t="s">
        <v>178</v>
      </c>
      <c r="G87" s="14" t="s">
        <v>303</v>
      </c>
      <c r="H87" s="14" t="s">
        <v>304</v>
      </c>
      <c r="I87" s="14" t="s">
        <v>305</v>
      </c>
      <c r="J87" s="14" t="s">
        <v>306</v>
      </c>
      <c r="K87" s="1"/>
      <c r="L87" s="2"/>
      <c r="M87" s="2"/>
      <c r="N87" s="2"/>
      <c r="O87" s="2"/>
      <c r="P87" s="2"/>
      <c r="Q87" s="2"/>
      <c r="R87" s="2"/>
      <c r="S87" s="2"/>
      <c r="T87" s="2"/>
      <c r="U87" s="2"/>
      <c r="V87" s="2"/>
      <c r="W87" s="2"/>
      <c r="X87" s="2"/>
      <c r="Y87" s="2"/>
      <c r="Z87" s="2"/>
      <c r="AA87" s="2"/>
      <c r="AB87" s="2"/>
      <c r="AC87" s="2"/>
      <c r="AD87" s="2"/>
      <c r="AE87" s="2"/>
      <c r="AF87" s="2"/>
      <c r="AG87" s="2"/>
      <c r="AH87" s="2"/>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row>
    <row r="88" spans="1:80" ht="20" customHeight="1" x14ac:dyDescent="0.2">
      <c r="A88" s="1"/>
      <c r="B88" s="8" t="str">
        <f t="shared" ref="B88:B93" si="10">IF(B34&lt;&gt;"",B34,B19)</f>
        <v>Retained client work</v>
      </c>
      <c r="C88" s="22">
        <f t="shared" ref="C88:C93" si="11">D19</f>
        <v>437000</v>
      </c>
      <c r="D88" s="22">
        <f t="shared" ref="D88:D93" si="12">D19-L19</f>
        <v>285000</v>
      </c>
      <c r="E88" s="23">
        <f t="shared" ref="E88:E93" si="13">IFERROR((D19-L19)/D19,0)</f>
        <v>0.65217391304347827</v>
      </c>
      <c r="F88" s="22">
        <f t="shared" ref="F88:F93" si="14">D34</f>
        <v>455400</v>
      </c>
      <c r="G88" s="22">
        <f t="shared" ref="G88:G93" si="15">D34-L34</f>
        <v>302400</v>
      </c>
      <c r="H88" s="23">
        <f t="shared" ref="H88:H93" si="16">IFERROR((D34-L34)/D34,0)</f>
        <v>0.66403162055335974</v>
      </c>
      <c r="I88" s="30">
        <f t="shared" ref="I88:I93" si="17">G88-D88</f>
        <v>17400</v>
      </c>
      <c r="J88" s="32">
        <f t="shared" ref="J88:J93" si="18">(H88-E88)*100</f>
        <v>1.1857707509881465</v>
      </c>
      <c r="K88" s="1"/>
      <c r="L88" s="2"/>
      <c r="M88" s="2"/>
      <c r="N88" s="2"/>
      <c r="O88" s="2"/>
      <c r="P88" s="2"/>
      <c r="Q88" s="2"/>
      <c r="R88" s="2"/>
      <c r="S88" s="2"/>
      <c r="T88" s="2"/>
      <c r="U88" s="2"/>
      <c r="V88" s="2"/>
      <c r="W88" s="2"/>
      <c r="X88" s="2"/>
      <c r="Y88" s="2"/>
      <c r="Z88" s="2"/>
      <c r="AA88" s="2"/>
      <c r="AB88" s="2"/>
      <c r="AC88" s="2"/>
      <c r="AD88" s="2"/>
      <c r="AE88" s="2"/>
      <c r="AF88" s="2"/>
      <c r="AG88" s="2"/>
      <c r="AH88" s="2"/>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row>
    <row r="89" spans="1:80" ht="20" customHeight="1" x14ac:dyDescent="0.2">
      <c r="A89" s="1"/>
      <c r="B89" s="8" t="str">
        <f t="shared" si="10"/>
        <v>Strategy / advisory</v>
      </c>
      <c r="C89" s="22">
        <f t="shared" si="11"/>
        <v>119000</v>
      </c>
      <c r="D89" s="22">
        <f t="shared" si="12"/>
        <v>80500</v>
      </c>
      <c r="E89" s="23">
        <f t="shared" si="13"/>
        <v>0.67647058823529416</v>
      </c>
      <c r="F89" s="22">
        <f t="shared" si="14"/>
        <v>240500</v>
      </c>
      <c r="G89" s="22">
        <f t="shared" si="15"/>
        <v>164450</v>
      </c>
      <c r="H89" s="23">
        <f t="shared" si="16"/>
        <v>0.68378378378378379</v>
      </c>
      <c r="I89" s="30">
        <f t="shared" si="17"/>
        <v>83950</v>
      </c>
      <c r="J89" s="32">
        <f t="shared" si="18"/>
        <v>0.73131955484896372</v>
      </c>
      <c r="K89" s="1"/>
      <c r="L89" s="2"/>
      <c r="M89" s="2"/>
      <c r="N89" s="2"/>
      <c r="O89" s="2"/>
      <c r="P89" s="2"/>
      <c r="Q89" s="2"/>
      <c r="R89" s="2"/>
      <c r="S89" s="2"/>
      <c r="T89" s="2"/>
      <c r="U89" s="2"/>
      <c r="V89" s="2"/>
      <c r="W89" s="2"/>
      <c r="X89" s="2"/>
      <c r="Y89" s="2"/>
      <c r="Z89" s="2"/>
      <c r="AA89" s="2"/>
      <c r="AB89" s="2"/>
      <c r="AC89" s="2"/>
      <c r="AD89" s="2"/>
      <c r="AE89" s="2"/>
      <c r="AF89" s="2"/>
      <c r="AG89" s="2"/>
      <c r="AH89" s="2"/>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row>
    <row r="90" spans="1:80" ht="20" customHeight="1" x14ac:dyDescent="0.2">
      <c r="A90" s="1"/>
      <c r="B90" s="8" t="str">
        <f t="shared" si="10"/>
        <v>Implementation</v>
      </c>
      <c r="C90" s="22">
        <f t="shared" si="11"/>
        <v>175000</v>
      </c>
      <c r="D90" s="22">
        <f t="shared" si="12"/>
        <v>95000</v>
      </c>
      <c r="E90" s="23">
        <f t="shared" si="13"/>
        <v>0.54285714285714282</v>
      </c>
      <c r="F90" s="22">
        <f t="shared" si="14"/>
        <v>70000</v>
      </c>
      <c r="G90" s="22">
        <f t="shared" si="15"/>
        <v>36000</v>
      </c>
      <c r="H90" s="23">
        <f t="shared" si="16"/>
        <v>0.51428571428571423</v>
      </c>
      <c r="I90" s="30">
        <f t="shared" si="17"/>
        <v>-59000</v>
      </c>
      <c r="J90" s="32">
        <f t="shared" si="18"/>
        <v>-2.8571428571428581</v>
      </c>
      <c r="K90" s="1"/>
      <c r="L90" s="2"/>
      <c r="M90" s="2"/>
      <c r="N90" s="2"/>
      <c r="O90" s="2"/>
      <c r="P90" s="2"/>
      <c r="Q90" s="2"/>
      <c r="R90" s="2"/>
      <c r="S90" s="2"/>
      <c r="T90" s="2"/>
      <c r="U90" s="2"/>
      <c r="V90" s="2"/>
      <c r="W90" s="2"/>
      <c r="X90" s="2"/>
      <c r="Y90" s="2"/>
      <c r="Z90" s="2"/>
      <c r="AA90" s="2"/>
      <c r="AB90" s="2"/>
      <c r="AC90" s="2"/>
      <c r="AD90" s="2"/>
      <c r="AE90" s="2"/>
      <c r="AF90" s="2"/>
      <c r="AG90" s="2"/>
      <c r="AH90" s="2"/>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row>
    <row r="91" spans="1:80" ht="20" customHeight="1" x14ac:dyDescent="0.2">
      <c r="A91" s="1"/>
      <c r="B91" s="8" t="str">
        <f t="shared" si="10"/>
        <v>Project, new business</v>
      </c>
      <c r="C91" s="22">
        <f t="shared" si="11"/>
        <v>120000</v>
      </c>
      <c r="D91" s="22">
        <f t="shared" si="12"/>
        <v>69000</v>
      </c>
      <c r="E91" s="23">
        <f t="shared" si="13"/>
        <v>0.57499999999999996</v>
      </c>
      <c r="F91" s="22">
        <f t="shared" si="14"/>
        <v>153750</v>
      </c>
      <c r="G91" s="22">
        <f t="shared" si="15"/>
        <v>86250</v>
      </c>
      <c r="H91" s="23">
        <f t="shared" si="16"/>
        <v>0.56097560975609762</v>
      </c>
      <c r="I91" s="30">
        <f t="shared" si="17"/>
        <v>17250</v>
      </c>
      <c r="J91" s="32">
        <f t="shared" si="18"/>
        <v>-1.402439024390234</v>
      </c>
      <c r="K91" s="1"/>
      <c r="L91" s="2"/>
      <c r="M91" s="2"/>
      <c r="N91" s="2"/>
      <c r="O91" s="2"/>
      <c r="P91" s="2"/>
      <c r="Q91" s="2"/>
      <c r="R91" s="2"/>
      <c r="S91" s="2"/>
      <c r="T91" s="2"/>
      <c r="U91" s="2"/>
      <c r="V91" s="2"/>
      <c r="W91" s="2"/>
      <c r="X91" s="2"/>
      <c r="Y91" s="2"/>
      <c r="Z91" s="2"/>
      <c r="AA91" s="2"/>
      <c r="AB91" s="2"/>
      <c r="AC91" s="2"/>
      <c r="AD91" s="2"/>
      <c r="AE91" s="2"/>
      <c r="AF91" s="2"/>
      <c r="AG91" s="2"/>
      <c r="AH91" s="2"/>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row>
    <row r="92" spans="1:80" ht="20" customHeight="1" x14ac:dyDescent="0.2">
      <c r="A92" s="1"/>
      <c r="B92" s="8" t="str">
        <f t="shared" si="10"/>
        <v>Service line 5</v>
      </c>
      <c r="C92" s="22">
        <f t="shared" si="11"/>
        <v>0</v>
      </c>
      <c r="D92" s="22">
        <f t="shared" si="12"/>
        <v>0</v>
      </c>
      <c r="E92" s="23">
        <f t="shared" si="13"/>
        <v>0</v>
      </c>
      <c r="F92" s="22">
        <f t="shared" si="14"/>
        <v>0</v>
      </c>
      <c r="G92" s="22">
        <f t="shared" si="15"/>
        <v>0</v>
      </c>
      <c r="H92" s="23">
        <f t="shared" si="16"/>
        <v>0</v>
      </c>
      <c r="I92" s="30">
        <f t="shared" si="17"/>
        <v>0</v>
      </c>
      <c r="J92" s="32">
        <f t="shared" si="18"/>
        <v>0</v>
      </c>
      <c r="K92" s="1"/>
      <c r="L92" s="2"/>
      <c r="M92" s="2"/>
      <c r="N92" s="2"/>
      <c r="O92" s="2"/>
      <c r="P92" s="2"/>
      <c r="Q92" s="2"/>
      <c r="R92" s="2"/>
      <c r="S92" s="2"/>
      <c r="T92" s="2"/>
      <c r="U92" s="2"/>
      <c r="V92" s="2"/>
      <c r="W92" s="2"/>
      <c r="X92" s="2"/>
      <c r="Y92" s="2"/>
      <c r="Z92" s="2"/>
      <c r="AA92" s="2"/>
      <c r="AB92" s="2"/>
      <c r="AC92" s="2"/>
      <c r="AD92" s="2"/>
      <c r="AE92" s="2"/>
      <c r="AF92" s="2"/>
      <c r="AG92" s="2"/>
      <c r="AH92" s="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row>
    <row r="93" spans="1:80" ht="20" customHeight="1" x14ac:dyDescent="0.2">
      <c r="A93" s="1"/>
      <c r="B93" s="8" t="str">
        <f t="shared" si="10"/>
        <v>Service line 6</v>
      </c>
      <c r="C93" s="22">
        <f t="shared" si="11"/>
        <v>0</v>
      </c>
      <c r="D93" s="22">
        <f t="shared" si="12"/>
        <v>0</v>
      </c>
      <c r="E93" s="23">
        <f t="shared" si="13"/>
        <v>0</v>
      </c>
      <c r="F93" s="22">
        <f t="shared" si="14"/>
        <v>0</v>
      </c>
      <c r="G93" s="22">
        <f t="shared" si="15"/>
        <v>0</v>
      </c>
      <c r="H93" s="23">
        <f t="shared" si="16"/>
        <v>0</v>
      </c>
      <c r="I93" s="30">
        <f t="shared" si="17"/>
        <v>0</v>
      </c>
      <c r="J93" s="32">
        <f t="shared" si="18"/>
        <v>0</v>
      </c>
      <c r="K93" s="1"/>
      <c r="L93" s="2"/>
      <c r="M93" s="2"/>
      <c r="N93" s="2"/>
      <c r="O93" s="2"/>
      <c r="P93" s="2"/>
      <c r="Q93" s="2"/>
      <c r="R93" s="2"/>
      <c r="S93" s="2"/>
      <c r="T93" s="2"/>
      <c r="U93" s="2"/>
      <c r="V93" s="2"/>
      <c r="W93" s="2"/>
      <c r="X93" s="2"/>
      <c r="Y93" s="2"/>
      <c r="Z93" s="2"/>
      <c r="AA93" s="2"/>
      <c r="AB93" s="2"/>
      <c r="AC93" s="2"/>
      <c r="AD93" s="2"/>
      <c r="AE93" s="2"/>
      <c r="AF93" s="2"/>
      <c r="AG93" s="2"/>
      <c r="AH93" s="2"/>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row>
    <row r="94" spans="1:80" x14ac:dyDescent="0.2">
      <c r="A94" s="1"/>
      <c r="B94" s="1"/>
      <c r="C94" s="1"/>
      <c r="D94" s="1"/>
      <c r="E94" s="1"/>
      <c r="F94" s="1"/>
      <c r="G94" s="1"/>
      <c r="H94" s="1"/>
      <c r="I94" s="1"/>
      <c r="J94" s="1"/>
      <c r="K94" s="1"/>
      <c r="L94" s="2"/>
      <c r="M94" s="2"/>
      <c r="N94" s="2"/>
      <c r="O94" s="2"/>
      <c r="P94" s="2"/>
      <c r="Q94" s="2"/>
      <c r="R94" s="2"/>
      <c r="S94" s="2"/>
      <c r="T94" s="2"/>
      <c r="U94" s="2"/>
      <c r="V94" s="2"/>
      <c r="W94" s="2"/>
      <c r="X94" s="2"/>
      <c r="Y94" s="2"/>
      <c r="Z94" s="2"/>
      <c r="AA94" s="2"/>
      <c r="AB94" s="2"/>
      <c r="AC94" s="2"/>
      <c r="AD94" s="2"/>
      <c r="AE94" s="2"/>
      <c r="AF94" s="2"/>
      <c r="AG94" s="2"/>
      <c r="AH94" s="2"/>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row>
    <row r="95" spans="1:80" x14ac:dyDescent="0.2">
      <c r="A95" s="1"/>
      <c r="B95" s="1"/>
      <c r="C95" s="1"/>
      <c r="D95" s="1"/>
      <c r="E95" s="1"/>
      <c r="F95" s="1"/>
      <c r="G95" s="1"/>
      <c r="H95" s="1"/>
      <c r="I95" s="1"/>
      <c r="J95" s="1"/>
      <c r="K95" s="1"/>
      <c r="L95" s="2"/>
      <c r="M95" s="2"/>
      <c r="N95" s="2"/>
      <c r="O95" s="2"/>
      <c r="P95" s="2"/>
      <c r="Q95" s="2"/>
      <c r="R95" s="2"/>
      <c r="S95" s="2"/>
      <c r="T95" s="2"/>
      <c r="U95" s="2"/>
      <c r="V95" s="2"/>
      <c r="W95" s="2"/>
      <c r="X95" s="2"/>
      <c r="Y95" s="2"/>
      <c r="Z95" s="2"/>
      <c r="AA95" s="2"/>
      <c r="AB95" s="2"/>
      <c r="AC95" s="2"/>
      <c r="AD95" s="2"/>
      <c r="AE95" s="2"/>
      <c r="AF95" s="2"/>
      <c r="AG95" s="2"/>
      <c r="AH95" s="2"/>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row>
    <row r="96" spans="1:80" ht="22" customHeight="1" x14ac:dyDescent="0.2">
      <c r="A96" s="1"/>
      <c r="B96" s="5" t="s">
        <v>179</v>
      </c>
      <c r="C96" s="1"/>
      <c r="D96" s="1"/>
      <c r="E96" s="1"/>
      <c r="F96" s="1"/>
      <c r="G96" s="1"/>
      <c r="H96" s="1"/>
      <c r="I96" s="1"/>
      <c r="J96" s="1"/>
      <c r="K96" s="1"/>
      <c r="L96" s="2"/>
      <c r="M96" s="2"/>
      <c r="N96" s="2"/>
      <c r="O96" s="2"/>
      <c r="P96" s="2"/>
      <c r="Q96" s="2"/>
      <c r="R96" s="2"/>
      <c r="S96" s="2"/>
      <c r="T96" s="2"/>
      <c r="U96" s="2"/>
      <c r="V96" s="2"/>
      <c r="W96" s="2"/>
      <c r="X96" s="2"/>
      <c r="Y96" s="2"/>
      <c r="Z96" s="2"/>
      <c r="AA96" s="2"/>
      <c r="AB96" s="2"/>
      <c r="AC96" s="2"/>
      <c r="AD96" s="2"/>
      <c r="AE96" s="2"/>
      <c r="AF96" s="2"/>
      <c r="AG96" s="2"/>
      <c r="AH96" s="2"/>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row>
    <row r="97" spans="1:80" ht="22" customHeight="1" x14ac:dyDescent="0.2">
      <c r="A97" s="1"/>
      <c r="B97" s="6" t="s">
        <v>180</v>
      </c>
      <c r="C97" s="1"/>
      <c r="D97" s="1"/>
      <c r="E97" s="14" t="s">
        <v>181</v>
      </c>
      <c r="F97" s="1"/>
      <c r="G97" s="14" t="s">
        <v>182</v>
      </c>
      <c r="H97" s="1"/>
      <c r="I97" s="14" t="s">
        <v>183</v>
      </c>
      <c r="J97" s="1"/>
      <c r="K97" s="1"/>
      <c r="L97" s="2"/>
      <c r="M97" s="2"/>
      <c r="N97" s="2"/>
      <c r="O97" s="2"/>
      <c r="P97" s="2"/>
      <c r="Q97" s="2"/>
      <c r="R97" s="2"/>
      <c r="S97" s="2"/>
      <c r="T97" s="2"/>
      <c r="U97" s="2"/>
      <c r="V97" s="2"/>
      <c r="W97" s="2"/>
      <c r="X97" s="2"/>
      <c r="Y97" s="2"/>
      <c r="Z97" s="2"/>
      <c r="AA97" s="2"/>
      <c r="AB97" s="2"/>
      <c r="AC97" s="2"/>
      <c r="AD97" s="2"/>
      <c r="AE97" s="2"/>
      <c r="AF97" s="2"/>
      <c r="AG97" s="2"/>
      <c r="AH97" s="2"/>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row>
    <row r="98" spans="1:80" ht="24" customHeight="1" x14ac:dyDescent="0.2">
      <c r="A98" s="1"/>
      <c r="B98" s="82" t="s">
        <v>184</v>
      </c>
      <c r="C98" s="83"/>
      <c r="D98" s="84"/>
      <c r="E98" s="49">
        <v>0.05</v>
      </c>
      <c r="F98" s="2"/>
      <c r="G98" s="91">
        <f>N62</f>
        <v>0.51788076726912158</v>
      </c>
      <c r="H98" s="72"/>
      <c r="I98" s="79">
        <f>N64*100</f>
        <v>2.4105961636543993</v>
      </c>
      <c r="J98" s="72"/>
      <c r="K98" s="1"/>
      <c r="L98" s="2"/>
      <c r="M98" s="2"/>
      <c r="N98" s="2"/>
      <c r="O98" s="2"/>
      <c r="P98" s="2"/>
      <c r="Q98" s="2"/>
      <c r="R98" s="2"/>
      <c r="S98" s="2"/>
      <c r="T98" s="2"/>
      <c r="U98" s="2"/>
      <c r="V98" s="2"/>
      <c r="W98" s="2"/>
      <c r="X98" s="2"/>
      <c r="Y98" s="2"/>
      <c r="Z98" s="2"/>
      <c r="AA98" s="2"/>
      <c r="AB98" s="2"/>
      <c r="AC98" s="2"/>
      <c r="AD98" s="2"/>
      <c r="AE98" s="2"/>
      <c r="AF98" s="2"/>
      <c r="AG98" s="2"/>
      <c r="AH98" s="2"/>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row>
    <row r="99" spans="1:80" x14ac:dyDescent="0.2">
      <c r="A99" s="1"/>
      <c r="B99" s="1"/>
      <c r="C99" s="1"/>
      <c r="D99" s="1"/>
      <c r="E99" s="1"/>
      <c r="F99" s="1"/>
      <c r="G99" s="1"/>
      <c r="H99" s="1"/>
      <c r="I99" s="1"/>
      <c r="J99" s="1"/>
      <c r="K99" s="1"/>
      <c r="L99" s="2"/>
      <c r="M99" s="2"/>
      <c r="N99" s="2"/>
      <c r="O99" s="2"/>
      <c r="P99" s="2"/>
      <c r="Q99" s="2"/>
      <c r="R99" s="2"/>
      <c r="S99" s="2"/>
      <c r="T99" s="2"/>
      <c r="U99" s="2"/>
      <c r="V99" s="2"/>
      <c r="W99" s="2"/>
      <c r="X99" s="2"/>
      <c r="Y99" s="2"/>
      <c r="Z99" s="2"/>
      <c r="AA99" s="2"/>
      <c r="AB99" s="2"/>
      <c r="AC99" s="2"/>
      <c r="AD99" s="2"/>
      <c r="AE99" s="2"/>
      <c r="AF99" s="2"/>
      <c r="AG99" s="2"/>
      <c r="AH99" s="2"/>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row>
    <row r="100" spans="1:80" ht="18" customHeight="1" x14ac:dyDescent="0.2">
      <c r="A100" s="1"/>
      <c r="B100" s="88" t="str">
        <f>"Holding Period A constant; flex applied to Period B only. Reset by setting % to 0."</f>
        <v>Holding Period A constant; flex applied to Period B only. Reset by setting % to 0.</v>
      </c>
      <c r="C100" s="72"/>
      <c r="D100" s="72"/>
      <c r="E100" s="72"/>
      <c r="F100" s="72"/>
      <c r="G100" s="72"/>
      <c r="H100" s="72"/>
      <c r="I100" s="72"/>
      <c r="J100" s="72"/>
      <c r="K100" s="1"/>
      <c r="L100" s="2"/>
      <c r="M100" s="2"/>
      <c r="N100" s="2"/>
      <c r="O100" s="2"/>
      <c r="P100" s="2"/>
      <c r="Q100" s="2"/>
      <c r="R100" s="2"/>
      <c r="S100" s="2"/>
      <c r="T100" s="2"/>
      <c r="U100" s="2"/>
      <c r="V100" s="2"/>
      <c r="W100" s="2"/>
      <c r="X100" s="2"/>
      <c r="Y100" s="2"/>
      <c r="Z100" s="2"/>
      <c r="AA100" s="2"/>
      <c r="AB100" s="2"/>
      <c r="AC100" s="2"/>
      <c r="AD100" s="2"/>
      <c r="AE100" s="2"/>
      <c r="AF100" s="2"/>
      <c r="AG100" s="2"/>
      <c r="AH100" s="2"/>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row>
    <row r="101" spans="1:80" x14ac:dyDescent="0.2">
      <c r="A101" s="1"/>
      <c r="B101" s="1"/>
      <c r="C101" s="1"/>
      <c r="D101" s="1"/>
      <c r="E101" s="1"/>
      <c r="F101" s="1"/>
      <c r="G101" s="1"/>
      <c r="H101" s="1"/>
      <c r="I101" s="1"/>
      <c r="J101" s="1"/>
      <c r="K101" s="1"/>
      <c r="L101" s="2"/>
      <c r="M101" s="2"/>
      <c r="N101" s="2"/>
      <c r="O101" s="2"/>
      <c r="P101" s="2"/>
      <c r="Q101" s="2"/>
      <c r="R101" s="2"/>
      <c r="S101" s="2"/>
      <c r="T101" s="2"/>
      <c r="U101" s="2"/>
      <c r="V101" s="2"/>
      <c r="W101" s="2"/>
      <c r="X101" s="2"/>
      <c r="Y101" s="2"/>
      <c r="Z101" s="2"/>
      <c r="AA101" s="2"/>
      <c r="AB101" s="2"/>
      <c r="AC101" s="2"/>
      <c r="AD101" s="2"/>
      <c r="AE101" s="2"/>
      <c r="AF101" s="2"/>
      <c r="AG101" s="2"/>
      <c r="AH101" s="2"/>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row>
    <row r="102" spans="1:80" x14ac:dyDescent="0.2">
      <c r="A102" s="1"/>
      <c r="B102" s="1"/>
      <c r="C102" s="1"/>
      <c r="D102" s="1"/>
      <c r="E102" s="1"/>
      <c r="F102" s="1"/>
      <c r="G102" s="1"/>
      <c r="H102" s="1"/>
      <c r="I102" s="1"/>
      <c r="J102" s="1"/>
      <c r="K102" s="1"/>
      <c r="L102" s="2"/>
      <c r="M102" s="2"/>
      <c r="N102" s="2"/>
      <c r="O102" s="2"/>
      <c r="P102" s="2"/>
      <c r="Q102" s="2"/>
      <c r="R102" s="2"/>
      <c r="S102" s="2"/>
      <c r="T102" s="2"/>
      <c r="U102" s="2"/>
      <c r="V102" s="2"/>
      <c r="W102" s="2"/>
      <c r="X102" s="2"/>
      <c r="Y102" s="2"/>
      <c r="Z102" s="2"/>
      <c r="AA102" s="2"/>
      <c r="AB102" s="2"/>
      <c r="AC102" s="2"/>
      <c r="AD102" s="2"/>
      <c r="AE102" s="2"/>
      <c r="AF102" s="2"/>
      <c r="AG102" s="2"/>
      <c r="AH102" s="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row>
    <row r="103" spans="1:80" ht="22" customHeight="1" x14ac:dyDescent="0.2">
      <c r="A103" s="1"/>
      <c r="B103" s="5" t="s">
        <v>185</v>
      </c>
      <c r="C103" s="1"/>
      <c r="D103" s="1"/>
      <c r="E103" s="1"/>
      <c r="F103" s="1"/>
      <c r="G103" s="1"/>
      <c r="H103" s="1"/>
      <c r="I103" s="1"/>
      <c r="J103" s="1"/>
      <c r="K103" s="1"/>
      <c r="L103" s="2"/>
      <c r="M103" s="2"/>
      <c r="N103" s="2"/>
      <c r="O103" s="2"/>
      <c r="P103" s="2"/>
      <c r="Q103" s="2"/>
      <c r="R103" s="2"/>
      <c r="S103" s="2"/>
      <c r="T103" s="2"/>
      <c r="U103" s="2"/>
      <c r="V103" s="2"/>
      <c r="W103" s="2"/>
      <c r="X103" s="2"/>
      <c r="Y103" s="2"/>
      <c r="Z103" s="2"/>
      <c r="AA103" s="2"/>
      <c r="AB103" s="2"/>
      <c r="AC103" s="2"/>
      <c r="AD103" s="2"/>
      <c r="AE103" s="2"/>
      <c r="AF103" s="2"/>
      <c r="AG103" s="2"/>
      <c r="AH103" s="2"/>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row>
    <row r="104" spans="1:80" ht="22" customHeight="1" x14ac:dyDescent="0.2">
      <c r="A104" s="1"/>
      <c r="B104" s="8" t="str">
        <f>inp_biz_period_a_label&amp;" gross margin"</f>
        <v>Q1 FY26 gross margin</v>
      </c>
      <c r="C104" s="2"/>
      <c r="D104" s="2"/>
      <c r="E104" s="23">
        <f>calc_GM_A</f>
        <v>0.46944770857814339</v>
      </c>
      <c r="F104" s="50">
        <f>IFERROR(INDEX(ref_vertical_gm_mid,MATCH(inp_biz_vertical,ref_vertical_codes,0)),0)</f>
        <v>0.55000000000000004</v>
      </c>
      <c r="G104" s="51" t="s">
        <v>186</v>
      </c>
      <c r="H104" s="2"/>
      <c r="I104" s="32">
        <f>(calc_GM_A-IFERROR(INDEX(ref_vertical_gm_mid,MATCH(inp_biz_vertical,ref_vertical_codes,0)),0))*100</f>
        <v>-8.0552291421856665</v>
      </c>
      <c r="J104" s="2"/>
      <c r="K104" s="1"/>
      <c r="L104" s="2"/>
      <c r="M104" s="2"/>
      <c r="N104" s="2"/>
      <c r="O104" s="2"/>
      <c r="P104" s="2"/>
      <c r="Q104" s="2"/>
      <c r="R104" s="2"/>
      <c r="S104" s="2"/>
      <c r="T104" s="2"/>
      <c r="U104" s="2"/>
      <c r="V104" s="2"/>
      <c r="W104" s="2"/>
      <c r="X104" s="2"/>
      <c r="Y104" s="2"/>
      <c r="Z104" s="2"/>
      <c r="AA104" s="2"/>
      <c r="AB104" s="2"/>
      <c r="AC104" s="2"/>
      <c r="AD104" s="2"/>
      <c r="AE104" s="2"/>
      <c r="AF104" s="2"/>
      <c r="AG104" s="2"/>
      <c r="AH104" s="2"/>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row>
    <row r="105" spans="1:80" ht="22" customHeight="1" x14ac:dyDescent="0.2">
      <c r="A105" s="1"/>
      <c r="B105" s="8" t="str">
        <f>inp_biz_period_b_label&amp;" gross margin"</f>
        <v>Q2 FY26 gross margin</v>
      </c>
      <c r="C105" s="2"/>
      <c r="D105" s="2"/>
      <c r="E105" s="23">
        <f>calc_GM_B</f>
        <v>0.49377480563257758</v>
      </c>
      <c r="F105" s="50">
        <f>IFERROR(INDEX(ref_vertical_gm_mid,MATCH(inp_biz_vertical,ref_vertical_codes,0)),0)</f>
        <v>0.55000000000000004</v>
      </c>
      <c r="G105" s="51" t="s">
        <v>186</v>
      </c>
      <c r="H105" s="2"/>
      <c r="I105" s="32">
        <f>(calc_GM_B-IFERROR(INDEX(ref_vertical_gm_mid,MATCH(inp_biz_vertical,ref_vertical_codes,0)),0))*100</f>
        <v>-5.6225194367422464</v>
      </c>
      <c r="J105" s="2"/>
      <c r="K105" s="1"/>
      <c r="L105" s="2"/>
      <c r="M105" s="2"/>
      <c r="N105" s="2"/>
      <c r="O105" s="2"/>
      <c r="P105" s="2"/>
      <c r="Q105" s="2"/>
      <c r="R105" s="2"/>
      <c r="S105" s="2"/>
      <c r="T105" s="2"/>
      <c r="U105" s="2"/>
      <c r="V105" s="2"/>
      <c r="W105" s="2"/>
      <c r="X105" s="2"/>
      <c r="Y105" s="2"/>
      <c r="Z105" s="2"/>
      <c r="AA105" s="2"/>
      <c r="AB105" s="2"/>
      <c r="AC105" s="2"/>
      <c r="AD105" s="2"/>
      <c r="AE105" s="2"/>
      <c r="AF105" s="2"/>
      <c r="AG105" s="2"/>
      <c r="AH105" s="2"/>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row>
    <row r="106" spans="1:80" ht="22" customHeight="1" x14ac:dyDescent="0.2">
      <c r="A106" s="1"/>
      <c r="B106" s="51" t="s">
        <v>187</v>
      </c>
      <c r="C106" s="2"/>
      <c r="D106" s="2"/>
      <c r="E106" s="90" t="str">
        <f>IFERROR(INDEX(ref_vertical_source,MATCH(inp_biz_vertical,ref_vertical_codes,0)),"")</f>
        <v>Parakeeto / AgencyAnalytics: healthy agency delivery (gross) margin 50-60%+ at P&amp;L level.</v>
      </c>
      <c r="F106" s="72"/>
      <c r="G106" s="72"/>
      <c r="H106" s="72"/>
      <c r="I106" s="72"/>
      <c r="J106" s="72"/>
      <c r="K106" s="1"/>
      <c r="L106" s="2"/>
      <c r="M106" s="2"/>
      <c r="N106" s="2"/>
      <c r="O106" s="2"/>
      <c r="P106" s="2"/>
      <c r="Q106" s="2"/>
      <c r="R106" s="2"/>
      <c r="S106" s="2"/>
      <c r="T106" s="2"/>
      <c r="U106" s="2"/>
      <c r="V106" s="2"/>
      <c r="W106" s="2"/>
      <c r="X106" s="2"/>
      <c r="Y106" s="2"/>
      <c r="Z106" s="2"/>
      <c r="AA106" s="2"/>
      <c r="AB106" s="2"/>
      <c r="AC106" s="2"/>
      <c r="AD106" s="2"/>
      <c r="AE106" s="2"/>
      <c r="AF106" s="2"/>
      <c r="AG106" s="2"/>
      <c r="AH106" s="2"/>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row>
    <row r="107" spans="1:80" x14ac:dyDescent="0.2">
      <c r="A107" s="1"/>
      <c r="B107" s="1"/>
      <c r="C107" s="1"/>
      <c r="D107" s="1"/>
      <c r="E107" s="1"/>
      <c r="F107" s="1"/>
      <c r="G107" s="1"/>
      <c r="H107" s="1"/>
      <c r="I107" s="1"/>
      <c r="J107" s="1"/>
      <c r="K107" s="1"/>
      <c r="L107" s="2"/>
      <c r="M107" s="2"/>
      <c r="N107" s="2"/>
      <c r="O107" s="2"/>
      <c r="P107" s="2"/>
      <c r="Q107" s="2"/>
      <c r="R107" s="2"/>
      <c r="S107" s="2"/>
      <c r="T107" s="2"/>
      <c r="U107" s="2"/>
      <c r="V107" s="2"/>
      <c r="W107" s="2"/>
      <c r="X107" s="2"/>
      <c r="Y107" s="2"/>
      <c r="Z107" s="2"/>
      <c r="AA107" s="2"/>
      <c r="AB107" s="2"/>
      <c r="AC107" s="2"/>
      <c r="AD107" s="2"/>
      <c r="AE107" s="2"/>
      <c r="AF107" s="2"/>
      <c r="AG107" s="2"/>
      <c r="AH107" s="2"/>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row>
    <row r="108" spans="1:80" x14ac:dyDescent="0.2">
      <c r="A108" s="1"/>
      <c r="B108" s="1"/>
      <c r="C108" s="1"/>
      <c r="D108" s="1"/>
      <c r="E108" s="1"/>
      <c r="F108" s="1"/>
      <c r="G108" s="1"/>
      <c r="H108" s="1"/>
      <c r="I108" s="1"/>
      <c r="J108" s="1"/>
      <c r="K108" s="1"/>
      <c r="L108" s="2"/>
      <c r="M108" s="2"/>
      <c r="N108" s="2"/>
      <c r="O108" s="2"/>
      <c r="P108" s="2"/>
      <c r="Q108" s="2"/>
      <c r="R108" s="2"/>
      <c r="S108" s="2"/>
      <c r="T108" s="2"/>
      <c r="U108" s="2"/>
      <c r="V108" s="2"/>
      <c r="W108" s="2"/>
      <c r="X108" s="2"/>
      <c r="Y108" s="2"/>
      <c r="Z108" s="2"/>
      <c r="AA108" s="2"/>
      <c r="AB108" s="2"/>
      <c r="AC108" s="2"/>
      <c r="AD108" s="2"/>
      <c r="AE108" s="2"/>
      <c r="AF108" s="2"/>
      <c r="AG108" s="2"/>
      <c r="AH108" s="2"/>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row>
    <row r="109" spans="1:80" ht="22" customHeight="1" x14ac:dyDescent="0.2">
      <c r="A109" s="1"/>
      <c r="B109" s="5" t="s">
        <v>188</v>
      </c>
      <c r="C109" s="1"/>
      <c r="D109" s="1"/>
      <c r="E109" s="1"/>
      <c r="F109" s="1"/>
      <c r="G109" s="1"/>
      <c r="H109" s="1"/>
      <c r="I109" s="3" t="s">
        <v>189</v>
      </c>
      <c r="J109" s="52" t="str">
        <f>IF(COUNTIF(J111:J125,"FAIL")=0,"PASS","FAIL ("&amp;COUNTIF(J111:J125,"FAIL")&amp;")")</f>
        <v>PASS</v>
      </c>
      <c r="K109" s="1"/>
      <c r="L109" s="2"/>
      <c r="M109" s="2"/>
      <c r="N109" s="2"/>
      <c r="O109" s="2"/>
      <c r="P109" s="2"/>
      <c r="Q109" s="2"/>
      <c r="R109" s="2"/>
      <c r="S109" s="2"/>
      <c r="T109" s="2"/>
      <c r="U109" s="2"/>
      <c r="V109" s="2"/>
      <c r="W109" s="2"/>
      <c r="X109" s="2"/>
      <c r="Y109" s="2"/>
      <c r="Z109" s="2"/>
      <c r="AA109" s="2"/>
      <c r="AB109" s="2"/>
      <c r="AC109" s="2"/>
      <c r="AD109" s="2"/>
      <c r="AE109" s="2"/>
      <c r="AF109" s="2"/>
      <c r="AG109" s="2"/>
      <c r="AH109" s="2"/>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row>
    <row r="110" spans="1:80" ht="22" customHeight="1" x14ac:dyDescent="0.2">
      <c r="A110" s="1"/>
      <c r="B110" s="6" t="s">
        <v>190</v>
      </c>
      <c r="C110" s="86" t="s">
        <v>191</v>
      </c>
      <c r="D110" s="87"/>
      <c r="E110" s="87"/>
      <c r="F110" s="87"/>
      <c r="G110" s="87"/>
      <c r="H110" s="14" t="s">
        <v>192</v>
      </c>
      <c r="I110" s="14" t="s">
        <v>193</v>
      </c>
      <c r="J110" s="53" t="s">
        <v>194</v>
      </c>
      <c r="K110" s="1"/>
      <c r="L110" s="2"/>
      <c r="M110" s="2"/>
      <c r="N110" s="2"/>
      <c r="O110" s="2"/>
      <c r="P110" s="2"/>
      <c r="Q110" s="2"/>
      <c r="R110" s="2"/>
      <c r="S110" s="2"/>
      <c r="T110" s="2"/>
      <c r="U110" s="2"/>
      <c r="V110" s="2"/>
      <c r="W110" s="2"/>
      <c r="X110" s="2"/>
      <c r="Y110" s="2"/>
      <c r="Z110" s="2"/>
      <c r="AA110" s="2"/>
      <c r="AB110" s="2"/>
      <c r="AC110" s="2"/>
      <c r="AD110" s="2"/>
      <c r="AE110" s="2"/>
      <c r="AF110" s="2"/>
      <c r="AG110" s="2"/>
      <c r="AH110" s="2"/>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row>
    <row r="111" spans="1:80" ht="20" customHeight="1" x14ac:dyDescent="0.2">
      <c r="A111" s="1"/>
      <c r="B111" s="33" t="s">
        <v>195</v>
      </c>
      <c r="C111" s="73" t="s">
        <v>196</v>
      </c>
      <c r="D111" s="72"/>
      <c r="E111" s="72"/>
      <c r="F111" s="72"/>
      <c r="G111" s="72"/>
      <c r="H111" s="54">
        <f>SUM(D19:D24)</f>
        <v>851000</v>
      </c>
      <c r="I111" s="55">
        <f>calc_R_A</f>
        <v>851000</v>
      </c>
      <c r="J111" s="56" t="str">
        <f t="shared" ref="J111:J118" si="19">IF(ABS(I111-H111)&lt;=0.5,"PASS","FAIL")</f>
        <v>PASS</v>
      </c>
      <c r="K111" s="1"/>
      <c r="L111" s="2"/>
      <c r="M111" s="2"/>
      <c r="N111" s="2"/>
      <c r="O111" s="2"/>
      <c r="P111" s="2"/>
      <c r="Q111" s="2"/>
      <c r="R111" s="2"/>
      <c r="S111" s="2"/>
      <c r="T111" s="2"/>
      <c r="U111" s="2"/>
      <c r="V111" s="2"/>
      <c r="W111" s="2"/>
      <c r="X111" s="2"/>
      <c r="Y111" s="2"/>
      <c r="Z111" s="2"/>
      <c r="AA111" s="2"/>
      <c r="AB111" s="2"/>
      <c r="AC111" s="2"/>
      <c r="AD111" s="2"/>
      <c r="AE111" s="2"/>
      <c r="AF111" s="2"/>
      <c r="AG111" s="2"/>
      <c r="AH111" s="2"/>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row>
    <row r="112" spans="1:80" ht="20" customHeight="1" x14ac:dyDescent="0.2">
      <c r="A112" s="1"/>
      <c r="B112" s="33" t="s">
        <v>197</v>
      </c>
      <c r="C112" s="73" t="s">
        <v>198</v>
      </c>
      <c r="D112" s="72"/>
      <c r="E112" s="72"/>
      <c r="F112" s="72"/>
      <c r="G112" s="72"/>
      <c r="H112" s="54">
        <f>SUM(D34:D39)</f>
        <v>919650</v>
      </c>
      <c r="I112" s="55">
        <f>calc_R_B</f>
        <v>919650</v>
      </c>
      <c r="J112" s="56" t="str">
        <f t="shared" si="19"/>
        <v>PASS</v>
      </c>
      <c r="K112" s="1"/>
      <c r="L112" s="2"/>
      <c r="M112" s="2"/>
      <c r="N112" s="2"/>
      <c r="O112" s="2"/>
      <c r="P112" s="2"/>
      <c r="Q112" s="2"/>
      <c r="R112" s="2"/>
      <c r="S112" s="2"/>
      <c r="T112" s="2"/>
      <c r="U112" s="2"/>
      <c r="V112" s="2"/>
      <c r="W112" s="2"/>
      <c r="X112" s="2"/>
      <c r="Y112" s="2"/>
      <c r="Z112" s="2"/>
      <c r="AA112" s="2"/>
      <c r="AB112" s="2"/>
      <c r="AC112" s="2"/>
      <c r="AD112" s="2"/>
      <c r="AE112" s="2"/>
      <c r="AF112" s="2"/>
      <c r="AG112" s="2"/>
      <c r="AH112" s="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row>
    <row r="113" spans="1:80" ht="20" customHeight="1" x14ac:dyDescent="0.2">
      <c r="A113" s="1"/>
      <c r="B113" s="33" t="s">
        <v>199</v>
      </c>
      <c r="C113" s="73" t="s">
        <v>200</v>
      </c>
      <c r="D113" s="72"/>
      <c r="E113" s="72"/>
      <c r="F113" s="72"/>
      <c r="G113" s="72"/>
      <c r="H113" s="54">
        <f>SUM(L19:L24)</f>
        <v>321500</v>
      </c>
      <c r="I113" s="55">
        <f>calc_VC_A</f>
        <v>321500</v>
      </c>
      <c r="J113" s="56" t="str">
        <f t="shared" si="19"/>
        <v>PASS</v>
      </c>
      <c r="K113" s="1"/>
      <c r="L113" s="2"/>
      <c r="M113" s="2"/>
      <c r="N113" s="2"/>
      <c r="O113" s="2"/>
      <c r="P113" s="2"/>
      <c r="Q113" s="2"/>
      <c r="R113" s="2"/>
      <c r="S113" s="2"/>
      <c r="T113" s="2"/>
      <c r="U113" s="2"/>
      <c r="V113" s="2"/>
      <c r="W113" s="2"/>
      <c r="X113" s="2"/>
      <c r="Y113" s="2"/>
      <c r="Z113" s="2"/>
      <c r="AA113" s="2"/>
      <c r="AB113" s="2"/>
      <c r="AC113" s="2"/>
      <c r="AD113" s="2"/>
      <c r="AE113" s="2"/>
      <c r="AF113" s="2"/>
      <c r="AG113" s="2"/>
      <c r="AH113" s="2"/>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row>
    <row r="114" spans="1:80" ht="20" customHeight="1" x14ac:dyDescent="0.2">
      <c r="A114" s="1"/>
      <c r="B114" s="33" t="s">
        <v>201</v>
      </c>
      <c r="C114" s="73" t="s">
        <v>202</v>
      </c>
      <c r="D114" s="72"/>
      <c r="E114" s="72"/>
      <c r="F114" s="72"/>
      <c r="G114" s="72"/>
      <c r="H114" s="54">
        <f>SUM(L34:L39)</f>
        <v>330550</v>
      </c>
      <c r="I114" s="55">
        <f>calc_VC_B</f>
        <v>330550</v>
      </c>
      <c r="J114" s="56" t="str">
        <f t="shared" si="19"/>
        <v>PASS</v>
      </c>
      <c r="K114" s="1"/>
      <c r="L114" s="2"/>
      <c r="M114" s="2"/>
      <c r="N114" s="2"/>
      <c r="O114" s="2"/>
      <c r="P114" s="2"/>
      <c r="Q114" s="2"/>
      <c r="R114" s="2"/>
      <c r="S114" s="2"/>
      <c r="T114" s="2"/>
      <c r="U114" s="2"/>
      <c r="V114" s="2"/>
      <c r="W114" s="2"/>
      <c r="X114" s="2"/>
      <c r="Y114" s="2"/>
      <c r="Z114" s="2"/>
      <c r="AA114" s="2"/>
      <c r="AB114" s="2"/>
      <c r="AC114" s="2"/>
      <c r="AD114" s="2"/>
      <c r="AE114" s="2"/>
      <c r="AF114" s="2"/>
      <c r="AG114" s="2"/>
      <c r="AH114" s="2"/>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row>
    <row r="115" spans="1:80" ht="20" customHeight="1" x14ac:dyDescent="0.2">
      <c r="A115" s="1"/>
      <c r="B115" s="33" t="s">
        <v>203</v>
      </c>
      <c r="C115" s="73" t="s">
        <v>204</v>
      </c>
      <c r="D115" s="72"/>
      <c r="E115" s="72"/>
      <c r="F115" s="72"/>
      <c r="G115" s="72"/>
      <c r="H115" s="54">
        <f>calc_R_A-calc_VC_A-calc_F_A</f>
        <v>399500</v>
      </c>
      <c r="I115" s="55">
        <f>calc_GP_A</f>
        <v>399500</v>
      </c>
      <c r="J115" s="56" t="str">
        <f t="shared" si="19"/>
        <v>PASS</v>
      </c>
      <c r="K115" s="1"/>
      <c r="L115" s="2"/>
      <c r="M115" s="2"/>
      <c r="N115" s="2"/>
      <c r="O115" s="2"/>
      <c r="P115" s="2"/>
      <c r="Q115" s="2"/>
      <c r="R115" s="2"/>
      <c r="S115" s="2"/>
      <c r="T115" s="2"/>
      <c r="U115" s="2"/>
      <c r="V115" s="2"/>
      <c r="W115" s="2"/>
      <c r="X115" s="2"/>
      <c r="Y115" s="2"/>
      <c r="Z115" s="2"/>
      <c r="AA115" s="2"/>
      <c r="AB115" s="2"/>
      <c r="AC115" s="2"/>
      <c r="AD115" s="2"/>
      <c r="AE115" s="2"/>
      <c r="AF115" s="2"/>
      <c r="AG115" s="2"/>
      <c r="AH115" s="2"/>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row>
    <row r="116" spans="1:80" ht="20" customHeight="1" x14ac:dyDescent="0.2">
      <c r="A116" s="1"/>
      <c r="B116" s="33" t="s">
        <v>205</v>
      </c>
      <c r="C116" s="73" t="s">
        <v>206</v>
      </c>
      <c r="D116" s="72"/>
      <c r="E116" s="72"/>
      <c r="F116" s="72"/>
      <c r="G116" s="72"/>
      <c r="H116" s="54">
        <f>calc_R_B-calc_VC_B-calc_F_B</f>
        <v>454100</v>
      </c>
      <c r="I116" s="55">
        <f>calc_GP_B</f>
        <v>454100</v>
      </c>
      <c r="J116" s="56" t="str">
        <f t="shared" si="19"/>
        <v>PASS</v>
      </c>
      <c r="K116" s="1"/>
      <c r="L116" s="2"/>
      <c r="M116" s="2"/>
      <c r="N116" s="2"/>
      <c r="O116" s="2"/>
      <c r="P116" s="2"/>
      <c r="Q116" s="2"/>
      <c r="R116" s="2"/>
      <c r="S116" s="2"/>
      <c r="T116" s="2"/>
      <c r="U116" s="2"/>
      <c r="V116" s="2"/>
      <c r="W116" s="2"/>
      <c r="X116" s="2"/>
      <c r="Y116" s="2"/>
      <c r="Z116" s="2"/>
      <c r="AA116" s="2"/>
      <c r="AB116" s="2"/>
      <c r="AC116" s="2"/>
      <c r="AD116" s="2"/>
      <c r="AE116" s="2"/>
      <c r="AF116" s="2"/>
      <c r="AG116" s="2"/>
      <c r="AH116" s="2"/>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row>
    <row r="117" spans="1:80" ht="20" customHeight="1" x14ac:dyDescent="0.2">
      <c r="A117" s="1"/>
      <c r="B117" s="33" t="s">
        <v>207</v>
      </c>
      <c r="C117" s="73" t="s">
        <v>208</v>
      </c>
      <c r="D117" s="72"/>
      <c r="E117" s="72"/>
      <c r="F117" s="72"/>
      <c r="G117" s="72"/>
      <c r="H117" s="54">
        <f>calc_GP_A</f>
        <v>399500</v>
      </c>
      <c r="I117" s="55">
        <f>N39</f>
        <v>399500</v>
      </c>
      <c r="J117" s="56" t="str">
        <f t="shared" si="19"/>
        <v>PASS</v>
      </c>
      <c r="K117" s="1"/>
      <c r="L117" s="2"/>
      <c r="M117" s="2"/>
      <c r="N117" s="2"/>
      <c r="O117" s="2"/>
      <c r="P117" s="2"/>
      <c r="Q117" s="2"/>
      <c r="R117" s="2"/>
      <c r="S117" s="2"/>
      <c r="T117" s="2"/>
      <c r="U117" s="2"/>
      <c r="V117" s="2"/>
      <c r="W117" s="2"/>
      <c r="X117" s="2"/>
      <c r="Y117" s="2"/>
      <c r="Z117" s="2"/>
      <c r="AA117" s="2"/>
      <c r="AB117" s="2"/>
      <c r="AC117" s="2"/>
      <c r="AD117" s="2"/>
      <c r="AE117" s="2"/>
      <c r="AF117" s="2"/>
      <c r="AG117" s="2"/>
      <c r="AH117" s="2"/>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row>
    <row r="118" spans="1:80" ht="20" customHeight="1" x14ac:dyDescent="0.2">
      <c r="A118" s="1"/>
      <c r="B118" s="33" t="s">
        <v>209</v>
      </c>
      <c r="C118" s="73" t="s">
        <v>210</v>
      </c>
      <c r="D118" s="72"/>
      <c r="E118" s="72"/>
      <c r="F118" s="72"/>
      <c r="G118" s="72"/>
      <c r="H118" s="54">
        <f>calc_GP_B</f>
        <v>454100</v>
      </c>
      <c r="I118" s="55">
        <f>N44</f>
        <v>454100</v>
      </c>
      <c r="J118" s="56" t="str">
        <f t="shared" si="19"/>
        <v>PASS</v>
      </c>
      <c r="K118" s="1"/>
      <c r="L118" s="2"/>
      <c r="M118" s="2"/>
      <c r="N118" s="2"/>
      <c r="O118" s="2"/>
      <c r="P118" s="2"/>
      <c r="Q118" s="2"/>
      <c r="R118" s="2"/>
      <c r="S118" s="2"/>
      <c r="T118" s="2"/>
      <c r="U118" s="2"/>
      <c r="V118" s="2"/>
      <c r="W118" s="2"/>
      <c r="X118" s="2"/>
      <c r="Y118" s="2"/>
      <c r="Z118" s="2"/>
      <c r="AA118" s="2"/>
      <c r="AB118" s="2"/>
      <c r="AC118" s="2"/>
      <c r="AD118" s="2"/>
      <c r="AE118" s="2"/>
      <c r="AF118" s="2"/>
      <c r="AG118" s="2"/>
      <c r="AH118" s="2"/>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row>
    <row r="119" spans="1:80" ht="20" customHeight="1" x14ac:dyDescent="0.2">
      <c r="A119" s="1"/>
      <c r="B119" s="33" t="s">
        <v>211</v>
      </c>
      <c r="C119" s="73" t="s">
        <v>212</v>
      </c>
      <c r="D119" s="72"/>
      <c r="E119" s="72"/>
      <c r="F119" s="72"/>
      <c r="G119" s="72"/>
      <c r="H119" s="54">
        <f>calc_GP_B</f>
        <v>454100</v>
      </c>
      <c r="I119" s="55">
        <f>calc_GP_A+Q40+Q41+Q42+Q43+Q44</f>
        <v>454100</v>
      </c>
      <c r="J119" s="56" t="str">
        <f>IF(ROUND(I119,2)=ROUND(H119,2),"PASS","FAIL")</f>
        <v>PASS</v>
      </c>
      <c r="K119" s="1"/>
      <c r="L119" s="2"/>
      <c r="M119" s="2"/>
      <c r="N119" s="2"/>
      <c r="O119" s="2"/>
      <c r="P119" s="2"/>
      <c r="Q119" s="2"/>
      <c r="R119" s="2"/>
      <c r="S119" s="2"/>
      <c r="T119" s="2"/>
      <c r="U119" s="2"/>
      <c r="V119" s="2"/>
      <c r="W119" s="2"/>
      <c r="X119" s="2"/>
      <c r="Y119" s="2"/>
      <c r="Z119" s="2"/>
      <c r="AA119" s="2"/>
      <c r="AB119" s="2"/>
      <c r="AC119" s="2"/>
      <c r="AD119" s="2"/>
      <c r="AE119" s="2"/>
      <c r="AF119" s="2"/>
      <c r="AG119" s="2"/>
      <c r="AH119" s="2"/>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row>
    <row r="120" spans="1:80" ht="20" customHeight="1" x14ac:dyDescent="0.2">
      <c r="A120" s="1"/>
      <c r="B120" s="33" t="s">
        <v>213</v>
      </c>
      <c r="C120" s="73" t="s">
        <v>214</v>
      </c>
      <c r="D120" s="72"/>
      <c r="E120" s="72"/>
      <c r="F120" s="72"/>
      <c r="G120" s="72"/>
      <c r="H120" s="50">
        <f>calc_GM_B</f>
        <v>0.49377480563257758</v>
      </c>
      <c r="I120" s="57">
        <f>calc_GM_A+R40+R41+R42+R43+R44</f>
        <v>0.49377480563257758</v>
      </c>
      <c r="J120" s="56" t="str">
        <f>IF(ABS(I120-H120)&lt;=0.000001,"PASS","FAIL")</f>
        <v>PASS</v>
      </c>
      <c r="K120" s="1"/>
      <c r="L120" s="2"/>
      <c r="M120" s="2"/>
      <c r="N120" s="2"/>
      <c r="O120" s="2"/>
      <c r="P120" s="2"/>
      <c r="Q120" s="2"/>
      <c r="R120" s="2"/>
      <c r="S120" s="2"/>
      <c r="T120" s="2"/>
      <c r="U120" s="2"/>
      <c r="V120" s="2"/>
      <c r="W120" s="2"/>
      <c r="X120" s="2"/>
      <c r="Y120" s="2"/>
      <c r="Z120" s="2"/>
      <c r="AA120" s="2"/>
      <c r="AB120" s="2"/>
      <c r="AC120" s="2"/>
      <c r="AD120" s="2"/>
      <c r="AE120" s="2"/>
      <c r="AF120" s="2"/>
      <c r="AG120" s="2"/>
      <c r="AH120" s="2"/>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row>
    <row r="121" spans="1:80" ht="20" customHeight="1" x14ac:dyDescent="0.2">
      <c r="A121" s="1"/>
      <c r="B121" s="33" t="s">
        <v>215</v>
      </c>
      <c r="C121" s="73" t="s">
        <v>216</v>
      </c>
      <c r="D121" s="72"/>
      <c r="E121" s="72"/>
      <c r="F121" s="72"/>
      <c r="G121" s="72"/>
      <c r="H121" s="58">
        <f>1</f>
        <v>1</v>
      </c>
      <c r="I121" s="59">
        <f>IF(calc_R_A=0,1,SUM(I19:I24))</f>
        <v>1</v>
      </c>
      <c r="J121" s="56" t="str">
        <f>IF(ABS(I121-H121)&lt;=0.0001,"PASS","FAIL")</f>
        <v>PASS</v>
      </c>
      <c r="K121" s="1"/>
      <c r="L121" s="2"/>
      <c r="M121" s="2"/>
      <c r="N121" s="2"/>
      <c r="O121" s="2"/>
      <c r="P121" s="2"/>
      <c r="Q121" s="2"/>
      <c r="R121" s="2"/>
      <c r="S121" s="2"/>
      <c r="T121" s="2"/>
      <c r="U121" s="2"/>
      <c r="V121" s="2"/>
      <c r="W121" s="2"/>
      <c r="X121" s="2"/>
      <c r="Y121" s="2"/>
      <c r="Z121" s="2"/>
      <c r="AA121" s="2"/>
      <c r="AB121" s="2"/>
      <c r="AC121" s="2"/>
      <c r="AD121" s="2"/>
      <c r="AE121" s="2"/>
      <c r="AF121" s="2"/>
      <c r="AG121" s="2"/>
      <c r="AH121" s="2"/>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row>
    <row r="122" spans="1:80" ht="20" customHeight="1" x14ac:dyDescent="0.2">
      <c r="A122" s="1"/>
      <c r="B122" s="33" t="s">
        <v>217</v>
      </c>
      <c r="C122" s="73" t="s">
        <v>218</v>
      </c>
      <c r="D122" s="72"/>
      <c r="E122" s="72"/>
      <c r="F122" s="72"/>
      <c r="G122" s="72"/>
      <c r="H122" s="58">
        <f>1</f>
        <v>1</v>
      </c>
      <c r="I122" s="59">
        <f>IF(calc_R_B=0,1,SUM(I34:I39))</f>
        <v>0.99999999999999989</v>
      </c>
      <c r="J122" s="56" t="str">
        <f>IF(ABS(I122-H122)&lt;=0.0001,"PASS","FAIL")</f>
        <v>PASS</v>
      </c>
      <c r="K122" s="1"/>
      <c r="L122" s="2"/>
      <c r="M122" s="2"/>
      <c r="N122" s="2"/>
      <c r="O122" s="2"/>
      <c r="P122" s="2"/>
      <c r="Q122" s="2"/>
      <c r="R122" s="2"/>
      <c r="S122" s="2"/>
      <c r="T122" s="2"/>
      <c r="U122" s="2"/>
      <c r="V122" s="2"/>
      <c r="W122" s="2"/>
      <c r="X122" s="2"/>
      <c r="Y122" s="2"/>
      <c r="Z122" s="2"/>
      <c r="AA122" s="2"/>
      <c r="AB122" s="2"/>
      <c r="AC122" s="2"/>
      <c r="AD122" s="2"/>
      <c r="AE122" s="2"/>
      <c r="AF122" s="2"/>
      <c r="AG122" s="2"/>
      <c r="AH122" s="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row>
    <row r="123" spans="1:80" ht="20" customHeight="1" x14ac:dyDescent="0.2">
      <c r="A123" s="1"/>
      <c r="B123" s="33" t="s">
        <v>219</v>
      </c>
      <c r="C123" s="73" t="s">
        <v>220</v>
      </c>
      <c r="D123" s="72"/>
      <c r="E123" s="72"/>
      <c r="F123" s="72"/>
      <c r="G123" s="72"/>
      <c r="H123" s="60">
        <f>1</f>
        <v>1</v>
      </c>
      <c r="I123" s="61">
        <f>IF(IFERROR(INDEX(ref_vertical_gm_mid,MATCH(inp_biz_vertical,ref_vertical_codes,0)),-1)&gt;0,1,0)</f>
        <v>1</v>
      </c>
      <c r="J123" s="56" t="str">
        <f>IF(ROUND(I123,2)=ROUND(H123,2),"PASS","FAIL")</f>
        <v>PASS</v>
      </c>
      <c r="K123" s="1"/>
      <c r="L123" s="2"/>
      <c r="M123" s="2"/>
      <c r="N123" s="2"/>
      <c r="O123" s="2"/>
      <c r="P123" s="2"/>
      <c r="Q123" s="2"/>
      <c r="R123" s="2"/>
      <c r="S123" s="2"/>
      <c r="T123" s="2"/>
      <c r="U123" s="2"/>
      <c r="V123" s="2"/>
      <c r="W123" s="2"/>
      <c r="X123" s="2"/>
      <c r="Y123" s="2"/>
      <c r="Z123" s="2"/>
      <c r="AA123" s="2"/>
      <c r="AB123" s="2"/>
      <c r="AC123" s="2"/>
      <c r="AD123" s="2"/>
      <c r="AE123" s="2"/>
      <c r="AF123" s="2"/>
      <c r="AG123" s="2"/>
      <c r="AH123" s="2"/>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row>
    <row r="124" spans="1:80" ht="20" customHeight="1" x14ac:dyDescent="0.2">
      <c r="A124" s="1"/>
      <c r="B124" s="33" t="s">
        <v>221</v>
      </c>
      <c r="C124" s="73" t="s">
        <v>222</v>
      </c>
      <c r="D124" s="72"/>
      <c r="E124" s="72"/>
      <c r="F124" s="72"/>
      <c r="G124" s="72"/>
      <c r="H124" s="60">
        <f>1</f>
        <v>1</v>
      </c>
      <c r="I124" s="61">
        <f>IF(LEN(inp_biz_currency_label)&gt;0,1,0)</f>
        <v>1</v>
      </c>
      <c r="J124" s="56" t="str">
        <f>IF(ROUND(I124,2)=ROUND(H124,2),"PASS","FAIL")</f>
        <v>PASS</v>
      </c>
      <c r="K124" s="1"/>
      <c r="L124" s="2"/>
      <c r="M124" s="2"/>
      <c r="N124" s="2"/>
      <c r="O124" s="2"/>
      <c r="P124" s="2"/>
      <c r="Q124" s="2"/>
      <c r="R124" s="2"/>
      <c r="S124" s="2"/>
      <c r="T124" s="2"/>
      <c r="U124" s="2"/>
      <c r="V124" s="2"/>
      <c r="W124" s="2"/>
      <c r="X124" s="2"/>
      <c r="Y124" s="2"/>
      <c r="Z124" s="2"/>
      <c r="AA124" s="2"/>
      <c r="AB124" s="2"/>
      <c r="AC124" s="2"/>
      <c r="AD124" s="2"/>
      <c r="AE124" s="2"/>
      <c r="AF124" s="2"/>
      <c r="AG124" s="2"/>
      <c r="AH124" s="2"/>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row>
    <row r="125" spans="1:80" ht="20" customHeight="1" x14ac:dyDescent="0.2">
      <c r="A125" s="1"/>
      <c r="B125" s="33" t="s">
        <v>223</v>
      </c>
      <c r="C125" s="73" t="str">
        <f>"Residual line (Δ $ unexplained by 5 effects) within "&amp;TEXT(IF(inp_biz_residual_tol="",0.005,inp_biz_residual_tol),"0.0%")&amp;" of Period A revenue"</f>
        <v>Residual line (Δ $ unexplained by 5 effects) within 0.5% of Period A revenue</v>
      </c>
      <c r="D125" s="72"/>
      <c r="E125" s="72"/>
      <c r="F125" s="72"/>
      <c r="G125" s="72"/>
      <c r="H125" s="54">
        <f>0</f>
        <v>0</v>
      </c>
      <c r="I125" s="55">
        <f>(calc_GP_B-calc_GP_A)-(Q40+Q41+Q42+Q43+Q44)</f>
        <v>0</v>
      </c>
      <c r="J125" s="56" t="str">
        <f>IF(ABS(I125-H125)&lt;=MAX(0.5,IF(inp_biz_residual_tol="",0.005,inp_biz_residual_tol)*ABS(calc_R_A)),"PASS","FAIL")</f>
        <v>PASS</v>
      </c>
      <c r="K125" s="1"/>
      <c r="L125" s="2"/>
      <c r="M125" s="2"/>
      <c r="N125" s="2"/>
      <c r="O125" s="2"/>
      <c r="P125" s="2"/>
      <c r="Q125" s="2"/>
      <c r="R125" s="2"/>
      <c r="S125" s="2"/>
      <c r="T125" s="2"/>
      <c r="U125" s="2"/>
      <c r="V125" s="2"/>
      <c r="W125" s="2"/>
      <c r="X125" s="2"/>
      <c r="Y125" s="2"/>
      <c r="Z125" s="2"/>
      <c r="AA125" s="2"/>
      <c r="AB125" s="2"/>
      <c r="AC125" s="2"/>
      <c r="AD125" s="2"/>
      <c r="AE125" s="2"/>
      <c r="AF125" s="2"/>
      <c r="AG125" s="2"/>
      <c r="AH125" s="2"/>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row>
    <row r="126" spans="1:80" x14ac:dyDescent="0.2">
      <c r="A126" s="1"/>
      <c r="B126" s="1"/>
      <c r="C126" s="1"/>
      <c r="D126" s="1"/>
      <c r="E126" s="1"/>
      <c r="F126" s="1"/>
      <c r="G126" s="1"/>
      <c r="H126" s="1"/>
      <c r="I126" s="1"/>
      <c r="J126" s="1"/>
      <c r="K126" s="1"/>
      <c r="L126" s="2"/>
      <c r="M126" s="2"/>
      <c r="N126" s="2"/>
      <c r="O126" s="2"/>
      <c r="P126" s="2"/>
      <c r="Q126" s="2"/>
      <c r="R126" s="2"/>
      <c r="S126" s="2"/>
      <c r="T126" s="2"/>
      <c r="U126" s="2"/>
      <c r="V126" s="2"/>
      <c r="W126" s="2"/>
      <c r="X126" s="2"/>
      <c r="Y126" s="2"/>
      <c r="Z126" s="2"/>
      <c r="AA126" s="2"/>
      <c r="AB126" s="2"/>
      <c r="AC126" s="2"/>
      <c r="AD126" s="2"/>
      <c r="AE126" s="2"/>
      <c r="AF126" s="2"/>
      <c r="AG126" s="2"/>
      <c r="AH126" s="2"/>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row>
    <row r="127" spans="1:80" x14ac:dyDescent="0.2">
      <c r="A127" s="1"/>
      <c r="B127" s="10" t="s">
        <v>224</v>
      </c>
      <c r="C127" s="1"/>
      <c r="D127" s="1"/>
      <c r="E127" s="1"/>
      <c r="F127" s="1"/>
      <c r="G127" s="1"/>
      <c r="H127" s="1"/>
      <c r="I127" s="1"/>
      <c r="J127" s="3" t="s">
        <v>225</v>
      </c>
      <c r="K127" s="1"/>
      <c r="L127" s="2"/>
      <c r="M127" s="2"/>
      <c r="N127" s="2"/>
      <c r="O127" s="2"/>
      <c r="P127" s="2"/>
      <c r="Q127" s="2"/>
      <c r="R127" s="2"/>
      <c r="S127" s="2"/>
      <c r="T127" s="2"/>
      <c r="U127" s="2"/>
      <c r="V127" s="2"/>
      <c r="W127" s="2"/>
      <c r="X127" s="2"/>
      <c r="Y127" s="2"/>
      <c r="Z127" s="2"/>
      <c r="AA127" s="2"/>
      <c r="AB127" s="2"/>
      <c r="AC127" s="2"/>
      <c r="AD127" s="2"/>
      <c r="AE127" s="2"/>
      <c r="AF127" s="2"/>
      <c r="AG127" s="2"/>
      <c r="AH127" s="2"/>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row>
    <row r="128" spans="1:80" x14ac:dyDescent="0.2">
      <c r="A128" s="1"/>
      <c r="B128" s="10"/>
      <c r="C128" s="1"/>
      <c r="D128" s="1"/>
      <c r="E128" s="1"/>
      <c r="F128" s="1"/>
      <c r="G128" s="1"/>
      <c r="H128" s="1"/>
      <c r="I128" s="1"/>
      <c r="J128" s="3"/>
      <c r="K128" s="1"/>
      <c r="L128" s="2"/>
      <c r="M128" s="2"/>
      <c r="N128" s="2"/>
      <c r="O128" s="2"/>
      <c r="P128" s="2"/>
      <c r="Q128" s="2"/>
      <c r="R128" s="2"/>
      <c r="S128" s="2"/>
      <c r="T128" s="2"/>
      <c r="U128" s="2"/>
      <c r="V128" s="2"/>
      <c r="W128" s="2"/>
      <c r="X128" s="2"/>
      <c r="Y128" s="2"/>
      <c r="Z128" s="2"/>
      <c r="AA128" s="2"/>
      <c r="AB128" s="2"/>
      <c r="AC128" s="2"/>
      <c r="AD128" s="2"/>
      <c r="AE128" s="2"/>
      <c r="AF128" s="2"/>
      <c r="AG128" s="2"/>
      <c r="AH128" s="2"/>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row>
  </sheetData>
  <mergeCells count="44">
    <mergeCell ref="B100:J100"/>
    <mergeCell ref="C113:G113"/>
    <mergeCell ref="H49:I49"/>
    <mergeCell ref="C118:G118"/>
    <mergeCell ref="C80:E80"/>
    <mergeCell ref="C117:G117"/>
    <mergeCell ref="H50:I50"/>
    <mergeCell ref="E106:J106"/>
    <mergeCell ref="G98:H98"/>
    <mergeCell ref="C114:G114"/>
    <mergeCell ref="C76:E76"/>
    <mergeCell ref="B84:I84"/>
    <mergeCell ref="C125:G125"/>
    <mergeCell ref="I98:J98"/>
    <mergeCell ref="F50:G50"/>
    <mergeCell ref="H3:J3"/>
    <mergeCell ref="C82:E82"/>
    <mergeCell ref="C119:G119"/>
    <mergeCell ref="C81:E81"/>
    <mergeCell ref="C115:G115"/>
    <mergeCell ref="B51:J51"/>
    <mergeCell ref="C116:G116"/>
    <mergeCell ref="C121:G121"/>
    <mergeCell ref="B98:D98"/>
    <mergeCell ref="C78:E78"/>
    <mergeCell ref="C122:G122"/>
    <mergeCell ref="C110:G110"/>
    <mergeCell ref="I32:J32"/>
    <mergeCell ref="C2:F2"/>
    <mergeCell ref="C124:G124"/>
    <mergeCell ref="B4:J4"/>
    <mergeCell ref="C120:G120"/>
    <mergeCell ref="C77:E77"/>
    <mergeCell ref="C111:G111"/>
    <mergeCell ref="I17:J17"/>
    <mergeCell ref="B49:C49"/>
    <mergeCell ref="B3:G3"/>
    <mergeCell ref="C123:G123"/>
    <mergeCell ref="C79:E79"/>
    <mergeCell ref="F49:G49"/>
    <mergeCell ref="B50:C50"/>
    <mergeCell ref="D50:E50"/>
    <mergeCell ref="C112:G112"/>
    <mergeCell ref="D49:E49"/>
  </mergeCells>
  <conditionalFormatting sqref="B51">
    <cfRule type="expression" dxfId="17" priority="1">
      <formula>ISNUMBER(SEARCH("BELOW",B51))</formula>
    </cfRule>
    <cfRule type="expression" dxfId="16" priority="2">
      <formula>OR(ISNUMBER(SEARCH("ABOVE",B51)),ISNUMBER(SEARCH("WITHIN",B51)))</formula>
    </cfRule>
  </conditionalFormatting>
  <conditionalFormatting sqref="F49">
    <cfRule type="expression" dxfId="15" priority="21">
      <formula>F49&gt;0</formula>
    </cfRule>
    <cfRule type="expression" dxfId="14" priority="22">
      <formula>F49&lt;0</formula>
    </cfRule>
  </conditionalFormatting>
  <conditionalFormatting sqref="F77:G81">
    <cfRule type="expression" dxfId="13" priority="3">
      <formula>F77&gt;0</formula>
    </cfRule>
    <cfRule type="expression" dxfId="12" priority="4">
      <formula>F77&lt;0</formula>
    </cfRule>
  </conditionalFormatting>
  <conditionalFormatting sqref="H49">
    <cfRule type="expression" dxfId="11" priority="23">
      <formula>H49&gt;0</formula>
    </cfRule>
    <cfRule type="expression" dxfId="10" priority="24">
      <formula>H49&lt;0</formula>
    </cfRule>
  </conditionalFormatting>
  <conditionalFormatting sqref="I98">
    <cfRule type="expression" dxfId="9" priority="19">
      <formula>I98&gt;0</formula>
    </cfRule>
    <cfRule type="expression" dxfId="8" priority="20">
      <formula>I98&lt;0</formula>
    </cfRule>
  </conditionalFormatting>
  <conditionalFormatting sqref="I104:I105">
    <cfRule type="expression" dxfId="7" priority="11">
      <formula>I104&gt;0</formula>
    </cfRule>
    <cfRule type="expression" dxfId="6" priority="12">
      <formula>I104&lt;0</formula>
    </cfRule>
  </conditionalFormatting>
  <conditionalFormatting sqref="I88:J93">
    <cfRule type="expression" dxfId="5" priority="7">
      <formula>I88&gt;0</formula>
    </cfRule>
    <cfRule type="expression" dxfId="4" priority="8">
      <formula>I88&lt;0</formula>
    </cfRule>
  </conditionalFormatting>
  <conditionalFormatting sqref="J109">
    <cfRule type="expression" dxfId="3" priority="17">
      <formula>LEFT(J109,4)="PASS"</formula>
    </cfRule>
    <cfRule type="expression" dxfId="2" priority="18">
      <formula>LEFT(J109,4)="FAIL"</formula>
    </cfRule>
  </conditionalFormatting>
  <conditionalFormatting sqref="J111:J125">
    <cfRule type="expression" dxfId="1" priority="15">
      <formula>EXACT(J111,"PASS")</formula>
    </cfRule>
    <cfRule type="expression" dxfId="0" priority="16">
      <formula>EXACT(J111,"FAIL")</formula>
    </cfRule>
  </conditionalFormatting>
  <dataValidations count="2">
    <dataValidation type="list" promptTitle="Margin level" prompt="Pick Gross (revenue − direct cost) or EBITDA (gross − opex)." sqref="C13" xr:uid="{00000000-0002-0000-0200-000000000000}">
      <formula1>"Gross,EBITDA"</formula1>
    </dataValidation>
    <dataValidation type="list" promptTitle="Sensitivity variable" prompt="Choose which Period B input to flex. Period A stays unchanged." sqref="B98" xr:uid="{00000000-0002-0000-0200-000001000000}">
      <formula1>"Period B revenue,Period B direct cost,Period B fixed cost,Period B billable hours"</formula1>
    </dataValidation>
  </dataValidations>
  <hyperlinks>
    <hyperlink ref="B84" r:id="rId1" tooltip="Book a fit call · Infraxus" xr:uid="{7DB179C9-1806-5C46-A8F8-C7C5A349B2B3}"/>
  </hyperlinks>
  <printOptions horizontalCentered="1"/>
  <pageMargins left="0.4" right="0.4" top="0.5" bottom="0.5" header="0.3" footer="0.3"/>
  <pageSetup fitToHeight="0" orientation="landscape"/>
  <headerFooter>
    <oddHeader>&amp;L&amp;9 &amp;K8896B3Infraxus · Margin Bridge and Variance Walk&amp;R&amp;9 &amp;K8896B3&amp;D</oddHeader>
    <oddFooter>&amp;L&amp;9 &amp;K8896B3infraxus.com&amp;R&amp;9 &amp;K8896B3Page &amp;P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896B3"/>
    <pageSetUpPr fitToPage="1"/>
  </sheetPr>
  <dimension ref="A1:S58"/>
  <sheetViews>
    <sheetView showGridLines="0" zoomScale="140" zoomScaleNormal="140" workbookViewId="0">
      <pane xSplit="2" ySplit="7" topLeftCell="C8" activePane="bottomRight" state="frozen"/>
      <selection pane="topRight"/>
      <selection pane="bottomLeft"/>
      <selection pane="bottomRight" activeCell="V13" sqref="V13"/>
    </sheetView>
  </sheetViews>
  <sheetFormatPr baseColWidth="10" defaultColWidth="8.83203125" defaultRowHeight="15" x14ac:dyDescent="0.2"/>
  <cols>
    <col min="1" max="1" width="2" style="64" customWidth="1"/>
    <col min="2" max="2" width="26" style="64" customWidth="1"/>
    <col min="3" max="18" width="11.5" style="64" customWidth="1"/>
    <col min="19" max="16384" width="8.83203125" style="64"/>
  </cols>
  <sheetData>
    <row r="1" spans="1:19" ht="8" customHeight="1" x14ac:dyDescent="0.2">
      <c r="A1" s="1"/>
      <c r="B1" s="1"/>
      <c r="C1" s="1"/>
      <c r="D1" s="1"/>
      <c r="E1" s="1"/>
      <c r="F1" s="1"/>
      <c r="G1" s="1"/>
      <c r="H1" s="1"/>
      <c r="I1" s="1"/>
      <c r="J1" s="1"/>
      <c r="K1" s="1"/>
      <c r="L1" s="66"/>
      <c r="M1" s="66"/>
      <c r="N1" s="66"/>
      <c r="O1" s="66"/>
      <c r="P1" s="66"/>
      <c r="Q1" s="66"/>
      <c r="R1" s="66"/>
      <c r="S1" s="67"/>
    </row>
    <row r="2" spans="1:19" ht="30" customHeight="1" x14ac:dyDescent="0.2">
      <c r="A2" s="1"/>
      <c r="B2" s="1"/>
      <c r="C2" s="71" t="s">
        <v>319</v>
      </c>
      <c r="D2" s="72"/>
      <c r="E2" s="72"/>
      <c r="F2" s="72"/>
      <c r="G2" s="3" t="s">
        <v>1</v>
      </c>
      <c r="H2" s="11" t="s">
        <v>2</v>
      </c>
      <c r="I2" s="1"/>
      <c r="J2" s="1"/>
      <c r="K2" s="1"/>
      <c r="L2" s="66"/>
      <c r="M2" s="66"/>
      <c r="N2" s="66"/>
      <c r="O2" s="66"/>
      <c r="P2" s="66"/>
      <c r="Q2" s="66"/>
      <c r="R2" s="66"/>
      <c r="S2" s="67"/>
    </row>
    <row r="3" spans="1:19" ht="22" customHeight="1" x14ac:dyDescent="0.2">
      <c r="A3" s="1"/>
      <c r="B3" s="76" t="s">
        <v>228</v>
      </c>
      <c r="C3" s="72"/>
      <c r="D3" s="72"/>
      <c r="E3" s="72"/>
      <c r="F3" s="72"/>
      <c r="G3" s="72"/>
      <c r="H3" s="80" t="s">
        <v>6</v>
      </c>
      <c r="I3" s="72"/>
      <c r="J3" s="72"/>
      <c r="K3" s="1"/>
      <c r="L3" s="66"/>
      <c r="M3" s="66"/>
      <c r="N3" s="66"/>
      <c r="O3" s="66"/>
      <c r="P3" s="66"/>
      <c r="Q3" s="66"/>
      <c r="R3" s="66"/>
      <c r="S3" s="67"/>
    </row>
    <row r="4" spans="1:19" ht="10" customHeight="1" x14ac:dyDescent="0.2">
      <c r="A4" s="1"/>
      <c r="B4" s="1"/>
      <c r="C4" s="1"/>
      <c r="D4" s="1"/>
      <c r="E4" s="1"/>
      <c r="F4" s="1"/>
      <c r="G4" s="1"/>
      <c r="H4" s="1"/>
      <c r="I4" s="1"/>
      <c r="J4" s="1"/>
      <c r="K4" s="1"/>
      <c r="L4" s="66"/>
      <c r="M4" s="66"/>
      <c r="N4" s="66"/>
      <c r="O4" s="66"/>
      <c r="P4" s="66"/>
      <c r="Q4" s="66"/>
      <c r="R4" s="66"/>
      <c r="S4" s="67"/>
    </row>
    <row r="5" spans="1:19" x14ac:dyDescent="0.2">
      <c r="A5" s="1"/>
      <c r="B5" s="96" t="s">
        <v>229</v>
      </c>
      <c r="C5" s="72"/>
      <c r="D5" s="72"/>
      <c r="E5" s="72"/>
      <c r="F5" s="72"/>
      <c r="G5" s="72"/>
      <c r="H5" s="72"/>
      <c r="I5" s="72"/>
      <c r="J5" s="72"/>
      <c r="K5" s="72"/>
      <c r="L5" s="72"/>
      <c r="M5" s="72"/>
      <c r="N5" s="72"/>
      <c r="O5" s="72"/>
      <c r="P5" s="72"/>
      <c r="Q5" s="72"/>
      <c r="R5" s="72"/>
      <c r="S5" s="67"/>
    </row>
    <row r="6" spans="1:19" x14ac:dyDescent="0.2">
      <c r="A6" s="1"/>
      <c r="B6" s="1"/>
      <c r="C6" s="1"/>
      <c r="D6" s="1"/>
      <c r="E6" s="1"/>
      <c r="F6" s="1"/>
      <c r="G6" s="1"/>
      <c r="H6" s="1"/>
      <c r="I6" s="1"/>
      <c r="J6" s="1"/>
      <c r="K6" s="1"/>
      <c r="L6" s="66"/>
      <c r="M6" s="66"/>
      <c r="N6" s="66"/>
      <c r="O6" s="66"/>
      <c r="P6" s="66"/>
      <c r="Q6" s="66"/>
      <c r="R6" s="66"/>
      <c r="S6" s="67"/>
    </row>
    <row r="7" spans="1:19" x14ac:dyDescent="0.2">
      <c r="A7" s="1"/>
      <c r="B7" s="5" t="s">
        <v>230</v>
      </c>
      <c r="C7" s="1"/>
      <c r="D7" s="1"/>
      <c r="E7" s="1"/>
      <c r="F7" s="1"/>
      <c r="G7" s="1"/>
      <c r="H7" s="1"/>
      <c r="I7" s="1"/>
      <c r="J7" s="1"/>
      <c r="K7" s="1"/>
      <c r="L7" s="66"/>
      <c r="M7" s="66"/>
      <c r="N7" s="66"/>
      <c r="O7" s="66"/>
      <c r="P7" s="66"/>
      <c r="Q7" s="66"/>
      <c r="R7" s="66"/>
      <c r="S7" s="67"/>
    </row>
    <row r="8" spans="1:19" ht="22" customHeight="1" x14ac:dyDescent="0.2">
      <c r="A8" s="1"/>
      <c r="B8" s="6" t="s">
        <v>231</v>
      </c>
      <c r="C8" s="14" t="s">
        <v>232</v>
      </c>
      <c r="D8" s="14" t="s">
        <v>233</v>
      </c>
      <c r="E8" s="14" t="s">
        <v>234</v>
      </c>
      <c r="F8" s="14" t="s">
        <v>235</v>
      </c>
      <c r="G8" s="14" t="s">
        <v>236</v>
      </c>
      <c r="H8" s="14" t="s">
        <v>237</v>
      </c>
      <c r="I8" s="14" t="s">
        <v>238</v>
      </c>
      <c r="J8" s="14" t="s">
        <v>239</v>
      </c>
      <c r="K8" s="14" t="s">
        <v>240</v>
      </c>
      <c r="L8" s="14" t="s">
        <v>241</v>
      </c>
      <c r="M8" s="14" t="s">
        <v>242</v>
      </c>
      <c r="N8" s="14" t="s">
        <v>243</v>
      </c>
      <c r="O8" s="14" t="s">
        <v>244</v>
      </c>
      <c r="P8" s="14" t="s">
        <v>245</v>
      </c>
      <c r="Q8" s="14" t="s">
        <v>246</v>
      </c>
      <c r="R8" s="14" t="s">
        <v>247</v>
      </c>
      <c r="S8" s="67"/>
    </row>
    <row r="9" spans="1:19" ht="19" customHeight="1" x14ac:dyDescent="0.2">
      <c r="A9" s="1"/>
      <c r="B9" s="15" t="s">
        <v>276</v>
      </c>
      <c r="C9" s="21">
        <v>42000</v>
      </c>
      <c r="D9" s="20">
        <v>380</v>
      </c>
      <c r="E9" s="20">
        <v>120</v>
      </c>
      <c r="F9" s="20">
        <v>100</v>
      </c>
      <c r="G9" s="20">
        <v>0</v>
      </c>
      <c r="H9" s="20">
        <v>0</v>
      </c>
      <c r="I9" s="20">
        <v>0</v>
      </c>
      <c r="J9" s="24">
        <f t="shared" ref="J9:J28" si="0">SUM(D9:I9)</f>
        <v>600</v>
      </c>
      <c r="K9" s="21">
        <v>43000</v>
      </c>
      <c r="L9" s="20">
        <v>360</v>
      </c>
      <c r="M9" s="20">
        <v>200</v>
      </c>
      <c r="N9" s="20">
        <v>60</v>
      </c>
      <c r="O9" s="20">
        <v>0</v>
      </c>
      <c r="P9" s="20">
        <v>0</v>
      </c>
      <c r="Q9" s="20">
        <v>0</v>
      </c>
      <c r="R9" s="24">
        <f t="shared" ref="R9:R28" si="1">SUM(L9:Q9)</f>
        <v>620</v>
      </c>
      <c r="S9" s="67"/>
    </row>
    <row r="10" spans="1:19" ht="19" customHeight="1" x14ac:dyDescent="0.2">
      <c r="A10" s="1"/>
      <c r="B10" s="15" t="s">
        <v>277</v>
      </c>
      <c r="C10" s="21">
        <v>36000</v>
      </c>
      <c r="D10" s="20">
        <v>300</v>
      </c>
      <c r="E10" s="20">
        <v>100</v>
      </c>
      <c r="F10" s="20">
        <v>150</v>
      </c>
      <c r="G10" s="20">
        <v>50</v>
      </c>
      <c r="H10" s="20">
        <v>0</v>
      </c>
      <c r="I10" s="20">
        <v>0</v>
      </c>
      <c r="J10" s="24">
        <f t="shared" si="0"/>
        <v>600</v>
      </c>
      <c r="K10" s="21">
        <v>37000</v>
      </c>
      <c r="L10" s="20">
        <v>300</v>
      </c>
      <c r="M10" s="20">
        <v>180</v>
      </c>
      <c r="N10" s="20">
        <v>80</v>
      </c>
      <c r="O10" s="20">
        <v>60</v>
      </c>
      <c r="P10" s="20">
        <v>0</v>
      </c>
      <c r="Q10" s="20">
        <v>0</v>
      </c>
      <c r="R10" s="24">
        <f t="shared" si="1"/>
        <v>620</v>
      </c>
      <c r="S10" s="67"/>
    </row>
    <row r="11" spans="1:19" ht="19" customHeight="1" x14ac:dyDescent="0.2">
      <c r="A11" s="1"/>
      <c r="B11" s="15" t="s">
        <v>278</v>
      </c>
      <c r="C11" s="21">
        <v>30000</v>
      </c>
      <c r="D11" s="20">
        <v>250</v>
      </c>
      <c r="E11" s="20">
        <v>60</v>
      </c>
      <c r="F11" s="20">
        <v>250</v>
      </c>
      <c r="G11" s="20">
        <v>140</v>
      </c>
      <c r="H11" s="20">
        <v>0</v>
      </c>
      <c r="I11" s="20">
        <v>0</v>
      </c>
      <c r="J11" s="24">
        <f t="shared" si="0"/>
        <v>700</v>
      </c>
      <c r="K11" s="21">
        <v>31000</v>
      </c>
      <c r="L11" s="20">
        <v>240</v>
      </c>
      <c r="M11" s="20">
        <v>120</v>
      </c>
      <c r="N11" s="20">
        <v>120</v>
      </c>
      <c r="O11" s="20">
        <v>160</v>
      </c>
      <c r="P11" s="20">
        <v>0</v>
      </c>
      <c r="Q11" s="20">
        <v>0</v>
      </c>
      <c r="R11" s="24">
        <f t="shared" si="1"/>
        <v>640</v>
      </c>
      <c r="S11" s="67"/>
    </row>
    <row r="12" spans="1:19" ht="19" customHeight="1" x14ac:dyDescent="0.2">
      <c r="A12" s="1"/>
      <c r="B12" s="15" t="s">
        <v>279</v>
      </c>
      <c r="C12" s="21">
        <v>24000</v>
      </c>
      <c r="D12" s="20">
        <v>120</v>
      </c>
      <c r="E12" s="20">
        <v>0</v>
      </c>
      <c r="F12" s="20">
        <v>350</v>
      </c>
      <c r="G12" s="20">
        <v>230</v>
      </c>
      <c r="H12" s="20">
        <v>0</v>
      </c>
      <c r="I12" s="20">
        <v>0</v>
      </c>
      <c r="J12" s="24">
        <f t="shared" si="0"/>
        <v>700</v>
      </c>
      <c r="K12" s="21">
        <v>24000</v>
      </c>
      <c r="L12" s="20">
        <v>110</v>
      </c>
      <c r="M12" s="20">
        <v>60</v>
      </c>
      <c r="N12" s="20">
        <v>100</v>
      </c>
      <c r="O12" s="20">
        <v>330</v>
      </c>
      <c r="P12" s="20">
        <v>0</v>
      </c>
      <c r="Q12" s="20">
        <v>0</v>
      </c>
      <c r="R12" s="24">
        <f t="shared" si="1"/>
        <v>600</v>
      </c>
      <c r="S12" s="67"/>
    </row>
    <row r="13" spans="1:19" ht="19" customHeight="1" x14ac:dyDescent="0.2">
      <c r="A13" s="1"/>
      <c r="B13" s="15" t="s">
        <v>280</v>
      </c>
      <c r="C13" s="21">
        <v>32000</v>
      </c>
      <c r="D13" s="20">
        <v>150</v>
      </c>
      <c r="E13" s="20">
        <v>40</v>
      </c>
      <c r="F13" s="20">
        <v>100</v>
      </c>
      <c r="G13" s="20">
        <v>310</v>
      </c>
      <c r="H13" s="20">
        <v>0</v>
      </c>
      <c r="I13" s="20">
        <v>0</v>
      </c>
      <c r="J13" s="24">
        <f t="shared" si="0"/>
        <v>600</v>
      </c>
      <c r="K13" s="21">
        <v>33000</v>
      </c>
      <c r="L13" s="20">
        <v>140</v>
      </c>
      <c r="M13" s="20">
        <v>90</v>
      </c>
      <c r="N13" s="20">
        <v>40</v>
      </c>
      <c r="O13" s="20">
        <v>330</v>
      </c>
      <c r="P13" s="20">
        <v>0</v>
      </c>
      <c r="Q13" s="20">
        <v>0</v>
      </c>
      <c r="R13" s="24">
        <f t="shared" si="1"/>
        <v>600</v>
      </c>
      <c r="S13" s="67"/>
    </row>
    <row r="14" spans="1:19" ht="19" customHeight="1" x14ac:dyDescent="0.2">
      <c r="A14" s="1"/>
      <c r="B14" s="15"/>
      <c r="C14" s="21"/>
      <c r="D14" s="20"/>
      <c r="E14" s="20"/>
      <c r="F14" s="20"/>
      <c r="G14" s="20"/>
      <c r="H14" s="20"/>
      <c r="I14" s="20"/>
      <c r="J14" s="24">
        <f t="shared" si="0"/>
        <v>0</v>
      </c>
      <c r="K14" s="21"/>
      <c r="L14" s="20"/>
      <c r="M14" s="20"/>
      <c r="N14" s="20"/>
      <c r="O14" s="20"/>
      <c r="P14" s="20"/>
      <c r="Q14" s="20"/>
      <c r="R14" s="24">
        <f t="shared" si="1"/>
        <v>0</v>
      </c>
      <c r="S14" s="67"/>
    </row>
    <row r="15" spans="1:19" ht="19" customHeight="1" x14ac:dyDescent="0.2">
      <c r="A15" s="1"/>
      <c r="B15" s="15"/>
      <c r="C15" s="21"/>
      <c r="D15" s="20"/>
      <c r="E15" s="20"/>
      <c r="F15" s="20"/>
      <c r="G15" s="20"/>
      <c r="H15" s="20"/>
      <c r="I15" s="20"/>
      <c r="J15" s="24">
        <f t="shared" si="0"/>
        <v>0</v>
      </c>
      <c r="K15" s="21"/>
      <c r="L15" s="20"/>
      <c r="M15" s="20"/>
      <c r="N15" s="20"/>
      <c r="O15" s="20"/>
      <c r="P15" s="20"/>
      <c r="Q15" s="20"/>
      <c r="R15" s="24">
        <f t="shared" si="1"/>
        <v>0</v>
      </c>
      <c r="S15" s="67"/>
    </row>
    <row r="16" spans="1:19" ht="19" customHeight="1" x14ac:dyDescent="0.2">
      <c r="A16" s="1"/>
      <c r="B16" s="15"/>
      <c r="C16" s="21"/>
      <c r="D16" s="20"/>
      <c r="E16" s="20"/>
      <c r="F16" s="20"/>
      <c r="G16" s="20"/>
      <c r="H16" s="20"/>
      <c r="I16" s="20"/>
      <c r="J16" s="24">
        <f t="shared" si="0"/>
        <v>0</v>
      </c>
      <c r="K16" s="21"/>
      <c r="L16" s="20"/>
      <c r="M16" s="20"/>
      <c r="N16" s="20"/>
      <c r="O16" s="20"/>
      <c r="P16" s="20"/>
      <c r="Q16" s="20"/>
      <c r="R16" s="24">
        <f t="shared" si="1"/>
        <v>0</v>
      </c>
      <c r="S16" s="67"/>
    </row>
    <row r="17" spans="1:19" ht="19" customHeight="1" x14ac:dyDescent="0.2">
      <c r="A17" s="1"/>
      <c r="B17" s="15"/>
      <c r="C17" s="21"/>
      <c r="D17" s="20"/>
      <c r="E17" s="20"/>
      <c r="F17" s="20"/>
      <c r="G17" s="20"/>
      <c r="H17" s="20"/>
      <c r="I17" s="20"/>
      <c r="J17" s="24">
        <f t="shared" si="0"/>
        <v>0</v>
      </c>
      <c r="K17" s="21"/>
      <c r="L17" s="20"/>
      <c r="M17" s="20"/>
      <c r="N17" s="20"/>
      <c r="O17" s="20"/>
      <c r="P17" s="20"/>
      <c r="Q17" s="20"/>
      <c r="R17" s="24">
        <f t="shared" si="1"/>
        <v>0</v>
      </c>
      <c r="S17" s="67"/>
    </row>
    <row r="18" spans="1:19" ht="19" customHeight="1" x14ac:dyDescent="0.2">
      <c r="A18" s="1"/>
      <c r="B18" s="15"/>
      <c r="C18" s="21"/>
      <c r="D18" s="20"/>
      <c r="E18" s="20"/>
      <c r="F18" s="20"/>
      <c r="G18" s="20"/>
      <c r="H18" s="20"/>
      <c r="I18" s="20"/>
      <c r="J18" s="24">
        <f t="shared" si="0"/>
        <v>0</v>
      </c>
      <c r="K18" s="21"/>
      <c r="L18" s="20"/>
      <c r="M18" s="20"/>
      <c r="N18" s="20"/>
      <c r="O18" s="20"/>
      <c r="P18" s="20"/>
      <c r="Q18" s="20"/>
      <c r="R18" s="24">
        <f t="shared" si="1"/>
        <v>0</v>
      </c>
      <c r="S18" s="67"/>
    </row>
    <row r="19" spans="1:19" ht="19" customHeight="1" x14ac:dyDescent="0.2">
      <c r="A19" s="1"/>
      <c r="B19" s="15"/>
      <c r="C19" s="21"/>
      <c r="D19" s="20"/>
      <c r="E19" s="20"/>
      <c r="F19" s="20"/>
      <c r="G19" s="20"/>
      <c r="H19" s="20"/>
      <c r="I19" s="20"/>
      <c r="J19" s="24">
        <f t="shared" si="0"/>
        <v>0</v>
      </c>
      <c r="K19" s="21"/>
      <c r="L19" s="20"/>
      <c r="M19" s="20"/>
      <c r="N19" s="20"/>
      <c r="O19" s="20"/>
      <c r="P19" s="20"/>
      <c r="Q19" s="20"/>
      <c r="R19" s="24">
        <f t="shared" si="1"/>
        <v>0</v>
      </c>
      <c r="S19" s="67"/>
    </row>
    <row r="20" spans="1:19" ht="19" customHeight="1" x14ac:dyDescent="0.2">
      <c r="A20" s="1"/>
      <c r="B20" s="15"/>
      <c r="C20" s="21"/>
      <c r="D20" s="20"/>
      <c r="E20" s="20"/>
      <c r="F20" s="20"/>
      <c r="G20" s="20"/>
      <c r="H20" s="20"/>
      <c r="I20" s="20"/>
      <c r="J20" s="24">
        <f t="shared" si="0"/>
        <v>0</v>
      </c>
      <c r="K20" s="21"/>
      <c r="L20" s="20"/>
      <c r="M20" s="20"/>
      <c r="N20" s="20"/>
      <c r="O20" s="20"/>
      <c r="P20" s="20"/>
      <c r="Q20" s="20"/>
      <c r="R20" s="24">
        <f t="shared" si="1"/>
        <v>0</v>
      </c>
      <c r="S20" s="67"/>
    </row>
    <row r="21" spans="1:19" ht="19" customHeight="1" x14ac:dyDescent="0.2">
      <c r="A21" s="1"/>
      <c r="B21" s="15"/>
      <c r="C21" s="21"/>
      <c r="D21" s="20"/>
      <c r="E21" s="20"/>
      <c r="F21" s="20"/>
      <c r="G21" s="20"/>
      <c r="H21" s="20"/>
      <c r="I21" s="20"/>
      <c r="J21" s="24">
        <f t="shared" si="0"/>
        <v>0</v>
      </c>
      <c r="K21" s="21"/>
      <c r="L21" s="20"/>
      <c r="M21" s="20"/>
      <c r="N21" s="20"/>
      <c r="O21" s="20"/>
      <c r="P21" s="20"/>
      <c r="Q21" s="20"/>
      <c r="R21" s="24">
        <f t="shared" si="1"/>
        <v>0</v>
      </c>
      <c r="S21" s="67"/>
    </row>
    <row r="22" spans="1:19" ht="19" customHeight="1" x14ac:dyDescent="0.2">
      <c r="A22" s="1"/>
      <c r="B22" s="15"/>
      <c r="C22" s="21"/>
      <c r="D22" s="20"/>
      <c r="E22" s="20"/>
      <c r="F22" s="20"/>
      <c r="G22" s="20"/>
      <c r="H22" s="20"/>
      <c r="I22" s="20"/>
      <c r="J22" s="24">
        <f t="shared" si="0"/>
        <v>0</v>
      </c>
      <c r="K22" s="21"/>
      <c r="L22" s="20"/>
      <c r="M22" s="20"/>
      <c r="N22" s="20"/>
      <c r="O22" s="20"/>
      <c r="P22" s="20"/>
      <c r="Q22" s="20"/>
      <c r="R22" s="24">
        <f t="shared" si="1"/>
        <v>0</v>
      </c>
      <c r="S22" s="67"/>
    </row>
    <row r="23" spans="1:19" ht="19" customHeight="1" x14ac:dyDescent="0.2">
      <c r="A23" s="1"/>
      <c r="B23" s="15"/>
      <c r="C23" s="21"/>
      <c r="D23" s="20"/>
      <c r="E23" s="20"/>
      <c r="F23" s="20"/>
      <c r="G23" s="20"/>
      <c r="H23" s="20"/>
      <c r="I23" s="20"/>
      <c r="J23" s="24">
        <f t="shared" si="0"/>
        <v>0</v>
      </c>
      <c r="K23" s="21"/>
      <c r="L23" s="20"/>
      <c r="M23" s="20"/>
      <c r="N23" s="20"/>
      <c r="O23" s="20"/>
      <c r="P23" s="20"/>
      <c r="Q23" s="20"/>
      <c r="R23" s="24">
        <f t="shared" si="1"/>
        <v>0</v>
      </c>
      <c r="S23" s="67"/>
    </row>
    <row r="24" spans="1:19" ht="19" customHeight="1" x14ac:dyDescent="0.2">
      <c r="A24" s="1"/>
      <c r="B24" s="15"/>
      <c r="C24" s="21"/>
      <c r="D24" s="20"/>
      <c r="E24" s="20"/>
      <c r="F24" s="20"/>
      <c r="G24" s="20"/>
      <c r="H24" s="20"/>
      <c r="I24" s="20"/>
      <c r="J24" s="24">
        <f t="shared" si="0"/>
        <v>0</v>
      </c>
      <c r="K24" s="21"/>
      <c r="L24" s="20"/>
      <c r="M24" s="20"/>
      <c r="N24" s="20"/>
      <c r="O24" s="20"/>
      <c r="P24" s="20"/>
      <c r="Q24" s="20"/>
      <c r="R24" s="24">
        <f t="shared" si="1"/>
        <v>0</v>
      </c>
      <c r="S24" s="67"/>
    </row>
    <row r="25" spans="1:19" ht="19" customHeight="1" x14ac:dyDescent="0.2">
      <c r="A25" s="1"/>
      <c r="B25" s="15"/>
      <c r="C25" s="21"/>
      <c r="D25" s="20"/>
      <c r="E25" s="20"/>
      <c r="F25" s="20"/>
      <c r="G25" s="20"/>
      <c r="H25" s="20"/>
      <c r="I25" s="20"/>
      <c r="J25" s="24">
        <f t="shared" si="0"/>
        <v>0</v>
      </c>
      <c r="K25" s="21"/>
      <c r="L25" s="20"/>
      <c r="M25" s="20"/>
      <c r="N25" s="20"/>
      <c r="O25" s="20"/>
      <c r="P25" s="20"/>
      <c r="Q25" s="20"/>
      <c r="R25" s="24">
        <f t="shared" si="1"/>
        <v>0</v>
      </c>
      <c r="S25" s="67"/>
    </row>
    <row r="26" spans="1:19" ht="19" customHeight="1" x14ac:dyDescent="0.2">
      <c r="A26" s="1"/>
      <c r="B26" s="15"/>
      <c r="C26" s="21"/>
      <c r="D26" s="20"/>
      <c r="E26" s="20"/>
      <c r="F26" s="20"/>
      <c r="G26" s="20"/>
      <c r="H26" s="20"/>
      <c r="I26" s="20"/>
      <c r="J26" s="24">
        <f t="shared" si="0"/>
        <v>0</v>
      </c>
      <c r="K26" s="21"/>
      <c r="L26" s="20"/>
      <c r="M26" s="20"/>
      <c r="N26" s="20"/>
      <c r="O26" s="20"/>
      <c r="P26" s="20"/>
      <c r="Q26" s="20"/>
      <c r="R26" s="24">
        <f t="shared" si="1"/>
        <v>0</v>
      </c>
      <c r="S26" s="67"/>
    </row>
    <row r="27" spans="1:19" ht="19" customHeight="1" x14ac:dyDescent="0.2">
      <c r="A27" s="1"/>
      <c r="B27" s="15"/>
      <c r="C27" s="21"/>
      <c r="D27" s="20"/>
      <c r="E27" s="20"/>
      <c r="F27" s="20"/>
      <c r="G27" s="20"/>
      <c r="H27" s="20"/>
      <c r="I27" s="20"/>
      <c r="J27" s="24">
        <f t="shared" si="0"/>
        <v>0</v>
      </c>
      <c r="K27" s="21"/>
      <c r="L27" s="20"/>
      <c r="M27" s="20"/>
      <c r="N27" s="20"/>
      <c r="O27" s="20"/>
      <c r="P27" s="20"/>
      <c r="Q27" s="20"/>
      <c r="R27" s="24">
        <f t="shared" si="1"/>
        <v>0</v>
      </c>
      <c r="S27" s="67"/>
    </row>
    <row r="28" spans="1:19" ht="19" customHeight="1" x14ac:dyDescent="0.2">
      <c r="A28" s="1"/>
      <c r="B28" s="15"/>
      <c r="C28" s="21"/>
      <c r="D28" s="20"/>
      <c r="E28" s="20"/>
      <c r="F28" s="20"/>
      <c r="G28" s="20"/>
      <c r="H28" s="20"/>
      <c r="I28" s="20"/>
      <c r="J28" s="24">
        <f t="shared" si="0"/>
        <v>0</v>
      </c>
      <c r="K28" s="21"/>
      <c r="L28" s="20"/>
      <c r="M28" s="20"/>
      <c r="N28" s="20"/>
      <c r="O28" s="20"/>
      <c r="P28" s="20"/>
      <c r="Q28" s="20"/>
      <c r="R28" s="24">
        <f t="shared" si="1"/>
        <v>0</v>
      </c>
      <c r="S28" s="67"/>
    </row>
    <row r="29" spans="1:19" x14ac:dyDescent="0.2">
      <c r="A29" s="1"/>
      <c r="B29" s="1"/>
      <c r="C29" s="1"/>
      <c r="D29" s="1"/>
      <c r="E29" s="1"/>
      <c r="F29" s="1"/>
      <c r="G29" s="1"/>
      <c r="H29" s="1"/>
      <c r="I29" s="1"/>
      <c r="J29" s="1"/>
      <c r="K29" s="1"/>
      <c r="L29" s="66"/>
      <c r="M29" s="66"/>
      <c r="N29" s="66"/>
      <c r="O29" s="66"/>
      <c r="P29" s="66"/>
      <c r="Q29" s="66"/>
      <c r="R29" s="66"/>
      <c r="S29" s="67"/>
    </row>
    <row r="30" spans="1:19" x14ac:dyDescent="0.2">
      <c r="A30" s="1"/>
      <c r="B30" s="1"/>
      <c r="C30" s="1"/>
      <c r="D30" s="1"/>
      <c r="E30" s="1"/>
      <c r="F30" s="1"/>
      <c r="G30" s="1"/>
      <c r="H30" s="1"/>
      <c r="I30" s="1"/>
      <c r="J30" s="1"/>
      <c r="K30" s="1"/>
      <c r="L30" s="66"/>
      <c r="M30" s="66"/>
      <c r="N30" s="66"/>
      <c r="O30" s="66"/>
      <c r="P30" s="66"/>
      <c r="Q30" s="66"/>
      <c r="R30" s="66"/>
      <c r="S30" s="67"/>
    </row>
    <row r="31" spans="1:19" ht="22" customHeight="1" x14ac:dyDescent="0.2">
      <c r="A31" s="1"/>
      <c r="B31" s="5" t="s">
        <v>248</v>
      </c>
      <c r="C31" s="1"/>
      <c r="D31" s="1"/>
      <c r="E31" s="1"/>
      <c r="F31" s="1"/>
      <c r="G31" s="1"/>
      <c r="H31" s="1"/>
      <c r="I31" s="1"/>
      <c r="J31" s="1"/>
      <c r="K31" s="1"/>
      <c r="L31" s="66"/>
      <c r="M31" s="66"/>
      <c r="N31" s="66"/>
      <c r="O31" s="66"/>
      <c r="P31" s="66"/>
      <c r="Q31" s="66"/>
      <c r="R31" s="66"/>
      <c r="S31" s="67"/>
    </row>
    <row r="32" spans="1:19" ht="22" customHeight="1" x14ac:dyDescent="0.2">
      <c r="A32" s="1"/>
      <c r="B32" s="6" t="s">
        <v>70</v>
      </c>
      <c r="C32" s="14" t="s">
        <v>249</v>
      </c>
      <c r="D32" s="14" t="s">
        <v>250</v>
      </c>
      <c r="E32" s="14" t="s">
        <v>251</v>
      </c>
      <c r="F32" s="14" t="s">
        <v>252</v>
      </c>
      <c r="G32" s="14" t="s">
        <v>253</v>
      </c>
      <c r="H32" s="1"/>
      <c r="I32" s="1"/>
      <c r="J32" s="1"/>
      <c r="K32" s="14" t="s">
        <v>254</v>
      </c>
      <c r="L32" s="14" t="s">
        <v>255</v>
      </c>
      <c r="M32" s="14" t="s">
        <v>256</v>
      </c>
      <c r="N32" s="14" t="s">
        <v>257</v>
      </c>
      <c r="O32" s="14" t="s">
        <v>258</v>
      </c>
      <c r="P32" s="66"/>
      <c r="Q32" s="66"/>
      <c r="R32" s="66"/>
      <c r="S32" s="67"/>
    </row>
    <row r="33" spans="1:19" ht="19" customHeight="1" x14ac:dyDescent="0.2">
      <c r="A33" s="1"/>
      <c r="B33" s="8" t="s">
        <v>259</v>
      </c>
      <c r="C33" s="21">
        <v>33500</v>
      </c>
      <c r="D33" s="21">
        <v>29500</v>
      </c>
      <c r="E33" s="21">
        <v>8000</v>
      </c>
      <c r="F33" s="21">
        <v>13571</v>
      </c>
      <c r="G33" s="22">
        <f t="shared" ref="G33:G38" si="2">SUM(C33:F33)</f>
        <v>84571</v>
      </c>
      <c r="H33" s="1"/>
      <c r="I33" s="1"/>
      <c r="J33" s="1"/>
      <c r="K33" s="21">
        <v>34500</v>
      </c>
      <c r="L33" s="21">
        <v>30000</v>
      </c>
      <c r="M33" s="21">
        <v>8500</v>
      </c>
      <c r="N33" s="21">
        <v>13404</v>
      </c>
      <c r="O33" s="22">
        <f t="shared" ref="O33:O38" si="3">SUM(K33:N33)</f>
        <v>86404</v>
      </c>
      <c r="P33" s="66"/>
      <c r="Q33" s="66"/>
      <c r="R33" s="66"/>
      <c r="S33" s="67"/>
    </row>
    <row r="34" spans="1:19" ht="19" customHeight="1" x14ac:dyDescent="0.2">
      <c r="A34" s="1"/>
      <c r="B34" s="8" t="s">
        <v>260</v>
      </c>
      <c r="C34" s="21">
        <v>7500</v>
      </c>
      <c r="D34" s="21">
        <v>6500</v>
      </c>
      <c r="E34" s="21">
        <v>1500</v>
      </c>
      <c r="F34" s="21">
        <v>3895</v>
      </c>
      <c r="G34" s="22">
        <f t="shared" si="2"/>
        <v>19395</v>
      </c>
      <c r="H34" s="1"/>
      <c r="I34" s="1"/>
      <c r="J34" s="1"/>
      <c r="K34" s="21">
        <v>15000</v>
      </c>
      <c r="L34" s="21">
        <v>13000</v>
      </c>
      <c r="M34" s="21">
        <v>3500</v>
      </c>
      <c r="N34" s="21">
        <v>6775</v>
      </c>
      <c r="O34" s="22">
        <f t="shared" si="3"/>
        <v>38275</v>
      </c>
      <c r="P34" s="66"/>
      <c r="Q34" s="66"/>
      <c r="R34" s="66"/>
      <c r="S34" s="67"/>
    </row>
    <row r="35" spans="1:19" ht="19" customHeight="1" x14ac:dyDescent="0.2">
      <c r="A35" s="1"/>
      <c r="B35" s="8" t="s">
        <v>261</v>
      </c>
      <c r="C35" s="21">
        <v>14000</v>
      </c>
      <c r="D35" s="21">
        <v>12500</v>
      </c>
      <c r="E35" s="21">
        <v>3500</v>
      </c>
      <c r="F35" s="21">
        <v>5952</v>
      </c>
      <c r="G35" s="22">
        <f t="shared" si="2"/>
        <v>35952</v>
      </c>
      <c r="H35" s="1"/>
      <c r="I35" s="1"/>
      <c r="J35" s="1"/>
      <c r="K35" s="21">
        <v>5000</v>
      </c>
      <c r="L35" s="21">
        <v>4500</v>
      </c>
      <c r="M35" s="21">
        <v>1000</v>
      </c>
      <c r="N35" s="21">
        <v>2552</v>
      </c>
      <c r="O35" s="22">
        <f t="shared" si="3"/>
        <v>13052</v>
      </c>
      <c r="P35" s="66"/>
      <c r="Q35" s="66"/>
      <c r="R35" s="66"/>
      <c r="S35" s="67"/>
    </row>
    <row r="36" spans="1:19" ht="19" customHeight="1" x14ac:dyDescent="0.2">
      <c r="A36" s="1"/>
      <c r="B36" s="8" t="s">
        <v>262</v>
      </c>
      <c r="C36" s="21">
        <v>7000</v>
      </c>
      <c r="D36" s="21">
        <v>6000</v>
      </c>
      <c r="E36" s="21">
        <v>1500</v>
      </c>
      <c r="F36" s="21">
        <v>3081</v>
      </c>
      <c r="G36" s="22">
        <f t="shared" si="2"/>
        <v>17581</v>
      </c>
      <c r="H36" s="1"/>
      <c r="I36" s="1"/>
      <c r="J36" s="1"/>
      <c r="K36" s="21">
        <v>9500</v>
      </c>
      <c r="L36" s="21">
        <v>8500</v>
      </c>
      <c r="M36" s="21">
        <v>2000</v>
      </c>
      <c r="N36" s="21">
        <v>4819</v>
      </c>
      <c r="O36" s="22">
        <f t="shared" si="3"/>
        <v>24819</v>
      </c>
      <c r="P36" s="66"/>
      <c r="Q36" s="66"/>
      <c r="R36" s="66"/>
      <c r="S36" s="67"/>
    </row>
    <row r="37" spans="1:19" ht="19" customHeight="1" x14ac:dyDescent="0.2">
      <c r="A37" s="1"/>
      <c r="B37" s="8" t="s">
        <v>88</v>
      </c>
      <c r="C37" s="21">
        <v>0</v>
      </c>
      <c r="D37" s="21">
        <v>0</v>
      </c>
      <c r="E37" s="21">
        <v>0</v>
      </c>
      <c r="F37" s="21">
        <v>0</v>
      </c>
      <c r="G37" s="22">
        <f t="shared" si="2"/>
        <v>0</v>
      </c>
      <c r="H37" s="1"/>
      <c r="I37" s="1"/>
      <c r="J37" s="1"/>
      <c r="K37" s="21">
        <v>0</v>
      </c>
      <c r="L37" s="21">
        <v>0</v>
      </c>
      <c r="M37" s="21">
        <v>0</v>
      </c>
      <c r="N37" s="21">
        <v>0</v>
      </c>
      <c r="O37" s="22">
        <f t="shared" si="3"/>
        <v>0</v>
      </c>
      <c r="P37" s="66"/>
      <c r="Q37" s="66"/>
      <c r="R37" s="66"/>
      <c r="S37" s="67"/>
    </row>
    <row r="38" spans="1:19" ht="19" customHeight="1" x14ac:dyDescent="0.2">
      <c r="A38" s="1"/>
      <c r="B38" s="8" t="s">
        <v>91</v>
      </c>
      <c r="C38" s="21">
        <v>0</v>
      </c>
      <c r="D38" s="21">
        <v>0</v>
      </c>
      <c r="E38" s="21">
        <v>0</v>
      </c>
      <c r="F38" s="21">
        <v>0</v>
      </c>
      <c r="G38" s="22">
        <f t="shared" si="2"/>
        <v>0</v>
      </c>
      <c r="H38" s="1"/>
      <c r="I38" s="1"/>
      <c r="J38" s="1"/>
      <c r="K38" s="21">
        <v>0</v>
      </c>
      <c r="L38" s="21">
        <v>0</v>
      </c>
      <c r="M38" s="21">
        <v>0</v>
      </c>
      <c r="N38" s="21">
        <v>0</v>
      </c>
      <c r="O38" s="22">
        <f t="shared" si="3"/>
        <v>0</v>
      </c>
      <c r="P38" s="66"/>
      <c r="Q38" s="66"/>
      <c r="R38" s="66"/>
      <c r="S38" s="67"/>
    </row>
    <row r="39" spans="1:19" x14ac:dyDescent="0.2">
      <c r="A39" s="1"/>
      <c r="B39" s="1"/>
      <c r="C39" s="1"/>
      <c r="D39" s="1"/>
      <c r="E39" s="1"/>
      <c r="F39" s="1"/>
      <c r="G39" s="1"/>
      <c r="H39" s="1"/>
      <c r="I39" s="1"/>
      <c r="J39" s="1"/>
      <c r="K39" s="1"/>
      <c r="L39" s="66"/>
      <c r="M39" s="66"/>
      <c r="N39" s="66"/>
      <c r="O39" s="66"/>
      <c r="P39" s="66"/>
      <c r="Q39" s="66"/>
      <c r="R39" s="66"/>
      <c r="S39" s="67"/>
    </row>
    <row r="40" spans="1:19" x14ac:dyDescent="0.2">
      <c r="A40" s="1"/>
      <c r="B40" s="1"/>
      <c r="C40" s="1"/>
      <c r="D40" s="1"/>
      <c r="E40" s="1"/>
      <c r="F40" s="1"/>
      <c r="G40" s="1"/>
      <c r="H40" s="1"/>
      <c r="I40" s="1"/>
      <c r="J40" s="1"/>
      <c r="K40" s="1"/>
      <c r="L40" s="66"/>
      <c r="M40" s="66"/>
      <c r="N40" s="66"/>
      <c r="O40" s="66"/>
      <c r="P40" s="66"/>
      <c r="Q40" s="66"/>
      <c r="R40" s="66"/>
      <c r="S40" s="67"/>
    </row>
    <row r="41" spans="1:19" ht="22" customHeight="1" x14ac:dyDescent="0.2">
      <c r="A41" s="1"/>
      <c r="B41" s="5" t="s">
        <v>263</v>
      </c>
      <c r="C41" s="1"/>
      <c r="D41" s="1"/>
      <c r="E41" s="1"/>
      <c r="F41" s="1"/>
      <c r="G41" s="1"/>
      <c r="H41" s="1"/>
      <c r="I41" s="1"/>
      <c r="J41" s="1"/>
      <c r="K41" s="1"/>
      <c r="L41" s="66"/>
      <c r="M41" s="66"/>
      <c r="N41" s="66"/>
      <c r="O41" s="66"/>
      <c r="P41" s="66"/>
      <c r="Q41" s="66"/>
      <c r="R41" s="66"/>
      <c r="S41" s="67"/>
    </row>
    <row r="42" spans="1:19" ht="22" customHeight="1" x14ac:dyDescent="0.2">
      <c r="A42" s="1"/>
      <c r="B42" s="6" t="s">
        <v>70</v>
      </c>
      <c r="C42" s="14" t="s">
        <v>264</v>
      </c>
      <c r="D42" s="14" t="s">
        <v>265</v>
      </c>
      <c r="E42" s="14" t="s">
        <v>266</v>
      </c>
      <c r="F42" s="14" t="s">
        <v>267</v>
      </c>
      <c r="G42" s="14" t="s">
        <v>268</v>
      </c>
      <c r="H42" s="14" t="s">
        <v>269</v>
      </c>
      <c r="I42" s="1"/>
      <c r="J42" s="1"/>
      <c r="K42" s="1"/>
      <c r="L42" s="66"/>
      <c r="M42" s="66"/>
      <c r="N42" s="66"/>
      <c r="O42" s="66"/>
      <c r="P42" s="66"/>
      <c r="Q42" s="66"/>
      <c r="R42" s="66"/>
      <c r="S42" s="67"/>
    </row>
    <row r="43" spans="1:19" ht="19" customHeight="1" x14ac:dyDescent="0.2">
      <c r="A43" s="1"/>
      <c r="B43" s="8" t="s">
        <v>259</v>
      </c>
      <c r="C43" s="22">
        <f t="array" ref="C43">ROUND(SUMPRODUCT(D9:D28*$C$9:$C$28*IFERROR(1/$J$9:$J$28,0)),0)</f>
        <v>67429</v>
      </c>
      <c r="D43" s="22">
        <f t="shared" ref="D43:D48" si="4">G33</f>
        <v>84571</v>
      </c>
      <c r="E43" s="22">
        <f>IF(OR(SUM(C9:C28)&gt;0,SUM(C33:F38)&gt;0),C43+D43,"")</f>
        <v>152000</v>
      </c>
      <c r="F43" s="22">
        <f t="array" ref="F43">ROUND(SUMPRODUCT(L9:L28*$K$9:$K$28*IFERROR(1/$R$9:$R$28,0)),0)</f>
        <v>66596</v>
      </c>
      <c r="G43" s="22">
        <f t="shared" ref="G43:G48" si="5">O33</f>
        <v>86404</v>
      </c>
      <c r="H43" s="22">
        <f>IF(OR(SUM(K9:K28)&gt;0,SUM(K33:N38)&gt;0),F43+G43,"")</f>
        <v>153000</v>
      </c>
      <c r="I43" s="1"/>
      <c r="J43" s="1"/>
      <c r="K43" s="1"/>
      <c r="L43" s="66"/>
      <c r="M43" s="66"/>
      <c r="N43" s="66"/>
      <c r="O43" s="66"/>
      <c r="P43" s="66"/>
      <c r="Q43" s="66"/>
      <c r="R43" s="66"/>
      <c r="S43" s="67"/>
    </row>
    <row r="44" spans="1:19" ht="19" customHeight="1" x14ac:dyDescent="0.2">
      <c r="A44" s="1"/>
      <c r="B44" s="8" t="s">
        <v>260</v>
      </c>
      <c r="C44" s="22">
        <f t="array" ref="C44">ROUND(SUMPRODUCT(E9:E28*$C$9:$C$28*IFERROR(1/$J$9:$J$28,0)),0)</f>
        <v>19105</v>
      </c>
      <c r="D44" s="22">
        <f t="shared" si="4"/>
        <v>19395</v>
      </c>
      <c r="E44" s="22">
        <f>IF(OR(SUM(C9:C28)&gt;0,SUM(C33:F38)&gt;0),C44+D44,"")</f>
        <v>38500</v>
      </c>
      <c r="F44" s="22">
        <f t="array" ref="F44">ROUND(SUMPRODUCT(M9:M28*$K$9:$K$28*IFERROR(1/$R$9:$R$28,0)),0)</f>
        <v>37775</v>
      </c>
      <c r="G44" s="22">
        <f t="shared" si="5"/>
        <v>38275</v>
      </c>
      <c r="H44" s="22">
        <f>IF(OR(SUM(K9:K28)&gt;0,SUM(K33:N38)&gt;0),F44+G44,"")</f>
        <v>76050</v>
      </c>
      <c r="I44" s="1"/>
      <c r="J44" s="1"/>
      <c r="K44" s="1"/>
      <c r="L44" s="66"/>
      <c r="M44" s="66"/>
      <c r="N44" s="66"/>
      <c r="O44" s="66"/>
      <c r="P44" s="66"/>
      <c r="Q44" s="66"/>
      <c r="R44" s="66"/>
      <c r="S44" s="67"/>
    </row>
    <row r="45" spans="1:19" ht="19" customHeight="1" x14ac:dyDescent="0.2">
      <c r="A45" s="1"/>
      <c r="B45" s="8" t="s">
        <v>261</v>
      </c>
      <c r="C45" s="22">
        <f t="array" ref="C45">ROUND(SUMPRODUCT(F9:F28*$C$9:$C$28*IFERROR(1/$J$9:$J$28,0)),0)</f>
        <v>44048</v>
      </c>
      <c r="D45" s="22">
        <f t="shared" si="4"/>
        <v>35952</v>
      </c>
      <c r="E45" s="22">
        <f>IF(OR(SUM(C9:C28)&gt;0,SUM(C33:F38)&gt;0),C45+D45,"")</f>
        <v>80000</v>
      </c>
      <c r="F45" s="22">
        <f t="array" ref="F45">ROUND(SUMPRODUCT(N9:N28*$K$9:$K$28*IFERROR(1/$R$9:$R$28,0)),0)</f>
        <v>20948</v>
      </c>
      <c r="G45" s="22">
        <f t="shared" si="5"/>
        <v>13052</v>
      </c>
      <c r="H45" s="22">
        <f>IF(OR(SUM(K9:K28)&gt;0,SUM(K33:N38)&gt;0),F45+G45,"")</f>
        <v>34000</v>
      </c>
      <c r="I45" s="1"/>
      <c r="J45" s="1"/>
      <c r="K45" s="1"/>
      <c r="L45" s="66"/>
      <c r="M45" s="66"/>
      <c r="N45" s="66"/>
      <c r="O45" s="66"/>
      <c r="P45" s="66"/>
      <c r="Q45" s="66"/>
      <c r="R45" s="66"/>
      <c r="S45" s="67"/>
    </row>
    <row r="46" spans="1:19" ht="19" customHeight="1" x14ac:dyDescent="0.2">
      <c r="A46" s="1"/>
      <c r="B46" s="8" t="s">
        <v>262</v>
      </c>
      <c r="C46" s="22">
        <f t="array" ref="C46">ROUND(SUMPRODUCT(G9:G28*$C$9:$C$28*IFERROR(1/$J$9:$J$28,0)),0)</f>
        <v>33419</v>
      </c>
      <c r="D46" s="22">
        <f t="shared" si="4"/>
        <v>17581</v>
      </c>
      <c r="E46" s="22">
        <f>IF(OR(SUM(C9:C28)&gt;0,SUM(C33:F38)&gt;0),C46+D46,"")</f>
        <v>51000</v>
      </c>
      <c r="F46" s="22">
        <f t="array" ref="F46">ROUND(SUMPRODUCT(O9:O28*$K$9:$K$28*IFERROR(1/$R$9:$R$28,0)),0)</f>
        <v>42681</v>
      </c>
      <c r="G46" s="22">
        <f t="shared" si="5"/>
        <v>24819</v>
      </c>
      <c r="H46" s="22">
        <f>IF(OR(SUM(K9:K28)&gt;0,SUM(K33:N38)&gt;0),F46+G46,"")</f>
        <v>67500</v>
      </c>
      <c r="I46" s="1"/>
      <c r="J46" s="1"/>
      <c r="K46" s="1"/>
      <c r="L46" s="66"/>
      <c r="M46" s="66"/>
      <c r="N46" s="66"/>
      <c r="O46" s="66"/>
      <c r="P46" s="66"/>
      <c r="Q46" s="66"/>
      <c r="R46" s="66"/>
      <c r="S46" s="67"/>
    </row>
    <row r="47" spans="1:19" ht="19" customHeight="1" x14ac:dyDescent="0.2">
      <c r="A47" s="1"/>
      <c r="B47" s="8" t="s">
        <v>88</v>
      </c>
      <c r="C47" s="22">
        <f t="array" ref="C47">ROUND(SUMPRODUCT(H9:H28*$C$9:$C$28*IFERROR(1/$J$9:$J$28,0)),0)</f>
        <v>0</v>
      </c>
      <c r="D47" s="22">
        <f t="shared" si="4"/>
        <v>0</v>
      </c>
      <c r="E47" s="22">
        <f>IF(OR(SUM(C9:C28)&gt;0,SUM(C33:F38)&gt;0),C47+D47,"")</f>
        <v>0</v>
      </c>
      <c r="F47" s="22">
        <f t="array" ref="F47">ROUND(SUMPRODUCT(P9:P28*$K$9:$K$28*IFERROR(1/$R$9:$R$28,0)),0)</f>
        <v>0</v>
      </c>
      <c r="G47" s="22">
        <f t="shared" si="5"/>
        <v>0</v>
      </c>
      <c r="H47" s="22">
        <f>IF(OR(SUM(K9:K28)&gt;0,SUM(K33:N38)&gt;0),F47+G47,"")</f>
        <v>0</v>
      </c>
      <c r="I47" s="1"/>
      <c r="J47" s="1"/>
      <c r="K47" s="1"/>
      <c r="L47" s="66"/>
      <c r="M47" s="66"/>
      <c r="N47" s="66"/>
      <c r="O47" s="66"/>
      <c r="P47" s="66"/>
      <c r="Q47" s="66"/>
      <c r="R47" s="66"/>
      <c r="S47" s="67"/>
    </row>
    <row r="48" spans="1:19" ht="19" customHeight="1" x14ac:dyDescent="0.2">
      <c r="A48" s="1"/>
      <c r="B48" s="8" t="s">
        <v>91</v>
      </c>
      <c r="C48" s="22">
        <f t="array" ref="C48">ROUND(SUMPRODUCT(I9:I28*$C$9:$C$28*IFERROR(1/$J$9:$J$28,0)),0)</f>
        <v>0</v>
      </c>
      <c r="D48" s="22">
        <f t="shared" si="4"/>
        <v>0</v>
      </c>
      <c r="E48" s="22">
        <f>IF(OR(SUM(C9:C28)&gt;0,SUM(C33:F38)&gt;0),C48+D48,"")</f>
        <v>0</v>
      </c>
      <c r="F48" s="22">
        <f t="array" ref="F48">ROUND(SUMPRODUCT(Q9:Q28*$K$9:$K$28*IFERROR(1/$R$9:$R$28,0)),0)</f>
        <v>0</v>
      </c>
      <c r="G48" s="22">
        <f t="shared" si="5"/>
        <v>0</v>
      </c>
      <c r="H48" s="22">
        <f>IF(OR(SUM(K9:K28)&gt;0,SUM(K33:N38)&gt;0),F48+G48,"")</f>
        <v>0</v>
      </c>
      <c r="I48" s="1"/>
      <c r="J48" s="1"/>
      <c r="K48" s="1"/>
      <c r="L48" s="66"/>
      <c r="M48" s="66"/>
      <c r="N48" s="66"/>
      <c r="O48" s="66"/>
      <c r="P48" s="66"/>
      <c r="Q48" s="66"/>
      <c r="R48" s="66"/>
      <c r="S48" s="67"/>
    </row>
    <row r="49" spans="1:19" x14ac:dyDescent="0.2">
      <c r="A49" s="1"/>
      <c r="B49" s="1"/>
      <c r="C49" s="1"/>
      <c r="D49" s="1"/>
      <c r="E49" s="1"/>
      <c r="F49" s="1"/>
      <c r="G49" s="1"/>
      <c r="H49" s="1"/>
      <c r="I49" s="1"/>
      <c r="J49" s="1"/>
      <c r="K49" s="1"/>
      <c r="L49" s="66"/>
      <c r="M49" s="66"/>
      <c r="N49" s="66"/>
      <c r="O49" s="66"/>
      <c r="P49" s="66"/>
      <c r="Q49" s="66"/>
      <c r="R49" s="66"/>
      <c r="S49" s="67"/>
    </row>
    <row r="50" spans="1:19" x14ac:dyDescent="0.2">
      <c r="A50" s="1"/>
      <c r="B50" s="1"/>
      <c r="C50" s="1"/>
      <c r="D50" s="1"/>
      <c r="E50" s="1"/>
      <c r="F50" s="1"/>
      <c r="G50" s="1"/>
      <c r="H50" s="1"/>
      <c r="I50" s="1"/>
      <c r="J50" s="1"/>
      <c r="K50" s="1"/>
      <c r="L50" s="66"/>
      <c r="M50" s="66"/>
      <c r="N50" s="66"/>
      <c r="O50" s="66"/>
      <c r="P50" s="66"/>
      <c r="Q50" s="66"/>
      <c r="R50" s="66"/>
      <c r="S50" s="67"/>
    </row>
    <row r="51" spans="1:19" ht="22" customHeight="1" x14ac:dyDescent="0.2">
      <c r="A51" s="1"/>
      <c r="B51" s="5" t="s">
        <v>270</v>
      </c>
      <c r="C51" s="1"/>
      <c r="D51" s="1"/>
      <c r="E51" s="1"/>
      <c r="F51" s="1"/>
      <c r="G51" s="1"/>
      <c r="H51" s="1"/>
      <c r="I51" s="1"/>
      <c r="J51" s="1"/>
      <c r="K51" s="1"/>
      <c r="L51" s="66"/>
      <c r="M51" s="66"/>
      <c r="N51" s="66"/>
      <c r="O51" s="66"/>
      <c r="P51" s="66"/>
      <c r="Q51" s="66"/>
      <c r="R51" s="66"/>
      <c r="S51" s="67"/>
    </row>
    <row r="52" spans="1:19" ht="20" customHeight="1" x14ac:dyDescent="0.2">
      <c r="A52" s="1"/>
      <c r="B52" s="8" t="s">
        <v>271</v>
      </c>
      <c r="C52" s="62">
        <f>SUM(E43:E48)</f>
        <v>321500</v>
      </c>
      <c r="D52" s="1"/>
      <c r="E52" s="1"/>
      <c r="F52" s="62">
        <f>SUM(H43:H48)</f>
        <v>330550</v>
      </c>
      <c r="G52" s="1"/>
      <c r="H52" s="1"/>
      <c r="I52" s="1"/>
      <c r="J52" s="1"/>
      <c r="K52" s="1"/>
      <c r="L52" s="66"/>
      <c r="M52" s="66"/>
      <c r="N52" s="66"/>
      <c r="O52" s="66"/>
      <c r="P52" s="66"/>
      <c r="Q52" s="66"/>
      <c r="R52" s="66"/>
      <c r="S52" s="67"/>
    </row>
    <row r="53" spans="1:19" ht="20" customHeight="1" x14ac:dyDescent="0.2">
      <c r="A53" s="1"/>
      <c r="B53" s="8" t="s">
        <v>272</v>
      </c>
      <c r="C53" s="21">
        <v>321500</v>
      </c>
      <c r="D53" s="1"/>
      <c r="E53" s="1"/>
      <c r="F53" s="21">
        <v>330550</v>
      </c>
      <c r="G53" s="1"/>
      <c r="H53" s="1"/>
      <c r="I53" s="1"/>
      <c r="J53" s="1"/>
      <c r="K53" s="1"/>
      <c r="L53" s="66"/>
      <c r="M53" s="66"/>
      <c r="N53" s="66"/>
      <c r="O53" s="66"/>
      <c r="P53" s="66"/>
      <c r="Q53" s="66"/>
      <c r="R53" s="66"/>
      <c r="S53" s="67"/>
    </row>
    <row r="54" spans="1:19" ht="20" customHeight="1" x14ac:dyDescent="0.2">
      <c r="A54" s="1"/>
      <c r="B54" s="8" t="s">
        <v>273</v>
      </c>
      <c r="C54" s="22">
        <f>C52-C53</f>
        <v>0</v>
      </c>
      <c r="D54" s="1"/>
      <c r="E54" s="1"/>
      <c r="F54" s="22">
        <f>F52-F53</f>
        <v>0</v>
      </c>
      <c r="G54" s="1"/>
      <c r="H54" s="1"/>
      <c r="I54" s="1"/>
      <c r="J54" s="1"/>
      <c r="K54" s="1"/>
      <c r="L54" s="66"/>
      <c r="M54" s="66"/>
      <c r="N54" s="66"/>
      <c r="O54" s="66"/>
      <c r="P54" s="66"/>
      <c r="Q54" s="66"/>
      <c r="R54" s="66"/>
      <c r="S54" s="67"/>
    </row>
    <row r="55" spans="1:19" ht="22" customHeight="1" x14ac:dyDescent="0.2">
      <c r="A55" s="1"/>
      <c r="B55" s="8" t="s">
        <v>274</v>
      </c>
      <c r="C55" s="95" t="str">
        <f>IF(AND(C53=0,F53=0),"Enter your P&amp;L total direct cost to check the allocation",IF(AND(OR(C53=0,ABS(C54)&lt;=0.01*C53),OR(F53=0,ABS(F54)&lt;=0.01*F53)),"PASS - allocation ties to P&amp;L within tolerance","REVIEW - allocation does not match P&amp;L; check workforce hours or non-labour costs for missing entries"))</f>
        <v>PASS - allocation ties to P&amp;L within tolerance</v>
      </c>
      <c r="D55" s="72"/>
      <c r="E55" s="72"/>
      <c r="F55" s="72"/>
      <c r="G55" s="72"/>
      <c r="H55" s="72"/>
      <c r="I55" s="72"/>
      <c r="J55" s="72"/>
      <c r="K55" s="72"/>
      <c r="L55" s="72"/>
      <c r="M55" s="72"/>
      <c r="N55" s="72"/>
      <c r="O55" s="72"/>
      <c r="P55" s="72"/>
      <c r="Q55" s="72"/>
      <c r="R55" s="72"/>
      <c r="S55" s="67"/>
    </row>
    <row r="56" spans="1:19" x14ac:dyDescent="0.2">
      <c r="A56" s="1"/>
      <c r="B56" s="1"/>
      <c r="C56" s="1"/>
      <c r="D56" s="1"/>
      <c r="E56" s="1"/>
      <c r="F56" s="1"/>
      <c r="G56" s="1"/>
      <c r="H56" s="1"/>
      <c r="I56" s="1"/>
      <c r="J56" s="1"/>
      <c r="K56" s="1"/>
      <c r="L56" s="66"/>
      <c r="M56" s="66"/>
      <c r="N56" s="66"/>
      <c r="O56" s="66"/>
      <c r="P56" s="66"/>
      <c r="Q56" s="66"/>
      <c r="R56" s="66"/>
      <c r="S56" s="67"/>
    </row>
    <row r="57" spans="1:19" x14ac:dyDescent="0.2">
      <c r="A57" s="1"/>
      <c r="B57" s="10" t="s">
        <v>275</v>
      </c>
      <c r="C57" s="1"/>
      <c r="D57" s="1"/>
      <c r="E57" s="1"/>
      <c r="F57" s="1"/>
      <c r="G57" s="1"/>
      <c r="H57" s="1"/>
      <c r="I57" s="1"/>
      <c r="J57" s="1"/>
      <c r="K57" s="1"/>
      <c r="L57" s="66"/>
      <c r="M57" s="66"/>
      <c r="N57" s="66"/>
      <c r="O57" s="66"/>
      <c r="P57" s="66"/>
      <c r="Q57" s="66"/>
      <c r="R57" s="66"/>
      <c r="S57" s="67"/>
    </row>
    <row r="58" spans="1:19" x14ac:dyDescent="0.2">
      <c r="A58" s="1"/>
      <c r="B58" s="1"/>
      <c r="C58" s="1"/>
      <c r="D58" s="1"/>
      <c r="E58" s="1"/>
      <c r="F58" s="1"/>
      <c r="G58" s="1"/>
      <c r="H58" s="1"/>
      <c r="I58" s="1"/>
      <c r="J58" s="1"/>
      <c r="K58" s="1"/>
      <c r="L58" s="66"/>
      <c r="M58" s="66"/>
      <c r="N58" s="66"/>
      <c r="O58" s="66"/>
      <c r="P58" s="66"/>
      <c r="Q58" s="66"/>
      <c r="R58" s="66"/>
      <c r="S58" s="67"/>
    </row>
  </sheetData>
  <mergeCells count="5">
    <mergeCell ref="B3:G3"/>
    <mergeCell ref="C55:R55"/>
    <mergeCell ref="B5:R5"/>
    <mergeCell ref="H3:J3"/>
    <mergeCell ref="C2:F2"/>
  </mergeCells>
  <printOptions horizontalCentered="1"/>
  <pageMargins left="0.4" right="0.4" top="0.5" bottom="0.5" header="0.3" footer="0.3"/>
  <pageSetup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254</vt:i4>
      </vt:variant>
    </vt:vector>
  </HeadingPairs>
  <TitlesOfParts>
    <vt:vector size="259" baseType="lpstr">
      <vt:lpstr>Read Me</vt:lpstr>
      <vt:lpstr>Bridge</vt:lpstr>
      <vt:lpstr>Direct Cost Allocator</vt:lpstr>
      <vt:lpstr>Sample</vt:lpstr>
      <vt:lpstr>Sample Allocator</vt:lpstr>
      <vt:lpstr>Bridge!alloc_dc_a_sl1</vt:lpstr>
      <vt:lpstr>Sample!alloc_dc_a_sl1</vt:lpstr>
      <vt:lpstr>Bridge!alloc_dc_a_sl2</vt:lpstr>
      <vt:lpstr>Sample!alloc_dc_a_sl2</vt:lpstr>
      <vt:lpstr>Bridge!alloc_dc_a_sl3</vt:lpstr>
      <vt:lpstr>Sample!alloc_dc_a_sl3</vt:lpstr>
      <vt:lpstr>Bridge!alloc_dc_a_sl4</vt:lpstr>
      <vt:lpstr>Sample!alloc_dc_a_sl4</vt:lpstr>
      <vt:lpstr>Bridge!alloc_dc_a_sl5</vt:lpstr>
      <vt:lpstr>Sample!alloc_dc_a_sl5</vt:lpstr>
      <vt:lpstr>Bridge!alloc_dc_a_sl6</vt:lpstr>
      <vt:lpstr>Sample!alloc_dc_a_sl6</vt:lpstr>
      <vt:lpstr>Bridge!alloc_dc_b_sl1</vt:lpstr>
      <vt:lpstr>Sample!alloc_dc_b_sl1</vt:lpstr>
      <vt:lpstr>Bridge!alloc_dc_b_sl2</vt:lpstr>
      <vt:lpstr>Sample!alloc_dc_b_sl2</vt:lpstr>
      <vt:lpstr>Bridge!alloc_dc_b_sl3</vt:lpstr>
      <vt:lpstr>Sample!alloc_dc_b_sl3</vt:lpstr>
      <vt:lpstr>Bridge!alloc_dc_b_sl4</vt:lpstr>
      <vt:lpstr>Sample!alloc_dc_b_sl4</vt:lpstr>
      <vt:lpstr>Bridge!alloc_dc_b_sl5</vt:lpstr>
      <vt:lpstr>Sample!alloc_dc_b_sl5</vt:lpstr>
      <vt:lpstr>Bridge!alloc_dc_b_sl6</vt:lpstr>
      <vt:lpstr>Sample!alloc_dc_b_sl6</vt:lpstr>
      <vt:lpstr>Bridge!calc_eff_cost_d</vt:lpstr>
      <vt:lpstr>Sample!calc_eff_cost_d</vt:lpstr>
      <vt:lpstr>Bridge!calc_eff_cost_pt</vt:lpstr>
      <vt:lpstr>Sample!calc_eff_cost_pt</vt:lpstr>
      <vt:lpstr>Bridge!calc_eff_mix_d</vt:lpstr>
      <vt:lpstr>Sample!calc_eff_mix_d</vt:lpstr>
      <vt:lpstr>Bridge!calc_eff_mix_pt</vt:lpstr>
      <vt:lpstr>Sample!calc_eff_mix_pt</vt:lpstr>
      <vt:lpstr>Bridge!calc_eff_rate_d</vt:lpstr>
      <vt:lpstr>Sample!calc_eff_rate_d</vt:lpstr>
      <vt:lpstr>Bridge!calc_eff_rate_pt</vt:lpstr>
      <vt:lpstr>Sample!calc_eff_rate_pt</vt:lpstr>
      <vt:lpstr>Bridge!calc_eff_util_d</vt:lpstr>
      <vt:lpstr>Sample!calc_eff_util_d</vt:lpstr>
      <vt:lpstr>Bridge!calc_eff_util_pt</vt:lpstr>
      <vt:lpstr>Sample!calc_eff_util_pt</vt:lpstr>
      <vt:lpstr>Bridge!calc_eff_volume_d</vt:lpstr>
      <vt:lpstr>Sample!calc_eff_volume_d</vt:lpstr>
      <vt:lpstr>Bridge!calc_eff_volume_pt</vt:lpstr>
      <vt:lpstr>Sample!calc_eff_volume_pt</vt:lpstr>
      <vt:lpstr>Bridge!calc_F_A</vt:lpstr>
      <vt:lpstr>Sample!calc_F_A</vt:lpstr>
      <vt:lpstr>Bridge!calc_F_B</vt:lpstr>
      <vt:lpstr>Sample!calc_F_B</vt:lpstr>
      <vt:lpstr>Bridge!calc_GM_A</vt:lpstr>
      <vt:lpstr>Sample!calc_GM_A</vt:lpstr>
      <vt:lpstr>Bridge!calc_GM_B</vt:lpstr>
      <vt:lpstr>Sample!calc_GM_B</vt:lpstr>
      <vt:lpstr>Bridge!calc_GP_A</vt:lpstr>
      <vt:lpstr>Sample!calc_GP_A</vt:lpstr>
      <vt:lpstr>Bridge!calc_GP_B</vt:lpstr>
      <vt:lpstr>Sample!calc_GP_B</vt:lpstr>
      <vt:lpstr>Bridge!calc_H_A</vt:lpstr>
      <vt:lpstr>Sample!calc_H_A</vt:lpstr>
      <vt:lpstr>Bridge!calc_H_B</vt:lpstr>
      <vt:lpstr>Sample!calc_H_B</vt:lpstr>
      <vt:lpstr>Bridge!calc_R_A</vt:lpstr>
      <vt:lpstr>Sample!calc_R_A</vt:lpstr>
      <vt:lpstr>Bridge!calc_R_B</vt:lpstr>
      <vt:lpstr>Sample!calc_R_B</vt:lpstr>
      <vt:lpstr>Bridge!calc_R_walk_2</vt:lpstr>
      <vt:lpstr>Sample!calc_R_walk_2</vt:lpstr>
      <vt:lpstr>Bridge!calc_sum_hA_cA</vt:lpstr>
      <vt:lpstr>Sample!calc_sum_hA_cA</vt:lpstr>
      <vt:lpstr>Bridge!calc_sum_hA_rA</vt:lpstr>
      <vt:lpstr>Sample!calc_sum_hA_rA</vt:lpstr>
      <vt:lpstr>Bridge!calc_sum_hA_rB</vt:lpstr>
      <vt:lpstr>Sample!calc_sum_hA_rB</vt:lpstr>
      <vt:lpstr>Bridge!calc_sum_hB_cA</vt:lpstr>
      <vt:lpstr>Sample!calc_sum_hB_cA</vt:lpstr>
      <vt:lpstr>Bridge!calc_sum_hB_cB</vt:lpstr>
      <vt:lpstr>Sample!calc_sum_hB_cB</vt:lpstr>
      <vt:lpstr>Bridge!calc_sum_hB_rB</vt:lpstr>
      <vt:lpstr>Sample!calc_sum_hB_rB</vt:lpstr>
      <vt:lpstr>Bridge!calc_U_A</vt:lpstr>
      <vt:lpstr>Sample!calc_U_A</vt:lpstr>
      <vt:lpstr>Bridge!calc_U_B</vt:lpstr>
      <vt:lpstr>Sample!calc_U_B</vt:lpstr>
      <vt:lpstr>Bridge!calc_VC_A</vt:lpstr>
      <vt:lpstr>Sample!calc_VC_A</vt:lpstr>
      <vt:lpstr>Bridge!calc_VC_B</vt:lpstr>
      <vt:lpstr>Sample!calc_VC_B</vt:lpstr>
      <vt:lpstr>Bridge!calc_VC_walk_2</vt:lpstr>
      <vt:lpstr>Sample!calc_VC_walk_2</vt:lpstr>
      <vt:lpstr>Bridge!inp_a_capacity</vt:lpstr>
      <vt:lpstr>Sample!inp_a_capacity</vt:lpstr>
      <vt:lpstr>Bridge!inp_a_fixed</vt:lpstr>
      <vt:lpstr>Sample!inp_a_fixed</vt:lpstr>
      <vt:lpstr>Bridge!inp_a_opex</vt:lpstr>
      <vt:lpstr>Sample!inp_a_opex</vt:lpstr>
      <vt:lpstr>Bridge!inp_a_sl1_dcost</vt:lpstr>
      <vt:lpstr>Sample!inp_a_sl1_dcost</vt:lpstr>
      <vt:lpstr>Bridge!inp_a_sl1_hours</vt:lpstr>
      <vt:lpstr>Sample!inp_a_sl1_hours</vt:lpstr>
      <vt:lpstr>Bridge!inp_a_sl1_label</vt:lpstr>
      <vt:lpstr>Sample!inp_a_sl1_label</vt:lpstr>
      <vt:lpstr>Bridge!inp_a_sl1_revenue</vt:lpstr>
      <vt:lpstr>Sample!inp_a_sl1_revenue</vt:lpstr>
      <vt:lpstr>Bridge!inp_a_sl2_dcost</vt:lpstr>
      <vt:lpstr>Sample!inp_a_sl2_dcost</vt:lpstr>
      <vt:lpstr>Bridge!inp_a_sl2_hours</vt:lpstr>
      <vt:lpstr>Sample!inp_a_sl2_hours</vt:lpstr>
      <vt:lpstr>Bridge!inp_a_sl2_label</vt:lpstr>
      <vt:lpstr>Sample!inp_a_sl2_label</vt:lpstr>
      <vt:lpstr>Bridge!inp_a_sl2_revenue</vt:lpstr>
      <vt:lpstr>Sample!inp_a_sl2_revenue</vt:lpstr>
      <vt:lpstr>Bridge!inp_a_sl3_dcost</vt:lpstr>
      <vt:lpstr>Sample!inp_a_sl3_dcost</vt:lpstr>
      <vt:lpstr>Bridge!inp_a_sl3_hours</vt:lpstr>
      <vt:lpstr>Sample!inp_a_sl3_hours</vt:lpstr>
      <vt:lpstr>Bridge!inp_a_sl3_label</vt:lpstr>
      <vt:lpstr>Sample!inp_a_sl3_label</vt:lpstr>
      <vt:lpstr>Bridge!inp_a_sl3_revenue</vt:lpstr>
      <vt:lpstr>Sample!inp_a_sl3_revenue</vt:lpstr>
      <vt:lpstr>Bridge!inp_a_sl4_dcost</vt:lpstr>
      <vt:lpstr>Sample!inp_a_sl4_dcost</vt:lpstr>
      <vt:lpstr>Bridge!inp_a_sl4_hours</vt:lpstr>
      <vt:lpstr>Sample!inp_a_sl4_hours</vt:lpstr>
      <vt:lpstr>Bridge!inp_a_sl4_label</vt:lpstr>
      <vt:lpstr>Sample!inp_a_sl4_label</vt:lpstr>
      <vt:lpstr>Bridge!inp_a_sl4_revenue</vt:lpstr>
      <vt:lpstr>Sample!inp_a_sl4_revenue</vt:lpstr>
      <vt:lpstr>Bridge!inp_a_sl5_dcost</vt:lpstr>
      <vt:lpstr>Sample!inp_a_sl5_dcost</vt:lpstr>
      <vt:lpstr>Bridge!inp_a_sl5_hours</vt:lpstr>
      <vt:lpstr>Sample!inp_a_sl5_hours</vt:lpstr>
      <vt:lpstr>Bridge!inp_a_sl5_label</vt:lpstr>
      <vt:lpstr>Sample!inp_a_sl5_label</vt:lpstr>
      <vt:lpstr>Bridge!inp_a_sl5_revenue</vt:lpstr>
      <vt:lpstr>Sample!inp_a_sl5_revenue</vt:lpstr>
      <vt:lpstr>Bridge!inp_a_sl6_dcost</vt:lpstr>
      <vt:lpstr>Sample!inp_a_sl6_dcost</vt:lpstr>
      <vt:lpstr>Bridge!inp_a_sl6_hours</vt:lpstr>
      <vt:lpstr>Sample!inp_a_sl6_hours</vt:lpstr>
      <vt:lpstr>Bridge!inp_a_sl6_label</vt:lpstr>
      <vt:lpstr>Sample!inp_a_sl6_label</vt:lpstr>
      <vt:lpstr>Bridge!inp_a_sl6_revenue</vt:lpstr>
      <vt:lpstr>Sample!inp_a_sl6_revenue</vt:lpstr>
      <vt:lpstr>Bridge!inp_b_capacity</vt:lpstr>
      <vt:lpstr>Sample!inp_b_capacity</vt:lpstr>
      <vt:lpstr>Bridge!inp_b_fixed</vt:lpstr>
      <vt:lpstr>Sample!inp_b_fixed</vt:lpstr>
      <vt:lpstr>Bridge!inp_b_opex</vt:lpstr>
      <vt:lpstr>Sample!inp_b_opex</vt:lpstr>
      <vt:lpstr>Bridge!inp_b_sl1_dcost</vt:lpstr>
      <vt:lpstr>Sample!inp_b_sl1_dcost</vt:lpstr>
      <vt:lpstr>Bridge!inp_b_sl1_hours</vt:lpstr>
      <vt:lpstr>Sample!inp_b_sl1_hours</vt:lpstr>
      <vt:lpstr>Bridge!inp_b_sl1_label</vt:lpstr>
      <vt:lpstr>Sample!inp_b_sl1_label</vt:lpstr>
      <vt:lpstr>Bridge!inp_b_sl1_revenue</vt:lpstr>
      <vt:lpstr>Sample!inp_b_sl1_revenue</vt:lpstr>
      <vt:lpstr>Bridge!inp_b_sl2_dcost</vt:lpstr>
      <vt:lpstr>Sample!inp_b_sl2_dcost</vt:lpstr>
      <vt:lpstr>Bridge!inp_b_sl2_hours</vt:lpstr>
      <vt:lpstr>Sample!inp_b_sl2_hours</vt:lpstr>
      <vt:lpstr>Bridge!inp_b_sl2_label</vt:lpstr>
      <vt:lpstr>Sample!inp_b_sl2_label</vt:lpstr>
      <vt:lpstr>Bridge!inp_b_sl2_revenue</vt:lpstr>
      <vt:lpstr>Sample!inp_b_sl2_revenue</vt:lpstr>
      <vt:lpstr>Bridge!inp_b_sl3_dcost</vt:lpstr>
      <vt:lpstr>Sample!inp_b_sl3_dcost</vt:lpstr>
      <vt:lpstr>Bridge!inp_b_sl3_hours</vt:lpstr>
      <vt:lpstr>Sample!inp_b_sl3_hours</vt:lpstr>
      <vt:lpstr>Bridge!inp_b_sl3_label</vt:lpstr>
      <vt:lpstr>Sample!inp_b_sl3_label</vt:lpstr>
      <vt:lpstr>Bridge!inp_b_sl3_revenue</vt:lpstr>
      <vt:lpstr>Sample!inp_b_sl3_revenue</vt:lpstr>
      <vt:lpstr>Bridge!inp_b_sl4_dcost</vt:lpstr>
      <vt:lpstr>Sample!inp_b_sl4_dcost</vt:lpstr>
      <vt:lpstr>Bridge!inp_b_sl4_hours</vt:lpstr>
      <vt:lpstr>Sample!inp_b_sl4_hours</vt:lpstr>
      <vt:lpstr>Bridge!inp_b_sl4_label</vt:lpstr>
      <vt:lpstr>Sample!inp_b_sl4_label</vt:lpstr>
      <vt:lpstr>Bridge!inp_b_sl4_revenue</vt:lpstr>
      <vt:lpstr>Sample!inp_b_sl4_revenue</vt:lpstr>
      <vt:lpstr>Bridge!inp_b_sl5_dcost</vt:lpstr>
      <vt:lpstr>Sample!inp_b_sl5_dcost</vt:lpstr>
      <vt:lpstr>Bridge!inp_b_sl5_hours</vt:lpstr>
      <vt:lpstr>Sample!inp_b_sl5_hours</vt:lpstr>
      <vt:lpstr>Bridge!inp_b_sl5_label</vt:lpstr>
      <vt:lpstr>Sample!inp_b_sl5_label</vt:lpstr>
      <vt:lpstr>Bridge!inp_b_sl5_revenue</vt:lpstr>
      <vt:lpstr>Sample!inp_b_sl5_revenue</vt:lpstr>
      <vt:lpstr>Bridge!inp_b_sl6_dcost</vt:lpstr>
      <vt:lpstr>Sample!inp_b_sl6_dcost</vt:lpstr>
      <vt:lpstr>Bridge!inp_b_sl6_hours</vt:lpstr>
      <vt:lpstr>Sample!inp_b_sl6_hours</vt:lpstr>
      <vt:lpstr>Bridge!inp_b_sl6_label</vt:lpstr>
      <vt:lpstr>Sample!inp_b_sl6_label</vt:lpstr>
      <vt:lpstr>Bridge!inp_b_sl6_revenue</vt:lpstr>
      <vt:lpstr>Sample!inp_b_sl6_revenue</vt:lpstr>
      <vt:lpstr>Bridge!inp_biz_currency_label</vt:lpstr>
      <vt:lpstr>Sample!inp_biz_currency_label</vt:lpstr>
      <vt:lpstr>Bridge!inp_biz_margin_level</vt:lpstr>
      <vt:lpstr>Sample!inp_biz_margin_level</vt:lpstr>
      <vt:lpstr>Bridge!inp_biz_name</vt:lpstr>
      <vt:lpstr>Sample!inp_biz_name</vt:lpstr>
      <vt:lpstr>Bridge!inp_biz_period_a_label</vt:lpstr>
      <vt:lpstr>Sample!inp_biz_period_a_label</vt:lpstr>
      <vt:lpstr>Bridge!inp_biz_period_b_label</vt:lpstr>
      <vt:lpstr>Sample!inp_biz_period_b_label</vt:lpstr>
      <vt:lpstr>Bridge!inp_biz_region</vt:lpstr>
      <vt:lpstr>Sample!inp_biz_region</vt:lpstr>
      <vt:lpstr>Bridge!inp_biz_residual_tol</vt:lpstr>
      <vt:lpstr>Sample!inp_biz_residual_tol</vt:lpstr>
      <vt:lpstr>Bridge!inp_biz_vertical</vt:lpstr>
      <vt:lpstr>Sample!inp_biz_vertical</vt:lpstr>
      <vt:lpstr>Bridge!inp_narr_cost</vt:lpstr>
      <vt:lpstr>Sample!inp_narr_cost</vt:lpstr>
      <vt:lpstr>Bridge!inp_narr_mix</vt:lpstr>
      <vt:lpstr>Sample!inp_narr_mix</vt:lpstr>
      <vt:lpstr>Bridge!inp_narr_rate</vt:lpstr>
      <vt:lpstr>Sample!inp_narr_rate</vt:lpstr>
      <vt:lpstr>Bridge!inp_narr_util</vt:lpstr>
      <vt:lpstr>Sample!inp_narr_util</vt:lpstr>
      <vt:lpstr>Bridge!inp_narr_volume</vt:lpstr>
      <vt:lpstr>Sample!inp_narr_volume</vt:lpstr>
      <vt:lpstr>Bridge!inp_sens_delta_pct</vt:lpstr>
      <vt:lpstr>Sample!inp_sens_delta_pct</vt:lpstr>
      <vt:lpstr>Bridge!inp_sens_variable</vt:lpstr>
      <vt:lpstr>Sample!inp_sens_variable</vt:lpstr>
      <vt:lpstr>Bridge!out_master_pass</vt:lpstr>
      <vt:lpstr>Sample!out_master_pass</vt:lpstr>
      <vt:lpstr>Bridge!Print_Area</vt:lpstr>
      <vt:lpstr>'Read Me'!Print_Area</vt:lpstr>
      <vt:lpstr>Sample!Print_Area</vt:lpstr>
      <vt:lpstr>Bridge!Print_Titles</vt:lpstr>
      <vt:lpstr>'Read Me'!Print_Titles</vt:lpstr>
      <vt:lpstr>Sample!Print_Titles</vt:lpstr>
      <vt:lpstr>Bridge!ref_region_codes</vt:lpstr>
      <vt:lpstr>Sample!ref_region_codes</vt:lpstr>
      <vt:lpstr>Bridge!ref_region_currency</vt:lpstr>
      <vt:lpstr>Sample!ref_region_currency</vt:lpstr>
      <vt:lpstr>Bridge!ref_region_note</vt:lpstr>
      <vt:lpstr>Sample!ref_region_note</vt:lpstr>
      <vt:lpstr>Bridge!ref_region_symbol</vt:lpstr>
      <vt:lpstr>Sample!ref_region_symbol</vt:lpstr>
      <vt:lpstr>Bridge!ref_vertical_codes</vt:lpstr>
      <vt:lpstr>Sample!ref_vertical_codes</vt:lpstr>
      <vt:lpstr>Bridge!ref_vertical_gm_hi</vt:lpstr>
      <vt:lpstr>Sample!ref_vertical_gm_hi</vt:lpstr>
      <vt:lpstr>Bridge!ref_vertical_gm_lo</vt:lpstr>
      <vt:lpstr>Sample!ref_vertical_gm_lo</vt:lpstr>
      <vt:lpstr>Bridge!ref_vertical_gm_mid</vt:lpstr>
      <vt:lpstr>Sample!ref_vertical_gm_mid</vt:lpstr>
      <vt:lpstr>Bridge!ref_vertical_labels</vt:lpstr>
      <vt:lpstr>Sample!ref_vertical_labels</vt:lpstr>
      <vt:lpstr>Bridge!ref_vertical_source</vt:lpstr>
      <vt:lpstr>Sample!ref_vertical_source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Infraxus, Margin Bridge and Variance Walk</dc:title>
  <dc:creator>Infraxus</dc:creator>
  <dc:description>Free margin bridge template for owner-operators of $2M–$15M services businesses across AU, NZ, and US. Decomposes margin movement between two periods into rate, volume, mix, cost-input, and utilization effects. Built by Infraxus, infraxus.com</dc:description>
  <cp:lastModifiedBy>Liam Collier</cp:lastModifiedBy>
  <dcterms:created xsi:type="dcterms:W3CDTF">2026-05-26T20:57:33Z</dcterms:created>
  <dcterms:modified xsi:type="dcterms:W3CDTF">2026-06-04T03:30:28Z</dcterms:modified>
</cp:coreProperties>
</file>