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4.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7.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mc:AlternateContent xmlns:mc="http://schemas.openxmlformats.org/markup-compatibility/2006">
    <mc:Choice Requires="x15">
      <x15ac:absPath xmlns:x15ac="http://schemas.microsoft.com/office/spreadsheetml/2010/11/ac" url="/Users/liamcollier/Desktop/"/>
    </mc:Choice>
  </mc:AlternateContent>
  <xr:revisionPtr revIDLastSave="0" documentId="13_ncr:1_{8CD0668B-0876-134C-BD57-D373AE39FF3D}" xr6:coauthVersionLast="47" xr6:coauthVersionMax="47" xr10:uidLastSave="{00000000-0000-0000-0000-000000000000}"/>
  <bookViews>
    <workbookView xWindow="51200" yWindow="620" windowWidth="51200" windowHeight="28180" xr2:uid="{00000000-000D-0000-FFFF-FFFF00000000}"/>
  </bookViews>
  <sheets>
    <sheet name="Read Me" sheetId="18" r:id="rId1"/>
    <sheet name="Data" sheetId="1" r:id="rId2"/>
    <sheet name="Monthly Dashboard" sheetId="14" r:id="rId3"/>
    <sheet name="YTD Dashboard" sheetId="15" r:id="rId4"/>
    <sheet name="Sample Data" sheetId="19" r:id="rId5"/>
    <sheet name="Sample Monthly Dashboard" sheetId="12" r:id="rId6"/>
    <sheet name="Sample YTD Dashboard" sheetId="13" r:id="rId7"/>
  </sheets>
  <definedNames>
    <definedName name="calc_dates" localSheetId="4">'Sample Data'!$C$31:$O$31</definedName>
    <definedName name="calc_dates">Data!$C$31:$O$31</definedName>
    <definedName name="calc_dec_first" localSheetId="4">'Sample Data'!$B$225</definedName>
    <definedName name="calc_dec_first">Data!$B$225</definedName>
    <definedName name="calc_def_label" localSheetId="4">'Sample Data'!$C$36</definedName>
    <definedName name="calc_def_label">Data!$C$36</definedName>
    <definedName name="calc_fy_label" localSheetId="4">'Sample Data'!$C$11</definedName>
    <definedName name="calc_fy_label">Data!$C$11</definedName>
    <definedName name="calc_fy_start_date" localSheetId="4">'Sample Data'!$C$35</definedName>
    <definedName name="calc_fy_start_date">Data!$C$35</definedName>
    <definedName name="calc_labels" localSheetId="4">'Sample Data'!$C$30:$O$30</definedName>
    <definedName name="calc_labels">Data!$C$30:$O$30</definedName>
    <definedName name="calc_sel_date" localSheetId="4">'Sample Data'!$C$34</definedName>
    <definedName name="calc_sel_date">Data!$C$34</definedName>
    <definedName name="calc_sel_idx" localSheetId="4">'Sample Data'!$C$33</definedName>
    <definedName name="calc_sel_idx">Data!$C$33</definedName>
    <definedName name="inp_biz_name" localSheetId="4">'Sample Data'!$C$6</definedName>
    <definedName name="inp_biz_name">Data!$C$6</definedName>
    <definedName name="inp_collprob_0" localSheetId="4">'Sample Data'!$C$210</definedName>
    <definedName name="inp_collprob_0">Data!$C$210</definedName>
    <definedName name="inp_collprob_1" localSheetId="4">'Sample Data'!$C$211</definedName>
    <definedName name="inp_collprob_1">Data!$C$211</definedName>
    <definedName name="inp_collprob_2" localSheetId="4">'Sample Data'!$C$212</definedName>
    <definedName name="inp_collprob_2">Data!$C$212</definedName>
    <definedName name="inp_collprob_3" localSheetId="4">'Sample Data'!$C$213</definedName>
    <definedName name="inp_collprob_3">Data!$C$213</definedName>
    <definedName name="inp_comment_big_move" localSheetId="4">'Sample Data'!$C$217:$O$217</definedName>
    <definedName name="inp_comment_big_move">Data!$C$217:$O$217</definedName>
    <definedName name="inp_comment_next_diff" localSheetId="4">'Sample Data'!$C$221:$O$221</definedName>
    <definedName name="inp_comment_next_diff">Data!$C$221:$O$221</definedName>
    <definedName name="inp_comment_structural" localSheetId="4">'Sample Data'!$C$220:$O$220</definedName>
    <definedName name="inp_comment_structural">Data!$C$220:$O$220</definedName>
    <definedName name="inp_comment_went_poor" localSheetId="4">'Sample Data'!$C$219:$O$219</definedName>
    <definedName name="inp_comment_went_poor">Data!$C$219:$O$219</definedName>
    <definedName name="inp_comment_went_well" localSheetId="4">'Sample Data'!$C$218:$O$218</definedName>
    <definedName name="inp_comment_went_well">Data!$C$218:$O$218</definedName>
    <definedName name="inp_currency" localSheetId="4">'Sample Data'!$C$8</definedName>
    <definedName name="inp_currency">Data!$C$8</definedName>
    <definedName name="inp_fy_start" localSheetId="4">'Sample Data'!$C$9</definedName>
    <definedName name="inp_fy_start">Data!$C$9</definedName>
    <definedName name="inp_latest_month" localSheetId="4">'Sample Data'!$C$10</definedName>
    <definedName name="inp_latest_month">Data!$C$10</definedName>
    <definedName name="inp_region" localSheetId="4">'Sample Data'!$C$7</definedName>
    <definedName name="inp_region">Data!$C$7</definedName>
    <definedName name="inp_sel_month">'Monthly Dashboard'!$AW$2</definedName>
    <definedName name="inp_tw_conc" localSheetId="4">'Sample Data'!$C$24</definedName>
    <definedName name="inp_tw_conc">Data!$C$24</definedName>
    <definedName name="inp_tw_dpo" localSheetId="4">'Sample Data'!$C$22</definedName>
    <definedName name="inp_tw_dpo">Data!$C$22</definedName>
    <definedName name="inp_tw_dso" localSheetId="4">'Sample Data'!$C$20</definedName>
    <definedName name="inp_tw_dso">Data!$C$20</definedName>
    <definedName name="inp_tw_gm" localSheetId="4">'Sample Data'!$C$16</definedName>
    <definedName name="inp_tw_gm">Data!$C$16</definedName>
    <definedName name="inp_tw_payroll" localSheetId="4">'Sample Data'!$C$26</definedName>
    <definedName name="inp_tw_payroll">Data!$C$26</definedName>
    <definedName name="inp_tw_util" localSheetId="4">'Sample Data'!$C$18</definedName>
    <definedName name="inp_tw_util">Data!$C$18</definedName>
    <definedName name="mst_pass" localSheetId="4">'Sample Data'!$L$248</definedName>
    <definedName name="mst_pass">Data!$L$248</definedName>
    <definedName name="mst_pass_ytd" localSheetId="4">'Sample Data'!$L$277</definedName>
    <definedName name="mst_pass_ytd">Data!$L$277</definedName>
    <definedName name="_xlnm.Print_Area" localSheetId="2">'Monthly Dashboard'!$A$1:$BN$57</definedName>
    <definedName name="_xlnm.Print_Area" localSheetId="0">'Read Me'!$A$1:$K$25</definedName>
    <definedName name="_xlnm.Print_Area" localSheetId="5">'Sample Monthly Dashboard'!$A$1:$BN$57</definedName>
    <definedName name="_xlnm.Print_Area" localSheetId="6">'Sample YTD Dashboard'!$A$1:$BN$57</definedName>
    <definedName name="_xlnm.Print_Area" localSheetId="3">'YTD Dashboard'!$A$1:$BN$57</definedName>
    <definedName name="_xlnm.Print_Titles" localSheetId="0">'Read Me'!$1:$4</definedName>
    <definedName name="scalc_dates">'Sample Data'!$C$31:$O$31</definedName>
    <definedName name="scalc_def_label">'Sample Data'!$C$36</definedName>
    <definedName name="scalc_fy_label">'Sample Data'!$C$11</definedName>
    <definedName name="scalc_fy_start_date">'Sample Data'!$C$35</definedName>
    <definedName name="scalc_labels">'Sample Data'!$C$30:$O$30</definedName>
    <definedName name="scalc_sel_date">'Sample Data'!$C$34</definedName>
    <definedName name="scalc_sel_idx">'Sample Data'!$C$33</definedName>
    <definedName name="sinp_collprob_0">'Sample Data'!$C$210</definedName>
    <definedName name="sinp_collprob_1">'Sample Data'!$C$211</definedName>
    <definedName name="sinp_collprob_2">'Sample Data'!$C$212</definedName>
    <definedName name="sinp_collprob_3">'Sample Data'!$C$213</definedName>
    <definedName name="sinp_comment_big_move">'Sample Data'!$C$217:$O$217</definedName>
    <definedName name="sinp_comment_next_diff">'Sample Data'!$C$221:$O$221</definedName>
    <definedName name="sinp_comment_structural">'Sample Data'!$C$220:$O$220</definedName>
    <definedName name="sinp_comment_went_poor">'Sample Data'!$C$219:$O$219</definedName>
    <definedName name="sinp_comment_went_well">'Sample Data'!$C$218:$O$218</definedName>
    <definedName name="sinp_fy_start">'Sample Data'!$C$9</definedName>
    <definedName name="sinp_latest_month">'Sample Data'!$C$10</definedName>
    <definedName name="sinp_region">'Sample Data'!$C$7</definedName>
    <definedName name="sinp_sel_month">'Sample Monthly Dashboard'!$AW$2</definedName>
    <definedName name="smst_pass">'Sample Data'!$L$248</definedName>
    <definedName name="smst_pass_ytd">'Sample Data'!$L$277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1" l="1"/>
  <c r="C8" i="19"/>
  <c r="C9" i="19"/>
  <c r="AG21" i="13"/>
  <c r="AO29" i="13"/>
  <c r="BA29" i="13"/>
  <c r="AG18" i="13"/>
  <c r="AG19" i="13"/>
  <c r="AG20" i="13"/>
  <c r="AG21" i="12"/>
  <c r="AO29" i="12"/>
  <c r="BA29" i="12"/>
  <c r="AG18" i="12"/>
  <c r="AG19" i="12"/>
  <c r="AG20" i="12"/>
  <c r="O71" i="19"/>
  <c r="O71" i="1"/>
  <c r="H306" i="19"/>
  <c r="C31" i="19"/>
  <c r="D31" i="19"/>
  <c r="E31" i="19"/>
  <c r="F31" i="19"/>
  <c r="G31" i="19"/>
  <c r="H31" i="19"/>
  <c r="I31" i="19"/>
  <c r="J31" i="19"/>
  <c r="K31" i="19"/>
  <c r="L31" i="19"/>
  <c r="M31" i="19"/>
  <c r="N31" i="19"/>
  <c r="O31" i="19"/>
  <c r="C12" i="19"/>
  <c r="R245" i="19"/>
  <c r="R244" i="19"/>
  <c r="R243" i="19"/>
  <c r="R242" i="19"/>
  <c r="R241" i="19"/>
  <c r="R240" i="19"/>
  <c r="R239" i="19"/>
  <c r="R238" i="19"/>
  <c r="O162" i="19"/>
  <c r="N162" i="19"/>
  <c r="M162" i="19"/>
  <c r="L162" i="19"/>
  <c r="K162" i="19"/>
  <c r="J162" i="19"/>
  <c r="I162" i="19"/>
  <c r="H162" i="19"/>
  <c r="G162" i="19"/>
  <c r="F162" i="19"/>
  <c r="E162" i="19"/>
  <c r="D162" i="19"/>
  <c r="C162" i="19"/>
  <c r="O161" i="19"/>
  <c r="N161" i="19"/>
  <c r="M161" i="19"/>
  <c r="L161" i="19"/>
  <c r="K161" i="19"/>
  <c r="J161" i="19"/>
  <c r="I161" i="19"/>
  <c r="H161" i="19"/>
  <c r="G161" i="19"/>
  <c r="F161" i="19"/>
  <c r="E161" i="19"/>
  <c r="D161" i="19"/>
  <c r="C161" i="19"/>
  <c r="O160" i="19"/>
  <c r="N160" i="19"/>
  <c r="M160" i="19"/>
  <c r="L160" i="19"/>
  <c r="K160" i="19"/>
  <c r="J160" i="19"/>
  <c r="I160" i="19"/>
  <c r="H160" i="19"/>
  <c r="G160" i="19"/>
  <c r="F160" i="19"/>
  <c r="E160" i="19"/>
  <c r="D160" i="19"/>
  <c r="C160" i="19"/>
  <c r="O117" i="19"/>
  <c r="N117" i="19"/>
  <c r="M117" i="19"/>
  <c r="L117" i="19"/>
  <c r="K117" i="19"/>
  <c r="J117" i="19"/>
  <c r="I117" i="19"/>
  <c r="H117" i="19"/>
  <c r="G117" i="19"/>
  <c r="F117" i="19"/>
  <c r="E117" i="19"/>
  <c r="D117" i="19"/>
  <c r="C117" i="19"/>
  <c r="O116" i="19"/>
  <c r="N116" i="19"/>
  <c r="M116" i="19"/>
  <c r="L116" i="19"/>
  <c r="K116" i="19"/>
  <c r="J116" i="19"/>
  <c r="I116" i="19"/>
  <c r="H116" i="19"/>
  <c r="G116" i="19"/>
  <c r="F116" i="19"/>
  <c r="E116" i="19"/>
  <c r="D116" i="19"/>
  <c r="C116" i="19"/>
  <c r="O115" i="19"/>
  <c r="N115" i="19"/>
  <c r="M115" i="19"/>
  <c r="L115" i="19"/>
  <c r="K115" i="19"/>
  <c r="J115" i="19"/>
  <c r="I115" i="19"/>
  <c r="H115" i="19"/>
  <c r="G115" i="19"/>
  <c r="F115" i="19"/>
  <c r="E115" i="19"/>
  <c r="D115" i="19"/>
  <c r="C115" i="19"/>
  <c r="O92" i="19"/>
  <c r="N92" i="19"/>
  <c r="M92" i="19"/>
  <c r="L92" i="19"/>
  <c r="K92" i="19"/>
  <c r="J92" i="19"/>
  <c r="I92" i="19"/>
  <c r="H92" i="19"/>
  <c r="G92" i="19"/>
  <c r="F92" i="19"/>
  <c r="E92" i="19"/>
  <c r="D92" i="19"/>
  <c r="C92" i="19"/>
  <c r="O91" i="19"/>
  <c r="N91" i="19"/>
  <c r="M91" i="19"/>
  <c r="L91" i="19"/>
  <c r="K91" i="19"/>
  <c r="J91" i="19"/>
  <c r="I91" i="19"/>
  <c r="H91" i="19"/>
  <c r="G91" i="19"/>
  <c r="F91" i="19"/>
  <c r="E91" i="19"/>
  <c r="D91" i="19"/>
  <c r="C91" i="19"/>
  <c r="O90" i="19"/>
  <c r="N90" i="19"/>
  <c r="M90" i="19"/>
  <c r="L90" i="19"/>
  <c r="K90" i="19"/>
  <c r="J90" i="19"/>
  <c r="I90" i="19"/>
  <c r="H90" i="19"/>
  <c r="G90" i="19"/>
  <c r="F90" i="19"/>
  <c r="E90" i="19"/>
  <c r="D90" i="19"/>
  <c r="C90" i="19"/>
  <c r="O73" i="19"/>
  <c r="N73" i="19"/>
  <c r="M73" i="19"/>
  <c r="L73" i="19"/>
  <c r="K73" i="19"/>
  <c r="J73" i="19"/>
  <c r="I73" i="19"/>
  <c r="H73" i="19"/>
  <c r="G73" i="19"/>
  <c r="F73" i="19"/>
  <c r="E73" i="19"/>
  <c r="D73" i="19"/>
  <c r="C73" i="19"/>
  <c r="O72" i="19"/>
  <c r="N72" i="19"/>
  <c r="M72" i="19"/>
  <c r="L72" i="19"/>
  <c r="K72" i="19"/>
  <c r="J72" i="19"/>
  <c r="I72" i="19"/>
  <c r="H72" i="19"/>
  <c r="G72" i="19"/>
  <c r="F72" i="19"/>
  <c r="E72" i="19"/>
  <c r="D72" i="19"/>
  <c r="C72" i="19"/>
  <c r="N71" i="19"/>
  <c r="M71" i="19"/>
  <c r="L71" i="19"/>
  <c r="K71" i="19"/>
  <c r="J71" i="19"/>
  <c r="I71" i="19"/>
  <c r="H71" i="19"/>
  <c r="G71" i="19"/>
  <c r="F71" i="19"/>
  <c r="E71" i="19"/>
  <c r="D71" i="19"/>
  <c r="C71" i="19"/>
  <c r="H306" i="1"/>
  <c r="C12" i="1"/>
  <c r="AG21" i="15"/>
  <c r="AO29" i="15"/>
  <c r="BA29" i="15"/>
  <c r="AG18" i="15"/>
  <c r="AG19" i="15"/>
  <c r="AG20" i="15"/>
  <c r="AG21" i="14"/>
  <c r="AO29" i="14"/>
  <c r="BA29" i="14"/>
  <c r="AG18" i="14"/>
  <c r="AG19" i="14"/>
  <c r="AG20" i="14"/>
  <c r="R245" i="1"/>
  <c r="R244" i="1"/>
  <c r="R243" i="1"/>
  <c r="R242" i="1"/>
  <c r="R241" i="1"/>
  <c r="R240" i="1"/>
  <c r="R239" i="1"/>
  <c r="R238" i="1"/>
  <c r="O162" i="1"/>
  <c r="N162" i="1"/>
  <c r="M162" i="1"/>
  <c r="L162" i="1"/>
  <c r="K162" i="1"/>
  <c r="J162" i="1"/>
  <c r="I162" i="1"/>
  <c r="H162" i="1"/>
  <c r="G162" i="1"/>
  <c r="F162" i="1"/>
  <c r="E162" i="1"/>
  <c r="D162" i="1"/>
  <c r="C162" i="1"/>
  <c r="O161" i="1"/>
  <c r="N161" i="1"/>
  <c r="M161" i="1"/>
  <c r="L161" i="1"/>
  <c r="K161" i="1"/>
  <c r="J161" i="1"/>
  <c r="I161" i="1"/>
  <c r="H161" i="1"/>
  <c r="G161" i="1"/>
  <c r="F161" i="1"/>
  <c r="E161" i="1"/>
  <c r="D161" i="1"/>
  <c r="C161" i="1"/>
  <c r="O160" i="1"/>
  <c r="N160" i="1"/>
  <c r="M160" i="1"/>
  <c r="L160" i="1"/>
  <c r="K160" i="1"/>
  <c r="J160" i="1"/>
  <c r="I160" i="1"/>
  <c r="H160" i="1"/>
  <c r="G160" i="1"/>
  <c r="F160" i="1"/>
  <c r="E160" i="1"/>
  <c r="D160" i="1"/>
  <c r="C160" i="1"/>
  <c r="O117" i="1"/>
  <c r="N117" i="1"/>
  <c r="M117" i="1"/>
  <c r="L117" i="1"/>
  <c r="K117" i="1"/>
  <c r="J117" i="1"/>
  <c r="I117" i="1"/>
  <c r="H117" i="1"/>
  <c r="G117" i="1"/>
  <c r="F117" i="1"/>
  <c r="E117" i="1"/>
  <c r="D117" i="1"/>
  <c r="C117" i="1"/>
  <c r="O116" i="1"/>
  <c r="N116" i="1"/>
  <c r="M116" i="1"/>
  <c r="L116" i="1"/>
  <c r="K116" i="1"/>
  <c r="J116" i="1"/>
  <c r="I116" i="1"/>
  <c r="H116" i="1"/>
  <c r="G116" i="1"/>
  <c r="F116" i="1"/>
  <c r="E116" i="1"/>
  <c r="D116" i="1"/>
  <c r="C116" i="1"/>
  <c r="O115" i="1"/>
  <c r="N115" i="1"/>
  <c r="M115" i="1"/>
  <c r="L115" i="1"/>
  <c r="K115" i="1"/>
  <c r="J115" i="1"/>
  <c r="I115" i="1"/>
  <c r="H115" i="1"/>
  <c r="G115" i="1"/>
  <c r="F115" i="1"/>
  <c r="E115" i="1"/>
  <c r="D115" i="1"/>
  <c r="C115" i="1"/>
  <c r="O92" i="1"/>
  <c r="N92" i="1"/>
  <c r="M92" i="1"/>
  <c r="L92" i="1"/>
  <c r="K92" i="1"/>
  <c r="J92" i="1"/>
  <c r="I92" i="1"/>
  <c r="H92" i="1"/>
  <c r="G92" i="1"/>
  <c r="F92" i="1"/>
  <c r="E92" i="1"/>
  <c r="D92" i="1"/>
  <c r="C92" i="1"/>
  <c r="O91" i="1"/>
  <c r="N91" i="1"/>
  <c r="M91" i="1"/>
  <c r="L91" i="1"/>
  <c r="K91" i="1"/>
  <c r="J91" i="1"/>
  <c r="I91" i="1"/>
  <c r="H91" i="1"/>
  <c r="G91" i="1"/>
  <c r="F91" i="1"/>
  <c r="E91" i="1"/>
  <c r="D91" i="1"/>
  <c r="C91" i="1"/>
  <c r="O90" i="1"/>
  <c r="N90" i="1"/>
  <c r="M90" i="1"/>
  <c r="L90" i="1"/>
  <c r="K90" i="1"/>
  <c r="J90" i="1"/>
  <c r="I90" i="1"/>
  <c r="H90" i="1"/>
  <c r="G90" i="1"/>
  <c r="F90" i="1"/>
  <c r="E90" i="1"/>
  <c r="D90" i="1"/>
  <c r="C90" i="1"/>
  <c r="O73" i="1"/>
  <c r="N73" i="1"/>
  <c r="M73" i="1"/>
  <c r="L73" i="1"/>
  <c r="K73" i="1"/>
  <c r="J73" i="1"/>
  <c r="I73" i="1"/>
  <c r="H73" i="1"/>
  <c r="G73" i="1"/>
  <c r="F73" i="1"/>
  <c r="E73" i="1"/>
  <c r="D73" i="1"/>
  <c r="C73" i="1"/>
  <c r="O72" i="1"/>
  <c r="N72" i="1"/>
  <c r="M72" i="1"/>
  <c r="L72" i="1"/>
  <c r="K72" i="1"/>
  <c r="J72" i="1"/>
  <c r="I72" i="1"/>
  <c r="H72" i="1"/>
  <c r="G72" i="1"/>
  <c r="F72" i="1"/>
  <c r="E72" i="1"/>
  <c r="D72" i="1"/>
  <c r="C72" i="1"/>
  <c r="N71" i="1"/>
  <c r="M71" i="1"/>
  <c r="L71" i="1"/>
  <c r="K71" i="1"/>
  <c r="J71" i="1"/>
  <c r="I71" i="1"/>
  <c r="H71" i="1"/>
  <c r="G71" i="1"/>
  <c r="F71" i="1"/>
  <c r="E71" i="1"/>
  <c r="D71" i="1"/>
  <c r="C71" i="1"/>
  <c r="O31" i="1"/>
  <c r="N31" i="1"/>
  <c r="M31" i="1"/>
  <c r="L31" i="1"/>
  <c r="K31" i="1"/>
  <c r="J31" i="1"/>
  <c r="I31" i="1"/>
  <c r="H31" i="1"/>
  <c r="G31" i="1"/>
  <c r="F31" i="1"/>
  <c r="F30" i="1" s="1"/>
  <c r="E31" i="1"/>
  <c r="D31" i="1"/>
  <c r="D30" i="1" s="1"/>
  <c r="C31" i="1"/>
  <c r="H30" i="1"/>
  <c r="G30" i="1"/>
  <c r="E30" i="1"/>
  <c r="C30" i="1"/>
  <c r="C9" i="1"/>
  <c r="O93" i="19" l="1"/>
  <c r="C93" i="19"/>
  <c r="N93" i="19"/>
  <c r="I93" i="19"/>
  <c r="J95" i="19"/>
  <c r="I95" i="19"/>
  <c r="H95" i="19"/>
  <c r="G95" i="19"/>
  <c r="F95" i="19"/>
  <c r="E95" i="19"/>
  <c r="D95" i="19"/>
  <c r="C95" i="19"/>
  <c r="O94" i="19"/>
  <c r="N94" i="19"/>
  <c r="M94" i="19"/>
  <c r="L94" i="19"/>
  <c r="K94" i="19"/>
  <c r="J94" i="19"/>
  <c r="I94" i="19"/>
  <c r="H94" i="19"/>
  <c r="G94" i="19"/>
  <c r="F94" i="19"/>
  <c r="E94" i="19"/>
  <c r="D94" i="19"/>
  <c r="C94" i="19"/>
  <c r="M93" i="19"/>
  <c r="L93" i="19"/>
  <c r="K93" i="19"/>
  <c r="J93" i="19"/>
  <c r="H93" i="19"/>
  <c r="G93" i="19"/>
  <c r="F93" i="19"/>
  <c r="E93" i="19"/>
  <c r="D93" i="19"/>
  <c r="C30" i="19"/>
  <c r="D30" i="19"/>
  <c r="E30" i="19"/>
  <c r="F30" i="19"/>
  <c r="G30" i="19"/>
  <c r="H30" i="19"/>
  <c r="I30" i="19"/>
  <c r="J30" i="19"/>
  <c r="K30" i="19"/>
  <c r="L30" i="19"/>
  <c r="M30" i="19"/>
  <c r="N30" i="19"/>
  <c r="O30" i="19"/>
  <c r="C36" i="19" s="1"/>
  <c r="O95" i="19"/>
  <c r="N95" i="19"/>
  <c r="N120" i="19" s="1"/>
  <c r="N133" i="19" s="1"/>
  <c r="M95" i="19"/>
  <c r="M120" i="19" s="1"/>
  <c r="M133" i="19" s="1"/>
  <c r="L95" i="19"/>
  <c r="L120" i="19" s="1"/>
  <c r="L133" i="19" s="1"/>
  <c r="K95" i="19"/>
  <c r="K120" i="19" s="1"/>
  <c r="K133" i="19" s="1"/>
  <c r="N30" i="1"/>
  <c r="I30" i="1"/>
  <c r="O30" i="1"/>
  <c r="L30" i="1"/>
  <c r="K30" i="1"/>
  <c r="J30" i="1"/>
  <c r="M30" i="1"/>
  <c r="H216" i="1"/>
  <c r="F216" i="1"/>
  <c r="G216" i="1"/>
  <c r="E216" i="1"/>
  <c r="D216" i="1"/>
  <c r="C216" i="1"/>
  <c r="O95" i="1"/>
  <c r="O120" i="1" s="1"/>
  <c r="O133" i="1" s="1"/>
  <c r="N95" i="1"/>
  <c r="N120" i="1" s="1"/>
  <c r="N133" i="1" s="1"/>
  <c r="M95" i="1"/>
  <c r="M120" i="1" s="1"/>
  <c r="M133" i="1" s="1"/>
  <c r="L95" i="1"/>
  <c r="L120" i="1" s="1"/>
  <c r="L133" i="1" s="1"/>
  <c r="K95" i="1"/>
  <c r="K120" i="1" s="1"/>
  <c r="K133" i="1" s="1"/>
  <c r="J95" i="1"/>
  <c r="J120" i="1" s="1"/>
  <c r="J133" i="1" s="1"/>
  <c r="I95" i="1"/>
  <c r="I120" i="1" s="1"/>
  <c r="I133" i="1" s="1"/>
  <c r="H95" i="1"/>
  <c r="H120" i="1" s="1"/>
  <c r="H133" i="1" s="1"/>
  <c r="G95" i="1"/>
  <c r="G120" i="1" s="1"/>
  <c r="G133" i="1" s="1"/>
  <c r="F95" i="1"/>
  <c r="F120" i="1" s="1"/>
  <c r="F133" i="1" s="1"/>
  <c r="E95" i="1"/>
  <c r="E120" i="1" s="1"/>
  <c r="E133" i="1" s="1"/>
  <c r="D95" i="1"/>
  <c r="D120" i="1" s="1"/>
  <c r="D133" i="1" s="1"/>
  <c r="C95" i="1"/>
  <c r="C120" i="1" s="1"/>
  <c r="C133" i="1" s="1"/>
  <c r="O94" i="1"/>
  <c r="O119" i="1" s="1"/>
  <c r="O132" i="1" s="1"/>
  <c r="N94" i="1"/>
  <c r="N119" i="1" s="1"/>
  <c r="N132" i="1" s="1"/>
  <c r="M94" i="1"/>
  <c r="M119" i="1" s="1"/>
  <c r="M132" i="1" s="1"/>
  <c r="L94" i="1"/>
  <c r="L119" i="1" s="1"/>
  <c r="L132" i="1" s="1"/>
  <c r="K94" i="1"/>
  <c r="K119" i="1" s="1"/>
  <c r="K132" i="1" s="1"/>
  <c r="J94" i="1"/>
  <c r="J119" i="1" s="1"/>
  <c r="J132" i="1" s="1"/>
  <c r="I94" i="1"/>
  <c r="I119" i="1" s="1"/>
  <c r="I132" i="1" s="1"/>
  <c r="H94" i="1"/>
  <c r="H119" i="1" s="1"/>
  <c r="H132" i="1" s="1"/>
  <c r="G94" i="1"/>
  <c r="G119" i="1" s="1"/>
  <c r="G132" i="1" s="1"/>
  <c r="F94" i="1"/>
  <c r="F119" i="1" s="1"/>
  <c r="F132" i="1" s="1"/>
  <c r="E94" i="1"/>
  <c r="E119" i="1" s="1"/>
  <c r="E132" i="1" s="1"/>
  <c r="D94" i="1"/>
  <c r="D119" i="1" s="1"/>
  <c r="D132" i="1" s="1"/>
  <c r="C94" i="1"/>
  <c r="C119" i="1" s="1"/>
  <c r="C132" i="1" s="1"/>
  <c r="O93" i="1"/>
  <c r="N93" i="1"/>
  <c r="M93" i="1"/>
  <c r="L93" i="1"/>
  <c r="K93" i="1"/>
  <c r="J93" i="1"/>
  <c r="I93" i="1"/>
  <c r="H93" i="1"/>
  <c r="G93" i="1"/>
  <c r="F93" i="1"/>
  <c r="E93" i="1"/>
  <c r="D93" i="1"/>
  <c r="C93" i="1"/>
  <c r="H39" i="1"/>
  <c r="G39" i="1"/>
  <c r="F39" i="1"/>
  <c r="E39" i="1"/>
  <c r="D39" i="1"/>
  <c r="C39" i="1"/>
  <c r="M216" i="19" l="1"/>
  <c r="L216" i="19"/>
  <c r="K216" i="19"/>
  <c r="J216" i="19"/>
  <c r="I216" i="19"/>
  <c r="H216" i="19"/>
  <c r="G216" i="19"/>
  <c r="E216" i="19"/>
  <c r="D216" i="19"/>
  <c r="C216" i="19"/>
  <c r="N39" i="19"/>
  <c r="M39" i="19"/>
  <c r="L39" i="19"/>
  <c r="K39" i="19"/>
  <c r="J39" i="19"/>
  <c r="I39" i="19"/>
  <c r="H39" i="19"/>
  <c r="G39" i="19"/>
  <c r="E39" i="19"/>
  <c r="D39" i="19"/>
  <c r="C39" i="19"/>
  <c r="BP1" i="13"/>
  <c r="BP1" i="12"/>
  <c r="N216" i="19"/>
  <c r="M119" i="19"/>
  <c r="M132" i="19" s="1"/>
  <c r="G119" i="19"/>
  <c r="G132" i="19" s="1"/>
  <c r="J118" i="19"/>
  <c r="J131" i="19" s="1"/>
  <c r="O118" i="19"/>
  <c r="K118" i="19"/>
  <c r="K131" i="19" s="1"/>
  <c r="H118" i="19"/>
  <c r="H131" i="19" s="1"/>
  <c r="C118" i="19"/>
  <c r="C131" i="19" s="1"/>
  <c r="F119" i="19"/>
  <c r="F132" i="19" s="1"/>
  <c r="I118" i="19"/>
  <c r="I131" i="19" s="1"/>
  <c r="D119" i="19"/>
  <c r="D132" i="19" s="1"/>
  <c r="N118" i="19"/>
  <c r="N131" i="19" s="1"/>
  <c r="J120" i="19"/>
  <c r="J133" i="19" s="1"/>
  <c r="O119" i="19"/>
  <c r="L118" i="19"/>
  <c r="L131" i="19" s="1"/>
  <c r="I120" i="19"/>
  <c r="I133" i="19" s="1"/>
  <c r="H120" i="19"/>
  <c r="H133" i="19" s="1"/>
  <c r="F120" i="19"/>
  <c r="F133" i="19" s="1"/>
  <c r="E120" i="19"/>
  <c r="E133" i="19" s="1"/>
  <c r="D120" i="19"/>
  <c r="D133" i="19" s="1"/>
  <c r="C120" i="19"/>
  <c r="C133" i="19" s="1"/>
  <c r="E119" i="19"/>
  <c r="E132" i="19" s="1"/>
  <c r="C119" i="19"/>
  <c r="C132" i="19" s="1"/>
  <c r="G118" i="19"/>
  <c r="G131" i="19" s="1"/>
  <c r="G120" i="19"/>
  <c r="G133" i="19" s="1"/>
  <c r="N119" i="19"/>
  <c r="N132" i="19" s="1"/>
  <c r="L119" i="19"/>
  <c r="L132" i="19" s="1"/>
  <c r="K119" i="19"/>
  <c r="K132" i="19" s="1"/>
  <c r="J119" i="19"/>
  <c r="J132" i="19" s="1"/>
  <c r="H119" i="19"/>
  <c r="H132" i="19" s="1"/>
  <c r="M118" i="19"/>
  <c r="M131" i="19" s="1"/>
  <c r="E118" i="19"/>
  <c r="E131" i="19" s="1"/>
  <c r="O120" i="19"/>
  <c r="I119" i="19"/>
  <c r="I132" i="19" s="1"/>
  <c r="F118" i="19"/>
  <c r="F131" i="19" s="1"/>
  <c r="D118" i="19"/>
  <c r="C33" i="19"/>
  <c r="F216" i="19"/>
  <c r="F39" i="19"/>
  <c r="O216" i="19"/>
  <c r="O39" i="19"/>
  <c r="N216" i="1"/>
  <c r="Q244" i="19"/>
  <c r="Q242" i="19"/>
  <c r="Q240" i="19"/>
  <c r="Q238" i="19"/>
  <c r="Q234" i="19"/>
  <c r="Q233" i="19"/>
  <c r="Q232" i="19"/>
  <c r="Q231" i="19"/>
  <c r="Q230" i="19"/>
  <c r="Q229" i="19"/>
  <c r="Q228" i="19"/>
  <c r="Q227" i="19"/>
  <c r="Q226" i="19"/>
  <c r="Q225" i="19"/>
  <c r="N39" i="1"/>
  <c r="Q245" i="19"/>
  <c r="Q243" i="19"/>
  <c r="Q241" i="19"/>
  <c r="Q239" i="19"/>
  <c r="R234" i="19"/>
  <c r="R233" i="19"/>
  <c r="R232" i="19"/>
  <c r="R231" i="19"/>
  <c r="R230" i="19"/>
  <c r="R229" i="19"/>
  <c r="R228" i="19"/>
  <c r="R227" i="19"/>
  <c r="R226" i="19"/>
  <c r="R225" i="19"/>
  <c r="BP1" i="15"/>
  <c r="BP1" i="14"/>
  <c r="C33" i="1"/>
  <c r="I216" i="1"/>
  <c r="I39" i="1"/>
  <c r="O216" i="1"/>
  <c r="O39" i="1"/>
  <c r="C36" i="1"/>
  <c r="L216" i="1"/>
  <c r="L39" i="1"/>
  <c r="K39" i="1"/>
  <c r="J39" i="1"/>
  <c r="K216" i="1"/>
  <c r="J216" i="1"/>
  <c r="Q242" i="1"/>
  <c r="Q239" i="1"/>
  <c r="R234" i="1"/>
  <c r="R232" i="1"/>
  <c r="Q231" i="1"/>
  <c r="R229" i="1"/>
  <c r="Q228" i="1"/>
  <c r="Q226" i="1"/>
  <c r="Q234" i="1"/>
  <c r="Q230" i="1"/>
  <c r="Q227" i="1"/>
  <c r="Q225" i="1"/>
  <c r="Q243" i="1"/>
  <c r="Q241" i="1"/>
  <c r="Q240" i="1"/>
  <c r="Q233" i="1"/>
  <c r="R231" i="1"/>
  <c r="Q245" i="1"/>
  <c r="Q244" i="1"/>
  <c r="Q238" i="1"/>
  <c r="R233" i="1"/>
  <c r="Q232" i="1"/>
  <c r="R230" i="1"/>
  <c r="R228" i="1"/>
  <c r="R226" i="1"/>
  <c r="Q229" i="1"/>
  <c r="R227" i="1"/>
  <c r="R225" i="1"/>
  <c r="M216" i="1"/>
  <c r="M39" i="1"/>
  <c r="O118" i="1"/>
  <c r="N118" i="1"/>
  <c r="N131" i="1" s="1"/>
  <c r="M118" i="1"/>
  <c r="M131" i="1" s="1"/>
  <c r="L118" i="1"/>
  <c r="L131" i="1" s="1"/>
  <c r="K118" i="1"/>
  <c r="K131" i="1" s="1"/>
  <c r="J118" i="1"/>
  <c r="J131" i="1" s="1"/>
  <c r="I118" i="1"/>
  <c r="I131" i="1" s="1"/>
  <c r="H118" i="1"/>
  <c r="H131" i="1" s="1"/>
  <c r="G118" i="1"/>
  <c r="G131" i="1" s="1"/>
  <c r="F118" i="1"/>
  <c r="F131" i="1" s="1"/>
  <c r="E118" i="1"/>
  <c r="E131" i="1" s="1"/>
  <c r="D118" i="1"/>
  <c r="D131" i="1" s="1"/>
  <c r="C118" i="1"/>
  <c r="C131" i="1" s="1"/>
  <c r="BP2" i="13" l="1" a="1"/>
  <c r="BB2" i="13" s="1"/>
  <c r="BA27" i="13" a="1"/>
  <c r="BA28" i="13" s="1" a="1"/>
  <c r="BA21" i="13" a="1"/>
  <c r="AO21" i="13" a="1"/>
  <c r="AC21" i="13" a="1"/>
  <c r="C51" i="13" a="1"/>
  <c r="C48" i="13" a="1"/>
  <c r="C45" i="13" a="1"/>
  <c r="C42" i="13" a="1"/>
  <c r="AC20" i="13" a="1"/>
  <c r="AJ20" i="13" s="1"/>
  <c r="AC19" i="13" a="1"/>
  <c r="AJ19" i="13" s="1"/>
  <c r="AC18" i="13" a="1"/>
  <c r="AU8" i="13" a="1"/>
  <c r="BW74" i="12" a="1"/>
  <c r="C45" i="12" a="1"/>
  <c r="C42" i="12" a="1"/>
  <c r="BW73" i="12" a="1"/>
  <c r="BW71" i="12" a="1"/>
  <c r="C48" i="12" a="1"/>
  <c r="BW72" i="12" a="1"/>
  <c r="AC20" i="12" a="1"/>
  <c r="AJ20" i="12" s="1"/>
  <c r="BA19" i="12" a="1"/>
  <c r="BA20" i="12" s="1"/>
  <c r="AO19" i="12" a="1"/>
  <c r="AO20" i="12" s="1"/>
  <c r="AC19" i="12" a="1"/>
  <c r="AJ19" i="12" s="1"/>
  <c r="AC18" i="12" a="1"/>
  <c r="AU9" i="12" a="1"/>
  <c r="Y9" i="12" a="1"/>
  <c r="N9" i="12" a="1"/>
  <c r="C9" i="12" a="1"/>
  <c r="BF8" i="12" a="1"/>
  <c r="AU8" i="12" a="1"/>
  <c r="Y8" i="12" a="1"/>
  <c r="N8" i="12" a="1"/>
  <c r="C8" i="12" a="1"/>
  <c r="C4" i="12" a="1"/>
  <c r="BP2" i="12" a="1"/>
  <c r="AG33" i="12" a="1"/>
  <c r="AK33" i="12" s="1" a="1"/>
  <c r="AG32" i="12" a="1"/>
  <c r="AK32" i="12" s="1" a="1"/>
  <c r="AG31" i="12" a="1"/>
  <c r="AK31" i="12" s="1" a="1"/>
  <c r="AG30" i="12" a="1"/>
  <c r="AK30" i="12" s="1" a="1"/>
  <c r="AG29" i="12" a="1"/>
  <c r="AK29" i="12" s="1" a="1"/>
  <c r="BA27" i="12" a="1"/>
  <c r="BA28" i="12" s="1" a="1"/>
  <c r="AO27" i="12" a="1"/>
  <c r="AO28" i="12" s="1"/>
  <c r="BA21" i="12" a="1"/>
  <c r="AO21" i="12" a="1"/>
  <c r="AC21" i="12" a="1"/>
  <c r="AJ21" i="12" s="1"/>
  <c r="C51" i="12" a="1"/>
  <c r="BW75" i="12" a="1"/>
  <c r="H287" i="1" a="1"/>
  <c r="H258" i="1" a="1"/>
  <c r="H297" i="1" a="1"/>
  <c r="H290" i="1" a="1"/>
  <c r="H281" i="1" a="1"/>
  <c r="H268" i="1" a="1"/>
  <c r="H261" i="1" a="1"/>
  <c r="H252" i="1" a="1"/>
  <c r="S244" i="19"/>
  <c r="S242" i="19"/>
  <c r="S240" i="19"/>
  <c r="S238" i="19"/>
  <c r="S245" i="19"/>
  <c r="S243" i="19"/>
  <c r="S241" i="19"/>
  <c r="S239" i="19"/>
  <c r="H287" i="19" a="1"/>
  <c r="H258" i="19" a="1"/>
  <c r="H297" i="19" a="1"/>
  <c r="H290" i="19" a="1"/>
  <c r="H281" i="19" a="1"/>
  <c r="H268" i="19" a="1"/>
  <c r="H261" i="19" a="1"/>
  <c r="H252" i="19" a="1"/>
  <c r="O132" i="19"/>
  <c r="O131" i="19"/>
  <c r="J282" i="19" a="1"/>
  <c r="J258" i="19" a="1"/>
  <c r="H257" i="19" a="1"/>
  <c r="H254" i="19" a="1"/>
  <c r="J253" i="19" a="1"/>
  <c r="H286" i="19" a="1"/>
  <c r="H283" i="19" a="1"/>
  <c r="H284" i="19" a="1"/>
  <c r="H255" i="19" a="1"/>
  <c r="J283" i="19" a="1"/>
  <c r="J254" i="19" a="1"/>
  <c r="J298" i="19" a="1"/>
  <c r="H270" i="19" a="1"/>
  <c r="J262" i="19" a="1"/>
  <c r="J291" i="19" a="1"/>
  <c r="H293" i="19" a="1"/>
  <c r="H264" i="19" a="1"/>
  <c r="J287" i="19" a="1"/>
  <c r="H299" i="19" a="1"/>
  <c r="J269" i="19" a="1"/>
  <c r="H263" i="19" a="1"/>
  <c r="H292" i="19" a="1"/>
  <c r="J292" i="19" a="1"/>
  <c r="J263" i="19" a="1"/>
  <c r="C34" i="19"/>
  <c r="C11" i="19" s="1"/>
  <c r="J279" i="19" a="1"/>
  <c r="J257" i="19" a="1"/>
  <c r="J272" i="19" a="1"/>
  <c r="H279" i="19" a="1"/>
  <c r="J285" i="19" a="1"/>
  <c r="J286" i="19" a="1"/>
  <c r="H289" i="19" a="1"/>
  <c r="H294" i="19" a="1"/>
  <c r="H295" i="19" a="1"/>
  <c r="J301" i="19" a="1"/>
  <c r="J302" i="19" a="1"/>
  <c r="J250" i="19" a="1"/>
  <c r="J256" i="19" a="1"/>
  <c r="H260" i="19" a="1"/>
  <c r="H265" i="19" a="1"/>
  <c r="H266" i="19" a="1"/>
  <c r="J273" i="19" a="1"/>
  <c r="J274" i="19" a="1"/>
  <c r="H280" i="19" a="1"/>
  <c r="H285" i="19" a="1"/>
  <c r="H288" i="19" a="1"/>
  <c r="J294" i="19" a="1"/>
  <c r="H296" i="19" a="1"/>
  <c r="H301" i="19" a="1"/>
  <c r="H302" i="19" a="1"/>
  <c r="H250" i="19" a="1"/>
  <c r="H251" i="19" a="1"/>
  <c r="H256" i="19" a="1"/>
  <c r="H259" i="19" a="1"/>
  <c r="J265" i="19" a="1"/>
  <c r="H267" i="19" a="1"/>
  <c r="H272" i="19" a="1"/>
  <c r="H273" i="19" a="1"/>
  <c r="H274" i="19" a="1"/>
  <c r="J297" i="19" a="1"/>
  <c r="J268" i="19" a="1"/>
  <c r="J290" i="19" a="1"/>
  <c r="J261" i="19" a="1"/>
  <c r="J281" i="19" a="1"/>
  <c r="J252" i="19" a="1"/>
  <c r="J296" i="19" a="1"/>
  <c r="J267" i="19" a="1"/>
  <c r="J289" i="19" a="1"/>
  <c r="J260" i="19" a="1"/>
  <c r="H282" i="19" a="1"/>
  <c r="J280" i="19" a="1"/>
  <c r="J251" i="19" a="1"/>
  <c r="H253" i="19" a="1"/>
  <c r="J295" i="19" a="1"/>
  <c r="H298" i="19" a="1"/>
  <c r="J266" i="19" a="1"/>
  <c r="H269" i="19" a="1"/>
  <c r="J288" i="19" a="1"/>
  <c r="H291" i="19" a="1"/>
  <c r="J259" i="19" a="1"/>
  <c r="H262" i="19" a="1"/>
  <c r="H271" i="19" a="1"/>
  <c r="J270" i="19" a="1"/>
  <c r="H300" i="19" a="1"/>
  <c r="J299" i="19" a="1"/>
  <c r="O133" i="19"/>
  <c r="D131" i="19"/>
  <c r="S234" i="19"/>
  <c r="S233" i="19"/>
  <c r="S232" i="19"/>
  <c r="S231" i="19"/>
  <c r="S230" i="19"/>
  <c r="S229" i="19"/>
  <c r="S228" i="19"/>
  <c r="S227" i="19"/>
  <c r="S226" i="19"/>
  <c r="S225" i="19"/>
  <c r="J258" i="1" a="1"/>
  <c r="H283" i="1" a="1"/>
  <c r="H254" i="1" a="1"/>
  <c r="J253" i="1" a="1"/>
  <c r="J287" i="1" a="1"/>
  <c r="H286" i="1" a="1"/>
  <c r="J282" i="1" a="1"/>
  <c r="H257" i="1" a="1"/>
  <c r="J300" i="1" a="1"/>
  <c r="H298" i="1" a="1"/>
  <c r="J297" i="1" a="1"/>
  <c r="J294" i="1" a="1"/>
  <c r="H293" i="1" a="1"/>
  <c r="J292" i="1" a="1"/>
  <c r="J290" i="1" a="1"/>
  <c r="H289" i="1" a="1"/>
  <c r="J288" i="1" a="1"/>
  <c r="H288" i="1" a="1"/>
  <c r="J279" i="1" a="1"/>
  <c r="H272" i="1" a="1"/>
  <c r="H270" i="1" a="1"/>
  <c r="J269" i="1" a="1"/>
  <c r="H267" i="1" a="1"/>
  <c r="J266" i="1" a="1"/>
  <c r="H266" i="1" a="1"/>
  <c r="J265" i="1" a="1"/>
  <c r="H264" i="1" a="1"/>
  <c r="J261" i="1" a="1"/>
  <c r="J259" i="1" a="1"/>
  <c r="J257" i="1" a="1"/>
  <c r="H253" i="1" a="1"/>
  <c r="J250" i="1" a="1"/>
  <c r="H301" i="1" a="1"/>
  <c r="H300" i="1" a="1"/>
  <c r="H299" i="1" a="1"/>
  <c r="H295" i="1" a="1"/>
  <c r="J293" i="1" a="1"/>
  <c r="J291" i="1" a="1"/>
  <c r="J286" i="1" a="1"/>
  <c r="J285" i="1" a="1"/>
  <c r="H282" i="1" a="1"/>
  <c r="H280" i="1" a="1"/>
  <c r="J271" i="1" a="1"/>
  <c r="H271" i="1" a="1"/>
  <c r="H269" i="1" a="1"/>
  <c r="J268" i="1" a="1"/>
  <c r="J267" i="1" a="1"/>
  <c r="J263" i="1" a="1"/>
  <c r="J260" i="1" a="1"/>
  <c r="H259" i="1" a="1"/>
  <c r="J256" i="1" a="1"/>
  <c r="H256" i="1" a="1"/>
  <c r="J252" i="1" a="1"/>
  <c r="J251" i="1" a="1"/>
  <c r="H251" i="1" a="1"/>
  <c r="J302" i="1" a="1"/>
  <c r="H302" i="1" a="1"/>
  <c r="J301" i="1" a="1"/>
  <c r="J299" i="1" a="1"/>
  <c r="J298" i="1" a="1"/>
  <c r="J296" i="1" a="1"/>
  <c r="H296" i="1" a="1"/>
  <c r="J295" i="1" a="1"/>
  <c r="H294" i="1" a="1"/>
  <c r="H292" i="1" a="1"/>
  <c r="H291" i="1" a="1"/>
  <c r="J289" i="1" a="1"/>
  <c r="H285" i="1" a="1"/>
  <c r="J281" i="1" a="1"/>
  <c r="J280" i="1" a="1"/>
  <c r="H279" i="1" a="1"/>
  <c r="J274" i="1" a="1"/>
  <c r="H274" i="1" a="1"/>
  <c r="J273" i="1" a="1"/>
  <c r="H273" i="1" a="1"/>
  <c r="J272" i="1" a="1"/>
  <c r="J270" i="1" a="1"/>
  <c r="H265" i="1" a="1"/>
  <c r="J264" i="1" a="1"/>
  <c r="H263" i="1" a="1"/>
  <c r="J262" i="1" a="1"/>
  <c r="H262" i="1" a="1"/>
  <c r="H260" i="1" a="1"/>
  <c r="H250" i="1" a="1"/>
  <c r="O131" i="1"/>
  <c r="H255" i="1" a="1"/>
  <c r="H284" i="1" a="1"/>
  <c r="J254" i="1" a="1"/>
  <c r="J283" i="1" a="1"/>
  <c r="BA27" i="15" a="1"/>
  <c r="BA28" i="15" s="1" a="1"/>
  <c r="BA21" i="15" a="1"/>
  <c r="AO21" i="15" a="1"/>
  <c r="AC21" i="15" a="1"/>
  <c r="AJ21" i="15" s="1"/>
  <c r="C51" i="15" a="1"/>
  <c r="C48" i="15" a="1"/>
  <c r="C45" i="15" a="1"/>
  <c r="C42" i="15" a="1"/>
  <c r="BP2" i="15" a="1"/>
  <c r="BB2" i="15" s="1"/>
  <c r="AC20" i="15" a="1"/>
  <c r="AJ20" i="15" s="1"/>
  <c r="AC19" i="15" a="1"/>
  <c r="AJ19" i="15" s="1"/>
  <c r="AC18" i="15" a="1"/>
  <c r="AU8" i="15" a="1"/>
  <c r="C4" i="14" a="1"/>
  <c r="AC20" i="14" a="1"/>
  <c r="AJ20" i="14" s="1"/>
  <c r="AC18" i="14" a="1"/>
  <c r="AO19" i="14" a="1"/>
  <c r="AO20" i="14" s="1"/>
  <c r="Y9" i="14" a="1"/>
  <c r="C9" i="14" a="1"/>
  <c r="AU8" i="14" a="1"/>
  <c r="Y8" i="14" a="1"/>
  <c r="BA19" i="14" a="1"/>
  <c r="BA20" i="14" s="1"/>
  <c r="AU9" i="14" a="1"/>
  <c r="C8" i="14" a="1"/>
  <c r="AC19" i="14" a="1"/>
  <c r="AJ19" i="14" s="1"/>
  <c r="N9" i="14" a="1"/>
  <c r="BF8" i="14" a="1"/>
  <c r="N8" i="14" a="1"/>
  <c r="C51" i="14" a="1"/>
  <c r="AG33" i="14" a="1"/>
  <c r="AK33" i="14" s="1" a="1"/>
  <c r="AB33" i="14" s="1"/>
  <c r="AG31" i="14" a="1"/>
  <c r="AK31" i="14" s="1" a="1"/>
  <c r="AB31" i="14" s="1"/>
  <c r="BA27" i="14" a="1"/>
  <c r="BA28" i="14" s="1" a="1"/>
  <c r="BW72" i="14" a="1"/>
  <c r="C48" i="14" a="1"/>
  <c r="C45" i="14" a="1"/>
  <c r="BW74" i="14" a="1"/>
  <c r="AG32" i="14" a="1"/>
  <c r="AK32" i="14" s="1" a="1"/>
  <c r="AB32" i="14" s="1"/>
  <c r="AG30" i="14" a="1"/>
  <c r="AK30" i="14" s="1" a="1"/>
  <c r="AB30" i="14" s="1"/>
  <c r="AG29" i="14" a="1"/>
  <c r="AK29" i="14" s="1" a="1"/>
  <c r="AB29" i="14" s="1"/>
  <c r="AO27" i="14" a="1"/>
  <c r="AO28" i="14" s="1"/>
  <c r="BA21" i="14" a="1"/>
  <c r="AO21" i="14" a="1"/>
  <c r="AC21" i="14" a="1"/>
  <c r="AJ21" i="14" s="1"/>
  <c r="C42" i="14" a="1"/>
  <c r="BW75" i="14" a="1"/>
  <c r="BW73" i="14" a="1"/>
  <c r="BW71" i="14" a="1"/>
  <c r="BP2" i="14" a="1"/>
  <c r="BB3" i="14" s="1"/>
  <c r="J264" i="19" l="1" a="1"/>
  <c r="J293" i="19" a="1"/>
  <c r="J255" i="19" a="1"/>
  <c r="J284" i="19" a="1"/>
  <c r="AJ8" i="12" a="1"/>
  <c r="AJ9" i="12" a="1"/>
  <c r="AJ9" i="14" a="1"/>
  <c r="AJ8" i="14" a="1"/>
  <c r="M296" i="19"/>
  <c r="M267" i="19"/>
  <c r="L296" i="19"/>
  <c r="L267" i="19"/>
  <c r="M289" i="19"/>
  <c r="L289" i="19"/>
  <c r="M280" i="19"/>
  <c r="L280" i="19"/>
  <c r="M282" i="19"/>
  <c r="L282" i="19"/>
  <c r="M253" i="19"/>
  <c r="L253" i="19"/>
  <c r="M251" i="19"/>
  <c r="L251" i="19"/>
  <c r="M257" i="19"/>
  <c r="L257" i="19"/>
  <c r="M286" i="19"/>
  <c r="L286" i="19"/>
  <c r="M260" i="19"/>
  <c r="L260" i="19"/>
  <c r="L295" i="19"/>
  <c r="M295" i="19"/>
  <c r="M266" i="19"/>
  <c r="L266" i="19"/>
  <c r="AJ21" i="13"/>
  <c r="AJ18" i="13"/>
  <c r="AC22" i="13"/>
  <c r="BR74" i="12"/>
  <c r="BS74" i="12"/>
  <c r="BR73" i="12"/>
  <c r="BS73" i="12"/>
  <c r="BV71" i="12"/>
  <c r="BQ76" i="12" s="1"/>
  <c r="BU71" i="12"/>
  <c r="F35" i="12"/>
  <c r="BW76" i="12"/>
  <c r="BU76" i="12"/>
  <c r="N35" i="12"/>
  <c r="T35" i="12"/>
  <c r="AJ18" i="12"/>
  <c r="AJ22" i="12" s="1"/>
  <c r="AC22" i="12"/>
  <c r="X21" i="12" s="1"/>
  <c r="BB2" i="12"/>
  <c r="BB3" i="12"/>
  <c r="BR75" i="12"/>
  <c r="BS75" i="12"/>
  <c r="C35" i="19"/>
  <c r="AV50" i="13" a="1"/>
  <c r="AP50" i="13" a="1"/>
  <c r="V50" i="13" a="1"/>
  <c r="AV42" i="13" a="1"/>
  <c r="AP42" i="13" a="1"/>
  <c r="V42" i="13" a="1"/>
  <c r="AV50" i="12" a="1"/>
  <c r="AP50" i="12" a="1"/>
  <c r="V50" i="12" a="1"/>
  <c r="AV42" i="12" a="1"/>
  <c r="AP42" i="12" a="1"/>
  <c r="V42" i="12" a="1"/>
  <c r="L298" i="19"/>
  <c r="M269" i="19"/>
  <c r="L269" i="19"/>
  <c r="M298" i="19"/>
  <c r="M259" i="19"/>
  <c r="L259" i="19"/>
  <c r="M288" i="19"/>
  <c r="L288" i="19"/>
  <c r="M262" i="19"/>
  <c r="L262" i="19"/>
  <c r="M291" i="19"/>
  <c r="L291" i="19"/>
  <c r="L254" i="19"/>
  <c r="M254" i="19"/>
  <c r="L283" i="19"/>
  <c r="M283" i="19"/>
  <c r="L261" i="19"/>
  <c r="M261" i="19"/>
  <c r="M290" i="19"/>
  <c r="L290" i="19"/>
  <c r="M252" i="19"/>
  <c r="L252" i="19"/>
  <c r="M281" i="19"/>
  <c r="L281" i="19"/>
  <c r="L263" i="19"/>
  <c r="L292" i="19"/>
  <c r="L287" i="19"/>
  <c r="L268" i="19"/>
  <c r="M268" i="19"/>
  <c r="L297" i="19"/>
  <c r="M292" i="19"/>
  <c r="M297" i="19"/>
  <c r="M263" i="19"/>
  <c r="M287" i="19"/>
  <c r="M258" i="19"/>
  <c r="L258" i="19"/>
  <c r="L279" i="19"/>
  <c r="M279" i="19"/>
  <c r="L272" i="19"/>
  <c r="M272" i="19"/>
  <c r="L285" i="19"/>
  <c r="M285" i="19"/>
  <c r="L301" i="19"/>
  <c r="M301" i="19"/>
  <c r="L302" i="19"/>
  <c r="M302" i="19"/>
  <c r="L250" i="19"/>
  <c r="M250" i="19"/>
  <c r="L256" i="19"/>
  <c r="M256" i="19"/>
  <c r="M273" i="19"/>
  <c r="L273" i="19"/>
  <c r="L274" i="19"/>
  <c r="M274" i="19"/>
  <c r="L294" i="19"/>
  <c r="M294" i="19"/>
  <c r="L265" i="19"/>
  <c r="M265" i="19"/>
  <c r="M270" i="19"/>
  <c r="L270" i="19"/>
  <c r="L299" i="19"/>
  <c r="M299" i="19"/>
  <c r="J271" i="19" a="1"/>
  <c r="J300" i="19" a="1"/>
  <c r="L300" i="1"/>
  <c r="M300" i="1"/>
  <c r="M297" i="1"/>
  <c r="L297" i="1"/>
  <c r="L294" i="1"/>
  <c r="M294" i="1"/>
  <c r="L292" i="1"/>
  <c r="M292" i="1"/>
  <c r="L290" i="1"/>
  <c r="M290" i="1"/>
  <c r="L288" i="1"/>
  <c r="M288" i="1"/>
  <c r="M279" i="1"/>
  <c r="L279" i="1"/>
  <c r="M269" i="1"/>
  <c r="L269" i="1"/>
  <c r="M266" i="1"/>
  <c r="L266" i="1"/>
  <c r="M265" i="1"/>
  <c r="L265" i="1"/>
  <c r="M261" i="1"/>
  <c r="L261" i="1"/>
  <c r="L259" i="1"/>
  <c r="M259" i="1"/>
  <c r="L250" i="1"/>
  <c r="M250" i="1"/>
  <c r="L293" i="1"/>
  <c r="M293" i="1"/>
  <c r="L291" i="1"/>
  <c r="M291" i="1"/>
  <c r="M285" i="1"/>
  <c r="L285" i="1"/>
  <c r="L271" i="1"/>
  <c r="M271" i="1"/>
  <c r="M268" i="1"/>
  <c r="L268" i="1"/>
  <c r="L267" i="1"/>
  <c r="M267" i="1"/>
  <c r="L263" i="1"/>
  <c r="M263" i="1"/>
  <c r="L260" i="1"/>
  <c r="M260" i="1"/>
  <c r="L256" i="1"/>
  <c r="M256" i="1"/>
  <c r="L252" i="1"/>
  <c r="M252" i="1"/>
  <c r="M251" i="1"/>
  <c r="L251" i="1"/>
  <c r="L302" i="1"/>
  <c r="M302" i="1"/>
  <c r="L301" i="1"/>
  <c r="M301" i="1"/>
  <c r="L299" i="1"/>
  <c r="M299" i="1"/>
  <c r="L298" i="1"/>
  <c r="M298" i="1"/>
  <c r="L296" i="1"/>
  <c r="M296" i="1"/>
  <c r="L295" i="1"/>
  <c r="M295" i="1"/>
  <c r="M289" i="1"/>
  <c r="L289" i="1"/>
  <c r="L281" i="1"/>
  <c r="M281" i="1"/>
  <c r="M280" i="1"/>
  <c r="L280" i="1"/>
  <c r="L274" i="1"/>
  <c r="M274" i="1"/>
  <c r="L273" i="1"/>
  <c r="M273" i="1"/>
  <c r="M272" i="1"/>
  <c r="L272" i="1"/>
  <c r="M270" i="1"/>
  <c r="L270" i="1"/>
  <c r="M264" i="1"/>
  <c r="L264" i="1"/>
  <c r="M262" i="1"/>
  <c r="L262" i="1"/>
  <c r="M253" i="1"/>
  <c r="L253" i="1"/>
  <c r="M282" i="1"/>
  <c r="L282" i="1"/>
  <c r="L286" i="1"/>
  <c r="L257" i="1"/>
  <c r="M257" i="1"/>
  <c r="M286" i="1"/>
  <c r="J255" i="1" a="1"/>
  <c r="J284" i="1" a="1"/>
  <c r="L254" i="1"/>
  <c r="M254" i="1"/>
  <c r="L283" i="1"/>
  <c r="M283" i="1"/>
  <c r="L258" i="1"/>
  <c r="M258" i="1"/>
  <c r="M287" i="1"/>
  <c r="L287" i="1"/>
  <c r="BB2" i="14"/>
  <c r="AC22" i="15"/>
  <c r="X21" i="15" s="1"/>
  <c r="AJ18" i="15"/>
  <c r="AJ22" i="15" s="1"/>
  <c r="AJ18" i="14"/>
  <c r="AJ22" i="14" s="1"/>
  <c r="AC22" i="14"/>
  <c r="X21" i="14" s="1"/>
  <c r="BW76" i="14"/>
  <c r="T35" i="14"/>
  <c r="BU76" i="14"/>
  <c r="N35" i="14"/>
  <c r="BR74" i="14"/>
  <c r="BS74" i="14"/>
  <c r="BS75" i="14"/>
  <c r="BR75" i="14"/>
  <c r="BR73" i="14"/>
  <c r="BS73" i="14"/>
  <c r="BV71" i="14"/>
  <c r="BQ76" i="14" s="1"/>
  <c r="BU71" i="14"/>
  <c r="F35" i="14"/>
  <c r="L264" i="19" l="1"/>
  <c r="M264" i="19"/>
  <c r="L293" i="19"/>
  <c r="M293" i="19"/>
  <c r="L255" i="19"/>
  <c r="M255" i="19"/>
  <c r="L284" i="19"/>
  <c r="M284" i="19"/>
  <c r="AJ22" i="13"/>
  <c r="J303" i="19"/>
  <c r="H303" i="19"/>
  <c r="J306" i="19"/>
  <c r="J304" i="19"/>
  <c r="H304" i="19"/>
  <c r="J305" i="19"/>
  <c r="H305" i="19"/>
  <c r="BT76" i="12"/>
  <c r="BR72" i="12"/>
  <c r="BS72" i="12"/>
  <c r="AU9" i="13" a="1"/>
  <c r="BW72" i="13"/>
  <c r="BA19" i="13"/>
  <c r="BA20" i="13" s="1"/>
  <c r="AO19" i="13"/>
  <c r="AO20" i="13" s="1"/>
  <c r="BF9" i="13"/>
  <c r="AJ9" i="13"/>
  <c r="Y9" i="13"/>
  <c r="N9" i="13"/>
  <c r="C9" i="13"/>
  <c r="BF8" i="13"/>
  <c r="AJ8" i="13"/>
  <c r="Y8" i="13"/>
  <c r="N8" i="13"/>
  <c r="C8" i="13"/>
  <c r="C4" i="13" a="1"/>
  <c r="AG33" i="13"/>
  <c r="AK33" i="13" s="1"/>
  <c r="AG32" i="13"/>
  <c r="AK32" i="13" s="1"/>
  <c r="AG31" i="13"/>
  <c r="AK31" i="13" s="1"/>
  <c r="AG30" i="13"/>
  <c r="AK30" i="13" s="1"/>
  <c r="BW71" i="13"/>
  <c r="AO27" i="13"/>
  <c r="AO28" i="13" s="1"/>
  <c r="BW75" i="13"/>
  <c r="BW74" i="13"/>
  <c r="BW73" i="13" a="1"/>
  <c r="BB3" i="13"/>
  <c r="AG29" i="13"/>
  <c r="AK29" i="13" s="1"/>
  <c r="AB29" i="13" s="1"/>
  <c r="X21" i="13"/>
  <c r="BT71" i="12"/>
  <c r="BU72" i="12"/>
  <c r="X20" i="13"/>
  <c r="X18" i="13"/>
  <c r="X19" i="13"/>
  <c r="X19" i="12"/>
  <c r="X20" i="12"/>
  <c r="X18" i="12"/>
  <c r="L271" i="19"/>
  <c r="M271" i="19"/>
  <c r="L300" i="19"/>
  <c r="M300" i="19"/>
  <c r="M255" i="1"/>
  <c r="L248" i="1" s="1"/>
  <c r="L255" i="1"/>
  <c r="L284" i="1"/>
  <c r="M284" i="1"/>
  <c r="BU72" i="14"/>
  <c r="BS72" i="14"/>
  <c r="BR72" i="14"/>
  <c r="BT76" i="14"/>
  <c r="BT71" i="14"/>
  <c r="L248" i="19" l="1"/>
  <c r="BB4" i="12" s="1"/>
  <c r="M303" i="19"/>
  <c r="L304" i="19"/>
  <c r="M304" i="19"/>
  <c r="L306" i="19"/>
  <c r="L303" i="19"/>
  <c r="M306" i="19"/>
  <c r="M305" i="19"/>
  <c r="L305" i="19"/>
  <c r="BW76" i="13"/>
  <c r="T35" i="13"/>
  <c r="N35" i="13"/>
  <c r="BU76" i="13"/>
  <c r="BU71" i="13"/>
  <c r="BV71" i="13"/>
  <c r="BQ76" i="13" s="1"/>
  <c r="F35" i="13"/>
  <c r="BS75" i="13"/>
  <c r="BR75" i="13"/>
  <c r="BS74" i="13"/>
  <c r="BR74" i="13"/>
  <c r="BR73" i="13"/>
  <c r="BS73" i="13"/>
  <c r="BU73" i="12"/>
  <c r="BQ72" i="12"/>
  <c r="AB33" i="13"/>
  <c r="AB32" i="13"/>
  <c r="AB31" i="13"/>
  <c r="AB30" i="13"/>
  <c r="BU73" i="14"/>
  <c r="BQ72" i="14"/>
  <c r="L277" i="19" l="1"/>
  <c r="BB4" i="13" s="1"/>
  <c r="BS72" i="13"/>
  <c r="BR72" i="13"/>
  <c r="BU72" i="13"/>
  <c r="BQ73" i="12"/>
  <c r="BU74" i="12"/>
  <c r="BT76" i="13"/>
  <c r="BT71" i="13"/>
  <c r="BQ73" i="14"/>
  <c r="BU74" i="14"/>
  <c r="BU73" i="13" l="1"/>
  <c r="BQ74" i="12"/>
  <c r="BU75" i="12"/>
  <c r="BQ75" i="12" s="1"/>
  <c r="BQ72" i="13"/>
  <c r="BU75" i="14"/>
  <c r="BQ75" i="14" s="1"/>
  <c r="BQ74" i="14"/>
  <c r="BU74" i="13" l="1"/>
  <c r="BQ73" i="13"/>
  <c r="BU75" i="13" l="1"/>
  <c r="BQ74" i="13"/>
  <c r="BQ75" i="13" l="1"/>
  <c r="S226" i="1" l="1"/>
  <c r="C34" i="1"/>
  <c r="C11" i="1" s="1"/>
  <c r="S244" i="1"/>
  <c r="S229" i="1"/>
  <c r="S233" i="1"/>
  <c r="S243" i="1"/>
  <c r="S231" i="1"/>
  <c r="S225" i="1"/>
  <c r="S238" i="1"/>
  <c r="S234" i="1"/>
  <c r="S241" i="1"/>
  <c r="S230" i="1"/>
  <c r="S239" i="1"/>
  <c r="S232" i="1"/>
  <c r="S242" i="1"/>
  <c r="S240" i="1"/>
  <c r="S228" i="1"/>
  <c r="S245" i="1"/>
  <c r="S227" i="1"/>
  <c r="AP50" i="15" l="1" a="1"/>
  <c r="AV50" i="15" a="1"/>
  <c r="V50" i="15" a="1"/>
  <c r="V42" i="15" a="1"/>
  <c r="AP42" i="15" a="1"/>
  <c r="AV42" i="15" a="1"/>
  <c r="AP42" i="14" a="1"/>
  <c r="AV42" i="14" a="1"/>
  <c r="V50" i="14" a="1"/>
  <c r="AP50" i="14" a="1"/>
  <c r="AV50" i="14" a="1"/>
  <c r="V42" i="14" a="1"/>
  <c r="C35" i="1"/>
  <c r="J303" i="1" l="1"/>
  <c r="H303" i="1"/>
  <c r="J304" i="1"/>
  <c r="H304" i="1"/>
  <c r="J305" i="1"/>
  <c r="H305" i="1"/>
  <c r="J306" i="1"/>
  <c r="N8" i="15"/>
  <c r="Y8" i="15"/>
  <c r="AJ8" i="15"/>
  <c r="C9" i="15"/>
  <c r="N9" i="15"/>
  <c r="Y9" i="15"/>
  <c r="AJ9" i="15"/>
  <c r="AU9" i="15" a="1"/>
  <c r="BF8" i="15"/>
  <c r="BF9" i="15"/>
  <c r="AO19" i="15"/>
  <c r="AO20" i="15" s="1"/>
  <c r="BA19" i="15"/>
  <c r="BA20" i="15" s="1"/>
  <c r="BW72" i="15"/>
  <c r="AG30" i="15"/>
  <c r="AK30" i="15" s="1"/>
  <c r="AB30" i="15" s="1"/>
  <c r="AG33" i="15"/>
  <c r="AK33" i="15" s="1"/>
  <c r="AB33" i="15" s="1"/>
  <c r="C8" i="15"/>
  <c r="BW71" i="15"/>
  <c r="BW73" i="15" a="1"/>
  <c r="BW74" i="15"/>
  <c r="AG29" i="15"/>
  <c r="AK29" i="15" s="1"/>
  <c r="AB29" i="15" s="1"/>
  <c r="AG31" i="15"/>
  <c r="AK31" i="15" s="1"/>
  <c r="AB31" i="15" s="1"/>
  <c r="BW75" i="15"/>
  <c r="AO27" i="15"/>
  <c r="AO28" i="15" s="1"/>
  <c r="AG32" i="15"/>
  <c r="AK32" i="15" s="1"/>
  <c r="AB32" i="15" s="1"/>
  <c r="C4" i="15" a="1"/>
  <c r="BB3" i="15"/>
  <c r="L303" i="1" l="1"/>
  <c r="M303" i="1"/>
  <c r="M304" i="1"/>
  <c r="L304" i="1"/>
  <c r="L305" i="1"/>
  <c r="M305" i="1"/>
  <c r="L306" i="1"/>
  <c r="M306" i="1"/>
  <c r="BW76" i="15"/>
  <c r="BU76" i="15"/>
  <c r="N35" i="15"/>
  <c r="T35" i="15"/>
  <c r="BU71" i="15"/>
  <c r="BV71" i="15"/>
  <c r="BQ76" i="15" s="1"/>
  <c r="F35" i="15"/>
  <c r="BR73" i="15"/>
  <c r="BS73" i="15"/>
  <c r="BS74" i="15"/>
  <c r="BR74" i="15"/>
  <c r="BS75" i="15"/>
  <c r="BR75" i="15"/>
  <c r="X18" i="15"/>
  <c r="X19" i="15"/>
  <c r="X20" i="15"/>
  <c r="X19" i="14"/>
  <c r="X18" i="14"/>
  <c r="X20" i="14"/>
  <c r="BB4" i="14"/>
  <c r="L277" i="1" l="1"/>
  <c r="BR72" i="15"/>
  <c r="BS72" i="15"/>
  <c r="BU72" i="15"/>
  <c r="BT76" i="15"/>
  <c r="BT71" i="15"/>
  <c r="BB4" i="15" l="1"/>
  <c r="BQ72" i="15"/>
  <c r="BU73" i="15"/>
  <c r="BQ73" i="15" l="1"/>
  <c r="BU74" i="15"/>
  <c r="BQ74" i="15" l="1"/>
  <c r="BU75" i="15"/>
  <c r="BQ75" i="15"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<sst xmlns="http://schemas.openxmlformats.org/spreadsheetml/2006/main" count="1001" uniqueCount="326">
  <si>
    <t>Owner's Monthly Decision Pack, Data &amp; Control</t>
  </si>
  <si>
    <t>CONTROL PANEL</t>
  </si>
  <si>
    <t>Business name</t>
  </si>
  <si>
    <t>Region</t>
  </si>
  <si>
    <t>AU</t>
  </si>
  <si>
    <t>Currency</t>
  </si>
  <si>
    <t>Fiscal year starts (month 1-12)</t>
  </si>
  <si>
    <t>Latest month with data</t>
  </si>
  <si>
    <t>Current fiscal year</t>
  </si>
  <si>
    <t>Reporting month (view)</t>
  </si>
  <si>
    <t>KPI TRIPWIRES</t>
  </si>
  <si>
    <t>Metric</t>
  </si>
  <si>
    <t>Threshold</t>
  </si>
  <si>
    <t>Dir</t>
  </si>
  <si>
    <t>Note</t>
  </si>
  <si>
    <t>Delivery gross margin %</t>
  </si>
  <si>
    <t>&gt;=</t>
  </si>
  <si>
    <t>Healthy services delivery margin.</t>
  </si>
  <si>
    <t>Utilisation %</t>
  </si>
  <si>
    <t>Billable hours over capacity hours.</t>
  </si>
  <si>
    <t>DSO (days)</t>
  </si>
  <si>
    <t>&lt;=</t>
  </si>
  <si>
    <t>Days sales outstanding; collections speed.</t>
  </si>
  <si>
    <t>DPO (days)</t>
  </si>
  <si>
    <t>~</t>
  </si>
  <si>
    <t>Hygiene band 30 to 45 days; not a strict tripwire.</t>
  </si>
  <si>
    <t>Top-3 client concentration %</t>
  </si>
  <si>
    <t>Trailing-12-month top-3 revenue share.</t>
  </si>
  <si>
    <t>Payroll % of services revenue</t>
  </si>
  <si>
    <t>Delivery payroll over services revenue.</t>
  </si>
  <si>
    <t>MONTH AXIS  ·  13 stored months (oldest to newest)</t>
  </si>
  <si>
    <t>Month</t>
  </si>
  <si>
    <t>Month start (date)</t>
  </si>
  <si>
    <t>Selected month index</t>
  </si>
  <si>
    <t>Selected month date</t>
  </si>
  <si>
    <t>FY-start date of selected FY</t>
  </si>
  <si>
    <t>Default month label</t>
  </si>
  <si>
    <t>MONTHLY INDICATOR GRID  ·  Actual / Target / Last Year per month</t>
  </si>
  <si>
    <t>Indicator</t>
  </si>
  <si>
    <t>Revenue by service line</t>
  </si>
  <si>
    <t xml:space="preserve">    Service line 1</t>
  </si>
  <si>
    <t xml:space="preserve">        · Target</t>
  </si>
  <si>
    <t xml:space="preserve">        · Last Year</t>
  </si>
  <si>
    <t xml:space="preserve">    Service line 2</t>
  </si>
  <si>
    <t xml:space="preserve">    Service line 3</t>
  </si>
  <si>
    <t xml:space="preserve">    Service line 4</t>
  </si>
  <si>
    <t xml:space="preserve">    Service line 5</t>
  </si>
  <si>
    <t>Service line 1, billable hours</t>
  </si>
  <si>
    <t>Service line 2, billable hours</t>
  </si>
  <si>
    <t>Service line 3, billable hours</t>
  </si>
  <si>
    <t>Service line 4, billable hours</t>
  </si>
  <si>
    <t>Service line 5, billable hours</t>
  </si>
  <si>
    <t>Total revenue</t>
  </si>
  <si>
    <t xml:space="preserve">    · Target</t>
  </si>
  <si>
    <t xml:space="preserve">    · Last Year</t>
  </si>
  <si>
    <t>Direct cost</t>
  </si>
  <si>
    <t xml:space="preserve">    Delivery payroll</t>
  </si>
  <si>
    <t xml:space="preserve">    Contractors</t>
  </si>
  <si>
    <t xml:space="preserve">    Tools / software</t>
  </si>
  <si>
    <t xml:space="preserve">    Pass-through</t>
  </si>
  <si>
    <t xml:space="preserve">    Other direct</t>
  </si>
  <si>
    <t>Total direct cost</t>
  </si>
  <si>
    <t>Delivery gross profit</t>
  </si>
  <si>
    <t>Operating expense</t>
  </si>
  <si>
    <t xml:space="preserve">    Rent / occupancy</t>
  </si>
  <si>
    <t xml:space="preserve">    Software</t>
  </si>
  <si>
    <t xml:space="preserve">    Sales / marketing</t>
  </si>
  <si>
    <t xml:space="preserve">    Professional fees</t>
  </si>
  <si>
    <t xml:space="preserve">    Insurance</t>
  </si>
  <si>
    <t xml:space="preserve">    Other operating</t>
  </si>
  <si>
    <t>Total operating expense</t>
  </si>
  <si>
    <t>EBITDA</t>
  </si>
  <si>
    <t>Below EBITDA</t>
  </si>
  <si>
    <t xml:space="preserve">    Depreciation &amp; amortisation</t>
  </si>
  <si>
    <t xml:space="preserve">    Interest expense</t>
  </si>
  <si>
    <t xml:space="preserve">    Tax expense</t>
  </si>
  <si>
    <t>Net profit</t>
  </si>
  <si>
    <t>Cash &amp; working capital</t>
  </si>
  <si>
    <t xml:space="preserve">    Closing cash</t>
  </si>
  <si>
    <t xml:space="preserve">    Accounts receivable</t>
  </si>
  <si>
    <t xml:space="preserve">    Accounts payable</t>
  </si>
  <si>
    <t xml:space="preserve">    Net cash movement (month)</t>
  </si>
  <si>
    <t>AR aging buckets</t>
  </si>
  <si>
    <t xml:space="preserve">    0-30 days</t>
  </si>
  <si>
    <t xml:space="preserve">    31-60 days</t>
  </si>
  <si>
    <t xml:space="preserve">    61-90 days</t>
  </si>
  <si>
    <t xml:space="preserve">    90+ days</t>
  </si>
  <si>
    <t xml:space="preserve">    AR aging total (check)</t>
  </si>
  <si>
    <t>Operations &amp; people</t>
  </si>
  <si>
    <t xml:space="preserve">    Billable hours</t>
  </si>
  <si>
    <t xml:space="preserve">    Capacity hours</t>
  </si>
  <si>
    <t>Headcount, delivery</t>
  </si>
  <si>
    <t>Headcount, overhead</t>
  </si>
  <si>
    <t xml:space="preserve">    Listed rate ($/hr)</t>
  </si>
  <si>
    <t xml:space="preserve">    Owner compensation</t>
  </si>
  <si>
    <t xml:space="preserve">    Above-market owner-comp adjustment</t>
  </si>
  <si>
    <t>Top-5 clients (revenue)</t>
  </si>
  <si>
    <t xml:space="preserve">    Client 1 revenue</t>
  </si>
  <si>
    <t xml:space="preserve">    Client 2 revenue</t>
  </si>
  <si>
    <t xml:space="preserve">    Client 3 revenue</t>
  </si>
  <si>
    <t xml:space="preserve">    Client 4 revenue</t>
  </si>
  <si>
    <t xml:space="preserve">    Client 5 revenue</t>
  </si>
  <si>
    <t>90-day cash forecast inputs</t>
  </si>
  <si>
    <t xml:space="preserve">    Forecast inflows (next 90d)</t>
  </si>
  <si>
    <t xml:space="preserve">    Forecast outflows (next 90d)</t>
  </si>
  <si>
    <t>AR COLLECTION PROBABILITY  ·  by aging bucket</t>
  </si>
  <si>
    <t>MONTHLY COMMENTARY  ·  one entry per prompt per month (persists on toggle)</t>
  </si>
  <si>
    <t>Prompt</t>
  </si>
  <si>
    <t>The big move (most important number this month)</t>
  </si>
  <si>
    <t>What went well</t>
  </si>
  <si>
    <t>What went poorly</t>
  </si>
  <si>
    <t>What changed structurally</t>
  </si>
  <si>
    <t>What we'll do differently next month</t>
  </si>
  <si>
    <t>DECISIONS LOG  ·  persists across months; dashboard filters to open-as-of</t>
  </si>
  <si>
    <t>Decision</t>
  </si>
  <si>
    <t>Opened</t>
  </si>
  <si>
    <t>Owner</t>
  </si>
  <si>
    <t>Status</t>
  </si>
  <si>
    <t>Resolved</t>
  </si>
  <si>
    <t>Outcome</t>
  </si>
  <si>
    <t>RISK REGISTER  ·  persists across months; dashboard shows active-as-of</t>
  </si>
  <si>
    <t>Risk</t>
  </si>
  <si>
    <t>Raised</t>
  </si>
  <si>
    <t>Severity</t>
  </si>
  <si>
    <t>Mitigation</t>
  </si>
  <si>
    <t>Severity trend</t>
  </si>
  <si>
    <t>MONTH</t>
  </si>
  <si>
    <t>REVENUE</t>
  </si>
  <si>
    <t>NET PROFIT</t>
  </si>
  <si>
    <t>CLOSING CASH</t>
  </si>
  <si>
    <t>TOP-3 CONCENTRATION</t>
  </si>
  <si>
    <t>Actual</t>
  </si>
  <si>
    <t>Outstanding</t>
  </si>
  <si>
    <t>RECONCILIATION  ·  zero tolerance</t>
  </si>
  <si>
    <t>MASTER</t>
  </si>
  <si>
    <t>Check</t>
  </si>
  <si>
    <t>Expected</t>
  </si>
  <si>
    <t>Δ</t>
  </si>
  <si>
    <t>Revenue = sum of service lines (actual)</t>
  </si>
  <si>
    <t>Direct cost = sum of categories (actual)</t>
  </si>
  <si>
    <t>OpEx = sum of categories (actual)</t>
  </si>
  <si>
    <t>Gross profit = revenue - direct cost (actual)</t>
  </si>
  <si>
    <t>EBITDA = gross profit - OpEx (actual)</t>
  </si>
  <si>
    <t>Net profit = EBITDA - D&amp;A - interest - tax (actual)</t>
  </si>
  <si>
    <t>AR aging buckets = AR balance (actual)</t>
  </si>
  <si>
    <t>Revenue = direct cost + gross profit (articulation)</t>
  </si>
  <si>
    <t>Gross profit = operating expense + EBITDA (articulation)</t>
  </si>
  <si>
    <t>Revenue = sum of service lines (budget)</t>
  </si>
  <si>
    <t>Direct cost = sum of categories (budget)</t>
  </si>
  <si>
    <t>OpEx = sum of categories (budget)</t>
  </si>
  <si>
    <t>Gross profit = revenue - direct cost (budget)</t>
  </si>
  <si>
    <t>EBITDA = gross profit - OpEx (budget)</t>
  </si>
  <si>
    <t>Net profit = EBITDA - D&amp;A - interest - tax (budget)</t>
  </si>
  <si>
    <t>AR aging buckets = AR balance (budget)</t>
  </si>
  <si>
    <t>Revenue = sum of service lines (last-yr)</t>
  </si>
  <si>
    <t>Direct cost = sum of categories (last-yr)</t>
  </si>
  <si>
    <t>OpEx = sum of categories (last-yr)</t>
  </si>
  <si>
    <t>Gross profit = revenue - direct cost (last-yr)</t>
  </si>
  <si>
    <t>EBITDA = gross profit - OpEx (last-yr)</t>
  </si>
  <si>
    <t>Net profit = EBITDA - D&amp;A - interest - tax (last-yr)</t>
  </si>
  <si>
    <t>Q x P: hours x rate = billable-line revenue (actual)</t>
  </si>
  <si>
    <t>Total billable hours = sum of service-line hours (actual)</t>
  </si>
  <si>
    <t>Cash continuity: closing - prior = net cash movement</t>
  </si>
  <si>
    <t>YTD REVENUE</t>
  </si>
  <si>
    <t>YTD EBITDA</t>
  </si>
  <si>
    <t>YTD NET PROFIT</t>
  </si>
  <si>
    <t>YTD revenue = sum of monthly revenue over FY window</t>
  </si>
  <si>
    <t>YTD EBITDA = sum of monthly EBITDA over FY window</t>
  </si>
  <si>
    <t>YTD net profit = sum of monthly net profit over FY window</t>
  </si>
  <si>
    <t>FY rollover: selected month is within its fiscal year</t>
  </si>
  <si>
    <t>Revenue held at $560K with margin steady ahead of the seasonal slowdown.</t>
  </si>
  <si>
    <t>December dipped to $430K on the usual client shutdown, the softest month in the series, but cash stayed positive.</t>
  </si>
  <si>
    <t>January rebounded to $556K as retainers reset for the new year.</t>
  </si>
  <si>
    <t>February revenue of $573K with utilisation back to target after the senior hires ramped.</t>
  </si>
  <si>
    <t>March surged to $626K on a one-off brand launch for Coastal Bank plus strong project delivery.</t>
  </si>
  <si>
    <t>April normalised to $592K; the launch work did not repeat, as expected.</t>
  </si>
  <si>
    <t>May reached $610K with the first converted retainer upsell contributing.</t>
  </si>
  <si>
    <t>June closed the year at $632K, the strongest non-anomalous month, with EBITDA margin at 14%.</t>
  </si>
  <si>
    <t>Collections stayed disciplined through the shutdown; no slippage into 90+.</t>
  </si>
  <si>
    <t>Delivery absorbed the launch spike without contractor blowout; gross margin held at 57%.</t>
  </si>
  <si>
    <t>Utilisation held at 71% with both senior leads fully productive; gross margin recovered to 57%.</t>
  </si>
  <si>
    <t>The December dip was deeper than budget; project work paused earlier than planned.</t>
  </si>
  <si>
    <t>Pass-through revenue inflated the top line at thin margin, flattering volume but not profit.</t>
  </si>
  <si>
    <t>Media pass-through still drags blended margin and the wind-down is running slower than planned.</t>
  </si>
  <si>
    <t>Senior capacity additions shifted the delivery mix toward higher-value advisory work.</t>
  </si>
  <si>
    <t>Recurring retainer revenue exceeded project revenue for the first time, lowering volatility.</t>
  </si>
  <si>
    <t>Pull project ramp-down a fortnight later next December to soften the seasonal trough.</t>
  </si>
  <si>
    <t>Treat launch-style spikes as capacity tests; pre-book contractor cover earlier.</t>
  </si>
  <si>
    <t>Close the pass-through exit and push two more retainer pilots to conversion.</t>
  </si>
  <si>
    <t>Lift rate card 8% on new statements of work</t>
  </si>
  <si>
    <t>Aug-25</t>
  </si>
  <si>
    <t>Liam C.</t>
  </si>
  <si>
    <t>Closed</t>
  </si>
  <si>
    <t>Oct-25</t>
  </si>
  <si>
    <t>Effective rate up ~6% by December with no client churn</t>
  </si>
  <si>
    <t>Hire two senior delivery leads</t>
  </si>
  <si>
    <t>Sep-25</t>
  </si>
  <si>
    <t>Jan-26</t>
  </si>
  <si>
    <t>Capacity restored; utilisation normalised by February</t>
  </si>
  <si>
    <t>Wind down media pass-through reselling</t>
  </si>
  <si>
    <t>Nov-25</t>
  </si>
  <si>
    <t>In progress</t>
  </si>
  <si>
    <t>Lowest-margin line; staged exit through Q1 FY27</t>
  </si>
  <si>
    <t>Move 90+ AR to a weekly call cadence</t>
  </si>
  <si>
    <t>Dana R.</t>
  </si>
  <si>
    <t>Mar-26</t>
  </si>
  <si>
    <t>DSO improved roughly 6 days; 90+ bucket halved</t>
  </si>
  <si>
    <t>Stand up a retainer upsell motion</t>
  </si>
  <si>
    <t>Feb-26</t>
  </si>
  <si>
    <t>Two pilots live; one converted to retainer in May</t>
  </si>
  <si>
    <t>Renegotiate SaaS tooling contracts</t>
  </si>
  <si>
    <t>Apr-26</t>
  </si>
  <si>
    <t>Sam O.</t>
  </si>
  <si>
    <t>Open</t>
  </si>
  <si>
    <t>Vendor reviews scheduled for May</t>
  </si>
  <si>
    <t>Northwind Retail above 18% of revenue</t>
  </si>
  <si>
    <t>Jul-25</t>
  </si>
  <si>
    <t>High</t>
  </si>
  <si>
    <t>Diversify pipeline; cap any client at 20%</t>
  </si>
  <si>
    <t>Stable</t>
  </si>
  <si>
    <t>Senior delivery capacity shortfall</t>
  </si>
  <si>
    <t>Medium</t>
  </si>
  <si>
    <t>Two senior hires landed January</t>
  </si>
  <si>
    <t>Eased from High (Nov-25)</t>
  </si>
  <si>
    <t>AR concentration in the 90+ bucket</t>
  </si>
  <si>
    <t>Weekly collections cadence in place</t>
  </si>
  <si>
    <t>Eased from High (Jan-26)</t>
  </si>
  <si>
    <t>Reliance on a single contractor vendor</t>
  </si>
  <si>
    <t>Onboarding a second vendor</t>
  </si>
  <si>
    <t>Margin drag from media pass-through</t>
  </si>
  <si>
    <t>Dec-25</t>
  </si>
  <si>
    <t>Low</t>
  </si>
  <si>
    <t>Line being exited through Q1 FY27</t>
  </si>
  <si>
    <t>Eased from High</t>
  </si>
  <si>
    <t>Tooling cost creep against revenue</t>
  </si>
  <si>
    <t>Contract renegotiation underway</t>
  </si>
  <si>
    <t>Watch</t>
  </si>
  <si>
    <t>06</t>
  </si>
  <si>
    <t>05</t>
  </si>
  <si>
    <t>04</t>
  </si>
  <si>
    <t>03</t>
  </si>
  <si>
    <t>02</t>
  </si>
  <si>
    <t>What this is</t>
  </si>
  <si>
    <t>01</t>
  </si>
  <si>
    <t>90+ days</t>
  </si>
  <si>
    <t>61–90 days</t>
  </si>
  <si>
    <t>31–60 days</t>
  </si>
  <si>
    <t>LEGEND</t>
  </si>
  <si>
    <t>INFRAXUS  ·  OWNER CONTROL PACK</t>
  </si>
  <si>
    <t>Monthly Dashboard</t>
  </si>
  <si>
    <t>DSO (DAYS)</t>
  </si>
  <si>
    <t>0–30 days</t>
  </si>
  <si>
    <t>BILLABLE UTILISATION</t>
  </si>
  <si>
    <t>IMPLIED REALISATION</t>
  </si>
  <si>
    <t>TRUE FREE CASH</t>
  </si>
  <si>
    <t>What we'll do differently</t>
  </si>
  <si>
    <t>GROSS MARGIN</t>
  </si>
  <si>
    <t>target 40 d</t>
  </si>
  <si>
    <t>EBITDA BRIDGE</t>
  </si>
  <si>
    <t>cat</t>
  </si>
  <si>
    <t>base</t>
  </si>
  <si>
    <t>down</t>
  </si>
  <si>
    <t>up</t>
  </si>
  <si>
    <t>anchor</t>
  </si>
  <si>
    <t>cumul</t>
  </si>
  <si>
    <t>floor</t>
  </si>
  <si>
    <t>Target</t>
  </si>
  <si>
    <t>Vol &amp; mix</t>
  </si>
  <si>
    <t>Rate</t>
  </si>
  <si>
    <t>Dir cost</t>
  </si>
  <si>
    <t>Opex</t>
  </si>
  <si>
    <t>AR AGING</t>
  </si>
  <si>
    <t>Total / recoverable</t>
  </si>
  <si>
    <t>OPERATING KPIS</t>
  </si>
  <si>
    <t>Target → Actual</t>
  </si>
  <si>
    <t>Outstanding · recoverable</t>
  </si>
  <si>
    <t>Selected month</t>
  </si>
  <si>
    <t>Prob</t>
  </si>
  <si>
    <t>comp</t>
  </si>
  <si>
    <t>TARGET</t>
  </si>
  <si>
    <t>ACTUAL</t>
  </si>
  <si>
    <t>VAR</t>
  </si>
  <si>
    <t>REVIEWED COMMENTARY</t>
  </si>
  <si>
    <t>OPEN DECISIONS</t>
  </si>
  <si>
    <t>RISK REGISTER</t>
  </si>
  <si>
    <t>TOP-5 CLIENTS</t>
  </si>
  <si>
    <t>Revenue</t>
  </si>
  <si>
    <t>Share</t>
  </si>
  <si>
    <t>Northwind</t>
  </si>
  <si>
    <t>Meridian</t>
  </si>
  <si>
    <t>Coastal</t>
  </si>
  <si>
    <t>Vela</t>
  </si>
  <si>
    <t>Brightline</t>
  </si>
  <si>
    <t>████████</t>
  </si>
  <si>
    <t>██████</t>
  </si>
  <si>
    <t>█████</t>
  </si>
  <si>
    <t>████</t>
  </si>
  <si>
    <t>███</t>
  </si>
  <si>
    <t>Year-to-Date Dashboard</t>
  </si>
  <si>
    <t>YTD GROSS MARGIN</t>
  </si>
  <si>
    <t>MGMT EBITDA YTD</t>
  </si>
  <si>
    <t>TOP-5 CLIENTS  ·  YTD</t>
  </si>
  <si>
    <t>EBITDA BRIDGE  ·  YTD</t>
  </si>
  <si>
    <t>OPERATING KPIS  ·  YTD</t>
  </si>
  <si>
    <t>Jun-26</t>
  </si>
  <si>
    <t>▾ MONTH</t>
  </si>
  <si>
    <t>Built by Infraxus, operator finance · infraxus.com</t>
  </si>
  <si>
    <t>Read Me · Owner's Monthly Decision Pack</t>
  </si>
  <si>
    <t xml:space="preserve">
This is the analytical structure behind a monthly owner's review. You store thirteen months of your own numbers on the Data tab, choose the month you want to read on each dashboard, and the dashboards rebuild around it. It is the same management read a five-to-fifteen-million-dollar services business would run internally, in a single workbook you control.</t>
  </si>
  <si>
    <t>How to read it</t>
  </si>
  <si>
    <t xml:space="preserve">
The pack keeps a rolling thirteen months of history in one place rather than a fresh file each month. Each dashboard has its own month selector in the top-right corner, so the Monthly and Year-to-Date views can sit on different months side by side. Pick a month and every tile, variance, sparkline, and trajectory on that dashboard re-renders for the month and its fiscal year to date.
Your commentary, decisions log, and risk register are tagged to the month they belong to, so they stay put when you toggle. Reading March never overwrites what you wrote in February.</t>
  </si>
  <si>
    <t>Setting it up</t>
  </si>
  <si>
    <t>The methodology</t>
  </si>
  <si>
    <t>If the reconciliation badge flags</t>
  </si>
  <si>
    <t>Free version vs the Control Sprint</t>
  </si>
  <si>
    <t xml:space="preserve">
This free template gives you the analytical structure. You type your monthly numbers into the Data tab and the dashboards do the rest. It is yours to keep.
The Sprint connects this same template to your accounting system (Xero, MYOB, or QuickBooks), your AR system, and your time tracker, so the data flows in on its own instead of being keyed by hand. Same dashboards; the difference is where the numbers come from. The Sprint is five thousand dollars, refundable on the delivery call if it is not the right fit.
If you want us to keep running the monthly read with you afterwards, the ongoing engagement is two thousand five hundred dollars a month, with thirty days notice and no annual lock-in. The engagement is never a precondition for the Sprint.</t>
  </si>
  <si>
    <t>Owners_Monthly_Decision_Pack.xlsx</t>
  </si>
  <si>
    <t>Store 13 months of actuals. Each dashboard has its own month selector.</t>
  </si>
  <si>
    <t>= you type here (input)</t>
  </si>
  <si>
    <t>= calculated (do not edit)</t>
  </si>
  <si>
    <t>Atlas Digital Pty Ltd</t>
  </si>
  <si>
    <t xml:space="preserve">
1. Open the Data tab. Set your business name, region, and the latest month you have actuals for. The fiscal year start fills in automatically; override it if yours is non-standard.
2. Working oldest month to newest, type each month's actuals into the blue cells: revenue and billable hours by service line, direct costs, operating expenses, the lines below EBITDA, cash and working capital, AR aging, people, and your top five clients.
3. Enter the target (budget) and last-year figures in the two rows beneath each actual.
4. Set your collection-probability assumptions once, in the AR section.
5. Record commentary, decisions, and risks as they happen, they persist as you toggle months.
6. On each dashboard, pick the month to read using the selector top-right.
7. Confirm the "Reconciled to ledger" badge reads green.
The first full twelve-month backfill takes about ninety minutes. Once current, each month takes thirty to forty-five.</t>
  </si>
  <si>
    <t xml:space="preserve">
VARIANCE WALK  Bridges budget to actual EBITDA across four steps, revenue volume &amp; mix, revenue rate, direct cost, and operating expense. The steps always sum exactly to the total variance.
YEAR-TO-DATE, FISCAL-AWARE  Accumulates from your fiscal-year start through the month you are reading, and respects your region (AU rolls Jul to Jun, NZ Apr to Mar, US the calendar year). It resets on its own in a new fiscal year.
TRUE FREE CASH  Closing cash less what you owe suppliers, the cash genuinely free after near-term obligations, not the headline bank balance.
IMPLIED REALISATION  The rate you actually earned per billable hour divided by your listed rate. Below 100% means discounting or write-offs are eroding pricing.
MANAGEMENT EBITDA  EBITDA with the gap between owner pay and a market salary added back, so the business is judged on its operating economics.</t>
  </si>
  <si>
    <t xml:space="preserve">
The integrity check on the Data tab ties each total back to its parts and drives the "Reconciled to ledger" badge. If it flags, open the Data tab and work down the failing checks:
• A revenue, cost, or AR total that does not match its components usually means a service-line, category, or aging-bucket cell was left blank or typed over a formula. Re-enter the missing input.
• A gross-profit or EBITDA check that does not tie means revenue, direct cost, or operating expense is incomplete for the month.
• If a check still flags after the inputs are complete, confirm no total cell has been typed over, totals are formulas and should never be hand-keyed.</t>
  </si>
  <si>
    <t>How to use this template · what the colours mean · what to do if something looks wrong</t>
  </si>
  <si>
    <t>Want this run for you each month, with your numbers flowing in automatically?   Book a fit call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</si>
</sst>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_(* \(#,##0.00\);_(* &quot;-&quot;??_);_(@_)"/>
    <numFmt numFmtId="164" formatCode="#,##0;[Red]\-#,##0;&quot;–&quot;;@"/>
    <numFmt numFmtId="165" formatCode="0.0%;[Red]\-0.0%;&quot;–&quot;;@"/>
    <numFmt numFmtId="166" formatCode="0.0&quot; d&quot;;[Red]\-0.0&quot; d&quot;;&quot;–&quot;;@"/>
    <numFmt numFmtId="167" formatCode="&quot;$&quot;#,##0;[Red]\(&quot;$&quot;#,##0\);&quot;–&quot;;@"/>
    <numFmt numFmtId="168" formatCode="#,##0&quot; h&quot;;[Red]\-#,##0&quot; h&quot;;&quot;–&quot;;@"/>
    <numFmt numFmtId="169" formatCode="0.0%"/>
    <numFmt numFmtId="170" formatCode="0.0&quot; d&quot;"/>
    <numFmt numFmtId="171" formatCode=";;;"/>
    <numFmt numFmtId="172" formatCode="&quot;$&quot;#,##0;[Red]\(&quot;$&quot;#,##0\);&quot;–&quot;"/>
    <numFmt numFmtId="173" formatCode="&quot;+$&quot;#,##0;[Red]&quot;-$&quot;#,##0;&quot;–&quot;"/>
    <numFmt numFmtId="174" formatCode="&quot;$&quot;#,##0"/>
    <numFmt numFmtId="175" formatCode="&quot;+$&quot;#,##0;[Red]&quot;-$&quot;#,##0"/>
    <numFmt numFmtId="176" formatCode="&quot;-$&quot;#,##0;&quot;-$&quot;#,##0"/>
  </numFmts>
  <fonts count="65" x14ac:knownFonts="1">
    <font>
      <sz val="11"/>
      <color theme="1"/>
      <name val="Calibri"/>
      <family val="2"/>
      <scheme val="minor"/>
    </font>
    <font>
      <b/>
      <sz val="10"/>
      <color rgb="FF1E50FF"/>
      <name val="Consolas"/>
      <family val="2"/>
    </font>
    <font>
      <sz val="9"/>
      <color rgb="FF1E50FF"/>
      <name val="Consolas"/>
      <family val="2"/>
    </font>
    <font>
      <b/>
      <sz val="9"/>
      <color rgb="FF1E50FF"/>
      <name val="Consolas"/>
      <family val="2"/>
    </font>
    <font>
      <sz val="15"/>
      <color rgb="FFF2F2F2"/>
      <name val="Calibri Light"/>
      <family val="2"/>
    </font>
    <font>
      <sz val="10"/>
      <color rgb="FF8896B3"/>
      <name val="Consolas"/>
      <family val="2"/>
    </font>
    <font>
      <b/>
      <sz val="10"/>
      <color rgb="FF1E50FF"/>
      <name val="Consolas"/>
      <family val="2"/>
    </font>
    <font>
      <sz val="11"/>
      <color rgb="FF8896B3"/>
      <name val="Calibri"/>
      <family val="2"/>
    </font>
    <font>
      <sz val="11"/>
      <color rgb="FFF2F2F2"/>
      <name val="Consolas"/>
      <family val="2"/>
    </font>
    <font>
      <sz val="11"/>
      <color rgb="FFF2F2F2"/>
      <name val="Calibri"/>
      <family val="2"/>
    </font>
    <font>
      <b/>
      <sz val="10"/>
      <color rgb="FF8896B3"/>
      <name val="Calibri"/>
      <family val="2"/>
    </font>
    <font>
      <sz val="10"/>
      <color rgb="FFF2F2F2"/>
      <name val="Calibri"/>
      <family val="2"/>
    </font>
    <font>
      <sz val="10"/>
      <color rgb="FF8896B3"/>
      <name val="Calibri"/>
      <family val="2"/>
    </font>
    <font>
      <b/>
      <sz val="10"/>
      <color rgb="FFF2F2F2"/>
      <name val="Consolas"/>
      <family val="2"/>
    </font>
    <font>
      <sz val="10"/>
      <color rgb="FFF2F2F2"/>
      <name val="Consolas"/>
      <family val="2"/>
    </font>
    <font>
      <b/>
      <sz val="10"/>
      <color rgb="FF1E50FF"/>
      <name val="Calibri"/>
      <family val="2"/>
    </font>
    <font>
      <b/>
      <sz val="11"/>
      <color rgb="FFF2F2F2"/>
      <name val="Calibri"/>
      <family val="2"/>
    </font>
    <font>
      <b/>
      <sz val="11"/>
      <color rgb="FFF2F2F2"/>
      <name val="Consolas"/>
      <family val="2"/>
    </font>
    <font>
      <sz val="10"/>
      <color rgb="FF10B981"/>
      <name val="Consolas"/>
      <family val="2"/>
    </font>
    <font>
      <sz val="18"/>
      <color rgb="FFF2F2F2"/>
      <name val="Calibri Light"/>
      <family val="2"/>
    </font>
    <font>
      <sz val="11"/>
      <color theme="1"/>
      <name val="Calibri"/>
      <family val="2"/>
      <scheme val="minor"/>
    </font>
    <font>
      <b/>
      <sz val="12"/>
      <color rgb="FF10B981"/>
      <name val="Consolas"/>
      <family val="2"/>
    </font>
    <font>
      <b/>
      <sz val="9"/>
      <color rgb="FF10B981"/>
      <name val="Consolas"/>
      <family val="2"/>
    </font>
    <font>
      <b/>
      <sz val="10"/>
      <color rgb="FF10B981"/>
      <name val="Consolas"/>
      <family val="2"/>
    </font>
    <font>
      <b/>
      <sz val="16"/>
      <color rgb="FFF2F2F2"/>
      <name val="Calibri Light"/>
      <family val="2"/>
    </font>
    <font>
      <b/>
      <sz val="12"/>
      <color rgb="FF1E50FF"/>
      <name val="Consolas"/>
      <family val="2"/>
    </font>
    <font>
      <b/>
      <sz val="18"/>
      <color rgb="FFF2F2F2"/>
      <name val="Calibri Light"/>
      <family val="2"/>
    </font>
    <font>
      <b/>
      <sz val="9"/>
      <color rgb="FF8896B3"/>
      <name val="Consolas"/>
      <family val="2"/>
    </font>
    <font>
      <sz val="9"/>
      <color rgb="FF8896B3"/>
      <name val="Consolas"/>
      <family val="2"/>
    </font>
    <font>
      <sz val="10"/>
      <color rgb="FFF2F2F2"/>
      <name val="Calibri"/>
      <family val="2"/>
      <scheme val="minor"/>
    </font>
    <font>
      <sz val="9"/>
      <color rgb="FFEF4444"/>
      <name val="Consolas"/>
      <family val="2"/>
    </font>
    <font>
      <b/>
      <sz val="11"/>
      <color rgb="FF1E50FF"/>
      <name val="Consolas"/>
      <family val="2"/>
    </font>
    <font>
      <sz val="10"/>
      <color rgb="FF8896B3"/>
      <name val="Calibri"/>
      <family val="2"/>
      <scheme val="minor"/>
    </font>
    <font>
      <sz val="11"/>
      <color rgb="FFF2F2F2"/>
      <name val="Calibri"/>
      <family val="2"/>
      <scheme val="minor"/>
    </font>
    <font>
      <sz val="16"/>
      <color rgb="FFF2F2F2"/>
      <name val="Calibri Light"/>
      <family val="2"/>
    </font>
    <font>
      <sz val="10"/>
      <color rgb="FFEF4444"/>
      <name val="Consolas"/>
      <family val="2"/>
    </font>
    <font>
      <sz val="8"/>
      <color rgb="FF8896B3"/>
      <name val="Consolas"/>
      <family val="2"/>
    </font>
    <font>
      <sz val="26"/>
      <color rgb="FFF2F2F2"/>
      <name val="Calibri Light"/>
      <family val="2"/>
    </font>
    <font>
      <sz val="8"/>
      <color rgb="FF10B981"/>
      <name val="Consolas"/>
      <family val="2"/>
    </font>
    <font>
      <b/>
      <sz val="8"/>
      <color rgb="FF10B981"/>
      <name val="Consolas"/>
      <family val="2"/>
    </font>
    <font>
      <sz val="9"/>
      <color rgb="FFC9D3E8"/>
      <name val="Consolas"/>
      <family val="2"/>
    </font>
    <font>
      <sz val="8"/>
      <color rgb="FFEF4444"/>
      <name val="Consolas"/>
      <family val="2"/>
    </font>
    <font>
      <sz val="10"/>
      <color rgb="FFC9D3E8"/>
      <name val="Calibri"/>
      <family val="2"/>
      <scheme val="minor"/>
    </font>
    <font>
      <b/>
      <sz val="10"/>
      <color rgb="FFF2F2F2"/>
      <name val="Calibri"/>
      <family val="2"/>
      <scheme val="minor"/>
    </font>
    <font>
      <sz val="10"/>
      <color rgb="FFC9D3E8"/>
      <name val="Consolas"/>
      <family val="2"/>
    </font>
    <font>
      <sz val="10"/>
      <color rgb="FF5A5E66"/>
      <name val="Consolas"/>
      <family val="2"/>
    </font>
    <font>
      <sz val="8"/>
      <color rgb="FF5A5E66"/>
      <name val="Consolas"/>
      <family val="2"/>
    </font>
    <font>
      <sz val="9"/>
      <color rgb="FF3B6EF5"/>
      <name val="Consolas"/>
      <family val="2"/>
    </font>
    <font>
      <sz val="9"/>
      <color rgb="FFFFB04D"/>
      <name val="Consolas"/>
      <family val="2"/>
    </font>
    <font>
      <sz val="9"/>
      <color rgb="FFF2F2F2"/>
      <name val="Consolas"/>
      <family val="2"/>
    </font>
    <font>
      <b/>
      <sz val="9"/>
      <color rgb="FFEF4444"/>
      <name val="Consolas"/>
      <family val="2"/>
    </font>
    <font>
      <sz val="8"/>
      <color rgb="FF1E50FF"/>
      <name val="Consolas"/>
      <family val="2"/>
    </font>
    <font>
      <sz val="8"/>
      <color rgb="FF3B6EF5"/>
      <name val="Consolas"/>
      <family val="2"/>
    </font>
    <font>
      <sz val="8"/>
      <color rgb="FFFFB04D"/>
      <name val="Consolas"/>
      <family val="2"/>
    </font>
    <font>
      <sz val="10"/>
      <color rgb="FFD5DBE6"/>
      <name val="Calibri"/>
      <family val="2"/>
      <scheme val="minor"/>
    </font>
    <font>
      <b/>
      <sz val="8"/>
      <color rgb="FF8896B3"/>
      <name val="Consolas"/>
      <family val="2"/>
    </font>
    <font>
      <sz val="7"/>
      <color rgb="FF1E50FF"/>
      <name val="Consolas"/>
      <family val="2"/>
    </font>
    <font>
      <sz val="7"/>
      <color rgb="FF3B6EF5"/>
      <name val="Consolas"/>
      <family val="2"/>
    </font>
    <font>
      <sz val="7"/>
      <color rgb="FF5A7FE8"/>
      <name val="Consolas"/>
      <family val="2"/>
    </font>
    <font>
      <sz val="7"/>
      <color rgb="FF6E86C8"/>
      <name val="Consolas"/>
      <family val="2"/>
    </font>
    <font>
      <sz val="7"/>
      <color rgb="FF8896B3"/>
      <name val="Consolas"/>
      <family val="2"/>
    </font>
    <font>
      <sz val="11"/>
      <color rgb="FF0D0D0D"/>
      <name val="Calibri"/>
      <family val="2"/>
      <scheme val="minor"/>
    </font>
    <font>
      <b/>
      <sz val="10"/>
      <color rgb="FF8896B3"/>
      <name val="Calibri"/>
      <family val="2"/>
      <scheme val="minor"/>
    </font>
    <font>
      <u/>
      <sz val="11"/>
      <color theme="10"/>
      <name val="Calibri"/>
      <family val="2"/>
      <scheme val="minor"/>
    </font>
    <font>
      <b/>
      <u/>
      <sz val="10"/>
      <color rgb="FF5B86FF"/>
      <name val="Consolas"/>
      <family val="2"/>
    </font>
  </fonts>
  <fills count="12">
    <fill>
      <patternFill patternType="none"/>
    </fill>
    <fill>
      <patternFill patternType="gray125"/>
    </fill>
    <fill>
      <patternFill patternType="solid">
        <fgColor rgb="FF0D0D0D"/>
        <bgColor rgb="FF0D0D0D"/>
      </patternFill>
    </fill>
    <fill>
      <patternFill patternType="solid">
        <fgColor rgb="FF26282B"/>
        <bgColor rgb="FF26282B"/>
      </patternFill>
    </fill>
    <fill>
      <patternFill patternType="solid">
        <fgColor rgb="FF0D0D0D"/>
        <bgColor indexed="64"/>
      </patternFill>
    </fill>
    <fill>
      <patternFill patternType="solid">
        <fgColor rgb="FF1C1C1E"/>
        <bgColor indexed="64"/>
      </patternFill>
    </fill>
    <fill>
      <patternFill patternType="solid">
        <fgColor rgb="FF26282B"/>
        <bgColor indexed="64"/>
      </patternFill>
    </fill>
    <fill>
      <patternFill patternType="solid">
        <fgColor rgb="FF1C1C1E"/>
        <bgColor rgb="FF1C1C1E"/>
      </patternFill>
    </fill>
    <fill>
      <patternFill patternType="solid">
        <fgColor rgb="FF141416"/>
        <bgColor indexed="64"/>
      </patternFill>
    </fill>
    <fill>
      <patternFill patternType="solid">
        <fgColor rgb="FF0D0D0D"/>
        <bgColor rgb="FF1C1C1E"/>
      </patternFill>
    </fill>
    <fill>
      <patternFill patternType="solid">
        <fgColor rgb="FF1C1C1E"/>
        <bgColor rgb="FF0D0D0D"/>
      </patternFill>
    </fill>
    <fill>
      <patternFill patternType="solid">
        <fgColor rgb="FF000000"/>
        <bgColor indexed="64"/>
      </patternFill>
    </fill>
  </fills>
  <borders count="7">
    <border>
      <left/>
      <right/>
      <top/>
      <bottom/>
      <diagonal/>
    </border>
    <border>
      <left style="thin">
        <color rgb="FF3A3A3C"/>
      </left>
      <right style="thin">
        <color rgb="FF3A3A3C"/>
      </right>
      <top style="thin">
        <color rgb="FF3A3A3C"/>
      </top>
      <bottom style="thin">
        <color rgb="FF3A3A3C"/>
      </bottom>
      <diagonal/>
    </border>
    <border>
      <left/>
      <right style="thin">
        <color rgb="FF3A3A3C"/>
      </right>
      <top/>
      <bottom/>
      <diagonal/>
    </border>
    <border>
      <left/>
      <right/>
      <top style="thin">
        <color rgb="FF1E50FF"/>
      </top>
      <bottom/>
      <diagonal/>
    </border>
    <border>
      <left/>
      <right/>
      <top style="medium">
        <color rgb="FF1E50FF"/>
      </top>
      <bottom/>
      <diagonal/>
    </border>
    <border>
      <left/>
      <right/>
      <top/>
      <bottom style="thin">
        <color rgb="FF1E50FF"/>
      </bottom>
      <diagonal/>
    </border>
    <border>
      <left style="thin">
        <color rgb="FF3A3A3C"/>
      </left>
      <right style="thin">
        <color rgb="FF3A3A3C"/>
      </right>
      <top style="thin">
        <color rgb="FF3A3A3C"/>
      </top>
      <bottom/>
      <diagonal/>
    </border>
  </borders>
  <cellStyleXfs count="3">
    <xf numFmtId="0" fontId="0" fillId="0" borderId="0"/>
    <xf numFmtId="43" fontId="20" fillId="0" borderId="0"/>
    <xf numFmtId="0" fontId="63" fillId="0" borderId="0" applyNumberFormat="0" applyFill="0" applyBorder="0" applyAlignment="0" applyProtection="0"/>
  </cellStyleXfs>
  <cellXfs count="190">
    <xf numFmtId="0" fontId="0" fillId="0" borderId="0" xfId="0"/>
    <xf numFmtId="0" fontId="0" fillId="2" borderId="0" xfId="0" applyFill="1"/>
    <xf numFmtId="0" fontId="6" fillId="2" borderId="0" xfId="0" applyFont="1" applyFill="1"/>
    <xf numFmtId="0" fontId="7" fillId="2" borderId="0" xfId="0" applyFont="1" applyFill="1" applyAlignment="1">
      <alignment horizontal="left" vertical="center"/>
    </xf>
    <xf numFmtId="164" fontId="8" fillId="2" borderId="0" xfId="0" applyNumberFormat="1" applyFont="1" applyFill="1" applyAlignment="1">
      <alignment horizontal="left" vertical="center"/>
    </xf>
    <xf numFmtId="0" fontId="10" fillId="2" borderId="0" xfId="0" applyFont="1" applyFill="1" applyAlignment="1">
      <alignment horizontal="left" vertical="center"/>
    </xf>
    <xf numFmtId="0" fontId="10" fillId="2" borderId="0" xfId="0" applyFont="1" applyFill="1" applyAlignment="1">
      <alignment horizontal="right" vertical="center"/>
    </xf>
    <xf numFmtId="0" fontId="10" fillId="2" borderId="0" xfId="0" applyFont="1" applyFill="1" applyAlignment="1">
      <alignment horizontal="center" vertical="center"/>
    </xf>
    <xf numFmtId="0" fontId="11" fillId="2" borderId="0" xfId="0" applyFont="1" applyFill="1" applyAlignment="1">
      <alignment horizontal="left" vertical="center"/>
    </xf>
    <xf numFmtId="0" fontId="12" fillId="2" borderId="0" xfId="0" applyFont="1" applyFill="1" applyAlignment="1">
      <alignment horizontal="center" vertical="center"/>
    </xf>
    <xf numFmtId="0" fontId="12" fillId="2" borderId="0" xfId="0" applyFont="1" applyFill="1" applyAlignment="1">
      <alignment horizontal="left" vertical="center"/>
    </xf>
    <xf numFmtId="17" fontId="5" fillId="2" borderId="0" xfId="0" applyNumberFormat="1" applyFont="1" applyFill="1" applyAlignment="1">
      <alignment horizontal="right" vertical="center"/>
    </xf>
    <xf numFmtId="164" fontId="14" fillId="2" borderId="0" xfId="0" applyNumberFormat="1" applyFont="1" applyFill="1" applyAlignment="1">
      <alignment horizontal="left" vertical="center"/>
    </xf>
    <xf numFmtId="17" fontId="14" fillId="2" borderId="0" xfId="0" applyNumberFormat="1" applyFont="1" applyFill="1" applyAlignment="1">
      <alignment horizontal="left" vertical="center"/>
    </xf>
    <xf numFmtId="0" fontId="14" fillId="2" borderId="0" xfId="0" applyFont="1" applyFill="1" applyAlignment="1">
      <alignment horizontal="left" vertical="center"/>
    </xf>
    <xf numFmtId="0" fontId="11" fillId="2" borderId="0" xfId="0" applyFont="1" applyFill="1" applyAlignment="1">
      <alignment horizontal="left" vertical="center" wrapText="1"/>
    </xf>
    <xf numFmtId="0" fontId="0" fillId="4" borderId="0" xfId="0" applyFill="1"/>
    <xf numFmtId="0" fontId="0" fillId="5" borderId="0" xfId="0" applyFill="1"/>
    <xf numFmtId="0" fontId="29" fillId="4" borderId="0" xfId="0" applyFont="1" applyFill="1" applyAlignment="1">
      <alignment horizontal="left"/>
    </xf>
    <xf numFmtId="0" fontId="22" fillId="4" borderId="0" xfId="0" applyFont="1" applyFill="1" applyAlignment="1">
      <alignment horizontal="right"/>
    </xf>
    <xf numFmtId="0" fontId="14" fillId="4" borderId="0" xfId="0" applyFont="1" applyFill="1"/>
    <xf numFmtId="0" fontId="36" fillId="4" borderId="0" xfId="0" applyFont="1" applyFill="1"/>
    <xf numFmtId="0" fontId="37" fillId="4" borderId="0" xfId="0" applyFont="1" applyFill="1"/>
    <xf numFmtId="0" fontId="38" fillId="4" borderId="0" xfId="0" applyFont="1" applyFill="1"/>
    <xf numFmtId="0" fontId="40" fillId="4" borderId="0" xfId="0" applyFont="1" applyFill="1"/>
    <xf numFmtId="0" fontId="41" fillId="4" borderId="0" xfId="0" applyFont="1" applyFill="1"/>
    <xf numFmtId="0" fontId="36" fillId="8" borderId="0" xfId="0" applyFont="1" applyFill="1"/>
    <xf numFmtId="0" fontId="0" fillId="8" borderId="0" xfId="0" applyFill="1"/>
    <xf numFmtId="0" fontId="41" fillId="8" borderId="0" xfId="0" applyFont="1" applyFill="1" applyAlignment="1">
      <alignment horizontal="left"/>
    </xf>
    <xf numFmtId="169" fontId="4" fillId="4" borderId="0" xfId="0" applyNumberFormat="1" applyFont="1" applyFill="1"/>
    <xf numFmtId="172" fontId="4" fillId="4" borderId="0" xfId="0" applyNumberFormat="1" applyFont="1" applyFill="1"/>
    <xf numFmtId="0" fontId="36" fillId="4" borderId="0" xfId="0" applyFont="1" applyFill="1" applyAlignment="1">
      <alignment horizontal="right"/>
    </xf>
    <xf numFmtId="0" fontId="3" fillId="8" borderId="0" xfId="0" applyFont="1" applyFill="1"/>
    <xf numFmtId="0" fontId="46" fillId="8" borderId="0" xfId="0" applyFont="1" applyFill="1"/>
    <xf numFmtId="0" fontId="42" fillId="8" borderId="0" xfId="0" applyFont="1" applyFill="1"/>
    <xf numFmtId="172" fontId="44" fillId="8" borderId="0" xfId="0" applyNumberFormat="1" applyFont="1" applyFill="1" applyAlignment="1">
      <alignment horizontal="right"/>
    </xf>
    <xf numFmtId="0" fontId="32" fillId="8" borderId="0" xfId="0" applyFont="1" applyFill="1"/>
    <xf numFmtId="173" fontId="35" fillId="8" borderId="0" xfId="0" applyNumberFormat="1" applyFont="1" applyFill="1" applyAlignment="1">
      <alignment horizontal="right"/>
    </xf>
    <xf numFmtId="173" fontId="45" fillId="8" borderId="0" xfId="0" applyNumberFormat="1" applyFont="1" applyFill="1" applyAlignment="1">
      <alignment horizontal="right"/>
    </xf>
    <xf numFmtId="0" fontId="43" fillId="8" borderId="0" xfId="0" applyFont="1" applyFill="1"/>
    <xf numFmtId="172" fontId="13" fillId="8" borderId="0" xfId="0" applyNumberFormat="1" applyFont="1" applyFill="1" applyAlignment="1">
      <alignment horizontal="right"/>
    </xf>
    <xf numFmtId="0" fontId="46" fillId="8" borderId="0" xfId="0" applyFont="1" applyFill="1" applyAlignment="1">
      <alignment horizontal="right"/>
    </xf>
    <xf numFmtId="172" fontId="14" fillId="8" borderId="0" xfId="0" applyNumberFormat="1" applyFont="1" applyFill="1" applyAlignment="1">
      <alignment horizontal="right"/>
    </xf>
    <xf numFmtId="9" fontId="28" fillId="8" borderId="0" xfId="0" applyNumberFormat="1" applyFont="1" applyFill="1" applyAlignment="1">
      <alignment horizontal="right"/>
    </xf>
    <xf numFmtId="0" fontId="2" fillId="8" borderId="0" xfId="0" applyFont="1" applyFill="1"/>
    <xf numFmtId="0" fontId="47" fillId="8" borderId="0" xfId="0" applyFont="1" applyFill="1"/>
    <xf numFmtId="0" fontId="48" fillId="8" borderId="0" xfId="0" applyFont="1" applyFill="1"/>
    <xf numFmtId="0" fontId="30" fillId="8" borderId="0" xfId="0" applyFont="1" applyFill="1"/>
    <xf numFmtId="172" fontId="23" fillId="8" borderId="0" xfId="0" applyNumberFormat="1" applyFont="1" applyFill="1" applyAlignment="1">
      <alignment horizontal="right"/>
    </xf>
    <xf numFmtId="0" fontId="36" fillId="8" borderId="0" xfId="0" applyFont="1" applyFill="1" applyAlignment="1">
      <alignment horizontal="right"/>
    </xf>
    <xf numFmtId="175" fontId="50" fillId="8" borderId="0" xfId="0" applyNumberFormat="1" applyFont="1" applyFill="1" applyAlignment="1">
      <alignment horizontal="right"/>
    </xf>
    <xf numFmtId="0" fontId="3" fillId="8" borderId="5" xfId="0" applyFont="1" applyFill="1" applyBorder="1"/>
    <xf numFmtId="0" fontId="0" fillId="8" borderId="5" xfId="0" applyFill="1" applyBorder="1"/>
    <xf numFmtId="0" fontId="36" fillId="8" borderId="5" xfId="0" applyFont="1" applyFill="1" applyBorder="1"/>
    <xf numFmtId="169" fontId="34" fillId="8" borderId="0" xfId="0" applyNumberFormat="1" applyFont="1" applyFill="1"/>
    <xf numFmtId="172" fontId="34" fillId="8" borderId="0" xfId="0" applyNumberFormat="1" applyFont="1" applyFill="1"/>
    <xf numFmtId="0" fontId="51" fillId="8" borderId="0" xfId="0" applyFont="1" applyFill="1" applyAlignment="1">
      <alignment horizontal="left"/>
    </xf>
    <xf numFmtId="0" fontId="52" fillId="8" borderId="0" xfId="0" applyFont="1" applyFill="1" applyAlignment="1">
      <alignment horizontal="left"/>
    </xf>
    <xf numFmtId="0" fontId="53" fillId="8" borderId="0" xfId="0" applyFont="1" applyFill="1" applyAlignment="1">
      <alignment horizontal="left"/>
    </xf>
    <xf numFmtId="0" fontId="53" fillId="4" borderId="0" xfId="0" applyFont="1" applyFill="1"/>
    <xf numFmtId="0" fontId="54" fillId="4" borderId="0" xfId="0" applyFont="1" applyFill="1" applyAlignment="1">
      <alignment vertical="center"/>
    </xf>
    <xf numFmtId="0" fontId="28" fillId="4" borderId="0" xfId="0" applyFont="1" applyFill="1" applyAlignment="1">
      <alignment vertical="center"/>
    </xf>
    <xf numFmtId="0" fontId="48" fillId="4" borderId="0" xfId="0" applyFont="1" applyFill="1" applyAlignment="1">
      <alignment vertical="center"/>
    </xf>
    <xf numFmtId="0" fontId="0" fillId="4" borderId="0" xfId="0" applyFill="1" applyAlignment="1">
      <alignment vertical="center"/>
    </xf>
    <xf numFmtId="0" fontId="49" fillId="4" borderId="0" xfId="0" applyFont="1" applyFill="1" applyAlignment="1">
      <alignment vertical="center"/>
    </xf>
    <xf numFmtId="0" fontId="3" fillId="4" borderId="5" xfId="0" applyFont="1" applyFill="1" applyBorder="1"/>
    <xf numFmtId="0" fontId="0" fillId="4" borderId="5" xfId="0" applyFill="1" applyBorder="1"/>
    <xf numFmtId="0" fontId="55" fillId="8" borderId="0" xfId="0" applyFont="1" applyFill="1"/>
    <xf numFmtId="0" fontId="54" fillId="8" borderId="0" xfId="0" applyFont="1" applyFill="1"/>
    <xf numFmtId="0" fontId="56" fillId="8" borderId="0" xfId="0" applyFont="1" applyFill="1"/>
    <xf numFmtId="0" fontId="57" fillId="8" borderId="0" xfId="0" applyFont="1" applyFill="1"/>
    <xf numFmtId="0" fontId="58" fillId="8" borderId="0" xfId="0" applyFont="1" applyFill="1"/>
    <xf numFmtId="0" fontId="59" fillId="8" borderId="0" xfId="0" applyFont="1" applyFill="1"/>
    <xf numFmtId="0" fontId="60" fillId="8" borderId="0" xfId="0" applyFont="1" applyFill="1"/>
    <xf numFmtId="0" fontId="52" fillId="4" borderId="0" xfId="0" applyFont="1" applyFill="1"/>
    <xf numFmtId="49" fontId="1" fillId="4" borderId="0" xfId="0" applyNumberFormat="1" applyFont="1" applyFill="1" applyAlignment="1">
      <alignment horizontal="right"/>
    </xf>
    <xf numFmtId="0" fontId="8" fillId="2" borderId="0" xfId="0" applyFont="1" applyFill="1" applyAlignment="1">
      <alignment horizontal="left" vertical="center"/>
    </xf>
    <xf numFmtId="0" fontId="0" fillId="4" borderId="3" xfId="0" applyFill="1" applyBorder="1"/>
    <xf numFmtId="0" fontId="3" fillId="4" borderId="0" xfId="0" applyFont="1" applyFill="1"/>
    <xf numFmtId="0" fontId="0" fillId="9" borderId="0" xfId="0" applyFill="1"/>
    <xf numFmtId="0" fontId="0" fillId="7" borderId="0" xfId="0" applyFill="1"/>
    <xf numFmtId="0" fontId="5" fillId="7" borderId="0" xfId="0" applyFont="1" applyFill="1" applyAlignment="1">
      <alignment horizontal="right" vertical="center"/>
    </xf>
    <xf numFmtId="0" fontId="0" fillId="7" borderId="0" xfId="0" applyFill="1" applyAlignment="1">
      <alignment wrapText="1"/>
    </xf>
    <xf numFmtId="0" fontId="5" fillId="7" borderId="0" xfId="0" applyFont="1" applyFill="1" applyAlignment="1">
      <alignment horizontal="left" vertical="center"/>
    </xf>
    <xf numFmtId="0" fontId="24" fillId="7" borderId="0" xfId="0" applyFont="1" applyFill="1" applyAlignment="1">
      <alignment horizontal="left"/>
    </xf>
    <xf numFmtId="49" fontId="25" fillId="7" borderId="0" xfId="0" applyNumberFormat="1" applyFont="1" applyFill="1" applyAlignment="1">
      <alignment horizontal="left"/>
    </xf>
    <xf numFmtId="49" fontId="25" fillId="7" borderId="0" xfId="0" applyNumberFormat="1" applyFont="1" applyFill="1" applyAlignment="1">
      <alignment horizontal="left" vertical="top"/>
    </xf>
    <xf numFmtId="0" fontId="1" fillId="5" borderId="0" xfId="0" applyFont="1" applyFill="1"/>
    <xf numFmtId="0" fontId="15" fillId="2" borderId="2" xfId="0" applyFont="1" applyFill="1" applyBorder="1"/>
    <xf numFmtId="0" fontId="27" fillId="6" borderId="0" xfId="0" applyFont="1" applyFill="1" applyAlignment="1">
      <alignment horizontal="left" vertical="center"/>
    </xf>
    <xf numFmtId="0" fontId="27" fillId="6" borderId="0" xfId="0" applyFont="1" applyFill="1" applyAlignment="1">
      <alignment horizontal="right" vertical="center"/>
    </xf>
    <xf numFmtId="167" fontId="31" fillId="4" borderId="1" xfId="0" applyNumberFormat="1" applyFont="1" applyFill="1" applyBorder="1" applyAlignment="1" applyProtection="1">
      <alignment horizontal="right" vertical="center"/>
      <protection locked="0"/>
    </xf>
    <xf numFmtId="168" fontId="31" fillId="4" borderId="1" xfId="0" applyNumberFormat="1" applyFont="1" applyFill="1" applyBorder="1" applyAlignment="1" applyProtection="1">
      <alignment horizontal="right" vertical="center"/>
      <protection locked="0"/>
    </xf>
    <xf numFmtId="164" fontId="31" fillId="4" borderId="1" xfId="0" applyNumberFormat="1" applyFont="1" applyFill="1" applyBorder="1" applyAlignment="1" applyProtection="1">
      <alignment horizontal="right" vertical="center"/>
      <protection locked="0"/>
    </xf>
    <xf numFmtId="0" fontId="9" fillId="2" borderId="0" xfId="0" applyFont="1" applyFill="1" applyAlignment="1">
      <alignment horizontal="left" vertical="center"/>
    </xf>
    <xf numFmtId="0" fontId="16" fillId="3" borderId="0" xfId="0" applyFont="1" applyFill="1" applyAlignment="1">
      <alignment horizontal="left" vertical="center"/>
    </xf>
    <xf numFmtId="0" fontId="15" fillId="2" borderId="0" xfId="0" applyFont="1" applyFill="1"/>
    <xf numFmtId="0" fontId="16" fillId="2" borderId="0" xfId="0" applyFont="1" applyFill="1" applyAlignment="1">
      <alignment horizontal="left" vertical="center"/>
    </xf>
    <xf numFmtId="167" fontId="17" fillId="4" borderId="1" xfId="0" applyNumberFormat="1" applyFont="1" applyFill="1" applyBorder="1" applyAlignment="1">
      <alignment horizontal="right" vertical="center"/>
    </xf>
    <xf numFmtId="0" fontId="31" fillId="4" borderId="1" xfId="0" applyFont="1" applyFill="1" applyBorder="1" applyAlignment="1">
      <alignment horizontal="right"/>
    </xf>
    <xf numFmtId="49" fontId="31" fillId="4" borderId="1" xfId="0" applyNumberFormat="1" applyFont="1" applyFill="1" applyBorder="1" applyAlignment="1" applyProtection="1">
      <alignment horizontal="left" vertical="center"/>
      <protection locked="0"/>
    </xf>
    <xf numFmtId="49" fontId="31" fillId="4" borderId="6" xfId="0" applyNumberFormat="1" applyFont="1" applyFill="1" applyBorder="1" applyAlignment="1" applyProtection="1">
      <alignment horizontal="left" vertical="center"/>
      <protection locked="0"/>
    </xf>
    <xf numFmtId="17" fontId="31" fillId="4" borderId="1" xfId="0" applyNumberFormat="1" applyFont="1" applyFill="1" applyBorder="1" applyAlignment="1" applyProtection="1">
      <alignment horizontal="left" vertical="center"/>
      <protection locked="0"/>
    </xf>
    <xf numFmtId="0" fontId="31" fillId="4" borderId="1" xfId="0" applyFont="1" applyFill="1" applyBorder="1" applyAlignment="1" applyProtection="1">
      <alignment horizontal="left" vertical="center"/>
      <protection locked="0"/>
    </xf>
    <xf numFmtId="165" fontId="1" fillId="4" borderId="1" xfId="0" applyNumberFormat="1" applyFont="1" applyFill="1" applyBorder="1" applyAlignment="1" applyProtection="1">
      <alignment horizontal="right" vertical="center"/>
      <protection locked="0"/>
    </xf>
    <xf numFmtId="166" fontId="1" fillId="4" borderId="1" xfId="0" applyNumberFormat="1" applyFont="1" applyFill="1" applyBorder="1" applyAlignment="1" applyProtection="1">
      <alignment horizontal="right" vertical="center"/>
      <protection locked="0"/>
    </xf>
    <xf numFmtId="0" fontId="9" fillId="4" borderId="1" xfId="0" applyFont="1" applyFill="1" applyBorder="1" applyAlignment="1" applyProtection="1">
      <alignment horizontal="left" vertical="center" wrapText="1"/>
      <protection locked="0"/>
    </xf>
    <xf numFmtId="0" fontId="9" fillId="4" borderId="1" xfId="0" applyFont="1" applyFill="1" applyBorder="1" applyAlignment="1" applyProtection="1">
      <alignment horizontal="center" vertical="center"/>
      <protection locked="0"/>
    </xf>
    <xf numFmtId="0" fontId="9" fillId="4" borderId="1" xfId="0" applyFont="1" applyFill="1" applyBorder="1" applyAlignment="1" applyProtection="1">
      <alignment horizontal="left" vertical="center"/>
      <protection locked="0"/>
    </xf>
    <xf numFmtId="0" fontId="33" fillId="4" borderId="0" xfId="0" applyFont="1" applyFill="1"/>
    <xf numFmtId="0" fontId="11" fillId="4" borderId="0" xfId="0" applyFont="1" applyFill="1" applyAlignment="1">
      <alignment horizontal="right" vertical="center"/>
    </xf>
    <xf numFmtId="0" fontId="11" fillId="4" borderId="0" xfId="0" applyFont="1" applyFill="1" applyAlignment="1">
      <alignment horizontal="center" vertical="center"/>
    </xf>
    <xf numFmtId="0" fontId="11" fillId="4" borderId="0" xfId="0" applyFont="1" applyFill="1" applyAlignment="1">
      <alignment horizontal="left" vertical="center"/>
    </xf>
    <xf numFmtId="0" fontId="6" fillId="4" borderId="0" xfId="0" applyFont="1" applyFill="1"/>
    <xf numFmtId="0" fontId="10" fillId="4" borderId="0" xfId="0" applyFont="1" applyFill="1" applyAlignment="1">
      <alignment horizontal="left" vertical="center"/>
    </xf>
    <xf numFmtId="0" fontId="0" fillId="10" borderId="0" xfId="0" applyFill="1"/>
    <xf numFmtId="0" fontId="27" fillId="10" borderId="0" xfId="0" applyFont="1" applyFill="1" applyAlignment="1">
      <alignment horizontal="right"/>
    </xf>
    <xf numFmtId="0" fontId="28" fillId="10" borderId="0" xfId="0" quotePrefix="1" applyFont="1" applyFill="1"/>
    <xf numFmtId="0" fontId="5" fillId="10" borderId="0" xfId="0" applyFont="1" applyFill="1" applyAlignment="1">
      <alignment horizontal="left" vertical="center"/>
    </xf>
    <xf numFmtId="165" fontId="31" fillId="4" borderId="1" xfId="0" applyNumberFormat="1" applyFont="1" applyFill="1" applyBorder="1" applyAlignment="1" applyProtection="1">
      <alignment horizontal="right" vertical="center"/>
      <protection locked="0"/>
    </xf>
    <xf numFmtId="0" fontId="33" fillId="4" borderId="1" xfId="0" applyFont="1" applyFill="1" applyBorder="1"/>
    <xf numFmtId="0" fontId="1" fillId="4" borderId="0" xfId="0" applyFont="1" applyFill="1"/>
    <xf numFmtId="0" fontId="62" fillId="4" borderId="0" xfId="0" applyFont="1" applyFill="1"/>
    <xf numFmtId="0" fontId="1" fillId="4" borderId="0" xfId="0" applyFont="1" applyFill="1" applyAlignment="1">
      <alignment horizontal="right"/>
    </xf>
    <xf numFmtId="167" fontId="1" fillId="4" borderId="0" xfId="0" applyNumberFormat="1" applyFont="1" applyFill="1" applyAlignment="1">
      <alignment horizontal="right"/>
    </xf>
    <xf numFmtId="0" fontId="21" fillId="4" borderId="0" xfId="0" applyFont="1" applyFill="1" applyAlignment="1">
      <alignment horizontal="right"/>
    </xf>
    <xf numFmtId="49" fontId="9" fillId="4" borderId="1" xfId="0" applyNumberFormat="1" applyFont="1" applyFill="1" applyBorder="1" applyAlignment="1" applyProtection="1">
      <alignment horizontal="center" vertical="center"/>
      <protection locked="0"/>
    </xf>
    <xf numFmtId="0" fontId="54" fillId="5" borderId="0" xfId="0" applyFont="1" applyFill="1" applyAlignment="1">
      <alignment vertical="center"/>
    </xf>
    <xf numFmtId="0" fontId="28" fillId="5" borderId="0" xfId="0" applyFont="1" applyFill="1" applyAlignment="1">
      <alignment vertical="center"/>
    </xf>
    <xf numFmtId="0" fontId="0" fillId="5" borderId="0" xfId="0" applyFill="1" applyAlignment="1">
      <alignment vertical="center"/>
    </xf>
    <xf numFmtId="0" fontId="0" fillId="11" borderId="0" xfId="0" applyFill="1"/>
    <xf numFmtId="0" fontId="61" fillId="11" borderId="0" xfId="0" applyFont="1" applyFill="1"/>
    <xf numFmtId="171" fontId="0" fillId="11" borderId="0" xfId="0" applyNumberFormat="1" applyFill="1"/>
    <xf numFmtId="0" fontId="26" fillId="10" borderId="0" xfId="0" applyFont="1" applyFill="1" applyAlignment="1">
      <alignment horizontal="left" vertical="center"/>
    </xf>
    <xf numFmtId="0" fontId="12" fillId="10" borderId="0" xfId="0" applyFont="1" applyFill="1" applyAlignment="1">
      <alignment horizontal="left" vertical="center"/>
    </xf>
    <xf numFmtId="0" fontId="64" fillId="5" borderId="0" xfId="2" applyFont="1" applyFill="1" applyAlignment="1">
      <alignment horizontal="left" vertical="center"/>
    </xf>
    <xf numFmtId="0" fontId="33" fillId="2" borderId="0" xfId="0" applyFont="1" applyFill="1" applyAlignment="1">
      <alignment horizontal="left" vertical="top" wrapText="1"/>
    </xf>
    <xf numFmtId="0" fontId="24" fillId="7" borderId="0" xfId="0" applyFont="1" applyFill="1" applyAlignment="1">
      <alignment horizontal="left" vertical="center"/>
    </xf>
    <xf numFmtId="0" fontId="0" fillId="2" borderId="0" xfId="0" applyFill="1"/>
    <xf numFmtId="0" fontId="9" fillId="2" borderId="0" xfId="0" applyFont="1" applyFill="1" applyAlignment="1">
      <alignment horizontal="left" vertical="top" wrapText="1"/>
    </xf>
    <xf numFmtId="0" fontId="26" fillId="7" borderId="0" xfId="0" applyFont="1" applyFill="1" applyAlignment="1">
      <alignment horizontal="left" vertical="center"/>
    </xf>
    <xf numFmtId="0" fontId="12" fillId="7" borderId="0" xfId="0" applyFont="1" applyFill="1" applyAlignment="1">
      <alignment horizontal="left" vertical="center"/>
    </xf>
    <xf numFmtId="0" fontId="54" fillId="4" borderId="0" xfId="0" applyFont="1" applyFill="1" applyAlignment="1">
      <alignment vertical="top" wrapText="1"/>
    </xf>
    <xf numFmtId="172" fontId="14" fillId="8" borderId="0" xfId="0" applyNumberFormat="1" applyFont="1" applyFill="1" applyAlignment="1">
      <alignment horizontal="right"/>
    </xf>
    <xf numFmtId="169" fontId="5" fillId="8" borderId="0" xfId="0" applyNumberFormat="1" applyFont="1" applyFill="1" applyAlignment="1">
      <alignment horizontal="right"/>
    </xf>
    <xf numFmtId="174" fontId="14" fillId="8" borderId="0" xfId="0" applyNumberFormat="1" applyFont="1" applyFill="1" applyAlignment="1">
      <alignment horizontal="left"/>
    </xf>
    <xf numFmtId="0" fontId="0" fillId="8" borderId="0" xfId="0" applyFill="1"/>
    <xf numFmtId="176" fontId="35" fillId="8" borderId="0" xfId="0" applyNumberFormat="1" applyFont="1" applyFill="1" applyAlignment="1">
      <alignment horizontal="left"/>
    </xf>
    <xf numFmtId="171" fontId="0" fillId="4" borderId="0" xfId="0" applyNumberFormat="1" applyFill="1"/>
    <xf numFmtId="171" fontId="0" fillId="8" borderId="0" xfId="0" applyNumberFormat="1" applyFill="1"/>
    <xf numFmtId="169" fontId="19" fillId="8" borderId="0" xfId="0" applyNumberFormat="1" applyFont="1" applyFill="1" applyAlignment="1">
      <alignment horizontal="left" vertical="center"/>
    </xf>
    <xf numFmtId="174" fontId="19" fillId="8" borderId="0" xfId="0" applyNumberFormat="1" applyFont="1" applyFill="1" applyAlignment="1">
      <alignment horizontal="left" vertical="center"/>
    </xf>
    <xf numFmtId="0" fontId="56" fillId="8" borderId="0" xfId="0" applyFont="1" applyFill="1"/>
    <xf numFmtId="0" fontId="46" fillId="8" borderId="0" xfId="0" applyFont="1" applyFill="1"/>
    <xf numFmtId="172" fontId="18" fillId="8" borderId="0" xfId="0" applyNumberFormat="1" applyFont="1" applyFill="1" applyAlignment="1">
      <alignment horizontal="right"/>
    </xf>
    <xf numFmtId="172" fontId="13" fillId="8" borderId="0" xfId="0" applyNumberFormat="1" applyFont="1" applyFill="1" applyAlignment="1">
      <alignment horizontal="right"/>
    </xf>
    <xf numFmtId="172" fontId="23" fillId="8" borderId="0" xfId="0" applyNumberFormat="1" applyFont="1" applyFill="1" applyAlignment="1">
      <alignment horizontal="right"/>
    </xf>
    <xf numFmtId="0" fontId="46" fillId="8" borderId="0" xfId="0" applyFont="1" applyFill="1" applyAlignment="1">
      <alignment horizontal="right"/>
    </xf>
    <xf numFmtId="0" fontId="36" fillId="4" borderId="0" xfId="0" applyFont="1" applyFill="1" applyAlignment="1">
      <alignment horizontal="left"/>
    </xf>
    <xf numFmtId="0" fontId="36" fillId="4" borderId="0" xfId="0" applyFont="1" applyFill="1"/>
    <xf numFmtId="172" fontId="19" fillId="4" borderId="0" xfId="0" applyNumberFormat="1" applyFont="1" applyFill="1" applyAlignment="1">
      <alignment horizontal="left"/>
    </xf>
    <xf numFmtId="172" fontId="19" fillId="4" borderId="0" xfId="0" applyNumberFormat="1" applyFont="1" applyFill="1"/>
    <xf numFmtId="169" fontId="19" fillId="4" borderId="0" xfId="0" applyNumberFormat="1" applyFont="1" applyFill="1" applyAlignment="1">
      <alignment horizontal="left"/>
    </xf>
    <xf numFmtId="169" fontId="19" fillId="4" borderId="0" xfId="0" applyNumberFormat="1" applyFont="1" applyFill="1"/>
    <xf numFmtId="170" fontId="19" fillId="4" borderId="0" xfId="0" applyNumberFormat="1" applyFont="1" applyFill="1" applyAlignment="1">
      <alignment horizontal="left"/>
    </xf>
    <xf numFmtId="170" fontId="19" fillId="4" borderId="0" xfId="0" applyNumberFormat="1" applyFont="1" applyFill="1"/>
    <xf numFmtId="0" fontId="41" fillId="4" borderId="0" xfId="0" applyFont="1" applyFill="1" applyAlignment="1">
      <alignment horizontal="left"/>
    </xf>
    <xf numFmtId="0" fontId="41" fillId="4" borderId="0" xfId="0" applyFont="1" applyFill="1"/>
    <xf numFmtId="0" fontId="38" fillId="4" borderId="0" xfId="0" applyFont="1" applyFill="1" applyAlignment="1">
      <alignment horizontal="left"/>
    </xf>
    <xf numFmtId="0" fontId="38" fillId="4" borderId="0" xfId="0" applyFont="1" applyFill="1"/>
    <xf numFmtId="0" fontId="28" fillId="4" borderId="0" xfId="0" applyFont="1" applyFill="1" applyAlignment="1">
      <alignment horizontal="right"/>
    </xf>
    <xf numFmtId="0" fontId="19" fillId="4" borderId="0" xfId="0" applyFont="1" applyFill="1" applyAlignment="1">
      <alignment horizontal="right"/>
    </xf>
    <xf numFmtId="0" fontId="39" fillId="4" borderId="0" xfId="0" applyFont="1" applyFill="1" applyAlignment="1">
      <alignment horizontal="right"/>
    </xf>
    <xf numFmtId="0" fontId="36" fillId="4" borderId="4" xfId="0" applyFont="1" applyFill="1" applyBorder="1" applyAlignment="1">
      <alignment horizontal="left"/>
    </xf>
    <xf numFmtId="0" fontId="36" fillId="4" borderId="4" xfId="0" applyFont="1" applyFill="1" applyBorder="1"/>
    <xf numFmtId="0" fontId="36" fillId="8" borderId="0" xfId="0" applyFont="1" applyFill="1" applyAlignment="1">
      <alignment horizontal="left"/>
    </xf>
    <xf numFmtId="0" fontId="36" fillId="8" borderId="0" xfId="0" applyFont="1" applyFill="1"/>
    <xf numFmtId="172" fontId="19" fillId="8" borderId="0" xfId="0" applyNumberFormat="1" applyFont="1" applyFill="1" applyAlignment="1">
      <alignment horizontal="left"/>
    </xf>
    <xf numFmtId="172" fontId="19" fillId="8" borderId="0" xfId="0" applyNumberFormat="1" applyFont="1" applyFill="1"/>
    <xf numFmtId="169" fontId="19" fillId="8" borderId="0" xfId="0" applyNumberFormat="1" applyFont="1" applyFill="1" applyAlignment="1">
      <alignment horizontal="left"/>
    </xf>
    <xf numFmtId="169" fontId="19" fillId="8" borderId="0" xfId="0" applyNumberFormat="1" applyFont="1" applyFill="1"/>
    <xf numFmtId="170" fontId="19" fillId="8" borderId="0" xfId="0" applyNumberFormat="1" applyFont="1" applyFill="1"/>
    <xf numFmtId="0" fontId="41" fillId="8" borderId="0" xfId="0" applyFont="1" applyFill="1" applyAlignment="1">
      <alignment horizontal="left"/>
    </xf>
    <xf numFmtId="0" fontId="41" fillId="8" borderId="0" xfId="0" applyFont="1" applyFill="1"/>
    <xf numFmtId="0" fontId="38" fillId="8" borderId="0" xfId="0" applyFont="1" applyFill="1" applyAlignment="1">
      <alignment horizontal="left"/>
    </xf>
    <xf numFmtId="0" fontId="38" fillId="8" borderId="0" xfId="0" applyFont="1" applyFill="1"/>
    <xf numFmtId="0" fontId="22" fillId="4" borderId="0" xfId="0" applyFont="1" applyFill="1" applyAlignment="1">
      <alignment horizontal="right"/>
    </xf>
    <xf numFmtId="0" fontId="36" fillId="8" borderId="4" xfId="0" applyFont="1" applyFill="1" applyBorder="1" applyAlignment="1">
      <alignment horizontal="left"/>
    </xf>
    <xf numFmtId="0" fontId="36" fillId="8" borderId="4" xfId="0" applyFont="1" applyFill="1" applyBorder="1"/>
    <xf numFmtId="170" fontId="19" fillId="8" borderId="0" xfId="0" applyNumberFormat="1" applyFont="1" applyFill="1" applyAlignment="1">
      <alignment horizontal="left"/>
    </xf>
  </cellXfs>
  <cellStyles count="3">
    <cellStyle name="Comma 2" xfId="1" xr:uid="{4AF59E9B-7DB8-C843-9F05-435C8505DC8B}"/>
    <cellStyle name="Hyperlink" xfId="2" builtinId="8"/>
    <cellStyle name="Normal" xfId="0" builtinId="0"/>
  </cellStyles>
  <dxfs count="43">
    <dxf>
      <font>
        <color rgb="FF8896B3"/>
      </font>
    </dxf>
    <dxf>
      <font>
        <color rgb="FFFFB04D"/>
      </font>
    </dxf>
    <dxf>
      <font>
        <color rgb="FFEF4444"/>
      </font>
    </dxf>
    <dxf>
      <font>
        <color rgb="FF8896B3"/>
      </font>
    </dxf>
    <dxf>
      <font>
        <color rgb="FFFFB04D"/>
      </font>
    </dxf>
    <dxf>
      <font>
        <color rgb="FFEF4444"/>
      </font>
    </dxf>
    <dxf>
      <font>
        <color rgb="FF8896B3"/>
      </font>
    </dxf>
    <dxf>
      <font>
        <color rgb="FFFFB04D"/>
      </font>
    </dxf>
    <dxf>
      <font>
        <color rgb="FFEF4444"/>
      </font>
    </dxf>
    <dxf>
      <font>
        <color rgb="FF8896B3"/>
      </font>
    </dxf>
    <dxf>
      <font>
        <color rgb="FFFFB04D"/>
      </font>
    </dxf>
    <dxf>
      <font>
        <color rgb="FFEF4444"/>
      </font>
    </dxf>
    <dxf>
      <font>
        <color rgb="FF1E50FF"/>
      </font>
    </dxf>
    <dxf>
      <font>
        <color rgb="FFFFB04D"/>
      </font>
    </dxf>
    <dxf>
      <font>
        <color rgb="FF8896B3"/>
      </font>
    </dxf>
    <dxf>
      <font>
        <color rgb="FFFFB04D"/>
      </font>
    </dxf>
    <dxf>
      <font>
        <color rgb="FFEF4444"/>
      </font>
    </dxf>
    <dxf>
      <font>
        <color rgb="FF1E50FF"/>
      </font>
    </dxf>
    <dxf>
      <font>
        <color rgb="FFFFB04D"/>
      </font>
    </dxf>
    <dxf>
      <font>
        <b/>
        <sz val="9"/>
        <color rgb="FF10B981"/>
        <name val="Consolas"/>
      </font>
    </dxf>
    <dxf>
      <font>
        <b/>
        <sz val="9"/>
        <color rgb="FFFFC857"/>
        <name val="Consolas"/>
      </font>
    </dxf>
    <dxf>
      <font>
        <b/>
        <sz val="9"/>
        <color rgb="FFE5484D"/>
        <name val="Consolas"/>
      </font>
    </dxf>
    <dxf>
      <font>
        <b/>
        <sz val="9"/>
        <color rgb="FFE5484D"/>
        <name val="Consolas"/>
      </font>
      <fill>
        <patternFill patternType="solid">
          <fgColor rgb="FF2E1517"/>
        </patternFill>
      </fill>
    </dxf>
    <dxf>
      <font>
        <sz val="9"/>
        <color rgb="FF8896B3"/>
        <name val="Consolas"/>
      </font>
    </dxf>
    <dxf>
      <font>
        <b/>
        <sz val="9"/>
        <color rgb="FFFFC857"/>
        <name val="Consolas"/>
      </font>
    </dxf>
    <dxf>
      <font>
        <b/>
        <sz val="9"/>
        <color rgb="FF1E50FF"/>
        <name val="Consolas"/>
      </font>
    </dxf>
    <dxf>
      <font>
        <color rgb="FF8896B3"/>
      </font>
    </dxf>
    <dxf>
      <font>
        <color rgb="FFFFB04D"/>
      </font>
    </dxf>
    <dxf>
      <font>
        <color rgb="FFEF4444"/>
      </font>
    </dxf>
    <dxf>
      <font>
        <color rgb="FF1E50FF"/>
      </font>
    </dxf>
    <dxf>
      <font>
        <color rgb="FFFFB04D"/>
      </font>
    </dxf>
    <dxf>
      <font>
        <color rgb="FF8896B3"/>
      </font>
    </dxf>
    <dxf>
      <font>
        <color rgb="FFFFB04D"/>
      </font>
    </dxf>
    <dxf>
      <font>
        <color rgb="FFEF4444"/>
      </font>
    </dxf>
    <dxf>
      <font>
        <color rgb="FF1E50FF"/>
      </font>
    </dxf>
    <dxf>
      <font>
        <color rgb="FFFFB04D"/>
      </font>
    </dxf>
    <dxf>
      <font>
        <b/>
        <sz val="9"/>
        <color rgb="FF10B981"/>
        <name val="Consolas"/>
      </font>
    </dxf>
    <dxf>
      <font>
        <b/>
        <sz val="9"/>
        <color rgb="FFFFC857"/>
        <name val="Consolas"/>
      </font>
    </dxf>
    <dxf>
      <font>
        <b/>
        <sz val="9"/>
        <color rgb="FFE5484D"/>
        <name val="Consolas"/>
      </font>
    </dxf>
    <dxf>
      <font>
        <b/>
        <sz val="9"/>
        <color rgb="FFE5484D"/>
        <name val="Consolas"/>
      </font>
      <fill>
        <patternFill patternType="solid">
          <fgColor rgb="FF2E1517"/>
        </patternFill>
      </fill>
    </dxf>
    <dxf>
      <font>
        <sz val="9"/>
        <color rgb="FF8896B3"/>
        <name val="Consolas"/>
      </font>
    </dxf>
    <dxf>
      <font>
        <b/>
        <sz val="9"/>
        <color rgb="FFFFC857"/>
        <name val="Consolas"/>
      </font>
    </dxf>
    <dxf>
      <font>
        <b/>
        <sz val="9"/>
        <color rgb="FF1E50FF"/>
        <name val="Consolas"/>
      </font>
    </dxf>
  </dxfs>
  <tableStyles count="0" defaultTableStyle="TableStyleMedium9" defaultPivotStyle="PivotStyleLight16"/>
  <colors>
    <mruColors>
      <color rgb="FF1C1C1E"/>
      <color rgb="FF0D0D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2225" cap="rnd">
              <a:solidFill>
                <a:srgbClr val="3B6EF5"/>
              </a:solidFill>
              <a:prstDash val="solid"/>
              <a:round/>
            </a:ln>
            <a:effectLst/>
          </c:spPr>
          <c:marker>
            <c:symbol val="none"/>
          </c:marker>
          <c:val>
            <c:numRef>
              <c:f>Data!$D$93:$O$93</c:f>
              <c:numCache>
                <c:formatCode>"$"#,##0;[Red]\("$"#,##0\);"–";@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E34D-2445-A99C-01E3B17B3AAF}"/>
            </c:ext>
          </c:extLst>
        </c:ser>
        <c:dLbls>
          <c:showLegendKey val="0"/>
          <c:showVal val="0"/>
          <c:showCatName val="0"/>
          <c:showSerName val="0"/>
          <c:showPercent val="0"/>
          <c:showBubbleSize val="0"/>
        </c:dLbls>
        <c:smooth val="0"/>
        <c:axId val="116550143"/>
        <c:axId val="116553727"/>
      </c:lineChart>
      <c:catAx>
        <c:axId val="116550143"/>
        <c:scaling>
          <c:orientation val="minMax"/>
        </c:scaling>
        <c:delete val="1"/>
        <c:axPos val="b"/>
        <c:majorTickMark val="none"/>
        <c:minorTickMark val="none"/>
        <c:tickLblPos val="nextTo"/>
        <c:crossAx val="116553727"/>
        <c:crosses val="autoZero"/>
        <c:auto val="1"/>
        <c:lblAlgn val="ctr"/>
        <c:lblOffset val="100"/>
        <c:noMultiLvlLbl val="0"/>
      </c:catAx>
      <c:valAx>
        <c:axId val="116553727"/>
        <c:scaling>
          <c:orientation val="minMax"/>
        </c:scaling>
        <c:delete val="1"/>
        <c:axPos val="l"/>
        <c:numFmt formatCode="&quot;$&quot;#,##0;[Red]\(&quot;$&quot;#,##0\);&quot;–&quot;;@" sourceLinked="1"/>
        <c:majorTickMark val="none"/>
        <c:minorTickMark val="none"/>
        <c:tickLblPos val="nextTo"/>
        <c:crossAx val="116550143"/>
        <c:crosses val="autoZero"/>
        <c:crossBetween val="between"/>
      </c:valAx>
      <c:spPr>
        <a:solidFill>
          <a:srgbClr val="141416"/>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141416"/>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2225" cap="rnd">
              <a:solidFill>
                <a:srgbClr val="3B6EF5"/>
              </a:solidFill>
              <a:prstDash val="solid"/>
              <a:round/>
            </a:ln>
            <a:effectLst/>
          </c:spPr>
          <c:marker>
            <c:symbol val="none"/>
          </c:marker>
          <c:val>
            <c:numRef>
              <c:f>Data!$D$118:$O$118</c:f>
              <c:numCache>
                <c:formatCode>"$"#,##0;[Red]\("$"#,##0\);"–";@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0E9D-024B-8E2C-35E59267C45D}"/>
            </c:ext>
          </c:extLst>
        </c:ser>
        <c:dLbls>
          <c:showLegendKey val="0"/>
          <c:showVal val="0"/>
          <c:showCatName val="0"/>
          <c:showSerName val="0"/>
          <c:showPercent val="0"/>
          <c:showBubbleSize val="0"/>
        </c:dLbls>
        <c:smooth val="0"/>
        <c:axId val="104871039"/>
        <c:axId val="104872831"/>
      </c:lineChart>
      <c:catAx>
        <c:axId val="104871039"/>
        <c:scaling>
          <c:orientation val="minMax"/>
        </c:scaling>
        <c:delete val="1"/>
        <c:axPos val="b"/>
        <c:majorTickMark val="none"/>
        <c:minorTickMark val="none"/>
        <c:tickLblPos val="nextTo"/>
        <c:crossAx val="104872831"/>
        <c:crosses val="autoZero"/>
        <c:auto val="1"/>
        <c:lblAlgn val="ctr"/>
        <c:lblOffset val="100"/>
        <c:noMultiLvlLbl val="0"/>
      </c:catAx>
      <c:valAx>
        <c:axId val="104872831"/>
        <c:scaling>
          <c:orientation val="minMax"/>
        </c:scaling>
        <c:delete val="1"/>
        <c:axPos val="l"/>
        <c:numFmt formatCode="&quot;$&quot;#,##0;[Red]\(&quot;$&quot;#,##0\);&quot;–&quot;;@" sourceLinked="1"/>
        <c:majorTickMark val="none"/>
        <c:minorTickMark val="none"/>
        <c:tickLblPos val="nextTo"/>
        <c:crossAx val="104871039"/>
        <c:crosses val="autoZero"/>
        <c:crossBetween val="between"/>
      </c:valAx>
      <c:spPr>
        <a:solidFill>
          <a:srgbClr val="141416"/>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141416"/>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2225" cap="rnd">
              <a:solidFill>
                <a:srgbClr val="3B6EF5"/>
              </a:solidFill>
              <a:prstDash val="solid"/>
              <a:round/>
            </a:ln>
            <a:effectLst/>
          </c:spPr>
          <c:marker>
            <c:symbol val="none"/>
          </c:marker>
          <c:val>
            <c:numRef>
              <c:f>Data!$D$131:$O$131</c:f>
              <c:numCache>
                <c:formatCode>"$"#,##0;[Red]\("$"#,##0\);"–";@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D45A-254D-8DF1-9287BECD7EF0}"/>
            </c:ext>
          </c:extLst>
        </c:ser>
        <c:dLbls>
          <c:showLegendKey val="0"/>
          <c:showVal val="0"/>
          <c:showCatName val="0"/>
          <c:showSerName val="0"/>
          <c:showPercent val="0"/>
          <c:showBubbleSize val="0"/>
        </c:dLbls>
        <c:smooth val="0"/>
        <c:axId val="104908991"/>
        <c:axId val="104910783"/>
      </c:lineChart>
      <c:catAx>
        <c:axId val="104908991"/>
        <c:scaling>
          <c:orientation val="minMax"/>
        </c:scaling>
        <c:delete val="1"/>
        <c:axPos val="b"/>
        <c:majorTickMark val="none"/>
        <c:minorTickMark val="none"/>
        <c:tickLblPos val="nextTo"/>
        <c:crossAx val="104910783"/>
        <c:crosses val="autoZero"/>
        <c:auto val="1"/>
        <c:lblAlgn val="ctr"/>
        <c:lblOffset val="100"/>
        <c:noMultiLvlLbl val="0"/>
      </c:catAx>
      <c:valAx>
        <c:axId val="104910783"/>
        <c:scaling>
          <c:orientation val="minMax"/>
        </c:scaling>
        <c:delete val="1"/>
        <c:axPos val="l"/>
        <c:numFmt formatCode="&quot;$&quot;#,##0;[Red]\(&quot;$&quot;#,##0\);&quot;–&quot;;@" sourceLinked="1"/>
        <c:majorTickMark val="none"/>
        <c:minorTickMark val="none"/>
        <c:tickLblPos val="nextTo"/>
        <c:crossAx val="104908991"/>
        <c:crosses val="autoZero"/>
        <c:crossBetween val="between"/>
      </c:valAx>
      <c:spPr>
        <a:solidFill>
          <a:srgbClr val="141416"/>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141416"/>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Data!$D$135</c:f>
              <c:strCache>
                <c:ptCount val="1"/>
              </c:strCache>
            </c:strRef>
          </c:tx>
          <c:spPr>
            <a:ln w="22225" cap="rnd">
              <a:solidFill>
                <a:srgbClr val="10B981"/>
              </a:solidFill>
              <a:prstDash val="solid"/>
              <a:round/>
            </a:ln>
            <a:effectLst/>
          </c:spPr>
          <c:marker>
            <c:symbol val="none"/>
          </c:marker>
          <c:val>
            <c:numRef>
              <c:f>Data!$E$135:$O$135</c:f>
              <c:numCache>
                <c:formatCode>"$"#,##0;[Red]\("$"#,##0\);"–";@</c:formatCode>
                <c:ptCount val="11"/>
              </c:numCache>
            </c:numRef>
          </c:val>
          <c:smooth val="0"/>
          <c:extLst>
            <c:ext xmlns:c16="http://schemas.microsoft.com/office/drawing/2014/chart" uri="{C3380CC4-5D6E-409C-BE32-E72D297353CC}">
              <c16:uniqueId val="{00000000-8E04-4C49-93A2-EC912D63D7E0}"/>
            </c:ext>
          </c:extLst>
        </c:ser>
        <c:dLbls>
          <c:showLegendKey val="0"/>
          <c:showVal val="0"/>
          <c:showCatName val="0"/>
          <c:showSerName val="0"/>
          <c:showPercent val="0"/>
          <c:showBubbleSize val="0"/>
        </c:dLbls>
        <c:smooth val="0"/>
        <c:axId val="116343679"/>
        <c:axId val="116442879"/>
      </c:lineChart>
      <c:catAx>
        <c:axId val="116343679"/>
        <c:scaling>
          <c:orientation val="minMax"/>
        </c:scaling>
        <c:delete val="1"/>
        <c:axPos val="b"/>
        <c:majorTickMark val="none"/>
        <c:minorTickMark val="none"/>
        <c:tickLblPos val="nextTo"/>
        <c:crossAx val="116442879"/>
        <c:crosses val="autoZero"/>
        <c:auto val="1"/>
        <c:lblAlgn val="ctr"/>
        <c:lblOffset val="100"/>
        <c:noMultiLvlLbl val="0"/>
      </c:catAx>
      <c:valAx>
        <c:axId val="116442879"/>
        <c:scaling>
          <c:orientation val="minMax"/>
        </c:scaling>
        <c:delete val="1"/>
        <c:axPos val="l"/>
        <c:numFmt formatCode="&quot;$&quot;#,##0;[Red]\(&quot;$&quot;#,##0\);&quot;–&quot;;@" sourceLinked="1"/>
        <c:majorTickMark val="none"/>
        <c:minorTickMark val="none"/>
        <c:tickLblPos val="nextTo"/>
        <c:crossAx val="116343679"/>
        <c:crosses val="autoZero"/>
        <c:crossBetween val="between"/>
      </c:valAx>
      <c:spPr>
        <a:solidFill>
          <a:srgbClr val="141416"/>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141416"/>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spPr>
            <a:solidFill>
              <a:srgbClr val="0D0D0D"/>
            </a:solidFill>
            <a:ln w="25400">
              <a:noFill/>
            </a:ln>
            <a:effectLst/>
          </c:spPr>
          <c:invertIfNegative val="0"/>
          <c:cat>
            <c:strRef>
              <c:f>'Monthly Dashboard'!$BP$71:$BP$76</c:f>
              <c:strCache>
                <c:ptCount val="6"/>
                <c:pt idx="0">
                  <c:v>Target</c:v>
                </c:pt>
                <c:pt idx="1">
                  <c:v>Vol &amp; mix</c:v>
                </c:pt>
                <c:pt idx="2">
                  <c:v>Rate</c:v>
                </c:pt>
                <c:pt idx="3">
                  <c:v>Dir cost</c:v>
                </c:pt>
                <c:pt idx="4">
                  <c:v>Opex</c:v>
                </c:pt>
                <c:pt idx="5">
                  <c:v>Actual</c:v>
                </c:pt>
              </c:strCache>
            </c:strRef>
          </c:cat>
          <c:val>
            <c:numRef>
              <c:f>'Monthly Dashboard'!$BQ$71:$BQ$76</c:f>
              <c:numCache>
                <c:formatCode>;;;</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F3A1-B149-A3AD-1D2B1AE822BB}"/>
            </c:ext>
          </c:extLst>
        </c:ser>
        <c:ser>
          <c:idx val="1"/>
          <c:order val="1"/>
          <c:spPr>
            <a:solidFill>
              <a:srgbClr val="EF4444"/>
            </a:solidFill>
            <a:ln w="25400">
              <a:noFill/>
            </a:ln>
            <a:effectLst/>
          </c:spPr>
          <c:invertIfNegative val="0"/>
          <c:dLbls>
            <c:numFmt formatCode="&quot;-$&quot;#,##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EF4444"/>
                    </a:solidFill>
                    <a:latin typeface="Consolas"/>
                    <a:ea typeface="Consolas"/>
                    <a:cs typeface="Consola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'Monthly Dashboard'!$BP$71:$BP$76</c:f>
              <c:strCache>
                <c:ptCount val="6"/>
                <c:pt idx="0">
                  <c:v>Target</c:v>
                </c:pt>
                <c:pt idx="1">
                  <c:v>Vol &amp; mix</c:v>
                </c:pt>
                <c:pt idx="2">
                  <c:v>Rate</c:v>
                </c:pt>
                <c:pt idx="3">
                  <c:v>Dir cost</c:v>
                </c:pt>
                <c:pt idx="4">
                  <c:v>Opex</c:v>
                </c:pt>
                <c:pt idx="5">
                  <c:v>Actual</c:v>
                </c:pt>
              </c:strCache>
            </c:strRef>
          </c:cat>
          <c:val>
            <c:numRef>
              <c:f>'Monthly Dashboard'!$BR$71:$BR$76</c:f>
              <c:numCache>
                <c:formatCode>;;;</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F3A1-B149-A3AD-1D2B1AE822BB}"/>
            </c:ext>
          </c:extLst>
        </c:ser>
        <c:ser>
          <c:idx val="2"/>
          <c:order val="2"/>
          <c:spPr>
            <a:solidFill>
              <a:srgbClr val="10B981"/>
            </a:solidFill>
            <a:ln w="25400">
              <a:noFill/>
            </a:ln>
            <a:effectLst/>
          </c:spPr>
          <c:invertIfNegative val="0"/>
          <c:cat>
            <c:strRef>
              <c:f>'Monthly Dashboard'!$BP$71:$BP$76</c:f>
              <c:strCache>
                <c:ptCount val="6"/>
                <c:pt idx="0">
                  <c:v>Target</c:v>
                </c:pt>
                <c:pt idx="1">
                  <c:v>Vol &amp; mix</c:v>
                </c:pt>
                <c:pt idx="2">
                  <c:v>Rate</c:v>
                </c:pt>
                <c:pt idx="3">
                  <c:v>Dir cost</c:v>
                </c:pt>
                <c:pt idx="4">
                  <c:v>Opex</c:v>
                </c:pt>
                <c:pt idx="5">
                  <c:v>Actual</c:v>
                </c:pt>
              </c:strCache>
            </c:strRef>
          </c:cat>
          <c:val>
            <c:numRef>
              <c:f>'Monthly Dashboard'!$BS$71:$BS$76</c:f>
              <c:numCache>
                <c:formatCode>;;;</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F3A1-B149-A3AD-1D2B1AE822BB}"/>
            </c:ext>
          </c:extLst>
        </c:ser>
        <c:ser>
          <c:idx val="3"/>
          <c:order val="3"/>
          <c:spPr>
            <a:solidFill>
              <a:srgbClr val="1E50FF"/>
            </a:solidFill>
            <a:ln w="25400">
              <a:noFill/>
            </a:ln>
            <a:effectLst/>
          </c:spPr>
          <c:invertIfNegative val="0"/>
          <c:cat>
            <c:strRef>
              <c:f>'Monthly Dashboard'!$BP$71:$BP$76</c:f>
              <c:strCache>
                <c:ptCount val="6"/>
                <c:pt idx="0">
                  <c:v>Target</c:v>
                </c:pt>
                <c:pt idx="1">
                  <c:v>Vol &amp; mix</c:v>
                </c:pt>
                <c:pt idx="2">
                  <c:v>Rate</c:v>
                </c:pt>
                <c:pt idx="3">
                  <c:v>Dir cost</c:v>
                </c:pt>
                <c:pt idx="4">
                  <c:v>Opex</c:v>
                </c:pt>
                <c:pt idx="5">
                  <c:v>Actual</c:v>
                </c:pt>
              </c:strCache>
            </c:strRef>
          </c:cat>
          <c:val>
            <c:numRef>
              <c:f>'Monthly Dashboard'!$BT$71:$BT$76</c:f>
              <c:numCache>
                <c:formatCode>;;;</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F3A1-B149-A3AD-1D2B1AE822BB}"/>
            </c:ext>
          </c:extLst>
        </c:ser>
        <c:dLbls>
          <c:showLegendKey val="0"/>
          <c:showVal val="0"/>
          <c:showCatName val="0"/>
          <c:showSerName val="0"/>
          <c:showPercent val="0"/>
          <c:showBubbleSize val="0"/>
        </c:dLbls>
        <c:gapWidth val="60"/>
        <c:overlap val="100"/>
        <c:axId val="116616575"/>
        <c:axId val="116616127"/>
      </c:barChart>
      <c:catAx>
        <c:axId val="116616575"/>
        <c:scaling>
          <c:orientation val="minMax"/>
        </c:scaling>
        <c:delete val="0"/>
        <c:axPos val="b"/>
        <c:numFmt formatCode="General" sourceLinked="1"/>
        <c:majorTickMark val="none"/>
        <c:minorTickMark val="none"/>
        <c:tickLblPos val="nextTo"/>
        <c:spPr>
          <a:noFill/>
          <a:ln w="9525" cap="flat" cmpd="sng" algn="ctr">
            <a:solidFill>
              <a:srgbClr val="26282B"/>
            </a:solidFill>
            <a:prstDash val="solid"/>
            <a:round/>
          </a:ln>
          <a:effectLst/>
        </c:spPr>
        <c:txPr>
          <a:bodyPr rot="-60000000" spcFirstLastPara="1" vertOverflow="ellipsis" vert="horz" wrap="square" anchor="ctr" anchorCtr="1"/>
          <a:lstStyle/>
          <a:p>
            <a:pPr>
              <a:defRPr sz="800" b="0" i="0" u="none" strike="noStrike" kern="1200" baseline="0">
                <a:solidFill>
                  <a:srgbClr val="8896B3"/>
                </a:solidFill>
                <a:latin typeface="Consolas"/>
                <a:ea typeface="Consolas"/>
                <a:cs typeface="Consolas"/>
              </a:defRPr>
            </a:pPr>
            <a:endParaRPr lang="en-US"/>
          </a:p>
        </c:txPr>
        <c:crossAx val="116616127"/>
        <c:crosses val="autoZero"/>
        <c:auto val="1"/>
        <c:lblAlgn val="ctr"/>
        <c:lblOffset val="100"/>
        <c:noMultiLvlLbl val="0"/>
      </c:catAx>
      <c:valAx>
        <c:axId val="116616127"/>
        <c:scaling>
          <c:orientation val="minMax"/>
          <c:max val="30000"/>
          <c:min val="0"/>
        </c:scaling>
        <c:delete val="1"/>
        <c:axPos val="l"/>
        <c:numFmt formatCode=";;;" sourceLinked="1"/>
        <c:majorTickMark val="none"/>
        <c:minorTickMark val="none"/>
        <c:tickLblPos val="nextTo"/>
        <c:crossAx val="116616575"/>
        <c:crosses val="autoZero"/>
        <c:crossBetween val="between"/>
      </c:valAx>
      <c:spPr>
        <a:solidFill>
          <a:srgbClr val="0D0D0D"/>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0D0D0D"/>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2225" cap="rnd">
              <a:solidFill>
                <a:srgbClr val="3B6EF5"/>
              </a:solidFill>
              <a:prstDash val="solid"/>
              <a:round/>
            </a:ln>
            <a:effectLst/>
          </c:spPr>
          <c:marker>
            <c:symbol val="none"/>
          </c:marker>
          <c:val>
            <c:numRef>
              <c:f>Data!$D$71:$O$71</c:f>
              <c:numCache>
                <c:formatCode>"$"#,##0;[Red]\("$"#,##0\);"–";@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B219-C04E-905B-6820FA5067FA}"/>
            </c:ext>
          </c:extLst>
        </c:ser>
        <c:dLbls>
          <c:showLegendKey val="0"/>
          <c:showVal val="0"/>
          <c:showCatName val="0"/>
          <c:showSerName val="0"/>
          <c:showPercent val="0"/>
          <c:showBubbleSize val="0"/>
        </c:dLbls>
        <c:smooth val="0"/>
        <c:axId val="121169087"/>
        <c:axId val="116419967"/>
      </c:lineChart>
      <c:catAx>
        <c:axId val="121169087"/>
        <c:scaling>
          <c:orientation val="minMax"/>
        </c:scaling>
        <c:delete val="1"/>
        <c:axPos val="b"/>
        <c:majorTickMark val="none"/>
        <c:minorTickMark val="none"/>
        <c:tickLblPos val="nextTo"/>
        <c:crossAx val="116419967"/>
        <c:crosses val="autoZero"/>
        <c:auto val="1"/>
        <c:lblAlgn val="ctr"/>
        <c:lblOffset val="100"/>
        <c:noMultiLvlLbl val="0"/>
      </c:catAx>
      <c:valAx>
        <c:axId val="116419967"/>
        <c:scaling>
          <c:orientation val="minMax"/>
        </c:scaling>
        <c:delete val="1"/>
        <c:axPos val="l"/>
        <c:numFmt formatCode="&quot;$&quot;#,##0;[Red]\(&quot;$&quot;#,##0\);&quot;–&quot;;@" sourceLinked="1"/>
        <c:majorTickMark val="none"/>
        <c:minorTickMark val="none"/>
        <c:tickLblPos val="nextTo"/>
        <c:crossAx val="121169087"/>
        <c:crosses val="autoZero"/>
        <c:crossBetween val="between"/>
      </c:valAx>
      <c:spPr>
        <a:solidFill>
          <a:srgbClr val="141416"/>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141416"/>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Data!$D$138</c:f>
              <c:strCache>
                <c:ptCount val="1"/>
              </c:strCache>
            </c:strRef>
          </c:tx>
          <c:spPr>
            <a:ln w="22225" cap="rnd">
              <a:solidFill>
                <a:srgbClr val="8896B3"/>
              </a:solidFill>
              <a:prstDash val="solid"/>
              <a:round/>
            </a:ln>
            <a:effectLst/>
          </c:spPr>
          <c:marker>
            <c:symbol val="none"/>
          </c:marker>
          <c:val>
            <c:numRef>
              <c:f>Data!$E$138:$O$138</c:f>
              <c:numCache>
                <c:formatCode>"$"#,##0;[Red]\("$"#,##0\);"–";@</c:formatCode>
                <c:ptCount val="11"/>
              </c:numCache>
            </c:numRef>
          </c:val>
          <c:smooth val="0"/>
          <c:extLst>
            <c:ext xmlns:c16="http://schemas.microsoft.com/office/drawing/2014/chart" uri="{C3380CC4-5D6E-409C-BE32-E72D297353CC}">
              <c16:uniqueId val="{00000000-D2C1-C443-A8A6-207EF8439FB3}"/>
            </c:ext>
          </c:extLst>
        </c:ser>
        <c:dLbls>
          <c:showLegendKey val="0"/>
          <c:showVal val="0"/>
          <c:showCatName val="0"/>
          <c:showSerName val="0"/>
          <c:showPercent val="0"/>
          <c:showBubbleSize val="0"/>
        </c:dLbls>
        <c:smooth val="0"/>
        <c:axId val="109498751"/>
        <c:axId val="109500095"/>
      </c:lineChart>
      <c:catAx>
        <c:axId val="109498751"/>
        <c:scaling>
          <c:orientation val="minMax"/>
        </c:scaling>
        <c:delete val="1"/>
        <c:axPos val="b"/>
        <c:majorTickMark val="none"/>
        <c:minorTickMark val="none"/>
        <c:tickLblPos val="nextTo"/>
        <c:crossAx val="109500095"/>
        <c:crosses val="autoZero"/>
        <c:auto val="1"/>
        <c:lblAlgn val="ctr"/>
        <c:lblOffset val="100"/>
        <c:noMultiLvlLbl val="0"/>
      </c:catAx>
      <c:valAx>
        <c:axId val="109500095"/>
        <c:scaling>
          <c:orientation val="minMax"/>
        </c:scaling>
        <c:delete val="1"/>
        <c:axPos val="l"/>
        <c:numFmt formatCode="&quot;$&quot;#,##0;[Red]\(&quot;$&quot;#,##0\);&quot;–&quot;;@" sourceLinked="1"/>
        <c:majorTickMark val="none"/>
        <c:minorTickMark val="none"/>
        <c:tickLblPos val="nextTo"/>
        <c:crossAx val="109498751"/>
        <c:crosses val="autoZero"/>
        <c:crossBetween val="between"/>
      </c:valAx>
      <c:spPr>
        <a:solidFill>
          <a:srgbClr val="141416"/>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141416"/>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2225" cap="rnd">
              <a:solidFill>
                <a:srgbClr val="3B6EF5"/>
              </a:solidFill>
              <a:prstDash val="solid"/>
              <a:round/>
            </a:ln>
            <a:effectLst/>
          </c:spPr>
          <c:marker>
            <c:symbol val="none"/>
          </c:marker>
          <c:val>
            <c:numRef>
              <c:f>Data!$D$93:$O$93</c:f>
              <c:numCache>
                <c:formatCode>"$"#,##0;[Red]\("$"#,##0\);"–";@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72BD-E44E-A5F5-AC3682189EB3}"/>
            </c:ext>
          </c:extLst>
        </c:ser>
        <c:dLbls>
          <c:showLegendKey val="0"/>
          <c:showVal val="0"/>
          <c:showCatName val="0"/>
          <c:showSerName val="0"/>
          <c:showPercent val="0"/>
          <c:showBubbleSize val="0"/>
        </c:dLbls>
        <c:smooth val="0"/>
        <c:axId val="116550143"/>
        <c:axId val="116553727"/>
      </c:lineChart>
      <c:catAx>
        <c:axId val="116550143"/>
        <c:scaling>
          <c:orientation val="minMax"/>
        </c:scaling>
        <c:delete val="1"/>
        <c:axPos val="b"/>
        <c:majorTickMark val="none"/>
        <c:minorTickMark val="none"/>
        <c:tickLblPos val="nextTo"/>
        <c:crossAx val="116553727"/>
        <c:crosses val="autoZero"/>
        <c:auto val="1"/>
        <c:lblAlgn val="ctr"/>
        <c:lblOffset val="100"/>
        <c:noMultiLvlLbl val="0"/>
      </c:catAx>
      <c:valAx>
        <c:axId val="116553727"/>
        <c:scaling>
          <c:orientation val="minMax"/>
        </c:scaling>
        <c:delete val="1"/>
        <c:axPos val="l"/>
        <c:numFmt formatCode="&quot;$&quot;#,##0;[Red]\(&quot;$&quot;#,##0\);&quot;–&quot;;@" sourceLinked="1"/>
        <c:majorTickMark val="none"/>
        <c:minorTickMark val="none"/>
        <c:tickLblPos val="nextTo"/>
        <c:crossAx val="116550143"/>
        <c:crosses val="autoZero"/>
        <c:crossBetween val="between"/>
      </c:valAx>
      <c:spPr>
        <a:solidFill>
          <a:srgbClr val="141416"/>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141416"/>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2225" cap="rnd">
              <a:solidFill>
                <a:srgbClr val="3B6EF5"/>
              </a:solidFill>
              <a:prstDash val="solid"/>
              <a:round/>
            </a:ln>
            <a:effectLst/>
          </c:spPr>
          <c:marker>
            <c:symbol val="none"/>
          </c:marker>
          <c:val>
            <c:numRef>
              <c:f>Data!$D$118:$O$118</c:f>
              <c:numCache>
                <c:formatCode>"$"#,##0;[Red]\("$"#,##0\);"–";@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9055-C842-A134-742801A86A68}"/>
            </c:ext>
          </c:extLst>
        </c:ser>
        <c:dLbls>
          <c:showLegendKey val="0"/>
          <c:showVal val="0"/>
          <c:showCatName val="0"/>
          <c:showSerName val="0"/>
          <c:showPercent val="0"/>
          <c:showBubbleSize val="0"/>
        </c:dLbls>
        <c:smooth val="0"/>
        <c:axId val="104871039"/>
        <c:axId val="104872831"/>
      </c:lineChart>
      <c:catAx>
        <c:axId val="104871039"/>
        <c:scaling>
          <c:orientation val="minMax"/>
        </c:scaling>
        <c:delete val="1"/>
        <c:axPos val="b"/>
        <c:majorTickMark val="none"/>
        <c:minorTickMark val="none"/>
        <c:tickLblPos val="nextTo"/>
        <c:crossAx val="104872831"/>
        <c:crosses val="autoZero"/>
        <c:auto val="1"/>
        <c:lblAlgn val="ctr"/>
        <c:lblOffset val="100"/>
        <c:noMultiLvlLbl val="0"/>
      </c:catAx>
      <c:valAx>
        <c:axId val="104872831"/>
        <c:scaling>
          <c:orientation val="minMax"/>
        </c:scaling>
        <c:delete val="1"/>
        <c:axPos val="l"/>
        <c:numFmt formatCode="&quot;$&quot;#,##0;[Red]\(&quot;$&quot;#,##0\);&quot;–&quot;;@" sourceLinked="1"/>
        <c:majorTickMark val="none"/>
        <c:minorTickMark val="none"/>
        <c:tickLblPos val="nextTo"/>
        <c:crossAx val="104871039"/>
        <c:crosses val="autoZero"/>
        <c:crossBetween val="between"/>
      </c:valAx>
      <c:spPr>
        <a:solidFill>
          <a:srgbClr val="141416"/>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141416"/>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2225" cap="rnd">
              <a:solidFill>
                <a:srgbClr val="3B6EF5"/>
              </a:solidFill>
              <a:prstDash val="solid"/>
              <a:round/>
            </a:ln>
            <a:effectLst/>
          </c:spPr>
          <c:marker>
            <c:symbol val="none"/>
          </c:marker>
          <c:val>
            <c:numRef>
              <c:f>Data!$D$131:$O$131</c:f>
              <c:numCache>
                <c:formatCode>"$"#,##0;[Red]\("$"#,##0\);"–";@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DEDB-E648-8A07-C3EB3081A40E}"/>
            </c:ext>
          </c:extLst>
        </c:ser>
        <c:dLbls>
          <c:showLegendKey val="0"/>
          <c:showVal val="0"/>
          <c:showCatName val="0"/>
          <c:showSerName val="0"/>
          <c:showPercent val="0"/>
          <c:showBubbleSize val="0"/>
        </c:dLbls>
        <c:smooth val="0"/>
        <c:axId val="104908991"/>
        <c:axId val="104910783"/>
      </c:lineChart>
      <c:catAx>
        <c:axId val="104908991"/>
        <c:scaling>
          <c:orientation val="minMax"/>
        </c:scaling>
        <c:delete val="1"/>
        <c:axPos val="b"/>
        <c:majorTickMark val="none"/>
        <c:minorTickMark val="none"/>
        <c:tickLblPos val="nextTo"/>
        <c:crossAx val="104910783"/>
        <c:crosses val="autoZero"/>
        <c:auto val="1"/>
        <c:lblAlgn val="ctr"/>
        <c:lblOffset val="100"/>
        <c:noMultiLvlLbl val="0"/>
      </c:catAx>
      <c:valAx>
        <c:axId val="104910783"/>
        <c:scaling>
          <c:orientation val="minMax"/>
        </c:scaling>
        <c:delete val="1"/>
        <c:axPos val="l"/>
        <c:numFmt formatCode="&quot;$&quot;#,##0;[Red]\(&quot;$&quot;#,##0\);&quot;–&quot;;@" sourceLinked="1"/>
        <c:majorTickMark val="none"/>
        <c:minorTickMark val="none"/>
        <c:tickLblPos val="nextTo"/>
        <c:crossAx val="104908991"/>
        <c:crosses val="autoZero"/>
        <c:crossBetween val="between"/>
      </c:valAx>
      <c:spPr>
        <a:solidFill>
          <a:srgbClr val="141416"/>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141416"/>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Data!$D$135</c:f>
              <c:strCache>
                <c:ptCount val="1"/>
              </c:strCache>
            </c:strRef>
          </c:tx>
          <c:spPr>
            <a:ln w="22225" cap="rnd">
              <a:solidFill>
                <a:srgbClr val="10B981"/>
              </a:solidFill>
              <a:prstDash val="solid"/>
              <a:round/>
            </a:ln>
            <a:effectLst/>
          </c:spPr>
          <c:marker>
            <c:symbol val="none"/>
          </c:marker>
          <c:val>
            <c:numRef>
              <c:f>Data!$E$135:$O$135</c:f>
              <c:numCache>
                <c:formatCode>"$"#,##0;[Red]\("$"#,##0\);"–";@</c:formatCode>
                <c:ptCount val="11"/>
              </c:numCache>
            </c:numRef>
          </c:val>
          <c:smooth val="0"/>
          <c:extLst>
            <c:ext xmlns:c16="http://schemas.microsoft.com/office/drawing/2014/chart" uri="{C3380CC4-5D6E-409C-BE32-E72D297353CC}">
              <c16:uniqueId val="{00000000-6A36-9547-ACA2-79F61B868C35}"/>
            </c:ext>
          </c:extLst>
        </c:ser>
        <c:dLbls>
          <c:showLegendKey val="0"/>
          <c:showVal val="0"/>
          <c:showCatName val="0"/>
          <c:showSerName val="0"/>
          <c:showPercent val="0"/>
          <c:showBubbleSize val="0"/>
        </c:dLbls>
        <c:smooth val="0"/>
        <c:axId val="116343679"/>
        <c:axId val="116442879"/>
      </c:lineChart>
      <c:catAx>
        <c:axId val="116343679"/>
        <c:scaling>
          <c:orientation val="minMax"/>
        </c:scaling>
        <c:delete val="1"/>
        <c:axPos val="b"/>
        <c:majorTickMark val="none"/>
        <c:minorTickMark val="none"/>
        <c:tickLblPos val="nextTo"/>
        <c:crossAx val="116442879"/>
        <c:crosses val="autoZero"/>
        <c:auto val="1"/>
        <c:lblAlgn val="ctr"/>
        <c:lblOffset val="100"/>
        <c:noMultiLvlLbl val="0"/>
      </c:catAx>
      <c:valAx>
        <c:axId val="116442879"/>
        <c:scaling>
          <c:orientation val="minMax"/>
        </c:scaling>
        <c:delete val="1"/>
        <c:axPos val="l"/>
        <c:numFmt formatCode="&quot;$&quot;#,##0;[Red]\(&quot;$&quot;#,##0\);&quot;–&quot;;@" sourceLinked="1"/>
        <c:majorTickMark val="none"/>
        <c:minorTickMark val="none"/>
        <c:tickLblPos val="nextTo"/>
        <c:crossAx val="116343679"/>
        <c:crosses val="autoZero"/>
        <c:crossBetween val="between"/>
      </c:valAx>
      <c:spPr>
        <a:solidFill>
          <a:srgbClr val="141416"/>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141416"/>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spPr>
            <a:solidFill>
              <a:srgbClr val="0D0D0D"/>
            </a:solidFill>
            <a:ln w="25400">
              <a:noFill/>
            </a:ln>
            <a:effectLst/>
          </c:spPr>
          <c:invertIfNegative val="0"/>
          <c:cat>
            <c:strRef>
              <c:f>'YTD Dashboard'!$BP$71:$BP$76</c:f>
              <c:strCache>
                <c:ptCount val="6"/>
                <c:pt idx="0">
                  <c:v>Target</c:v>
                </c:pt>
                <c:pt idx="1">
                  <c:v>Vol &amp; mix</c:v>
                </c:pt>
                <c:pt idx="2">
                  <c:v>Rate</c:v>
                </c:pt>
                <c:pt idx="3">
                  <c:v>Dir cost</c:v>
                </c:pt>
                <c:pt idx="4">
                  <c:v>Opex</c:v>
                </c:pt>
                <c:pt idx="5">
                  <c:v>Actual</c:v>
                </c:pt>
              </c:strCache>
            </c:strRef>
          </c:cat>
          <c:val>
            <c:numRef>
              <c:f>'YTD Dashboard'!$BQ$71:$BQ$76</c:f>
              <c:numCache>
                <c:formatCode>;;;</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D7A6-0B40-99B5-B16C16BD02CF}"/>
            </c:ext>
          </c:extLst>
        </c:ser>
        <c:ser>
          <c:idx val="1"/>
          <c:order val="1"/>
          <c:spPr>
            <a:solidFill>
              <a:srgbClr val="EF4444"/>
            </a:solidFill>
            <a:ln w="25400">
              <a:noFill/>
            </a:ln>
            <a:effectLst/>
          </c:spPr>
          <c:invertIfNegative val="0"/>
          <c:dLbls>
            <c:numFmt formatCode="&quot;-$&quot;#,##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EF4444"/>
                    </a:solidFill>
                    <a:latin typeface="Consolas"/>
                    <a:ea typeface="Consolas"/>
                    <a:cs typeface="Consola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'YTD Dashboard'!$BP$71:$BP$76</c:f>
              <c:strCache>
                <c:ptCount val="6"/>
                <c:pt idx="0">
                  <c:v>Target</c:v>
                </c:pt>
                <c:pt idx="1">
                  <c:v>Vol &amp; mix</c:v>
                </c:pt>
                <c:pt idx="2">
                  <c:v>Rate</c:v>
                </c:pt>
                <c:pt idx="3">
                  <c:v>Dir cost</c:v>
                </c:pt>
                <c:pt idx="4">
                  <c:v>Opex</c:v>
                </c:pt>
                <c:pt idx="5">
                  <c:v>Actual</c:v>
                </c:pt>
              </c:strCache>
            </c:strRef>
          </c:cat>
          <c:val>
            <c:numRef>
              <c:f>'YTD Dashboard'!$BR$71:$BR$76</c:f>
              <c:numCache>
                <c:formatCode>;;;</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D7A6-0B40-99B5-B16C16BD02CF}"/>
            </c:ext>
          </c:extLst>
        </c:ser>
        <c:ser>
          <c:idx val="2"/>
          <c:order val="2"/>
          <c:spPr>
            <a:solidFill>
              <a:srgbClr val="10B981"/>
            </a:solidFill>
            <a:ln w="25400">
              <a:noFill/>
            </a:ln>
            <a:effectLst/>
          </c:spPr>
          <c:invertIfNegative val="0"/>
          <c:cat>
            <c:strRef>
              <c:f>'YTD Dashboard'!$BP$71:$BP$76</c:f>
              <c:strCache>
                <c:ptCount val="6"/>
                <c:pt idx="0">
                  <c:v>Target</c:v>
                </c:pt>
                <c:pt idx="1">
                  <c:v>Vol &amp; mix</c:v>
                </c:pt>
                <c:pt idx="2">
                  <c:v>Rate</c:v>
                </c:pt>
                <c:pt idx="3">
                  <c:v>Dir cost</c:v>
                </c:pt>
                <c:pt idx="4">
                  <c:v>Opex</c:v>
                </c:pt>
                <c:pt idx="5">
                  <c:v>Actual</c:v>
                </c:pt>
              </c:strCache>
            </c:strRef>
          </c:cat>
          <c:val>
            <c:numRef>
              <c:f>'YTD Dashboard'!$BS$71:$BS$76</c:f>
              <c:numCache>
                <c:formatCode>;;;</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D7A6-0B40-99B5-B16C16BD02CF}"/>
            </c:ext>
          </c:extLst>
        </c:ser>
        <c:ser>
          <c:idx val="3"/>
          <c:order val="3"/>
          <c:spPr>
            <a:solidFill>
              <a:srgbClr val="1E50FF"/>
            </a:solidFill>
            <a:ln w="25400">
              <a:noFill/>
            </a:ln>
            <a:effectLst/>
          </c:spPr>
          <c:invertIfNegative val="0"/>
          <c:cat>
            <c:strRef>
              <c:f>'YTD Dashboard'!$BP$71:$BP$76</c:f>
              <c:strCache>
                <c:ptCount val="6"/>
                <c:pt idx="0">
                  <c:v>Target</c:v>
                </c:pt>
                <c:pt idx="1">
                  <c:v>Vol &amp; mix</c:v>
                </c:pt>
                <c:pt idx="2">
                  <c:v>Rate</c:v>
                </c:pt>
                <c:pt idx="3">
                  <c:v>Dir cost</c:v>
                </c:pt>
                <c:pt idx="4">
                  <c:v>Opex</c:v>
                </c:pt>
                <c:pt idx="5">
                  <c:v>Actual</c:v>
                </c:pt>
              </c:strCache>
            </c:strRef>
          </c:cat>
          <c:val>
            <c:numRef>
              <c:f>'YTD Dashboard'!$BT$71:$BT$76</c:f>
              <c:numCache>
                <c:formatCode>;;;</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D7A6-0B40-99B5-B16C16BD02CF}"/>
            </c:ext>
          </c:extLst>
        </c:ser>
        <c:dLbls>
          <c:showLegendKey val="0"/>
          <c:showVal val="0"/>
          <c:showCatName val="0"/>
          <c:showSerName val="0"/>
          <c:showPercent val="0"/>
          <c:showBubbleSize val="0"/>
        </c:dLbls>
        <c:gapWidth val="60"/>
        <c:overlap val="100"/>
        <c:axId val="116616575"/>
        <c:axId val="116616127"/>
      </c:barChart>
      <c:catAx>
        <c:axId val="116616575"/>
        <c:scaling>
          <c:orientation val="minMax"/>
        </c:scaling>
        <c:delete val="0"/>
        <c:axPos val="b"/>
        <c:numFmt formatCode="General" sourceLinked="1"/>
        <c:majorTickMark val="none"/>
        <c:minorTickMark val="none"/>
        <c:tickLblPos val="nextTo"/>
        <c:spPr>
          <a:noFill/>
          <a:ln w="9525" cap="flat" cmpd="sng" algn="ctr">
            <a:solidFill>
              <a:srgbClr val="26282B"/>
            </a:solidFill>
            <a:prstDash val="solid"/>
            <a:round/>
          </a:ln>
          <a:effectLst/>
        </c:spPr>
        <c:txPr>
          <a:bodyPr rot="-60000000" spcFirstLastPara="1" vertOverflow="ellipsis" vert="horz" wrap="square" anchor="ctr" anchorCtr="1"/>
          <a:lstStyle/>
          <a:p>
            <a:pPr>
              <a:defRPr sz="800" b="0" i="0" u="none" strike="noStrike" kern="1200" baseline="0">
                <a:solidFill>
                  <a:srgbClr val="8896B3"/>
                </a:solidFill>
                <a:latin typeface="Consolas"/>
                <a:ea typeface="Consolas"/>
                <a:cs typeface="Consolas"/>
              </a:defRPr>
            </a:pPr>
            <a:endParaRPr lang="en-US"/>
          </a:p>
        </c:txPr>
        <c:crossAx val="116616127"/>
        <c:crosses val="autoZero"/>
        <c:auto val="1"/>
        <c:lblAlgn val="ctr"/>
        <c:lblOffset val="100"/>
        <c:noMultiLvlLbl val="0"/>
      </c:catAx>
      <c:valAx>
        <c:axId val="116616127"/>
        <c:scaling>
          <c:orientation val="minMax"/>
          <c:max val="230000"/>
          <c:min val="0"/>
        </c:scaling>
        <c:delete val="1"/>
        <c:axPos val="l"/>
        <c:numFmt formatCode=";;;" sourceLinked="1"/>
        <c:majorTickMark val="none"/>
        <c:minorTickMark val="none"/>
        <c:tickLblPos val="nextTo"/>
        <c:crossAx val="116616575"/>
        <c:crosses val="autoZero"/>
        <c:crossBetween val="between"/>
      </c:valAx>
      <c:spPr>
        <a:solidFill>
          <a:srgbClr val="0D0D0D"/>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0D0D0D"/>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2225" cap="rnd">
              <a:solidFill>
                <a:srgbClr val="3B6EF5"/>
              </a:solidFill>
              <a:prstDash val="solid"/>
              <a:round/>
            </a:ln>
            <a:effectLst/>
          </c:spPr>
          <c:marker>
            <c:symbol val="none"/>
          </c:marker>
          <c:val>
            <c:numRef>
              <c:f>Data!$D$71:$O$71</c:f>
              <c:numCache>
                <c:formatCode>"$"#,##0;[Red]\("$"#,##0\);"–";@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F686-0542-BED4-D34DD8FA04C7}"/>
            </c:ext>
          </c:extLst>
        </c:ser>
        <c:dLbls>
          <c:showLegendKey val="0"/>
          <c:showVal val="0"/>
          <c:showCatName val="0"/>
          <c:showSerName val="0"/>
          <c:showPercent val="0"/>
          <c:showBubbleSize val="0"/>
        </c:dLbls>
        <c:smooth val="0"/>
        <c:axId val="121169087"/>
        <c:axId val="116419967"/>
      </c:lineChart>
      <c:catAx>
        <c:axId val="121169087"/>
        <c:scaling>
          <c:orientation val="minMax"/>
        </c:scaling>
        <c:delete val="1"/>
        <c:axPos val="b"/>
        <c:majorTickMark val="none"/>
        <c:minorTickMark val="none"/>
        <c:tickLblPos val="nextTo"/>
        <c:crossAx val="116419967"/>
        <c:crosses val="autoZero"/>
        <c:auto val="1"/>
        <c:lblAlgn val="ctr"/>
        <c:lblOffset val="100"/>
        <c:noMultiLvlLbl val="0"/>
      </c:catAx>
      <c:valAx>
        <c:axId val="116419967"/>
        <c:scaling>
          <c:orientation val="minMax"/>
        </c:scaling>
        <c:delete val="1"/>
        <c:axPos val="l"/>
        <c:numFmt formatCode="&quot;$&quot;#,##0;[Red]\(&quot;$&quot;#,##0\);&quot;–&quot;;@" sourceLinked="1"/>
        <c:majorTickMark val="none"/>
        <c:minorTickMark val="none"/>
        <c:tickLblPos val="nextTo"/>
        <c:crossAx val="121169087"/>
        <c:crosses val="autoZero"/>
        <c:crossBetween val="between"/>
      </c:valAx>
      <c:spPr>
        <a:solidFill>
          <a:srgbClr val="141416"/>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141416"/>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Data!$D$138</c:f>
              <c:strCache>
                <c:ptCount val="1"/>
              </c:strCache>
            </c:strRef>
          </c:tx>
          <c:spPr>
            <a:ln w="22225" cap="rnd">
              <a:solidFill>
                <a:srgbClr val="8896B3"/>
              </a:solidFill>
              <a:prstDash val="solid"/>
              <a:round/>
            </a:ln>
            <a:effectLst/>
          </c:spPr>
          <c:marker>
            <c:symbol val="none"/>
          </c:marker>
          <c:val>
            <c:numRef>
              <c:f>Data!$E$138:$O$138</c:f>
              <c:numCache>
                <c:formatCode>"$"#,##0;[Red]\("$"#,##0\);"–";@</c:formatCode>
                <c:ptCount val="11"/>
              </c:numCache>
            </c:numRef>
          </c:val>
          <c:smooth val="0"/>
          <c:extLst>
            <c:ext xmlns:c16="http://schemas.microsoft.com/office/drawing/2014/chart" uri="{C3380CC4-5D6E-409C-BE32-E72D297353CC}">
              <c16:uniqueId val="{00000000-7D7E-3740-AA86-3920172685D2}"/>
            </c:ext>
          </c:extLst>
        </c:ser>
        <c:dLbls>
          <c:showLegendKey val="0"/>
          <c:showVal val="0"/>
          <c:showCatName val="0"/>
          <c:showSerName val="0"/>
          <c:showPercent val="0"/>
          <c:showBubbleSize val="0"/>
        </c:dLbls>
        <c:smooth val="0"/>
        <c:axId val="109498751"/>
        <c:axId val="109500095"/>
      </c:lineChart>
      <c:catAx>
        <c:axId val="109498751"/>
        <c:scaling>
          <c:orientation val="minMax"/>
        </c:scaling>
        <c:delete val="1"/>
        <c:axPos val="b"/>
        <c:majorTickMark val="none"/>
        <c:minorTickMark val="none"/>
        <c:tickLblPos val="nextTo"/>
        <c:crossAx val="109500095"/>
        <c:crosses val="autoZero"/>
        <c:auto val="1"/>
        <c:lblAlgn val="ctr"/>
        <c:lblOffset val="100"/>
        <c:noMultiLvlLbl val="0"/>
      </c:catAx>
      <c:valAx>
        <c:axId val="109500095"/>
        <c:scaling>
          <c:orientation val="minMax"/>
        </c:scaling>
        <c:delete val="1"/>
        <c:axPos val="l"/>
        <c:numFmt formatCode="&quot;$&quot;#,##0;[Red]\(&quot;$&quot;#,##0\);&quot;–&quot;;@" sourceLinked="1"/>
        <c:majorTickMark val="none"/>
        <c:minorTickMark val="none"/>
        <c:tickLblPos val="nextTo"/>
        <c:crossAx val="109498751"/>
        <c:crosses val="autoZero"/>
        <c:crossBetween val="between"/>
      </c:valAx>
      <c:spPr>
        <a:solidFill>
          <a:srgbClr val="141416"/>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141416"/>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2225" cap="rnd">
              <a:solidFill>
                <a:srgbClr val="3B6EF5"/>
              </a:solidFill>
              <a:prstDash val="solid"/>
              <a:round/>
            </a:ln>
            <a:effectLst/>
          </c:spPr>
          <c:marker>
            <c:symbol val="none"/>
          </c:marker>
          <c:val>
            <c:numRef>
              <c:f>'Sample Data'!$D$93:$O$93</c:f>
              <c:numCache>
                <c:formatCode>"$"#,##0;[Red]\("$"#,##0\);"–";@</c:formatCode>
                <c:ptCount val="12"/>
                <c:pt idx="0">
                  <c:v>272742</c:v>
                </c:pt>
                <c:pt idx="1">
                  <c:v>281046</c:v>
                </c:pt>
                <c:pt idx="2">
                  <c:v>289228</c:v>
                </c:pt>
                <c:pt idx="3">
                  <c:v>295648</c:v>
                </c:pt>
                <c:pt idx="4">
                  <c:v>301110</c:v>
                </c:pt>
                <c:pt idx="5">
                  <c:v>230472</c:v>
                </c:pt>
                <c:pt idx="6">
                  <c:v>297484</c:v>
                </c:pt>
                <c:pt idx="7">
                  <c:v>306664</c:v>
                </c:pt>
                <c:pt idx="8">
                  <c:v>331722</c:v>
                </c:pt>
                <c:pt idx="9">
                  <c:v>309103</c:v>
                </c:pt>
                <c:pt idx="10">
                  <c:v>317282</c:v>
                </c:pt>
                <c:pt idx="11">
                  <c:v>326663</c:v>
                </c:pt>
              </c:numCache>
            </c:numRef>
          </c:val>
          <c:smooth val="0"/>
          <c:extLst>
            <c:ext xmlns:c16="http://schemas.microsoft.com/office/drawing/2014/chart" uri="{C3380CC4-5D6E-409C-BE32-E72D297353CC}">
              <c16:uniqueId val="{00000000-4CAD-FD4C-8A43-7F4FF3D9C026}"/>
            </c:ext>
          </c:extLst>
        </c:ser>
        <c:dLbls>
          <c:showLegendKey val="0"/>
          <c:showVal val="0"/>
          <c:showCatName val="0"/>
          <c:showSerName val="0"/>
          <c:showPercent val="0"/>
          <c:showBubbleSize val="0"/>
        </c:dLbls>
        <c:smooth val="0"/>
        <c:axId val="116550143"/>
        <c:axId val="116553727"/>
      </c:lineChart>
      <c:catAx>
        <c:axId val="116550143"/>
        <c:scaling>
          <c:orientation val="minMax"/>
        </c:scaling>
        <c:delete val="1"/>
        <c:axPos val="b"/>
        <c:majorTickMark val="none"/>
        <c:minorTickMark val="none"/>
        <c:tickLblPos val="nextTo"/>
        <c:crossAx val="116553727"/>
        <c:crosses val="autoZero"/>
        <c:auto val="1"/>
        <c:lblAlgn val="ctr"/>
        <c:lblOffset val="100"/>
        <c:noMultiLvlLbl val="0"/>
      </c:catAx>
      <c:valAx>
        <c:axId val="116553727"/>
        <c:scaling>
          <c:orientation val="minMax"/>
        </c:scaling>
        <c:delete val="1"/>
        <c:axPos val="l"/>
        <c:numFmt formatCode="&quot;$&quot;#,##0;[Red]\(&quot;$&quot;#,##0\);&quot;–&quot;;@" sourceLinked="1"/>
        <c:majorTickMark val="none"/>
        <c:minorTickMark val="none"/>
        <c:tickLblPos val="nextTo"/>
        <c:crossAx val="116550143"/>
        <c:crosses val="autoZero"/>
        <c:crossBetween val="between"/>
      </c:valAx>
      <c:spPr>
        <a:solidFill>
          <a:srgbClr val="141416"/>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141416"/>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2225" cap="rnd">
              <a:solidFill>
                <a:srgbClr val="3B6EF5"/>
              </a:solidFill>
              <a:prstDash val="solid"/>
              <a:round/>
            </a:ln>
            <a:effectLst/>
          </c:spPr>
          <c:marker>
            <c:symbol val="none"/>
          </c:marker>
          <c:val>
            <c:numRef>
              <c:f>'Sample Data'!$D$118:$O$118</c:f>
              <c:numCache>
                <c:formatCode>"$"#,##0;[Red]\("$"#,##0\);"–";@</c:formatCode>
                <c:ptCount val="12"/>
                <c:pt idx="0">
                  <c:v>149750</c:v>
                </c:pt>
                <c:pt idx="1">
                  <c:v>157868</c:v>
                </c:pt>
                <c:pt idx="2">
                  <c:v>165864</c:v>
                </c:pt>
                <c:pt idx="3">
                  <c:v>172098</c:v>
                </c:pt>
                <c:pt idx="4">
                  <c:v>178274</c:v>
                </c:pt>
                <c:pt idx="5">
                  <c:v>107450</c:v>
                </c:pt>
                <c:pt idx="6">
                  <c:v>174276</c:v>
                </c:pt>
                <c:pt idx="7">
                  <c:v>183270</c:v>
                </c:pt>
                <c:pt idx="8">
                  <c:v>208142</c:v>
                </c:pt>
                <c:pt idx="9">
                  <c:v>186237</c:v>
                </c:pt>
                <c:pt idx="10">
                  <c:v>194230</c:v>
                </c:pt>
                <c:pt idx="11">
                  <c:v>203425</c:v>
                </c:pt>
              </c:numCache>
            </c:numRef>
          </c:val>
          <c:smooth val="0"/>
          <c:extLst>
            <c:ext xmlns:c16="http://schemas.microsoft.com/office/drawing/2014/chart" uri="{C3380CC4-5D6E-409C-BE32-E72D297353CC}">
              <c16:uniqueId val="{00000000-B483-A649-AA51-03BA1D81080C}"/>
            </c:ext>
          </c:extLst>
        </c:ser>
        <c:dLbls>
          <c:showLegendKey val="0"/>
          <c:showVal val="0"/>
          <c:showCatName val="0"/>
          <c:showSerName val="0"/>
          <c:showPercent val="0"/>
          <c:showBubbleSize val="0"/>
        </c:dLbls>
        <c:smooth val="0"/>
        <c:axId val="104871039"/>
        <c:axId val="104872831"/>
      </c:lineChart>
      <c:catAx>
        <c:axId val="104871039"/>
        <c:scaling>
          <c:orientation val="minMax"/>
        </c:scaling>
        <c:delete val="1"/>
        <c:axPos val="b"/>
        <c:majorTickMark val="none"/>
        <c:minorTickMark val="none"/>
        <c:tickLblPos val="nextTo"/>
        <c:crossAx val="104872831"/>
        <c:crosses val="autoZero"/>
        <c:auto val="1"/>
        <c:lblAlgn val="ctr"/>
        <c:lblOffset val="100"/>
        <c:noMultiLvlLbl val="0"/>
      </c:catAx>
      <c:valAx>
        <c:axId val="104872831"/>
        <c:scaling>
          <c:orientation val="minMax"/>
        </c:scaling>
        <c:delete val="1"/>
        <c:axPos val="l"/>
        <c:numFmt formatCode="&quot;$&quot;#,##0;[Red]\(&quot;$&quot;#,##0\);&quot;–&quot;;@" sourceLinked="1"/>
        <c:majorTickMark val="none"/>
        <c:minorTickMark val="none"/>
        <c:tickLblPos val="nextTo"/>
        <c:crossAx val="104871039"/>
        <c:crosses val="autoZero"/>
        <c:crossBetween val="between"/>
      </c:valAx>
      <c:spPr>
        <a:solidFill>
          <a:srgbClr val="141416"/>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141416"/>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2225" cap="rnd">
              <a:solidFill>
                <a:srgbClr val="3B6EF5"/>
              </a:solidFill>
              <a:prstDash val="solid"/>
              <a:round/>
            </a:ln>
            <a:effectLst/>
          </c:spPr>
          <c:marker>
            <c:symbol val="none"/>
          </c:marker>
          <c:val>
            <c:numRef>
              <c:f>'Sample Data'!$D$131:$O$131</c:f>
              <c:numCache>
                <c:formatCode>"$"#,##0;[Red]\("$"#,##0\);"–";@</c:formatCode>
                <c:ptCount val="12"/>
                <c:pt idx="0">
                  <c:v>116869</c:v>
                </c:pt>
                <c:pt idx="1">
                  <c:v>124117</c:v>
                </c:pt>
                <c:pt idx="2">
                  <c:v>131254</c:v>
                </c:pt>
                <c:pt idx="3">
                  <c:v>136885</c:v>
                </c:pt>
                <c:pt idx="4">
                  <c:v>142453</c:v>
                </c:pt>
                <c:pt idx="5">
                  <c:v>78068</c:v>
                </c:pt>
                <c:pt idx="6">
                  <c:v>138588</c:v>
                </c:pt>
                <c:pt idx="7">
                  <c:v>146723</c:v>
                </c:pt>
                <c:pt idx="8">
                  <c:v>169173</c:v>
                </c:pt>
                <c:pt idx="9">
                  <c:v>149261</c:v>
                </c:pt>
                <c:pt idx="10">
                  <c:v>156395</c:v>
                </c:pt>
                <c:pt idx="11">
                  <c:v>164713</c:v>
                </c:pt>
              </c:numCache>
            </c:numRef>
          </c:val>
          <c:smooth val="0"/>
          <c:extLst>
            <c:ext xmlns:c16="http://schemas.microsoft.com/office/drawing/2014/chart" uri="{C3380CC4-5D6E-409C-BE32-E72D297353CC}">
              <c16:uniqueId val="{00000000-9688-0A49-8DE2-9F0F71B7EC61}"/>
            </c:ext>
          </c:extLst>
        </c:ser>
        <c:dLbls>
          <c:showLegendKey val="0"/>
          <c:showVal val="0"/>
          <c:showCatName val="0"/>
          <c:showSerName val="0"/>
          <c:showPercent val="0"/>
          <c:showBubbleSize val="0"/>
        </c:dLbls>
        <c:smooth val="0"/>
        <c:axId val="104908991"/>
        <c:axId val="104910783"/>
      </c:lineChart>
      <c:catAx>
        <c:axId val="104908991"/>
        <c:scaling>
          <c:orientation val="minMax"/>
        </c:scaling>
        <c:delete val="1"/>
        <c:axPos val="b"/>
        <c:majorTickMark val="none"/>
        <c:minorTickMark val="none"/>
        <c:tickLblPos val="nextTo"/>
        <c:crossAx val="104910783"/>
        <c:crosses val="autoZero"/>
        <c:auto val="1"/>
        <c:lblAlgn val="ctr"/>
        <c:lblOffset val="100"/>
        <c:noMultiLvlLbl val="0"/>
      </c:catAx>
      <c:valAx>
        <c:axId val="104910783"/>
        <c:scaling>
          <c:orientation val="minMax"/>
        </c:scaling>
        <c:delete val="1"/>
        <c:axPos val="l"/>
        <c:numFmt formatCode="&quot;$&quot;#,##0;[Red]\(&quot;$&quot;#,##0\);&quot;–&quot;;@" sourceLinked="1"/>
        <c:majorTickMark val="none"/>
        <c:minorTickMark val="none"/>
        <c:tickLblPos val="nextTo"/>
        <c:crossAx val="104908991"/>
        <c:crosses val="autoZero"/>
        <c:crossBetween val="between"/>
      </c:valAx>
      <c:spPr>
        <a:solidFill>
          <a:srgbClr val="141416"/>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141416"/>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2225" cap="rnd">
              <a:solidFill>
                <a:srgbClr val="10B981"/>
              </a:solidFill>
              <a:prstDash val="solid"/>
              <a:round/>
            </a:ln>
            <a:effectLst/>
          </c:spPr>
          <c:marker>
            <c:symbol val="none"/>
          </c:marker>
          <c:val>
            <c:numRef>
              <c:f>'Sample Data'!$D$135:$O$135</c:f>
              <c:numCache>
                <c:formatCode>"$"#,##0;[Red]\("$"#,##0\);"–";@</c:formatCode>
                <c:ptCount val="12"/>
                <c:pt idx="0">
                  <c:v>481159</c:v>
                </c:pt>
                <c:pt idx="1">
                  <c:v>518082</c:v>
                </c:pt>
                <c:pt idx="2">
                  <c:v>536310</c:v>
                </c:pt>
                <c:pt idx="3">
                  <c:v>575486</c:v>
                </c:pt>
                <c:pt idx="4">
                  <c:v>614716</c:v>
                </c:pt>
                <c:pt idx="5">
                  <c:v>645034</c:v>
                </c:pt>
                <c:pt idx="6">
                  <c:v>684285</c:v>
                </c:pt>
                <c:pt idx="7">
                  <c:v>724841</c:v>
                </c:pt>
                <c:pt idx="8">
                  <c:v>747991</c:v>
                </c:pt>
                <c:pt idx="9">
                  <c:v>788454</c:v>
                </c:pt>
                <c:pt idx="10">
                  <c:v>830223</c:v>
                </c:pt>
                <c:pt idx="11">
                  <c:v>873324</c:v>
                </c:pt>
              </c:numCache>
            </c:numRef>
          </c:val>
          <c:smooth val="0"/>
          <c:extLst>
            <c:ext xmlns:c16="http://schemas.microsoft.com/office/drawing/2014/chart" uri="{C3380CC4-5D6E-409C-BE32-E72D297353CC}">
              <c16:uniqueId val="{00000000-56F8-D94A-B924-6B85A2A0E0C5}"/>
            </c:ext>
          </c:extLst>
        </c:ser>
        <c:dLbls>
          <c:showLegendKey val="0"/>
          <c:showVal val="0"/>
          <c:showCatName val="0"/>
          <c:showSerName val="0"/>
          <c:showPercent val="0"/>
          <c:showBubbleSize val="0"/>
        </c:dLbls>
        <c:smooth val="0"/>
        <c:axId val="116343679"/>
        <c:axId val="116442879"/>
      </c:lineChart>
      <c:catAx>
        <c:axId val="116343679"/>
        <c:scaling>
          <c:orientation val="minMax"/>
        </c:scaling>
        <c:delete val="1"/>
        <c:axPos val="b"/>
        <c:majorTickMark val="none"/>
        <c:minorTickMark val="none"/>
        <c:tickLblPos val="nextTo"/>
        <c:crossAx val="116442879"/>
        <c:crosses val="autoZero"/>
        <c:auto val="1"/>
        <c:lblAlgn val="ctr"/>
        <c:lblOffset val="100"/>
        <c:noMultiLvlLbl val="0"/>
      </c:catAx>
      <c:valAx>
        <c:axId val="116442879"/>
        <c:scaling>
          <c:orientation val="minMax"/>
        </c:scaling>
        <c:delete val="1"/>
        <c:axPos val="l"/>
        <c:numFmt formatCode="&quot;$&quot;#,##0;[Red]\(&quot;$&quot;#,##0\);&quot;–&quot;;@" sourceLinked="1"/>
        <c:majorTickMark val="none"/>
        <c:minorTickMark val="none"/>
        <c:tickLblPos val="nextTo"/>
        <c:crossAx val="116343679"/>
        <c:crosses val="autoZero"/>
        <c:crossBetween val="between"/>
      </c:valAx>
      <c:spPr>
        <a:solidFill>
          <a:srgbClr val="141416"/>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141416"/>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spPr>
            <a:solidFill>
              <a:srgbClr val="0D0D0D"/>
            </a:solidFill>
            <a:ln w="25400">
              <a:noFill/>
            </a:ln>
            <a:effectLst/>
          </c:spPr>
          <c:invertIfNegative val="0"/>
          <c:cat>
            <c:strRef>
              <c:f>'Sample Monthly Dashboard'!$BP$71:$BP$76</c:f>
              <c:strCache>
                <c:ptCount val="6"/>
                <c:pt idx="0">
                  <c:v>Target</c:v>
                </c:pt>
                <c:pt idx="1">
                  <c:v>Vol &amp; mix</c:v>
                </c:pt>
                <c:pt idx="2">
                  <c:v>Rate</c:v>
                </c:pt>
                <c:pt idx="3">
                  <c:v>Dir cost</c:v>
                </c:pt>
                <c:pt idx="4">
                  <c:v>Opex</c:v>
                </c:pt>
                <c:pt idx="5">
                  <c:v>Actual</c:v>
                </c:pt>
              </c:strCache>
            </c:strRef>
          </c:cat>
          <c:val>
            <c:numRef>
              <c:f>'Sample Monthly Dashboard'!$BQ$71:$BQ$76</c:f>
              <c:numCache>
                <c:formatCode>;;;</c:formatCode>
                <c:ptCount val="6"/>
                <c:pt idx="0">
                  <c:v>0</c:v>
                </c:pt>
                <c:pt idx="1">
                  <c:v>19722.079999999987</c:v>
                </c:pt>
                <c:pt idx="2">
                  <c:v>7684.0799999999872</c:v>
                </c:pt>
                <c:pt idx="3">
                  <c:v>2113.0799999999872</c:v>
                </c:pt>
                <c:pt idx="4">
                  <c:v>2113.0799999999872</c:v>
                </c:pt>
                <c:pt idx="5">
                  <c:v>0</c:v>
                </c:pt>
              </c:numCache>
            </c:numRef>
          </c:val>
          <c:extLst>
            <c:ext xmlns:c16="http://schemas.microsoft.com/office/drawing/2014/chart" uri="{C3380CC4-5D6E-409C-BE32-E72D297353CC}">
              <c16:uniqueId val="{00000000-A7BB-4040-804A-EC985E206406}"/>
            </c:ext>
          </c:extLst>
        </c:ser>
        <c:ser>
          <c:idx val="1"/>
          <c:order val="1"/>
          <c:spPr>
            <a:solidFill>
              <a:srgbClr val="EF4444"/>
            </a:solidFill>
            <a:ln w="25400">
              <a:noFill/>
            </a:ln>
            <a:effectLst/>
          </c:spPr>
          <c:invertIfNegative val="0"/>
          <c:dLbls>
            <c:numFmt formatCode="&quot;-$&quot;#,##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EF4444"/>
                    </a:solidFill>
                    <a:latin typeface="Consolas"/>
                    <a:ea typeface="Consolas"/>
                    <a:cs typeface="Consola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 Monthly Dashboard'!$BP$71:$BP$76</c:f>
              <c:strCache>
                <c:ptCount val="6"/>
                <c:pt idx="0">
                  <c:v>Target</c:v>
                </c:pt>
                <c:pt idx="1">
                  <c:v>Vol &amp; mix</c:v>
                </c:pt>
                <c:pt idx="2">
                  <c:v>Rate</c:v>
                </c:pt>
                <c:pt idx="3">
                  <c:v>Dir cost</c:v>
                </c:pt>
                <c:pt idx="4">
                  <c:v>Opex</c:v>
                </c:pt>
                <c:pt idx="5">
                  <c:v>Actual</c:v>
                </c:pt>
              </c:strCache>
            </c:strRef>
          </c:cat>
          <c:val>
            <c:numRef>
              <c:f>'Sample Monthly Dashboard'!$BR$71:$BR$76</c:f>
              <c:numCache>
                <c:formatCode>;;;</c:formatCode>
                <c:ptCount val="6"/>
                <c:pt idx="0">
                  <c:v>0</c:v>
                </c:pt>
                <c:pt idx="1">
                  <c:v>0</c:v>
                </c:pt>
                <c:pt idx="2">
                  <c:v>337372000</c:v>
                </c:pt>
                <c:pt idx="3">
                  <c:v>5571</c:v>
                </c:pt>
                <c:pt idx="4">
                  <c:v>0</c:v>
                </c:pt>
                <c:pt idx="5">
                  <c:v>0</c:v>
                </c:pt>
              </c:numCache>
            </c:numRef>
          </c:val>
          <c:extLst>
            <c:ext xmlns:c16="http://schemas.microsoft.com/office/drawing/2014/chart" uri="{C3380CC4-5D6E-409C-BE32-E72D297353CC}">
              <c16:uniqueId val="{00000001-A7BB-4040-804A-EC985E206406}"/>
            </c:ext>
          </c:extLst>
        </c:ser>
        <c:ser>
          <c:idx val="2"/>
          <c:order val="2"/>
          <c:spPr>
            <a:solidFill>
              <a:srgbClr val="10B981"/>
            </a:solidFill>
            <a:ln w="25400">
              <a:noFill/>
            </a:ln>
            <a:effectLst/>
          </c:spPr>
          <c:invertIfNegative val="0"/>
          <c:cat>
            <c:strRef>
              <c:f>'Sample Monthly Dashboard'!$BP$71:$BP$76</c:f>
              <c:strCache>
                <c:ptCount val="6"/>
                <c:pt idx="0">
                  <c:v>Target</c:v>
                </c:pt>
                <c:pt idx="1">
                  <c:v>Vol &amp; mix</c:v>
                </c:pt>
                <c:pt idx="2">
                  <c:v>Rate</c:v>
                </c:pt>
                <c:pt idx="3">
                  <c:v>Dir cost</c:v>
                </c:pt>
                <c:pt idx="4">
                  <c:v>Opex</c:v>
                </c:pt>
                <c:pt idx="5">
                  <c:v>Actual</c:v>
                </c:pt>
              </c:strCache>
            </c:strRef>
          </c:cat>
          <c:val>
            <c:numRef>
              <c:f>'Sample Monthly Dashboard'!$BS$71:$BS$76</c:f>
              <c:numCache>
                <c:formatCode>;;;</c:formatCode>
                <c:ptCount val="6"/>
                <c:pt idx="0">
                  <c:v>0</c:v>
                </c:pt>
                <c:pt idx="1">
                  <c:v>337359962</c:v>
                </c:pt>
                <c:pt idx="2">
                  <c:v>0</c:v>
                </c:pt>
                <c:pt idx="3">
                  <c:v>0</c:v>
                </c:pt>
                <c:pt idx="4">
                  <c:v>0</c:v>
                </c:pt>
                <c:pt idx="5">
                  <c:v>0</c:v>
                </c:pt>
              </c:numCache>
            </c:numRef>
          </c:val>
          <c:extLst>
            <c:ext xmlns:c16="http://schemas.microsoft.com/office/drawing/2014/chart" uri="{C3380CC4-5D6E-409C-BE32-E72D297353CC}">
              <c16:uniqueId val="{00000002-A7BB-4040-804A-EC985E206406}"/>
            </c:ext>
          </c:extLst>
        </c:ser>
        <c:ser>
          <c:idx val="3"/>
          <c:order val="3"/>
          <c:spPr>
            <a:solidFill>
              <a:srgbClr val="1E50FF"/>
            </a:solidFill>
            <a:ln w="25400">
              <a:noFill/>
            </a:ln>
            <a:effectLst/>
          </c:spPr>
          <c:invertIfNegative val="0"/>
          <c:cat>
            <c:strRef>
              <c:f>'Sample Monthly Dashboard'!$BP$71:$BP$76</c:f>
              <c:strCache>
                <c:ptCount val="6"/>
                <c:pt idx="0">
                  <c:v>Target</c:v>
                </c:pt>
                <c:pt idx="1">
                  <c:v>Vol &amp; mix</c:v>
                </c:pt>
                <c:pt idx="2">
                  <c:v>Rate</c:v>
                </c:pt>
                <c:pt idx="3">
                  <c:v>Dir cost</c:v>
                </c:pt>
                <c:pt idx="4">
                  <c:v>Opex</c:v>
                </c:pt>
                <c:pt idx="5">
                  <c:v>Actual</c:v>
                </c:pt>
              </c:strCache>
            </c:strRef>
          </c:cat>
          <c:val>
            <c:numRef>
              <c:f>'Sample Monthly Dashboard'!$BT$71:$BT$76</c:f>
              <c:numCache>
                <c:formatCode>;;;</c:formatCode>
                <c:ptCount val="6"/>
                <c:pt idx="0">
                  <c:v>19722.079999999987</c:v>
                </c:pt>
                <c:pt idx="1">
                  <c:v>0</c:v>
                </c:pt>
                <c:pt idx="2">
                  <c:v>0</c:v>
                </c:pt>
                <c:pt idx="3">
                  <c:v>0</c:v>
                </c:pt>
                <c:pt idx="4">
                  <c:v>0</c:v>
                </c:pt>
                <c:pt idx="5">
                  <c:v>2113.0799999999872</c:v>
                </c:pt>
              </c:numCache>
            </c:numRef>
          </c:val>
          <c:extLst>
            <c:ext xmlns:c16="http://schemas.microsoft.com/office/drawing/2014/chart" uri="{C3380CC4-5D6E-409C-BE32-E72D297353CC}">
              <c16:uniqueId val="{00000003-A7BB-4040-804A-EC985E206406}"/>
            </c:ext>
          </c:extLst>
        </c:ser>
        <c:dLbls>
          <c:showLegendKey val="0"/>
          <c:showVal val="0"/>
          <c:showCatName val="0"/>
          <c:showSerName val="0"/>
          <c:showPercent val="0"/>
          <c:showBubbleSize val="0"/>
        </c:dLbls>
        <c:gapWidth val="60"/>
        <c:overlap val="100"/>
        <c:axId val="116616575"/>
        <c:axId val="116616127"/>
      </c:barChart>
      <c:catAx>
        <c:axId val="116616575"/>
        <c:scaling>
          <c:orientation val="minMax"/>
        </c:scaling>
        <c:delete val="0"/>
        <c:axPos val="b"/>
        <c:numFmt formatCode="General" sourceLinked="1"/>
        <c:majorTickMark val="none"/>
        <c:minorTickMark val="none"/>
        <c:tickLblPos val="nextTo"/>
        <c:spPr>
          <a:noFill/>
          <a:ln w="9525" cap="flat" cmpd="sng" algn="ctr">
            <a:solidFill>
              <a:srgbClr val="26282B"/>
            </a:solidFill>
            <a:prstDash val="solid"/>
            <a:round/>
          </a:ln>
          <a:effectLst/>
        </c:spPr>
        <c:txPr>
          <a:bodyPr rot="-60000000" spcFirstLastPara="1" vertOverflow="ellipsis" vert="horz" wrap="square" anchor="ctr" anchorCtr="1"/>
          <a:lstStyle/>
          <a:p>
            <a:pPr>
              <a:defRPr sz="800" b="0" i="0" u="none" strike="noStrike" kern="1200" baseline="0">
                <a:solidFill>
                  <a:srgbClr val="8896B3"/>
                </a:solidFill>
                <a:latin typeface="Consolas"/>
                <a:ea typeface="Consolas"/>
                <a:cs typeface="Consolas"/>
              </a:defRPr>
            </a:pPr>
            <a:endParaRPr lang="en-US"/>
          </a:p>
        </c:txPr>
        <c:crossAx val="116616127"/>
        <c:crosses val="autoZero"/>
        <c:auto val="1"/>
        <c:lblAlgn val="ctr"/>
        <c:lblOffset val="100"/>
        <c:noMultiLvlLbl val="0"/>
      </c:catAx>
      <c:valAx>
        <c:axId val="116616127"/>
        <c:scaling>
          <c:orientation val="minMax"/>
          <c:max val="30000"/>
          <c:min val="0"/>
        </c:scaling>
        <c:delete val="1"/>
        <c:axPos val="l"/>
        <c:numFmt formatCode=";;;" sourceLinked="1"/>
        <c:majorTickMark val="none"/>
        <c:minorTickMark val="none"/>
        <c:tickLblPos val="nextTo"/>
        <c:crossAx val="116616575"/>
        <c:crosses val="autoZero"/>
        <c:crossBetween val="between"/>
      </c:valAx>
      <c:spPr>
        <a:solidFill>
          <a:srgbClr val="0D0D0D"/>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0D0D0D"/>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2225" cap="rnd">
              <a:solidFill>
                <a:srgbClr val="3B6EF5"/>
              </a:solidFill>
              <a:prstDash val="solid"/>
              <a:round/>
            </a:ln>
            <a:effectLst/>
          </c:spPr>
          <c:marker>
            <c:symbol val="none"/>
          </c:marker>
          <c:val>
            <c:numRef>
              <c:f>'Sample Data'!$D$71:$O$71</c:f>
              <c:numCache>
                <c:formatCode>"$"#,##0;[Red]\("$"#,##0\);"–";@</c:formatCode>
                <c:ptCount val="12"/>
                <c:pt idx="0">
                  <c:v>505570</c:v>
                </c:pt>
                <c:pt idx="1">
                  <c:v>521439</c:v>
                </c:pt>
                <c:pt idx="2">
                  <c:v>537077</c:v>
                </c:pt>
                <c:pt idx="3">
                  <c:v>547606</c:v>
                </c:pt>
                <c:pt idx="4">
                  <c:v>558211</c:v>
                </c:pt>
                <c:pt idx="5">
                  <c:v>427891</c:v>
                </c:pt>
                <c:pt idx="6">
                  <c:v>552480</c:v>
                </c:pt>
                <c:pt idx="7">
                  <c:v>568118</c:v>
                </c:pt>
                <c:pt idx="8">
                  <c:v>615013</c:v>
                </c:pt>
                <c:pt idx="9">
                  <c:v>573617</c:v>
                </c:pt>
                <c:pt idx="10">
                  <c:v>589254</c:v>
                </c:pt>
                <c:pt idx="11">
                  <c:v>605266</c:v>
                </c:pt>
              </c:numCache>
            </c:numRef>
          </c:val>
          <c:smooth val="0"/>
          <c:extLst>
            <c:ext xmlns:c16="http://schemas.microsoft.com/office/drawing/2014/chart" uri="{C3380CC4-5D6E-409C-BE32-E72D297353CC}">
              <c16:uniqueId val="{00000000-7344-E94F-9E86-1396C40CDF54}"/>
            </c:ext>
          </c:extLst>
        </c:ser>
        <c:dLbls>
          <c:showLegendKey val="0"/>
          <c:showVal val="0"/>
          <c:showCatName val="0"/>
          <c:showSerName val="0"/>
          <c:showPercent val="0"/>
          <c:showBubbleSize val="0"/>
        </c:dLbls>
        <c:smooth val="0"/>
        <c:axId val="121169087"/>
        <c:axId val="116419967"/>
      </c:lineChart>
      <c:catAx>
        <c:axId val="121169087"/>
        <c:scaling>
          <c:orientation val="minMax"/>
        </c:scaling>
        <c:delete val="1"/>
        <c:axPos val="b"/>
        <c:majorTickMark val="none"/>
        <c:minorTickMark val="none"/>
        <c:tickLblPos val="nextTo"/>
        <c:crossAx val="116419967"/>
        <c:crosses val="autoZero"/>
        <c:auto val="1"/>
        <c:lblAlgn val="ctr"/>
        <c:lblOffset val="100"/>
        <c:noMultiLvlLbl val="0"/>
      </c:catAx>
      <c:valAx>
        <c:axId val="116419967"/>
        <c:scaling>
          <c:orientation val="minMax"/>
        </c:scaling>
        <c:delete val="1"/>
        <c:axPos val="l"/>
        <c:numFmt formatCode="&quot;$&quot;#,##0;[Red]\(&quot;$&quot;#,##0\);&quot;–&quot;;@" sourceLinked="1"/>
        <c:majorTickMark val="none"/>
        <c:minorTickMark val="none"/>
        <c:tickLblPos val="nextTo"/>
        <c:crossAx val="121169087"/>
        <c:crosses val="autoZero"/>
        <c:crossBetween val="between"/>
      </c:valAx>
      <c:spPr>
        <a:solidFill>
          <a:srgbClr val="141416"/>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141416"/>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2225" cap="rnd">
              <a:solidFill>
                <a:srgbClr val="8896B3"/>
              </a:solidFill>
              <a:prstDash val="solid"/>
              <a:round/>
            </a:ln>
            <a:effectLst/>
          </c:spPr>
          <c:marker>
            <c:symbol val="none"/>
          </c:marker>
          <c:val>
            <c:numRef>
              <c:f>'Sample Data'!$D$138:$O$138</c:f>
              <c:numCache>
                <c:formatCode>"$"#,##0;[Red]\("$"#,##0\);"–";@</c:formatCode>
                <c:ptCount val="12"/>
                <c:pt idx="0">
                  <c:v>631962</c:v>
                </c:pt>
                <c:pt idx="1">
                  <c:v>651799</c:v>
                </c:pt>
                <c:pt idx="2">
                  <c:v>671346</c:v>
                </c:pt>
                <c:pt idx="3">
                  <c:v>684508</c:v>
                </c:pt>
                <c:pt idx="4">
                  <c:v>697764</c:v>
                </c:pt>
                <c:pt idx="5">
                  <c:v>534864</c:v>
                </c:pt>
                <c:pt idx="6">
                  <c:v>690600</c:v>
                </c:pt>
                <c:pt idx="7">
                  <c:v>710148</c:v>
                </c:pt>
                <c:pt idx="8">
                  <c:v>768766</c:v>
                </c:pt>
                <c:pt idx="9">
                  <c:v>717021</c:v>
                </c:pt>
                <c:pt idx="10">
                  <c:v>736568</c:v>
                </c:pt>
                <c:pt idx="11">
                  <c:v>756582</c:v>
                </c:pt>
              </c:numCache>
            </c:numRef>
          </c:val>
          <c:smooth val="0"/>
          <c:extLst>
            <c:ext xmlns:c16="http://schemas.microsoft.com/office/drawing/2014/chart" uri="{C3380CC4-5D6E-409C-BE32-E72D297353CC}">
              <c16:uniqueId val="{00000000-2F8D-154B-9744-AB17739324B3}"/>
            </c:ext>
          </c:extLst>
        </c:ser>
        <c:dLbls>
          <c:showLegendKey val="0"/>
          <c:showVal val="0"/>
          <c:showCatName val="0"/>
          <c:showSerName val="0"/>
          <c:showPercent val="0"/>
          <c:showBubbleSize val="0"/>
        </c:dLbls>
        <c:smooth val="0"/>
        <c:axId val="109498751"/>
        <c:axId val="109500095"/>
      </c:lineChart>
      <c:catAx>
        <c:axId val="109498751"/>
        <c:scaling>
          <c:orientation val="minMax"/>
        </c:scaling>
        <c:delete val="1"/>
        <c:axPos val="b"/>
        <c:majorTickMark val="none"/>
        <c:minorTickMark val="none"/>
        <c:tickLblPos val="nextTo"/>
        <c:crossAx val="109500095"/>
        <c:crosses val="autoZero"/>
        <c:auto val="1"/>
        <c:lblAlgn val="ctr"/>
        <c:lblOffset val="100"/>
        <c:noMultiLvlLbl val="0"/>
      </c:catAx>
      <c:valAx>
        <c:axId val="109500095"/>
        <c:scaling>
          <c:orientation val="minMax"/>
        </c:scaling>
        <c:delete val="1"/>
        <c:axPos val="l"/>
        <c:numFmt formatCode="&quot;$&quot;#,##0;[Red]\(&quot;$&quot;#,##0\);&quot;–&quot;;@" sourceLinked="1"/>
        <c:majorTickMark val="none"/>
        <c:minorTickMark val="none"/>
        <c:tickLblPos val="nextTo"/>
        <c:crossAx val="109498751"/>
        <c:crosses val="autoZero"/>
        <c:crossBetween val="between"/>
      </c:valAx>
      <c:spPr>
        <a:solidFill>
          <a:srgbClr val="141416"/>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141416"/>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2225" cap="rnd">
              <a:solidFill>
                <a:srgbClr val="3B6EF5"/>
              </a:solidFill>
              <a:prstDash val="solid"/>
              <a:round/>
            </a:ln>
            <a:effectLst/>
          </c:spPr>
          <c:marker>
            <c:symbol val="none"/>
          </c:marker>
          <c:val>
            <c:numRef>
              <c:f>'Sample Data'!$D$93:$O$93</c:f>
              <c:numCache>
                <c:formatCode>"$"#,##0;[Red]\("$"#,##0\);"–";@</c:formatCode>
                <c:ptCount val="12"/>
                <c:pt idx="0">
                  <c:v>272742</c:v>
                </c:pt>
                <c:pt idx="1">
                  <c:v>281046</c:v>
                </c:pt>
                <c:pt idx="2">
                  <c:v>289228</c:v>
                </c:pt>
                <c:pt idx="3">
                  <c:v>295648</c:v>
                </c:pt>
                <c:pt idx="4">
                  <c:v>301110</c:v>
                </c:pt>
                <c:pt idx="5">
                  <c:v>230472</c:v>
                </c:pt>
                <c:pt idx="6">
                  <c:v>297484</c:v>
                </c:pt>
                <c:pt idx="7">
                  <c:v>306664</c:v>
                </c:pt>
                <c:pt idx="8">
                  <c:v>331722</c:v>
                </c:pt>
                <c:pt idx="9">
                  <c:v>309103</c:v>
                </c:pt>
                <c:pt idx="10">
                  <c:v>317282</c:v>
                </c:pt>
                <c:pt idx="11">
                  <c:v>326663</c:v>
                </c:pt>
              </c:numCache>
            </c:numRef>
          </c:val>
          <c:smooth val="0"/>
          <c:extLst>
            <c:ext xmlns:c16="http://schemas.microsoft.com/office/drawing/2014/chart" uri="{C3380CC4-5D6E-409C-BE32-E72D297353CC}">
              <c16:uniqueId val="{00000000-B18F-164E-BC27-A5C4985FEC6D}"/>
            </c:ext>
          </c:extLst>
        </c:ser>
        <c:dLbls>
          <c:showLegendKey val="0"/>
          <c:showVal val="0"/>
          <c:showCatName val="0"/>
          <c:showSerName val="0"/>
          <c:showPercent val="0"/>
          <c:showBubbleSize val="0"/>
        </c:dLbls>
        <c:smooth val="0"/>
        <c:axId val="116550143"/>
        <c:axId val="116553727"/>
      </c:lineChart>
      <c:catAx>
        <c:axId val="116550143"/>
        <c:scaling>
          <c:orientation val="minMax"/>
        </c:scaling>
        <c:delete val="1"/>
        <c:axPos val="b"/>
        <c:majorTickMark val="none"/>
        <c:minorTickMark val="none"/>
        <c:tickLblPos val="nextTo"/>
        <c:crossAx val="116553727"/>
        <c:crosses val="autoZero"/>
        <c:auto val="1"/>
        <c:lblAlgn val="ctr"/>
        <c:lblOffset val="100"/>
        <c:noMultiLvlLbl val="0"/>
      </c:catAx>
      <c:valAx>
        <c:axId val="116553727"/>
        <c:scaling>
          <c:orientation val="minMax"/>
        </c:scaling>
        <c:delete val="1"/>
        <c:axPos val="l"/>
        <c:numFmt formatCode="&quot;$&quot;#,##0;[Red]\(&quot;$&quot;#,##0\);&quot;–&quot;;@" sourceLinked="1"/>
        <c:majorTickMark val="none"/>
        <c:minorTickMark val="none"/>
        <c:tickLblPos val="nextTo"/>
        <c:crossAx val="116550143"/>
        <c:crosses val="autoZero"/>
        <c:crossBetween val="between"/>
      </c:valAx>
      <c:spPr>
        <a:solidFill>
          <a:srgbClr val="141416"/>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141416"/>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2225" cap="rnd">
              <a:solidFill>
                <a:srgbClr val="3B6EF5"/>
              </a:solidFill>
              <a:prstDash val="solid"/>
              <a:round/>
            </a:ln>
            <a:effectLst/>
          </c:spPr>
          <c:marker>
            <c:symbol val="none"/>
          </c:marker>
          <c:val>
            <c:numRef>
              <c:f>'Sample Data'!$D$118:$O$118</c:f>
              <c:numCache>
                <c:formatCode>"$"#,##0;[Red]\("$"#,##0\);"–";@</c:formatCode>
                <c:ptCount val="12"/>
                <c:pt idx="0">
                  <c:v>149750</c:v>
                </c:pt>
                <c:pt idx="1">
                  <c:v>157868</c:v>
                </c:pt>
                <c:pt idx="2">
                  <c:v>165864</c:v>
                </c:pt>
                <c:pt idx="3">
                  <c:v>172098</c:v>
                </c:pt>
                <c:pt idx="4">
                  <c:v>178274</c:v>
                </c:pt>
                <c:pt idx="5">
                  <c:v>107450</c:v>
                </c:pt>
                <c:pt idx="6">
                  <c:v>174276</c:v>
                </c:pt>
                <c:pt idx="7">
                  <c:v>183270</c:v>
                </c:pt>
                <c:pt idx="8">
                  <c:v>208142</c:v>
                </c:pt>
                <c:pt idx="9">
                  <c:v>186237</c:v>
                </c:pt>
                <c:pt idx="10">
                  <c:v>194230</c:v>
                </c:pt>
                <c:pt idx="11">
                  <c:v>203425</c:v>
                </c:pt>
              </c:numCache>
            </c:numRef>
          </c:val>
          <c:smooth val="0"/>
          <c:extLst>
            <c:ext xmlns:c16="http://schemas.microsoft.com/office/drawing/2014/chart" uri="{C3380CC4-5D6E-409C-BE32-E72D297353CC}">
              <c16:uniqueId val="{00000000-447D-8D45-A80B-6D66FB1C3419}"/>
            </c:ext>
          </c:extLst>
        </c:ser>
        <c:dLbls>
          <c:showLegendKey val="0"/>
          <c:showVal val="0"/>
          <c:showCatName val="0"/>
          <c:showSerName val="0"/>
          <c:showPercent val="0"/>
          <c:showBubbleSize val="0"/>
        </c:dLbls>
        <c:smooth val="0"/>
        <c:axId val="104871039"/>
        <c:axId val="104872831"/>
      </c:lineChart>
      <c:catAx>
        <c:axId val="104871039"/>
        <c:scaling>
          <c:orientation val="minMax"/>
        </c:scaling>
        <c:delete val="1"/>
        <c:axPos val="b"/>
        <c:majorTickMark val="none"/>
        <c:minorTickMark val="none"/>
        <c:tickLblPos val="nextTo"/>
        <c:crossAx val="104872831"/>
        <c:crosses val="autoZero"/>
        <c:auto val="1"/>
        <c:lblAlgn val="ctr"/>
        <c:lblOffset val="100"/>
        <c:noMultiLvlLbl val="0"/>
      </c:catAx>
      <c:valAx>
        <c:axId val="104872831"/>
        <c:scaling>
          <c:orientation val="minMax"/>
        </c:scaling>
        <c:delete val="1"/>
        <c:axPos val="l"/>
        <c:numFmt formatCode="&quot;$&quot;#,##0;[Red]\(&quot;$&quot;#,##0\);&quot;–&quot;;@" sourceLinked="1"/>
        <c:majorTickMark val="none"/>
        <c:minorTickMark val="none"/>
        <c:tickLblPos val="nextTo"/>
        <c:crossAx val="104871039"/>
        <c:crosses val="autoZero"/>
        <c:crossBetween val="between"/>
      </c:valAx>
      <c:spPr>
        <a:solidFill>
          <a:srgbClr val="141416"/>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141416"/>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2225" cap="rnd">
              <a:solidFill>
                <a:srgbClr val="3B6EF5"/>
              </a:solidFill>
              <a:prstDash val="solid"/>
              <a:round/>
            </a:ln>
            <a:effectLst/>
          </c:spPr>
          <c:marker>
            <c:symbol val="none"/>
          </c:marker>
          <c:val>
            <c:numRef>
              <c:f>'Sample Data'!$D$131:$O$131</c:f>
              <c:numCache>
                <c:formatCode>"$"#,##0;[Red]\("$"#,##0\);"–";@</c:formatCode>
                <c:ptCount val="12"/>
                <c:pt idx="0">
                  <c:v>116869</c:v>
                </c:pt>
                <c:pt idx="1">
                  <c:v>124117</c:v>
                </c:pt>
                <c:pt idx="2">
                  <c:v>131254</c:v>
                </c:pt>
                <c:pt idx="3">
                  <c:v>136885</c:v>
                </c:pt>
                <c:pt idx="4">
                  <c:v>142453</c:v>
                </c:pt>
                <c:pt idx="5">
                  <c:v>78068</c:v>
                </c:pt>
                <c:pt idx="6">
                  <c:v>138588</c:v>
                </c:pt>
                <c:pt idx="7">
                  <c:v>146723</c:v>
                </c:pt>
                <c:pt idx="8">
                  <c:v>169173</c:v>
                </c:pt>
                <c:pt idx="9">
                  <c:v>149261</c:v>
                </c:pt>
                <c:pt idx="10">
                  <c:v>156395</c:v>
                </c:pt>
                <c:pt idx="11">
                  <c:v>164713</c:v>
                </c:pt>
              </c:numCache>
            </c:numRef>
          </c:val>
          <c:smooth val="0"/>
          <c:extLst>
            <c:ext xmlns:c16="http://schemas.microsoft.com/office/drawing/2014/chart" uri="{C3380CC4-5D6E-409C-BE32-E72D297353CC}">
              <c16:uniqueId val="{00000000-B621-5448-A4F0-AA4C84862183}"/>
            </c:ext>
          </c:extLst>
        </c:ser>
        <c:dLbls>
          <c:showLegendKey val="0"/>
          <c:showVal val="0"/>
          <c:showCatName val="0"/>
          <c:showSerName val="0"/>
          <c:showPercent val="0"/>
          <c:showBubbleSize val="0"/>
        </c:dLbls>
        <c:smooth val="0"/>
        <c:axId val="104908991"/>
        <c:axId val="104910783"/>
      </c:lineChart>
      <c:catAx>
        <c:axId val="104908991"/>
        <c:scaling>
          <c:orientation val="minMax"/>
        </c:scaling>
        <c:delete val="1"/>
        <c:axPos val="b"/>
        <c:majorTickMark val="none"/>
        <c:minorTickMark val="none"/>
        <c:tickLblPos val="nextTo"/>
        <c:crossAx val="104910783"/>
        <c:crosses val="autoZero"/>
        <c:auto val="1"/>
        <c:lblAlgn val="ctr"/>
        <c:lblOffset val="100"/>
        <c:noMultiLvlLbl val="0"/>
      </c:catAx>
      <c:valAx>
        <c:axId val="104910783"/>
        <c:scaling>
          <c:orientation val="minMax"/>
        </c:scaling>
        <c:delete val="1"/>
        <c:axPos val="l"/>
        <c:numFmt formatCode="&quot;$&quot;#,##0;[Red]\(&quot;$&quot;#,##0\);&quot;–&quot;;@" sourceLinked="1"/>
        <c:majorTickMark val="none"/>
        <c:minorTickMark val="none"/>
        <c:tickLblPos val="nextTo"/>
        <c:crossAx val="104908991"/>
        <c:crosses val="autoZero"/>
        <c:crossBetween val="between"/>
      </c:valAx>
      <c:spPr>
        <a:solidFill>
          <a:srgbClr val="141416"/>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141416"/>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2225" cap="rnd">
              <a:solidFill>
                <a:srgbClr val="10B981"/>
              </a:solidFill>
              <a:prstDash val="solid"/>
              <a:round/>
            </a:ln>
            <a:effectLst/>
          </c:spPr>
          <c:marker>
            <c:symbol val="none"/>
          </c:marker>
          <c:val>
            <c:numRef>
              <c:f>'Sample Data'!$D$135:$O$135</c:f>
              <c:numCache>
                <c:formatCode>"$"#,##0;[Red]\("$"#,##0\);"–";@</c:formatCode>
                <c:ptCount val="12"/>
                <c:pt idx="0">
                  <c:v>481159</c:v>
                </c:pt>
                <c:pt idx="1">
                  <c:v>518082</c:v>
                </c:pt>
                <c:pt idx="2">
                  <c:v>536310</c:v>
                </c:pt>
                <c:pt idx="3">
                  <c:v>575486</c:v>
                </c:pt>
                <c:pt idx="4">
                  <c:v>614716</c:v>
                </c:pt>
                <c:pt idx="5">
                  <c:v>645034</c:v>
                </c:pt>
                <c:pt idx="6">
                  <c:v>684285</c:v>
                </c:pt>
                <c:pt idx="7">
                  <c:v>724841</c:v>
                </c:pt>
                <c:pt idx="8">
                  <c:v>747991</c:v>
                </c:pt>
                <c:pt idx="9">
                  <c:v>788454</c:v>
                </c:pt>
                <c:pt idx="10">
                  <c:v>830223</c:v>
                </c:pt>
                <c:pt idx="11">
                  <c:v>873324</c:v>
                </c:pt>
              </c:numCache>
            </c:numRef>
          </c:val>
          <c:smooth val="0"/>
          <c:extLst>
            <c:ext xmlns:c16="http://schemas.microsoft.com/office/drawing/2014/chart" uri="{C3380CC4-5D6E-409C-BE32-E72D297353CC}">
              <c16:uniqueId val="{00000000-BB53-584B-8AF8-C0E128760DC9}"/>
            </c:ext>
          </c:extLst>
        </c:ser>
        <c:dLbls>
          <c:showLegendKey val="0"/>
          <c:showVal val="0"/>
          <c:showCatName val="0"/>
          <c:showSerName val="0"/>
          <c:showPercent val="0"/>
          <c:showBubbleSize val="0"/>
        </c:dLbls>
        <c:smooth val="0"/>
        <c:axId val="116343679"/>
        <c:axId val="116442879"/>
      </c:lineChart>
      <c:catAx>
        <c:axId val="116343679"/>
        <c:scaling>
          <c:orientation val="minMax"/>
        </c:scaling>
        <c:delete val="1"/>
        <c:axPos val="b"/>
        <c:majorTickMark val="none"/>
        <c:minorTickMark val="none"/>
        <c:tickLblPos val="nextTo"/>
        <c:crossAx val="116442879"/>
        <c:crosses val="autoZero"/>
        <c:auto val="1"/>
        <c:lblAlgn val="ctr"/>
        <c:lblOffset val="100"/>
        <c:noMultiLvlLbl val="0"/>
      </c:catAx>
      <c:valAx>
        <c:axId val="116442879"/>
        <c:scaling>
          <c:orientation val="minMax"/>
        </c:scaling>
        <c:delete val="1"/>
        <c:axPos val="l"/>
        <c:numFmt formatCode="&quot;$&quot;#,##0;[Red]\(&quot;$&quot;#,##0\);&quot;–&quot;;@" sourceLinked="1"/>
        <c:majorTickMark val="none"/>
        <c:minorTickMark val="none"/>
        <c:tickLblPos val="nextTo"/>
        <c:crossAx val="116343679"/>
        <c:crosses val="autoZero"/>
        <c:crossBetween val="between"/>
      </c:valAx>
      <c:spPr>
        <a:solidFill>
          <a:srgbClr val="141416"/>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141416"/>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spPr>
            <a:solidFill>
              <a:srgbClr val="0D0D0D"/>
            </a:solidFill>
            <a:ln w="25400">
              <a:noFill/>
            </a:ln>
            <a:effectLst/>
          </c:spPr>
          <c:invertIfNegative val="0"/>
          <c:cat>
            <c:strRef>
              <c:f>'Sample YTD Dashboard'!$BP$71:$BP$76</c:f>
              <c:strCache>
                <c:ptCount val="6"/>
                <c:pt idx="0">
                  <c:v>Target</c:v>
                </c:pt>
                <c:pt idx="1">
                  <c:v>Vol &amp; mix</c:v>
                </c:pt>
                <c:pt idx="2">
                  <c:v>Rate</c:v>
                </c:pt>
                <c:pt idx="3">
                  <c:v>Dir cost</c:v>
                </c:pt>
                <c:pt idx="4">
                  <c:v>Opex</c:v>
                </c:pt>
                <c:pt idx="5">
                  <c:v>Actual</c:v>
                </c:pt>
              </c:strCache>
            </c:strRef>
          </c:cat>
          <c:val>
            <c:numRef>
              <c:f>'Sample YTD Dashboard'!$BQ$71:$BQ$76</c:f>
              <c:numCache>
                <c:formatCode>;;;</c:formatCode>
                <c:ptCount val="6"/>
                <c:pt idx="0">
                  <c:v>0</c:v>
                </c:pt>
                <c:pt idx="1">
                  <c:v>-671702.3600000001</c:v>
                </c:pt>
                <c:pt idx="2">
                  <c:v>-671702.3600000001</c:v>
                </c:pt>
                <c:pt idx="3">
                  <c:v>-732551.3600000001</c:v>
                </c:pt>
                <c:pt idx="4">
                  <c:v>-732551.3600000001</c:v>
                </c:pt>
                <c:pt idx="5">
                  <c:v>0</c:v>
                </c:pt>
              </c:numCache>
            </c:numRef>
          </c:val>
          <c:extLst>
            <c:ext xmlns:c16="http://schemas.microsoft.com/office/drawing/2014/chart" uri="{C3380CC4-5D6E-409C-BE32-E72D297353CC}">
              <c16:uniqueId val="{00000000-ED70-AD49-9ADC-8B8BBF3B83C1}"/>
            </c:ext>
          </c:extLst>
        </c:ser>
        <c:ser>
          <c:idx val="1"/>
          <c:order val="1"/>
          <c:spPr>
            <a:solidFill>
              <a:srgbClr val="EF4444"/>
            </a:solidFill>
            <a:ln w="25400">
              <a:noFill/>
            </a:ln>
            <a:effectLst/>
          </c:spPr>
          <c:invertIfNegative val="0"/>
          <c:dLbls>
            <c:numFmt formatCode="&quot;-$&quot;#,##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EF4444"/>
                    </a:solidFill>
                    <a:latin typeface="Consolas"/>
                    <a:ea typeface="Consolas"/>
                    <a:cs typeface="Consola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 YTD Dashboard'!$BP$71:$BP$76</c:f>
              <c:strCache>
                <c:ptCount val="6"/>
                <c:pt idx="0">
                  <c:v>Target</c:v>
                </c:pt>
                <c:pt idx="1">
                  <c:v>Vol &amp; mix</c:v>
                </c:pt>
                <c:pt idx="2">
                  <c:v>Rate</c:v>
                </c:pt>
                <c:pt idx="3">
                  <c:v>Dir cost</c:v>
                </c:pt>
                <c:pt idx="4">
                  <c:v>Opex</c:v>
                </c:pt>
                <c:pt idx="5">
                  <c:v>Actual</c:v>
                </c:pt>
              </c:strCache>
            </c:strRef>
          </c:cat>
          <c:val>
            <c:numRef>
              <c:f>'Sample YTD Dashboard'!$BR$71:$BR$76</c:f>
              <c:numCache>
                <c:formatCode>;;;</c:formatCode>
                <c:ptCount val="6"/>
                <c:pt idx="0">
                  <c:v>0</c:v>
                </c:pt>
                <c:pt idx="1">
                  <c:v>887243</c:v>
                </c:pt>
                <c:pt idx="2">
                  <c:v>0</c:v>
                </c:pt>
                <c:pt idx="3">
                  <c:v>60849</c:v>
                </c:pt>
                <c:pt idx="4">
                  <c:v>0</c:v>
                </c:pt>
                <c:pt idx="5">
                  <c:v>0</c:v>
                </c:pt>
              </c:numCache>
            </c:numRef>
          </c:val>
          <c:extLst>
            <c:ext xmlns:c16="http://schemas.microsoft.com/office/drawing/2014/chart" uri="{C3380CC4-5D6E-409C-BE32-E72D297353CC}">
              <c16:uniqueId val="{00000001-ED70-AD49-9ADC-8B8BBF3B83C1}"/>
            </c:ext>
          </c:extLst>
        </c:ser>
        <c:ser>
          <c:idx val="2"/>
          <c:order val="2"/>
          <c:spPr>
            <a:solidFill>
              <a:srgbClr val="10B981"/>
            </a:solidFill>
            <a:ln w="25400">
              <a:noFill/>
            </a:ln>
            <a:effectLst/>
          </c:spPr>
          <c:invertIfNegative val="0"/>
          <c:cat>
            <c:strRef>
              <c:f>'Sample YTD Dashboard'!$BP$71:$BP$76</c:f>
              <c:strCache>
                <c:ptCount val="6"/>
                <c:pt idx="0">
                  <c:v>Target</c:v>
                </c:pt>
                <c:pt idx="1">
                  <c:v>Vol &amp; mix</c:v>
                </c:pt>
                <c:pt idx="2">
                  <c:v>Rate</c:v>
                </c:pt>
                <c:pt idx="3">
                  <c:v>Dir cost</c:v>
                </c:pt>
                <c:pt idx="4">
                  <c:v>Opex</c:v>
                </c:pt>
                <c:pt idx="5">
                  <c:v>Actual</c:v>
                </c:pt>
              </c:strCache>
            </c:strRef>
          </c:cat>
          <c:val>
            <c:numRef>
              <c:f>'Sample YTD Dashboard'!$BS$71:$BS$76</c:f>
              <c:numCache>
                <c:formatCode>;;;</c:formatCode>
                <c:ptCount val="6"/>
                <c:pt idx="0">
                  <c:v>0</c:v>
                </c:pt>
                <c:pt idx="1">
                  <c:v>0</c:v>
                </c:pt>
                <c:pt idx="2">
                  <c:v>0</c:v>
                </c:pt>
                <c:pt idx="3">
                  <c:v>0</c:v>
                </c:pt>
                <c:pt idx="4">
                  <c:v>755645</c:v>
                </c:pt>
                <c:pt idx="5">
                  <c:v>0</c:v>
                </c:pt>
              </c:numCache>
            </c:numRef>
          </c:val>
          <c:extLst>
            <c:ext xmlns:c16="http://schemas.microsoft.com/office/drawing/2014/chart" uri="{C3380CC4-5D6E-409C-BE32-E72D297353CC}">
              <c16:uniqueId val="{00000002-ED70-AD49-9ADC-8B8BBF3B83C1}"/>
            </c:ext>
          </c:extLst>
        </c:ser>
        <c:ser>
          <c:idx val="3"/>
          <c:order val="3"/>
          <c:spPr>
            <a:solidFill>
              <a:srgbClr val="1E50FF"/>
            </a:solidFill>
            <a:ln w="25400">
              <a:noFill/>
            </a:ln>
            <a:effectLst/>
          </c:spPr>
          <c:invertIfNegative val="0"/>
          <c:cat>
            <c:strRef>
              <c:f>'Sample YTD Dashboard'!$BP$71:$BP$76</c:f>
              <c:strCache>
                <c:ptCount val="6"/>
                <c:pt idx="0">
                  <c:v>Target</c:v>
                </c:pt>
                <c:pt idx="1">
                  <c:v>Vol &amp; mix</c:v>
                </c:pt>
                <c:pt idx="2">
                  <c:v>Rate</c:v>
                </c:pt>
                <c:pt idx="3">
                  <c:v>Dir cost</c:v>
                </c:pt>
                <c:pt idx="4">
                  <c:v>Opex</c:v>
                </c:pt>
                <c:pt idx="5">
                  <c:v>Actual</c:v>
                </c:pt>
              </c:strCache>
            </c:strRef>
          </c:cat>
          <c:val>
            <c:numRef>
              <c:f>'Sample YTD Dashboard'!$BT$71:$BT$76</c:f>
              <c:numCache>
                <c:formatCode>;;;</c:formatCode>
                <c:ptCount val="6"/>
                <c:pt idx="0">
                  <c:v>215540.6399999999</c:v>
                </c:pt>
                <c:pt idx="1">
                  <c:v>0</c:v>
                </c:pt>
                <c:pt idx="2">
                  <c:v>0</c:v>
                </c:pt>
                <c:pt idx="3">
                  <c:v>0</c:v>
                </c:pt>
                <c:pt idx="4">
                  <c:v>0</c:v>
                </c:pt>
                <c:pt idx="5">
                  <c:v>23093.639999999898</c:v>
                </c:pt>
              </c:numCache>
            </c:numRef>
          </c:val>
          <c:extLst>
            <c:ext xmlns:c16="http://schemas.microsoft.com/office/drawing/2014/chart" uri="{C3380CC4-5D6E-409C-BE32-E72D297353CC}">
              <c16:uniqueId val="{00000003-ED70-AD49-9ADC-8B8BBF3B83C1}"/>
            </c:ext>
          </c:extLst>
        </c:ser>
        <c:dLbls>
          <c:showLegendKey val="0"/>
          <c:showVal val="0"/>
          <c:showCatName val="0"/>
          <c:showSerName val="0"/>
          <c:showPercent val="0"/>
          <c:showBubbleSize val="0"/>
        </c:dLbls>
        <c:gapWidth val="60"/>
        <c:overlap val="100"/>
        <c:axId val="116616575"/>
        <c:axId val="116616127"/>
      </c:barChart>
      <c:catAx>
        <c:axId val="116616575"/>
        <c:scaling>
          <c:orientation val="minMax"/>
        </c:scaling>
        <c:delete val="0"/>
        <c:axPos val="b"/>
        <c:numFmt formatCode="General" sourceLinked="1"/>
        <c:majorTickMark val="none"/>
        <c:minorTickMark val="none"/>
        <c:tickLblPos val="nextTo"/>
        <c:spPr>
          <a:noFill/>
          <a:ln w="9525" cap="flat" cmpd="sng" algn="ctr">
            <a:solidFill>
              <a:srgbClr val="26282B"/>
            </a:solidFill>
            <a:prstDash val="solid"/>
            <a:round/>
          </a:ln>
          <a:effectLst/>
        </c:spPr>
        <c:txPr>
          <a:bodyPr rot="-60000000" spcFirstLastPara="1" vertOverflow="ellipsis" vert="horz" wrap="square" anchor="ctr" anchorCtr="1"/>
          <a:lstStyle/>
          <a:p>
            <a:pPr>
              <a:defRPr sz="800" b="0" i="0" u="none" strike="noStrike" kern="1200" baseline="0">
                <a:solidFill>
                  <a:srgbClr val="8896B3"/>
                </a:solidFill>
                <a:latin typeface="Consolas"/>
                <a:ea typeface="Consolas"/>
                <a:cs typeface="Consolas"/>
              </a:defRPr>
            </a:pPr>
            <a:endParaRPr lang="en-US"/>
          </a:p>
        </c:txPr>
        <c:crossAx val="116616127"/>
        <c:crosses val="autoZero"/>
        <c:auto val="1"/>
        <c:lblAlgn val="ctr"/>
        <c:lblOffset val="100"/>
        <c:noMultiLvlLbl val="0"/>
      </c:catAx>
      <c:valAx>
        <c:axId val="116616127"/>
        <c:scaling>
          <c:orientation val="minMax"/>
          <c:max val="230000"/>
          <c:min val="0"/>
        </c:scaling>
        <c:delete val="1"/>
        <c:axPos val="l"/>
        <c:numFmt formatCode=";;;" sourceLinked="1"/>
        <c:majorTickMark val="none"/>
        <c:minorTickMark val="none"/>
        <c:tickLblPos val="nextTo"/>
        <c:crossAx val="116616575"/>
        <c:crosses val="autoZero"/>
        <c:crossBetween val="between"/>
      </c:valAx>
      <c:spPr>
        <a:solidFill>
          <a:srgbClr val="0D0D0D"/>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0D0D0D"/>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2225" cap="rnd">
              <a:solidFill>
                <a:srgbClr val="3B6EF5"/>
              </a:solidFill>
              <a:prstDash val="solid"/>
              <a:round/>
            </a:ln>
            <a:effectLst/>
          </c:spPr>
          <c:marker>
            <c:symbol val="none"/>
          </c:marker>
          <c:val>
            <c:numRef>
              <c:f>'Sample Data'!$D$71:$O$71</c:f>
              <c:numCache>
                <c:formatCode>"$"#,##0;[Red]\("$"#,##0\);"–";@</c:formatCode>
                <c:ptCount val="12"/>
                <c:pt idx="0">
                  <c:v>505570</c:v>
                </c:pt>
                <c:pt idx="1">
                  <c:v>521439</c:v>
                </c:pt>
                <c:pt idx="2">
                  <c:v>537077</c:v>
                </c:pt>
                <c:pt idx="3">
                  <c:v>547606</c:v>
                </c:pt>
                <c:pt idx="4">
                  <c:v>558211</c:v>
                </c:pt>
                <c:pt idx="5">
                  <c:v>427891</c:v>
                </c:pt>
                <c:pt idx="6">
                  <c:v>552480</c:v>
                </c:pt>
                <c:pt idx="7">
                  <c:v>568118</c:v>
                </c:pt>
                <c:pt idx="8">
                  <c:v>615013</c:v>
                </c:pt>
                <c:pt idx="9">
                  <c:v>573617</c:v>
                </c:pt>
                <c:pt idx="10">
                  <c:v>589254</c:v>
                </c:pt>
                <c:pt idx="11">
                  <c:v>605266</c:v>
                </c:pt>
              </c:numCache>
            </c:numRef>
          </c:val>
          <c:smooth val="0"/>
          <c:extLst>
            <c:ext xmlns:c16="http://schemas.microsoft.com/office/drawing/2014/chart" uri="{C3380CC4-5D6E-409C-BE32-E72D297353CC}">
              <c16:uniqueId val="{00000000-440F-DB48-BD85-859B79A0CB9D}"/>
            </c:ext>
          </c:extLst>
        </c:ser>
        <c:dLbls>
          <c:showLegendKey val="0"/>
          <c:showVal val="0"/>
          <c:showCatName val="0"/>
          <c:showSerName val="0"/>
          <c:showPercent val="0"/>
          <c:showBubbleSize val="0"/>
        </c:dLbls>
        <c:smooth val="0"/>
        <c:axId val="121169087"/>
        <c:axId val="116419967"/>
      </c:lineChart>
      <c:catAx>
        <c:axId val="121169087"/>
        <c:scaling>
          <c:orientation val="minMax"/>
        </c:scaling>
        <c:delete val="1"/>
        <c:axPos val="b"/>
        <c:majorTickMark val="none"/>
        <c:minorTickMark val="none"/>
        <c:tickLblPos val="nextTo"/>
        <c:crossAx val="116419967"/>
        <c:crosses val="autoZero"/>
        <c:auto val="1"/>
        <c:lblAlgn val="ctr"/>
        <c:lblOffset val="100"/>
        <c:noMultiLvlLbl val="0"/>
      </c:catAx>
      <c:valAx>
        <c:axId val="116419967"/>
        <c:scaling>
          <c:orientation val="minMax"/>
        </c:scaling>
        <c:delete val="1"/>
        <c:axPos val="l"/>
        <c:numFmt formatCode="&quot;$&quot;#,##0;[Red]\(&quot;$&quot;#,##0\);&quot;–&quot;;@" sourceLinked="1"/>
        <c:majorTickMark val="none"/>
        <c:minorTickMark val="none"/>
        <c:tickLblPos val="nextTo"/>
        <c:crossAx val="121169087"/>
        <c:crosses val="autoZero"/>
        <c:crossBetween val="between"/>
      </c:valAx>
      <c:spPr>
        <a:solidFill>
          <a:srgbClr val="141416"/>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141416"/>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2225" cap="rnd">
              <a:solidFill>
                <a:srgbClr val="8896B3"/>
              </a:solidFill>
              <a:prstDash val="solid"/>
              <a:round/>
            </a:ln>
            <a:effectLst/>
          </c:spPr>
          <c:marker>
            <c:symbol val="none"/>
          </c:marker>
          <c:val>
            <c:numRef>
              <c:f>'Sample Data'!$D$138:$O$138</c:f>
              <c:numCache>
                <c:formatCode>"$"#,##0;[Red]\("$"#,##0\);"–";@</c:formatCode>
                <c:ptCount val="12"/>
                <c:pt idx="0">
                  <c:v>631962</c:v>
                </c:pt>
                <c:pt idx="1">
                  <c:v>651799</c:v>
                </c:pt>
                <c:pt idx="2">
                  <c:v>671346</c:v>
                </c:pt>
                <c:pt idx="3">
                  <c:v>684508</c:v>
                </c:pt>
                <c:pt idx="4">
                  <c:v>697764</c:v>
                </c:pt>
                <c:pt idx="5">
                  <c:v>534864</c:v>
                </c:pt>
                <c:pt idx="6">
                  <c:v>690600</c:v>
                </c:pt>
                <c:pt idx="7">
                  <c:v>710148</c:v>
                </c:pt>
                <c:pt idx="8">
                  <c:v>768766</c:v>
                </c:pt>
                <c:pt idx="9">
                  <c:v>717021</c:v>
                </c:pt>
                <c:pt idx="10">
                  <c:v>736568</c:v>
                </c:pt>
                <c:pt idx="11">
                  <c:v>756582</c:v>
                </c:pt>
              </c:numCache>
            </c:numRef>
          </c:val>
          <c:smooth val="0"/>
          <c:extLst>
            <c:ext xmlns:c16="http://schemas.microsoft.com/office/drawing/2014/chart" uri="{C3380CC4-5D6E-409C-BE32-E72D297353CC}">
              <c16:uniqueId val="{00000000-E71B-F34C-98C2-06FCD5C3A038}"/>
            </c:ext>
          </c:extLst>
        </c:ser>
        <c:dLbls>
          <c:showLegendKey val="0"/>
          <c:showVal val="0"/>
          <c:showCatName val="0"/>
          <c:showSerName val="0"/>
          <c:showPercent val="0"/>
          <c:showBubbleSize val="0"/>
        </c:dLbls>
        <c:smooth val="0"/>
        <c:axId val="109498751"/>
        <c:axId val="109500095"/>
      </c:lineChart>
      <c:catAx>
        <c:axId val="109498751"/>
        <c:scaling>
          <c:orientation val="minMax"/>
        </c:scaling>
        <c:delete val="1"/>
        <c:axPos val="b"/>
        <c:majorTickMark val="none"/>
        <c:minorTickMark val="none"/>
        <c:tickLblPos val="nextTo"/>
        <c:crossAx val="109500095"/>
        <c:crosses val="autoZero"/>
        <c:auto val="1"/>
        <c:lblAlgn val="ctr"/>
        <c:lblOffset val="100"/>
        <c:noMultiLvlLbl val="0"/>
      </c:catAx>
      <c:valAx>
        <c:axId val="109500095"/>
        <c:scaling>
          <c:orientation val="minMax"/>
        </c:scaling>
        <c:delete val="1"/>
        <c:axPos val="l"/>
        <c:numFmt formatCode="&quot;$&quot;#,##0;[Red]\(&quot;$&quot;#,##0\);&quot;–&quot;;@" sourceLinked="1"/>
        <c:majorTickMark val="none"/>
        <c:minorTickMark val="none"/>
        <c:tickLblPos val="nextTo"/>
        <c:crossAx val="109498751"/>
        <c:crosses val="autoZero"/>
        <c:crossBetween val="between"/>
      </c:valAx>
      <c:spPr>
        <a:solidFill>
          <a:srgbClr val="141416"/>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141416"/>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infraxus.com" TargetMode="External"/></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0.xml"/><Relationship Id="rId7" Type="http://schemas.openxmlformats.org/officeDocument/2006/relationships/chart" Target="../charts/chart14.xml"/><Relationship Id="rId2" Type="http://schemas.openxmlformats.org/officeDocument/2006/relationships/chart" Target="../charts/chart9.xml"/><Relationship Id="rId1" Type="http://schemas.openxmlformats.org/officeDocument/2006/relationships/chart" Target="../charts/chart8.xml"/><Relationship Id="rId6" Type="http://schemas.openxmlformats.org/officeDocument/2006/relationships/chart" Target="../charts/chart13.xml"/><Relationship Id="rId5" Type="http://schemas.openxmlformats.org/officeDocument/2006/relationships/chart" Target="../charts/chart12.xml"/><Relationship Id="rId4" Type="http://schemas.openxmlformats.org/officeDocument/2006/relationships/chart" Target="../charts/chart11.xm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infraxus.com" TargetMode="External"/></Relationships>
</file>

<file path=xl/drawings/_rels/drawing6.xml.rels><?xml version="1.0" encoding="UTF-8" standalone="yes"?>
<Relationships xmlns="http://schemas.openxmlformats.org/package/2006/relationships"><Relationship Id="rId3" Type="http://schemas.openxmlformats.org/officeDocument/2006/relationships/chart" Target="../charts/chart17.xml"/><Relationship Id="rId7" Type="http://schemas.openxmlformats.org/officeDocument/2006/relationships/chart" Target="../charts/chart21.xml"/><Relationship Id="rId2" Type="http://schemas.openxmlformats.org/officeDocument/2006/relationships/chart" Target="../charts/chart16.xml"/><Relationship Id="rId1" Type="http://schemas.openxmlformats.org/officeDocument/2006/relationships/chart" Target="../charts/chart15.xml"/><Relationship Id="rId6" Type="http://schemas.openxmlformats.org/officeDocument/2006/relationships/chart" Target="../charts/chart20.xml"/><Relationship Id="rId5" Type="http://schemas.openxmlformats.org/officeDocument/2006/relationships/chart" Target="../charts/chart19.xml"/><Relationship Id="rId4" Type="http://schemas.openxmlformats.org/officeDocument/2006/relationships/chart" Target="../charts/chart18.xml"/></Relationships>
</file>

<file path=xl/drawings/_rels/drawing7.xml.rels><?xml version="1.0" encoding="UTF-8" standalone="yes"?>
<Relationships xmlns="http://schemas.openxmlformats.org/package/2006/relationships"><Relationship Id="rId3" Type="http://schemas.openxmlformats.org/officeDocument/2006/relationships/chart" Target="../charts/chart24.xml"/><Relationship Id="rId7" Type="http://schemas.openxmlformats.org/officeDocument/2006/relationships/chart" Target="../charts/chart28.xml"/><Relationship Id="rId2" Type="http://schemas.openxmlformats.org/officeDocument/2006/relationships/chart" Target="../charts/chart23.xml"/><Relationship Id="rId1" Type="http://schemas.openxmlformats.org/officeDocument/2006/relationships/chart" Target="../charts/chart22.xml"/><Relationship Id="rId6" Type="http://schemas.openxmlformats.org/officeDocument/2006/relationships/chart" Target="../charts/chart27.xml"/><Relationship Id="rId5" Type="http://schemas.openxmlformats.org/officeDocument/2006/relationships/chart" Target="../charts/chart26.xml"/><Relationship Id="rId4" Type="http://schemas.openxmlformats.org/officeDocument/2006/relationships/chart" Target="../charts/chart25.xm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571625" cy="390525"/>
    <xdr:pic>
      <xdr:nvPicPr>
        <xdr:cNvPr id="2" name="Image 1" descr="Picture">
          <a:hlinkClick xmlns:r="http://schemas.openxmlformats.org/officeDocument/2006/relationships" r:id=""/>
          <a:extLst>
            <a:ext uri="{FF2B5EF4-FFF2-40B4-BE49-F238E27FC236}">
              <a16:creationId xmlns:a16="http://schemas.microsoft.com/office/drawing/2014/main" id="{50E6DC1B-9CD8-C443-8096-24846969FC39}"/>
            </a:ext>
          </a:extLst>
        </xdr:cNvPr>
        <xdr:cNvPicPr/>
      </xdr:nvPicPr>
      <xdr:blipFill>
        <a:blip xmlns:r="http://schemas.openxmlformats.org/officeDocument/2006/relationships" r:embed="rId1" cstate="print"/>
        <a:stretch>
          <a:fillRect/>
        </a:stretch>
      </xdr:blipFill>
      <xdr:spPr>
        <a:xfrm>
          <a:off x="152400" y="101600"/>
          <a:ext cx="1571625" cy="390525"/>
        </a:xfrm>
        <a:prstGeom prst="rect">
          <a:avLst/>
        </a:prstGeom>
        <a:ln>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571625" cy="390525"/>
    <xdr:pic>
      <xdr:nvPicPr>
        <xdr:cNvPr id="2" name="Image 1" descr="Picture">
          <a:hlinkClick xmlns:r="http://schemas.openxmlformats.org/officeDocument/2006/relationships" r:id="rId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wsDr>
</file>

<file path=xl/drawings/drawing3.xml><?xml version="1.0" encoding="utf-8"?>
<xdr:wsDr xmlns:xdr="http://schemas.openxmlformats.org/drawingml/2006/spreadsheetDrawing" xmlns:a="http://schemas.openxmlformats.org/drawingml/2006/main">
  <xdr:twoCellAnchor>
    <xdr:from>
      <xdr:col>13</xdr:col>
      <xdr:colOff>0</xdr:colOff>
      <xdr:row>10</xdr:row>
      <xdr:rowOff>0</xdr:rowOff>
    </xdr:from>
    <xdr:to>
      <xdr:col>23</xdr:col>
      <xdr:colOff>0</xdr:colOff>
      <xdr:row>12</xdr:row>
      <xdr:rowOff>0</xdr:rowOff>
    </xdr:to>
    <xdr:graphicFrame macro="">
      <xdr:nvGraphicFramePr>
        <xdr:cNvPr id="2" name="spark_gm">
          <a:extLst>
            <a:ext uri="{FF2B5EF4-FFF2-40B4-BE49-F238E27FC236}">
              <a16:creationId xmlns:a16="http://schemas.microsoft.com/office/drawing/2014/main" id="{8FA7C6C6-1458-984D-8D74-0E33D2986D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24</xdr:col>
      <xdr:colOff>0</xdr:colOff>
      <xdr:row>10</xdr:row>
      <xdr:rowOff>0</xdr:rowOff>
    </xdr:from>
    <xdr:to>
      <xdr:col>34</xdr:col>
      <xdr:colOff>0</xdr:colOff>
      <xdr:row>12</xdr:row>
      <xdr:rowOff>0</xdr:rowOff>
    </xdr:to>
    <xdr:graphicFrame macro="">
      <xdr:nvGraphicFramePr>
        <xdr:cNvPr id="3" name="spark_eb">
          <a:extLst>
            <a:ext uri="{FF2B5EF4-FFF2-40B4-BE49-F238E27FC236}">
              <a16:creationId xmlns:a16="http://schemas.microsoft.com/office/drawing/2014/main" id="{16A3664E-4FA1-5546-954C-D9F390E7B1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35</xdr:col>
      <xdr:colOff>0</xdr:colOff>
      <xdr:row>10</xdr:row>
      <xdr:rowOff>0</xdr:rowOff>
    </xdr:from>
    <xdr:to>
      <xdr:col>45</xdr:col>
      <xdr:colOff>0</xdr:colOff>
      <xdr:row>12</xdr:row>
      <xdr:rowOff>0</xdr:rowOff>
    </xdr:to>
    <xdr:graphicFrame macro="">
      <xdr:nvGraphicFramePr>
        <xdr:cNvPr id="4" name="spark_np">
          <a:extLst>
            <a:ext uri="{FF2B5EF4-FFF2-40B4-BE49-F238E27FC236}">
              <a16:creationId xmlns:a16="http://schemas.microsoft.com/office/drawing/2014/main" id="{FA4ACAE5-0095-D741-A4AA-B7821697B0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46</xdr:col>
      <xdr:colOff>0</xdr:colOff>
      <xdr:row>10</xdr:row>
      <xdr:rowOff>0</xdr:rowOff>
    </xdr:from>
    <xdr:to>
      <xdr:col>56</xdr:col>
      <xdr:colOff>0</xdr:colOff>
      <xdr:row>12</xdr:row>
      <xdr:rowOff>0</xdr:rowOff>
    </xdr:to>
    <xdr:graphicFrame macro="">
      <xdr:nvGraphicFramePr>
        <xdr:cNvPr id="5" name="spark_cash">
          <a:extLst>
            <a:ext uri="{FF2B5EF4-FFF2-40B4-BE49-F238E27FC236}">
              <a16:creationId xmlns:a16="http://schemas.microsoft.com/office/drawing/2014/main" id="{DB97BD08-263C-FA46-B839-9A8E46C2E0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20</xdr:col>
      <xdr:colOff>0</xdr:colOff>
      <xdr:row>33</xdr:row>
      <xdr:rowOff>0</xdr:rowOff>
    </xdr:to>
    <xdr:graphicFrame macro="">
      <xdr:nvGraphicFramePr>
        <xdr:cNvPr id="6" name="BRIDGE">
          <a:extLst>
            <a:ext uri="{FF2B5EF4-FFF2-40B4-BE49-F238E27FC236}">
              <a16:creationId xmlns:a16="http://schemas.microsoft.com/office/drawing/2014/main" id="{64BB82FF-9D94-5849-AE14-8AD105DB71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0</xdr:colOff>
      <xdr:row>10</xdr:row>
      <xdr:rowOff>0</xdr:rowOff>
    </xdr:from>
    <xdr:to>
      <xdr:col>12</xdr:col>
      <xdr:colOff>0</xdr:colOff>
      <xdr:row>12</xdr:row>
      <xdr:rowOff>0</xdr:rowOff>
    </xdr:to>
    <xdr:graphicFrame macro="">
      <xdr:nvGraphicFramePr>
        <xdr:cNvPr id="7" name="spark_rev">
          <a:extLst>
            <a:ext uri="{FF2B5EF4-FFF2-40B4-BE49-F238E27FC236}">
              <a16:creationId xmlns:a16="http://schemas.microsoft.com/office/drawing/2014/main" id="{D9A3579E-15C0-F549-8719-80C0C87DF3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57</xdr:col>
      <xdr:colOff>0</xdr:colOff>
      <xdr:row>10</xdr:row>
      <xdr:rowOff>0</xdr:rowOff>
    </xdr:from>
    <xdr:to>
      <xdr:col>64</xdr:col>
      <xdr:colOff>0</xdr:colOff>
      <xdr:row>12</xdr:row>
      <xdr:rowOff>0</xdr:rowOff>
    </xdr:to>
    <xdr:graphicFrame macro="">
      <xdr:nvGraphicFramePr>
        <xdr:cNvPr id="8" name="spark_dso">
          <a:extLst>
            <a:ext uri="{FF2B5EF4-FFF2-40B4-BE49-F238E27FC236}">
              <a16:creationId xmlns:a16="http://schemas.microsoft.com/office/drawing/2014/main" id="{2954EED7-D05F-AA47-8829-A8CFD3D97C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13</xdr:col>
      <xdr:colOff>0</xdr:colOff>
      <xdr:row>10</xdr:row>
      <xdr:rowOff>0</xdr:rowOff>
    </xdr:from>
    <xdr:to>
      <xdr:col>23</xdr:col>
      <xdr:colOff>0</xdr:colOff>
      <xdr:row>12</xdr:row>
      <xdr:rowOff>0</xdr:rowOff>
    </xdr:to>
    <xdr:graphicFrame macro="">
      <xdr:nvGraphicFramePr>
        <xdr:cNvPr id="2" name="spark_gm">
          <a:extLst>
            <a:ext uri="{FF2B5EF4-FFF2-40B4-BE49-F238E27FC236}">
              <a16:creationId xmlns:a16="http://schemas.microsoft.com/office/drawing/2014/main" id="{BA2903EF-93E1-224A-A1DD-7784723D2D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24</xdr:col>
      <xdr:colOff>0</xdr:colOff>
      <xdr:row>10</xdr:row>
      <xdr:rowOff>0</xdr:rowOff>
    </xdr:from>
    <xdr:to>
      <xdr:col>34</xdr:col>
      <xdr:colOff>0</xdr:colOff>
      <xdr:row>12</xdr:row>
      <xdr:rowOff>0</xdr:rowOff>
    </xdr:to>
    <xdr:graphicFrame macro="">
      <xdr:nvGraphicFramePr>
        <xdr:cNvPr id="3" name="spark_eb">
          <a:extLst>
            <a:ext uri="{FF2B5EF4-FFF2-40B4-BE49-F238E27FC236}">
              <a16:creationId xmlns:a16="http://schemas.microsoft.com/office/drawing/2014/main" id="{8C0472BA-DD40-9C44-B830-259167C3EB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35</xdr:col>
      <xdr:colOff>0</xdr:colOff>
      <xdr:row>10</xdr:row>
      <xdr:rowOff>0</xdr:rowOff>
    </xdr:from>
    <xdr:to>
      <xdr:col>45</xdr:col>
      <xdr:colOff>0</xdr:colOff>
      <xdr:row>12</xdr:row>
      <xdr:rowOff>0</xdr:rowOff>
    </xdr:to>
    <xdr:graphicFrame macro="">
      <xdr:nvGraphicFramePr>
        <xdr:cNvPr id="4" name="spark_np">
          <a:extLst>
            <a:ext uri="{FF2B5EF4-FFF2-40B4-BE49-F238E27FC236}">
              <a16:creationId xmlns:a16="http://schemas.microsoft.com/office/drawing/2014/main" id="{5E62CAD6-59D4-9A40-B9CB-24C4679BC8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46</xdr:col>
      <xdr:colOff>0</xdr:colOff>
      <xdr:row>10</xdr:row>
      <xdr:rowOff>0</xdr:rowOff>
    </xdr:from>
    <xdr:to>
      <xdr:col>56</xdr:col>
      <xdr:colOff>0</xdr:colOff>
      <xdr:row>12</xdr:row>
      <xdr:rowOff>0</xdr:rowOff>
    </xdr:to>
    <xdr:graphicFrame macro="">
      <xdr:nvGraphicFramePr>
        <xdr:cNvPr id="5" name="spark_cash">
          <a:extLst>
            <a:ext uri="{FF2B5EF4-FFF2-40B4-BE49-F238E27FC236}">
              <a16:creationId xmlns:a16="http://schemas.microsoft.com/office/drawing/2014/main" id="{9B37F031-9973-D748-BA6C-F7623B5723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20</xdr:col>
      <xdr:colOff>0</xdr:colOff>
      <xdr:row>33</xdr:row>
      <xdr:rowOff>0</xdr:rowOff>
    </xdr:to>
    <xdr:graphicFrame macro="">
      <xdr:nvGraphicFramePr>
        <xdr:cNvPr id="6" name="BRIDGE">
          <a:extLst>
            <a:ext uri="{FF2B5EF4-FFF2-40B4-BE49-F238E27FC236}">
              <a16:creationId xmlns:a16="http://schemas.microsoft.com/office/drawing/2014/main" id="{31E01491-61EA-FB46-A93F-13D1057750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0</xdr:colOff>
      <xdr:row>10</xdr:row>
      <xdr:rowOff>0</xdr:rowOff>
    </xdr:from>
    <xdr:to>
      <xdr:col>12</xdr:col>
      <xdr:colOff>0</xdr:colOff>
      <xdr:row>12</xdr:row>
      <xdr:rowOff>0</xdr:rowOff>
    </xdr:to>
    <xdr:graphicFrame macro="">
      <xdr:nvGraphicFramePr>
        <xdr:cNvPr id="7" name="spark_rev">
          <a:extLst>
            <a:ext uri="{FF2B5EF4-FFF2-40B4-BE49-F238E27FC236}">
              <a16:creationId xmlns:a16="http://schemas.microsoft.com/office/drawing/2014/main" id="{8BC4DAA6-863D-4144-B729-E26AE8EA91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57</xdr:col>
      <xdr:colOff>0</xdr:colOff>
      <xdr:row>10</xdr:row>
      <xdr:rowOff>0</xdr:rowOff>
    </xdr:from>
    <xdr:to>
      <xdr:col>64</xdr:col>
      <xdr:colOff>0</xdr:colOff>
      <xdr:row>12</xdr:row>
      <xdr:rowOff>0</xdr:rowOff>
    </xdr:to>
    <xdr:graphicFrame macro="">
      <xdr:nvGraphicFramePr>
        <xdr:cNvPr id="8" name="spark_dso">
          <a:extLst>
            <a:ext uri="{FF2B5EF4-FFF2-40B4-BE49-F238E27FC236}">
              <a16:creationId xmlns:a16="http://schemas.microsoft.com/office/drawing/2014/main" id="{CD3B9106-F288-1E44-88B6-E080621687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1571625" cy="390525"/>
    <xdr:pic>
      <xdr:nvPicPr>
        <xdr:cNvPr id="2" name="Image 1" descr="Picture">
          <a:hlinkClick xmlns:r="http://schemas.openxmlformats.org/officeDocument/2006/relationships" r:id="rId1"/>
          <a:extLst>
            <a:ext uri="{FF2B5EF4-FFF2-40B4-BE49-F238E27FC236}">
              <a16:creationId xmlns:a16="http://schemas.microsoft.com/office/drawing/2014/main" id="{B31EDBFE-DE75-B246-9A1C-3EAEAE88E557}"/>
            </a:ext>
          </a:extLst>
        </xdr:cNvPr>
        <xdr:cNvPicPr/>
      </xdr:nvPicPr>
      <xdr:blipFill>
        <a:blip xmlns:r="http://schemas.openxmlformats.org/officeDocument/2006/relationships" r:embed="rId2" cstate="print"/>
        <a:stretch>
          <a:fillRect/>
        </a:stretch>
      </xdr:blipFill>
      <xdr:spPr>
        <a:xfrm>
          <a:off x="152400" y="190500"/>
          <a:ext cx="1571625" cy="390525"/>
        </a:xfrm>
        <a:prstGeom prst="rect">
          <a:avLst/>
        </a:prstGeom>
        <a:ln>
          <a:prstDash val="solid"/>
        </a:ln>
      </xdr:spPr>
    </xdr:pic>
    <xdr:clientData/>
  </xdr:oneCellAnchor>
</xdr:wsDr>
</file>

<file path=xl/drawings/drawing6.xml><?xml version="1.0" encoding="utf-8"?>
<xdr:wsDr xmlns:xdr="http://schemas.openxmlformats.org/drawingml/2006/spreadsheetDrawing" xmlns:a="http://schemas.openxmlformats.org/drawingml/2006/main">
  <xdr:twoCellAnchor>
    <xdr:from>
      <xdr:col>13</xdr:col>
      <xdr:colOff>0</xdr:colOff>
      <xdr:row>10</xdr:row>
      <xdr:rowOff>0</xdr:rowOff>
    </xdr:from>
    <xdr:to>
      <xdr:col>23</xdr:col>
      <xdr:colOff>0</xdr:colOff>
      <xdr:row>12</xdr:row>
      <xdr:rowOff>0</xdr:rowOff>
    </xdr:to>
    <xdr:graphicFrame macro="">
      <xdr:nvGraphicFramePr>
        <xdr:cNvPr id="4" name="spark_gm">
          <a:extLst>
            <a:ext uri="{FF2B5EF4-FFF2-40B4-BE49-F238E27FC236}">
              <a16:creationId xmlns:a16="http://schemas.microsoft.com/office/drawing/2014/main" id="{12EB8981-DA2D-E7D6-D2F1-A5E00DDE288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24</xdr:col>
      <xdr:colOff>0</xdr:colOff>
      <xdr:row>10</xdr:row>
      <xdr:rowOff>0</xdr:rowOff>
    </xdr:from>
    <xdr:to>
      <xdr:col>34</xdr:col>
      <xdr:colOff>0</xdr:colOff>
      <xdr:row>12</xdr:row>
      <xdr:rowOff>0</xdr:rowOff>
    </xdr:to>
    <xdr:graphicFrame macro="">
      <xdr:nvGraphicFramePr>
        <xdr:cNvPr id="5" name="spark_eb">
          <a:extLst>
            <a:ext uri="{FF2B5EF4-FFF2-40B4-BE49-F238E27FC236}">
              <a16:creationId xmlns:a16="http://schemas.microsoft.com/office/drawing/2014/main" id="{B43426A5-8B69-CE22-50CA-51682056B9B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35</xdr:col>
      <xdr:colOff>0</xdr:colOff>
      <xdr:row>10</xdr:row>
      <xdr:rowOff>0</xdr:rowOff>
    </xdr:from>
    <xdr:to>
      <xdr:col>45</xdr:col>
      <xdr:colOff>0</xdr:colOff>
      <xdr:row>12</xdr:row>
      <xdr:rowOff>0</xdr:rowOff>
    </xdr:to>
    <xdr:graphicFrame macro="">
      <xdr:nvGraphicFramePr>
        <xdr:cNvPr id="6" name="spark_np">
          <a:extLst>
            <a:ext uri="{FF2B5EF4-FFF2-40B4-BE49-F238E27FC236}">
              <a16:creationId xmlns:a16="http://schemas.microsoft.com/office/drawing/2014/main" id="{DDF6AEC7-FB41-9CFA-D424-4CBB7DD803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46</xdr:col>
      <xdr:colOff>0</xdr:colOff>
      <xdr:row>10</xdr:row>
      <xdr:rowOff>0</xdr:rowOff>
    </xdr:from>
    <xdr:to>
      <xdr:col>56</xdr:col>
      <xdr:colOff>0</xdr:colOff>
      <xdr:row>12</xdr:row>
      <xdr:rowOff>0</xdr:rowOff>
    </xdr:to>
    <xdr:graphicFrame macro="">
      <xdr:nvGraphicFramePr>
        <xdr:cNvPr id="7" name="spark_cash">
          <a:extLst>
            <a:ext uri="{FF2B5EF4-FFF2-40B4-BE49-F238E27FC236}">
              <a16:creationId xmlns:a16="http://schemas.microsoft.com/office/drawing/2014/main" id="{863CAC73-9987-0CE6-156F-C49A2D0C8E5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20</xdr:col>
      <xdr:colOff>0</xdr:colOff>
      <xdr:row>33</xdr:row>
      <xdr:rowOff>0</xdr:rowOff>
    </xdr:to>
    <xdr:graphicFrame macro="">
      <xdr:nvGraphicFramePr>
        <xdr:cNvPr id="11" name="BRIDGE">
          <a:extLst>
            <a:ext uri="{FF2B5EF4-FFF2-40B4-BE49-F238E27FC236}">
              <a16:creationId xmlns:a16="http://schemas.microsoft.com/office/drawing/2014/main" id="{44DB2077-1CEA-2B41-1725-0822989B070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0</xdr:colOff>
      <xdr:row>10</xdr:row>
      <xdr:rowOff>0</xdr:rowOff>
    </xdr:from>
    <xdr:to>
      <xdr:col>12</xdr:col>
      <xdr:colOff>0</xdr:colOff>
      <xdr:row>12</xdr:row>
      <xdr:rowOff>0</xdr:rowOff>
    </xdr:to>
    <xdr:graphicFrame macro="">
      <xdr:nvGraphicFramePr>
        <xdr:cNvPr id="14" name="spark_rev">
          <a:extLst>
            <a:ext uri="{FF2B5EF4-FFF2-40B4-BE49-F238E27FC236}">
              <a16:creationId xmlns:a16="http://schemas.microsoft.com/office/drawing/2014/main" id="{2846771F-F047-D70C-501D-DD79FB32AC1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57</xdr:col>
      <xdr:colOff>0</xdr:colOff>
      <xdr:row>10</xdr:row>
      <xdr:rowOff>0</xdr:rowOff>
    </xdr:from>
    <xdr:to>
      <xdr:col>64</xdr:col>
      <xdr:colOff>0</xdr:colOff>
      <xdr:row>12</xdr:row>
      <xdr:rowOff>0</xdr:rowOff>
    </xdr:to>
    <xdr:graphicFrame macro="">
      <xdr:nvGraphicFramePr>
        <xdr:cNvPr id="15" name="spark_dso">
          <a:extLst>
            <a:ext uri="{FF2B5EF4-FFF2-40B4-BE49-F238E27FC236}">
              <a16:creationId xmlns:a16="http://schemas.microsoft.com/office/drawing/2014/main" id="{885AF696-7678-B46B-70D0-C3A6FE6669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13</xdr:col>
      <xdr:colOff>0</xdr:colOff>
      <xdr:row>10</xdr:row>
      <xdr:rowOff>0</xdr:rowOff>
    </xdr:from>
    <xdr:to>
      <xdr:col>23</xdr:col>
      <xdr:colOff>0</xdr:colOff>
      <xdr:row>12</xdr:row>
      <xdr:rowOff>0</xdr:rowOff>
    </xdr:to>
    <xdr:graphicFrame macro="">
      <xdr:nvGraphicFramePr>
        <xdr:cNvPr id="2" name="spark_gm">
          <a:extLst>
            <a:ext uri="{FF2B5EF4-FFF2-40B4-BE49-F238E27FC236}">
              <a16:creationId xmlns:a16="http://schemas.microsoft.com/office/drawing/2014/main" id="{E4B7DAF2-A354-4C4E-9924-548D701213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24</xdr:col>
      <xdr:colOff>0</xdr:colOff>
      <xdr:row>10</xdr:row>
      <xdr:rowOff>0</xdr:rowOff>
    </xdr:from>
    <xdr:to>
      <xdr:col>34</xdr:col>
      <xdr:colOff>0</xdr:colOff>
      <xdr:row>12</xdr:row>
      <xdr:rowOff>0</xdr:rowOff>
    </xdr:to>
    <xdr:graphicFrame macro="">
      <xdr:nvGraphicFramePr>
        <xdr:cNvPr id="3" name="spark_eb">
          <a:extLst>
            <a:ext uri="{FF2B5EF4-FFF2-40B4-BE49-F238E27FC236}">
              <a16:creationId xmlns:a16="http://schemas.microsoft.com/office/drawing/2014/main" id="{F069C994-B4C9-1B45-8A98-DFFBAEA4E4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35</xdr:col>
      <xdr:colOff>0</xdr:colOff>
      <xdr:row>10</xdr:row>
      <xdr:rowOff>0</xdr:rowOff>
    </xdr:from>
    <xdr:to>
      <xdr:col>45</xdr:col>
      <xdr:colOff>0</xdr:colOff>
      <xdr:row>12</xdr:row>
      <xdr:rowOff>0</xdr:rowOff>
    </xdr:to>
    <xdr:graphicFrame macro="">
      <xdr:nvGraphicFramePr>
        <xdr:cNvPr id="4" name="spark_np">
          <a:extLst>
            <a:ext uri="{FF2B5EF4-FFF2-40B4-BE49-F238E27FC236}">
              <a16:creationId xmlns:a16="http://schemas.microsoft.com/office/drawing/2014/main" id="{D6B0321E-5F22-6849-AC69-04D199F287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46</xdr:col>
      <xdr:colOff>0</xdr:colOff>
      <xdr:row>10</xdr:row>
      <xdr:rowOff>0</xdr:rowOff>
    </xdr:from>
    <xdr:to>
      <xdr:col>56</xdr:col>
      <xdr:colOff>0</xdr:colOff>
      <xdr:row>12</xdr:row>
      <xdr:rowOff>0</xdr:rowOff>
    </xdr:to>
    <xdr:graphicFrame macro="">
      <xdr:nvGraphicFramePr>
        <xdr:cNvPr id="5" name="spark_cash">
          <a:extLst>
            <a:ext uri="{FF2B5EF4-FFF2-40B4-BE49-F238E27FC236}">
              <a16:creationId xmlns:a16="http://schemas.microsoft.com/office/drawing/2014/main" id="{1F49FC4D-6481-424D-9D68-455059FC0E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20</xdr:col>
      <xdr:colOff>0</xdr:colOff>
      <xdr:row>33</xdr:row>
      <xdr:rowOff>0</xdr:rowOff>
    </xdr:to>
    <xdr:graphicFrame macro="">
      <xdr:nvGraphicFramePr>
        <xdr:cNvPr id="6" name="BRIDGE">
          <a:extLst>
            <a:ext uri="{FF2B5EF4-FFF2-40B4-BE49-F238E27FC236}">
              <a16:creationId xmlns:a16="http://schemas.microsoft.com/office/drawing/2014/main" id="{8686AAA4-F6AD-7F4F-A795-EB8DF43ADA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0</xdr:colOff>
      <xdr:row>10</xdr:row>
      <xdr:rowOff>0</xdr:rowOff>
    </xdr:from>
    <xdr:to>
      <xdr:col>12</xdr:col>
      <xdr:colOff>0</xdr:colOff>
      <xdr:row>12</xdr:row>
      <xdr:rowOff>0</xdr:rowOff>
    </xdr:to>
    <xdr:graphicFrame macro="">
      <xdr:nvGraphicFramePr>
        <xdr:cNvPr id="7" name="spark_rev">
          <a:extLst>
            <a:ext uri="{FF2B5EF4-FFF2-40B4-BE49-F238E27FC236}">
              <a16:creationId xmlns:a16="http://schemas.microsoft.com/office/drawing/2014/main" id="{DDFAD30E-47BE-8E4D-B668-889A6F14CA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57</xdr:col>
      <xdr:colOff>0</xdr:colOff>
      <xdr:row>10</xdr:row>
      <xdr:rowOff>0</xdr:rowOff>
    </xdr:from>
    <xdr:to>
      <xdr:col>64</xdr:col>
      <xdr:colOff>0</xdr:colOff>
      <xdr:row>12</xdr:row>
      <xdr:rowOff>0</xdr:rowOff>
    </xdr:to>
    <xdr:graphicFrame macro="">
      <xdr:nvGraphicFramePr>
        <xdr:cNvPr id="8" name="spark_dso">
          <a:extLst>
            <a:ext uri="{FF2B5EF4-FFF2-40B4-BE49-F238E27FC236}">
              <a16:creationId xmlns:a16="http://schemas.microsoft.com/office/drawing/2014/main" id="{8DF02691-0FA3-3848-B4A8-6CB857110A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8C86B115-25FF-8D46-B17F-0E76A4AF4A4F}">
  <we:reference id="wa200009404" version="1.0.0.8" store="en-US" storeType="OMEX"/>
  <we:alternateReferences>
    <we:reference id="WA200009404" version="1.0.0.8" store="" storeType="OMEX"/>
  </we:alternateReferences>
  <we:properties>
    <we:property name="claude.fileId" value="&quot;6442027e-5f44-413d-9570-9a8fe77706b7&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infraxus.com/book"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infraxus.com/book"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infraxus.com/book"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infraxus.com/boo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81314-CDE9-5142-B6A9-AA6C8EE2C76E}">
  <sheetPr>
    <pageSetUpPr fitToPage="1"/>
  </sheetPr>
  <dimension ref="A1:K82"/>
  <sheetViews>
    <sheetView showGridLines="0" tabSelected="1" zoomScale="140" zoomScaleNormal="140" workbookViewId="0">
      <pane xSplit="1" ySplit="4" topLeftCell="B5" activePane="bottomRight" state="frozen"/>
      <selection pane="topRight"/>
      <selection pane="bottomLeft"/>
      <selection pane="bottomRight" activeCell="N3" sqref="N3"/>
    </sheetView>
  </sheetViews>
  <sheetFormatPr baseColWidth="10" defaultColWidth="8.83203125" defaultRowHeight="15" x14ac:dyDescent="0.2"/>
  <cols>
    <col min="1" max="1" width="2" style="16" customWidth="1"/>
    <col min="2" max="2" width="26" style="16" customWidth="1"/>
    <col min="3" max="10" width="16" style="16" customWidth="1"/>
    <col min="11" max="11" width="2" style="16" customWidth="1"/>
    <col min="12" max="16384" width="8.83203125" style="16"/>
  </cols>
  <sheetData>
    <row r="1" spans="1:11" ht="8" customHeight="1" x14ac:dyDescent="0.2">
      <c r="A1" s="80"/>
      <c r="B1" s="80"/>
      <c r="C1" s="80"/>
      <c r="D1" s="80"/>
      <c r="E1" s="80"/>
      <c r="F1" s="80"/>
      <c r="G1" s="80"/>
      <c r="H1" s="80"/>
      <c r="I1" s="80"/>
      <c r="J1" s="80"/>
      <c r="K1" s="80"/>
    </row>
    <row r="2" spans="1:11" ht="30" customHeight="1" x14ac:dyDescent="0.2">
      <c r="A2" s="80"/>
      <c r="B2" s="80"/>
      <c r="C2" s="140" t="s">
        <v>307</v>
      </c>
      <c r="D2" s="138"/>
      <c r="E2" s="138"/>
      <c r="F2" s="138"/>
      <c r="G2" s="138"/>
      <c r="H2" s="138"/>
      <c r="I2" s="138"/>
      <c r="J2" s="138"/>
      <c r="K2" s="80"/>
    </row>
    <row r="3" spans="1:11" ht="22" customHeight="1" x14ac:dyDescent="0.2">
      <c r="A3" s="80"/>
      <c r="B3" s="141" t="s">
        <v>324</v>
      </c>
      <c r="C3" s="138"/>
      <c r="D3" s="138"/>
      <c r="E3" s="138"/>
      <c r="F3" s="138"/>
      <c r="G3" s="138"/>
      <c r="H3" s="138"/>
      <c r="I3" s="138"/>
      <c r="J3" s="138"/>
      <c r="K3" s="80"/>
    </row>
    <row r="4" spans="1:11" ht="10" customHeight="1" x14ac:dyDescent="0.2">
      <c r="A4" s="80"/>
      <c r="B4" s="80"/>
      <c r="C4" s="80"/>
      <c r="D4" s="80"/>
      <c r="E4" s="80"/>
      <c r="F4" s="80"/>
      <c r="G4" s="80"/>
      <c r="H4" s="80"/>
      <c r="I4" s="80"/>
      <c r="J4" s="80"/>
      <c r="K4" s="80"/>
    </row>
    <row r="5" spans="1:11" x14ac:dyDescent="0.2">
      <c r="A5" s="80"/>
      <c r="B5" s="80"/>
      <c r="C5" s="80"/>
      <c r="D5" s="80"/>
      <c r="E5" s="80"/>
      <c r="F5" s="80"/>
      <c r="G5" s="80"/>
      <c r="H5" s="80"/>
      <c r="I5" s="80"/>
      <c r="J5" s="80"/>
      <c r="K5" s="80"/>
    </row>
    <row r="6" spans="1:11" ht="20" customHeight="1" x14ac:dyDescent="0.2">
      <c r="A6" s="80"/>
      <c r="B6" s="86" t="s">
        <v>243</v>
      </c>
      <c r="C6" s="137" t="s">
        <v>242</v>
      </c>
      <c r="D6" s="138"/>
      <c r="E6" s="138"/>
      <c r="F6" s="138"/>
      <c r="G6" s="138"/>
      <c r="H6" s="138"/>
      <c r="I6" s="138"/>
      <c r="J6" s="138"/>
      <c r="K6" s="80"/>
    </row>
    <row r="7" spans="1:11" ht="71" customHeight="1" x14ac:dyDescent="0.2">
      <c r="A7" s="80"/>
      <c r="B7" s="1"/>
      <c r="C7" s="139" t="s">
        <v>308</v>
      </c>
      <c r="D7" s="138"/>
      <c r="E7" s="138"/>
      <c r="F7" s="138"/>
      <c r="G7" s="138"/>
      <c r="H7" s="138"/>
      <c r="I7" s="138"/>
      <c r="J7" s="138"/>
      <c r="K7" s="80"/>
    </row>
    <row r="8" spans="1:11" x14ac:dyDescent="0.2">
      <c r="A8" s="80"/>
      <c r="B8" s="80"/>
      <c r="C8" s="80"/>
      <c r="D8" s="80"/>
      <c r="E8" s="80"/>
      <c r="F8" s="80"/>
      <c r="G8" s="80"/>
      <c r="H8" s="80"/>
      <c r="I8" s="80"/>
      <c r="J8" s="80"/>
      <c r="K8" s="80"/>
    </row>
    <row r="9" spans="1:11" ht="20" customHeight="1" x14ac:dyDescent="0.2">
      <c r="A9" s="80"/>
      <c r="B9" s="86" t="s">
        <v>241</v>
      </c>
      <c r="C9" s="137" t="s">
        <v>309</v>
      </c>
      <c r="D9" s="138"/>
      <c r="E9" s="138"/>
      <c r="F9" s="138"/>
      <c r="G9" s="138"/>
      <c r="H9" s="138"/>
      <c r="I9" s="138"/>
      <c r="J9" s="138"/>
      <c r="K9" s="80"/>
    </row>
    <row r="10" spans="1:11" ht="119" customHeight="1" x14ac:dyDescent="0.2">
      <c r="A10" s="80"/>
      <c r="B10" s="1"/>
      <c r="C10" s="139" t="s">
        <v>310</v>
      </c>
      <c r="D10" s="138"/>
      <c r="E10" s="138"/>
      <c r="F10" s="138"/>
      <c r="G10" s="138"/>
      <c r="H10" s="138"/>
      <c r="I10" s="138"/>
      <c r="J10" s="138"/>
      <c r="K10" s="80"/>
    </row>
    <row r="11" spans="1:11" x14ac:dyDescent="0.2">
      <c r="A11" s="80"/>
      <c r="B11" s="80"/>
      <c r="C11" s="80"/>
      <c r="D11" s="80"/>
      <c r="E11" s="80"/>
      <c r="F11" s="80"/>
      <c r="G11" s="80"/>
      <c r="H11" s="80"/>
      <c r="I11" s="80"/>
      <c r="J11" s="80"/>
      <c r="K11" s="80"/>
    </row>
    <row r="12" spans="1:11" ht="20" customHeight="1" x14ac:dyDescent="0.2">
      <c r="A12" s="80"/>
      <c r="B12" s="86" t="s">
        <v>240</v>
      </c>
      <c r="C12" s="137" t="s">
        <v>311</v>
      </c>
      <c r="D12" s="138"/>
      <c r="E12" s="138"/>
      <c r="F12" s="138"/>
      <c r="G12" s="138"/>
      <c r="H12" s="138"/>
      <c r="I12" s="138"/>
      <c r="J12" s="138"/>
      <c r="K12" s="80"/>
    </row>
    <row r="13" spans="1:11" ht="178" customHeight="1" x14ac:dyDescent="0.2">
      <c r="A13" s="80"/>
      <c r="B13" s="1"/>
      <c r="C13" s="139" t="s">
        <v>321</v>
      </c>
      <c r="D13" s="138"/>
      <c r="E13" s="138"/>
      <c r="F13" s="138"/>
      <c r="G13" s="138"/>
      <c r="H13" s="138"/>
      <c r="I13" s="138"/>
      <c r="J13" s="138"/>
      <c r="K13" s="80"/>
    </row>
    <row r="14" spans="1:11" x14ac:dyDescent="0.2">
      <c r="A14" s="80"/>
      <c r="B14" s="80"/>
      <c r="C14" s="80"/>
      <c r="D14" s="80"/>
      <c r="E14" s="80"/>
      <c r="F14" s="80"/>
      <c r="G14" s="80"/>
      <c r="H14" s="80"/>
      <c r="I14" s="80"/>
      <c r="J14" s="80"/>
      <c r="K14" s="80"/>
    </row>
    <row r="15" spans="1:11" ht="20" customHeight="1" x14ac:dyDescent="0.2">
      <c r="A15" s="80"/>
      <c r="B15" s="86" t="s">
        <v>239</v>
      </c>
      <c r="C15" s="137" t="s">
        <v>312</v>
      </c>
      <c r="D15" s="138"/>
      <c r="E15" s="138"/>
      <c r="F15" s="138"/>
      <c r="G15" s="138"/>
      <c r="H15" s="138"/>
      <c r="I15" s="138"/>
      <c r="J15" s="138"/>
      <c r="K15" s="80"/>
    </row>
    <row r="16" spans="1:11" ht="121" customHeight="1" x14ac:dyDescent="0.2">
      <c r="A16" s="80"/>
      <c r="B16" s="1"/>
      <c r="C16" s="139" t="s">
        <v>322</v>
      </c>
      <c r="D16" s="138"/>
      <c r="E16" s="138"/>
      <c r="F16" s="138"/>
      <c r="G16" s="138"/>
      <c r="H16" s="138"/>
      <c r="I16" s="138"/>
      <c r="J16" s="138"/>
      <c r="K16" s="80"/>
    </row>
    <row r="17" spans="1:11" x14ac:dyDescent="0.2">
      <c r="A17" s="80"/>
      <c r="B17" s="80"/>
      <c r="C17" s="80"/>
      <c r="D17" s="80"/>
      <c r="E17" s="80"/>
      <c r="F17" s="80"/>
      <c r="G17" s="80"/>
      <c r="H17" s="80"/>
      <c r="I17" s="80"/>
      <c r="J17" s="80"/>
      <c r="K17" s="80"/>
    </row>
    <row r="18" spans="1:11" ht="20" customHeight="1" x14ac:dyDescent="0.2">
      <c r="A18" s="80"/>
      <c r="B18" s="86" t="s">
        <v>238</v>
      </c>
      <c r="C18" s="137" t="s">
        <v>313</v>
      </c>
      <c r="D18" s="138"/>
      <c r="E18" s="138"/>
      <c r="F18" s="138"/>
      <c r="G18" s="138"/>
      <c r="H18" s="138"/>
      <c r="I18" s="138"/>
      <c r="J18" s="138"/>
      <c r="K18" s="80"/>
    </row>
    <row r="19" spans="1:11" ht="118" customHeight="1" x14ac:dyDescent="0.2">
      <c r="A19" s="80"/>
      <c r="B19" s="1"/>
      <c r="C19" s="139" t="s">
        <v>323</v>
      </c>
      <c r="D19" s="138"/>
      <c r="E19" s="138"/>
      <c r="F19" s="138"/>
      <c r="G19" s="138"/>
      <c r="H19" s="138"/>
      <c r="I19" s="138"/>
      <c r="J19" s="138"/>
      <c r="K19" s="80"/>
    </row>
    <row r="20" spans="1:11" x14ac:dyDescent="0.2">
      <c r="A20" s="80"/>
      <c r="B20" s="80"/>
      <c r="C20" s="80"/>
      <c r="D20" s="80"/>
      <c r="E20" s="80"/>
      <c r="F20" s="80"/>
      <c r="G20" s="80"/>
      <c r="H20" s="80"/>
      <c r="I20" s="80"/>
      <c r="J20" s="80"/>
      <c r="K20" s="80"/>
    </row>
    <row r="21" spans="1:11" ht="21" customHeight="1" x14ac:dyDescent="0.25">
      <c r="A21" s="80"/>
      <c r="B21" s="85" t="s">
        <v>237</v>
      </c>
      <c r="C21" s="84" t="s">
        <v>314</v>
      </c>
      <c r="D21" s="80"/>
      <c r="E21" s="80"/>
      <c r="F21" s="80"/>
      <c r="G21" s="80"/>
      <c r="H21" s="80"/>
      <c r="I21" s="80"/>
      <c r="J21" s="80"/>
      <c r="K21" s="80"/>
    </row>
    <row r="22" spans="1:11" ht="141" customHeight="1" x14ac:dyDescent="0.2">
      <c r="A22" s="80"/>
      <c r="B22" s="1"/>
      <c r="C22" s="136" t="s">
        <v>315</v>
      </c>
      <c r="D22" s="136"/>
      <c r="E22" s="136"/>
      <c r="F22" s="136"/>
      <c r="G22" s="136"/>
      <c r="H22" s="136"/>
      <c r="I22" s="136"/>
      <c r="J22" s="136"/>
      <c r="K22" s="80"/>
    </row>
    <row r="23" spans="1:11" x14ac:dyDescent="0.2">
      <c r="A23" s="80"/>
      <c r="B23" s="80"/>
      <c r="C23" s="80"/>
      <c r="D23" s="80"/>
      <c r="E23" s="80"/>
      <c r="F23" s="80"/>
      <c r="G23" s="80"/>
      <c r="H23" s="80"/>
      <c r="I23" s="80"/>
      <c r="J23" s="80"/>
      <c r="K23" s="80"/>
    </row>
    <row r="24" spans="1:11" ht="22" customHeight="1" x14ac:dyDescent="0.2">
      <c r="A24" s="80"/>
      <c r="B24" s="83" t="s">
        <v>306</v>
      </c>
      <c r="C24" s="82"/>
      <c r="D24" s="80"/>
      <c r="E24" s="80"/>
      <c r="F24" s="80"/>
      <c r="G24" s="80"/>
      <c r="H24" s="80"/>
      <c r="I24" s="80"/>
      <c r="J24" s="81" t="s">
        <v>316</v>
      </c>
      <c r="K24" s="80"/>
    </row>
    <row r="25" spans="1:11" x14ac:dyDescent="0.2">
      <c r="A25" s="80"/>
      <c r="B25" s="80"/>
      <c r="C25" s="80"/>
      <c r="D25" s="80"/>
      <c r="E25" s="80"/>
      <c r="F25" s="80"/>
      <c r="G25" s="80"/>
      <c r="H25" s="80"/>
      <c r="I25" s="80"/>
      <c r="J25" s="80"/>
      <c r="K25" s="80"/>
    </row>
    <row r="26" spans="1:11" x14ac:dyDescent="0.2">
      <c r="A26" s="79"/>
      <c r="B26" s="79"/>
      <c r="C26" s="79"/>
      <c r="D26" s="79"/>
      <c r="E26" s="79"/>
      <c r="F26" s="79"/>
      <c r="G26" s="79"/>
      <c r="H26" s="79"/>
      <c r="I26" s="79"/>
      <c r="J26" s="79"/>
      <c r="K26" s="79"/>
    </row>
    <row r="27" spans="1:11" x14ac:dyDescent="0.2">
      <c r="A27" s="79"/>
      <c r="B27" s="79"/>
      <c r="C27" s="79"/>
      <c r="D27" s="79"/>
      <c r="E27" s="79"/>
      <c r="F27" s="79"/>
      <c r="G27" s="79"/>
      <c r="H27" s="79"/>
      <c r="I27" s="79"/>
      <c r="J27" s="79"/>
      <c r="K27" s="79"/>
    </row>
    <row r="28" spans="1:11" x14ac:dyDescent="0.2">
      <c r="A28" s="79"/>
      <c r="B28" s="79"/>
      <c r="C28" s="79"/>
      <c r="D28" s="79"/>
      <c r="E28" s="79"/>
      <c r="F28" s="79"/>
      <c r="G28" s="79"/>
      <c r="H28" s="79"/>
      <c r="I28" s="79"/>
      <c r="J28" s="79"/>
      <c r="K28" s="79"/>
    </row>
    <row r="29" spans="1:11" x14ac:dyDescent="0.2">
      <c r="A29" s="79"/>
      <c r="B29" s="79"/>
      <c r="C29" s="79"/>
      <c r="D29" s="79"/>
      <c r="E29" s="79"/>
      <c r="F29" s="79"/>
      <c r="G29" s="79"/>
      <c r="H29" s="79"/>
      <c r="I29" s="79"/>
      <c r="J29" s="79"/>
      <c r="K29" s="79"/>
    </row>
    <row r="30" spans="1:11" x14ac:dyDescent="0.2">
      <c r="A30" s="79"/>
      <c r="B30" s="79"/>
      <c r="C30" s="79"/>
      <c r="D30" s="79"/>
      <c r="E30" s="79"/>
      <c r="F30" s="79"/>
      <c r="G30" s="79"/>
      <c r="H30" s="79"/>
      <c r="I30" s="79"/>
      <c r="J30" s="79"/>
      <c r="K30" s="79"/>
    </row>
    <row r="31" spans="1:11" x14ac:dyDescent="0.2">
      <c r="A31" s="79"/>
      <c r="B31" s="79"/>
      <c r="C31" s="79"/>
      <c r="D31" s="79"/>
      <c r="E31" s="79"/>
      <c r="F31" s="79"/>
      <c r="G31" s="79"/>
      <c r="H31" s="79"/>
      <c r="I31" s="79"/>
      <c r="J31" s="79"/>
      <c r="K31" s="79"/>
    </row>
    <row r="32" spans="1:11" x14ac:dyDescent="0.2">
      <c r="A32" s="79"/>
      <c r="B32" s="79"/>
      <c r="C32" s="79"/>
      <c r="D32" s="79"/>
      <c r="E32" s="79"/>
      <c r="F32" s="79"/>
      <c r="G32" s="79"/>
      <c r="H32" s="79"/>
      <c r="I32" s="79"/>
      <c r="J32" s="79"/>
      <c r="K32" s="79"/>
    </row>
    <row r="33" spans="1:11" x14ac:dyDescent="0.2">
      <c r="A33" s="79"/>
      <c r="B33" s="79"/>
      <c r="C33" s="79"/>
      <c r="D33" s="79"/>
      <c r="E33" s="79"/>
      <c r="F33" s="79"/>
      <c r="G33" s="79"/>
      <c r="H33" s="79"/>
      <c r="I33" s="79"/>
      <c r="J33" s="79"/>
      <c r="K33" s="79"/>
    </row>
    <row r="34" spans="1:11" x14ac:dyDescent="0.2">
      <c r="A34" s="79"/>
      <c r="B34" s="79"/>
      <c r="C34" s="79"/>
      <c r="D34" s="79"/>
      <c r="E34" s="79"/>
      <c r="F34" s="79"/>
      <c r="G34" s="79"/>
      <c r="H34" s="79"/>
      <c r="I34" s="79"/>
      <c r="J34" s="79"/>
      <c r="K34" s="79"/>
    </row>
    <row r="35" spans="1:11" x14ac:dyDescent="0.2">
      <c r="A35" s="79"/>
      <c r="B35" s="79"/>
      <c r="C35" s="79"/>
      <c r="D35" s="79"/>
      <c r="E35" s="79"/>
      <c r="F35" s="79"/>
      <c r="G35" s="79"/>
      <c r="H35" s="79"/>
      <c r="I35" s="79"/>
      <c r="J35" s="79"/>
      <c r="K35" s="79"/>
    </row>
    <row r="36" spans="1:11" x14ac:dyDescent="0.2">
      <c r="A36" s="79"/>
      <c r="B36" s="79"/>
      <c r="C36" s="79"/>
      <c r="D36" s="79"/>
      <c r="E36" s="79"/>
      <c r="F36" s="79"/>
      <c r="G36" s="79"/>
      <c r="H36" s="79"/>
      <c r="I36" s="79"/>
      <c r="J36" s="79"/>
      <c r="K36" s="79"/>
    </row>
    <row r="37" spans="1:11" x14ac:dyDescent="0.2">
      <c r="A37" s="79"/>
      <c r="B37" s="79"/>
      <c r="C37" s="79"/>
      <c r="D37" s="79"/>
      <c r="E37" s="79"/>
      <c r="F37" s="79"/>
      <c r="G37" s="79"/>
      <c r="H37" s="79"/>
      <c r="I37" s="79"/>
      <c r="J37" s="79"/>
      <c r="K37" s="79"/>
    </row>
    <row r="38" spans="1:11" x14ac:dyDescent="0.2">
      <c r="A38" s="79"/>
      <c r="B38" s="79"/>
      <c r="C38" s="79"/>
      <c r="D38" s="79"/>
      <c r="E38" s="79"/>
      <c r="F38" s="79"/>
      <c r="G38" s="79"/>
      <c r="H38" s="79"/>
      <c r="I38" s="79"/>
      <c r="J38" s="79"/>
      <c r="K38" s="79"/>
    </row>
    <row r="39" spans="1:11" x14ac:dyDescent="0.2">
      <c r="A39" s="79"/>
      <c r="B39" s="79"/>
      <c r="C39" s="79"/>
      <c r="D39" s="79"/>
      <c r="E39" s="79"/>
      <c r="F39" s="79"/>
      <c r="G39" s="79"/>
      <c r="H39" s="79"/>
      <c r="I39" s="79"/>
      <c r="J39" s="79"/>
      <c r="K39" s="79"/>
    </row>
    <row r="40" spans="1:11" x14ac:dyDescent="0.2">
      <c r="A40" s="79"/>
      <c r="B40" s="79"/>
      <c r="C40" s="79"/>
      <c r="D40" s="79"/>
      <c r="E40" s="79"/>
      <c r="F40" s="79"/>
      <c r="G40" s="79"/>
      <c r="H40" s="79"/>
      <c r="I40" s="79"/>
      <c r="J40" s="79"/>
      <c r="K40" s="79"/>
    </row>
    <row r="41" spans="1:11" x14ac:dyDescent="0.2">
      <c r="A41" s="79"/>
      <c r="B41" s="79"/>
      <c r="C41" s="79"/>
      <c r="D41" s="79"/>
      <c r="E41" s="79"/>
      <c r="F41" s="79"/>
      <c r="G41" s="79"/>
      <c r="H41" s="79"/>
      <c r="I41" s="79"/>
      <c r="J41" s="79"/>
      <c r="K41" s="79"/>
    </row>
    <row r="42" spans="1:11" x14ac:dyDescent="0.2">
      <c r="A42" s="79"/>
      <c r="B42" s="79"/>
      <c r="C42" s="79"/>
      <c r="D42" s="79"/>
      <c r="E42" s="79"/>
      <c r="F42" s="79"/>
      <c r="G42" s="79"/>
      <c r="H42" s="79"/>
      <c r="I42" s="79"/>
      <c r="J42" s="79"/>
      <c r="K42" s="79"/>
    </row>
    <row r="43" spans="1:11" x14ac:dyDescent="0.2">
      <c r="A43" s="79"/>
      <c r="B43" s="79"/>
      <c r="C43" s="79"/>
      <c r="D43" s="79"/>
      <c r="E43" s="79"/>
      <c r="F43" s="79"/>
      <c r="G43" s="79"/>
      <c r="H43" s="79"/>
      <c r="I43" s="79"/>
      <c r="J43" s="79"/>
      <c r="K43" s="79"/>
    </row>
    <row r="44" spans="1:11" x14ac:dyDescent="0.2">
      <c r="A44" s="79"/>
      <c r="B44" s="79"/>
      <c r="C44" s="79"/>
      <c r="D44" s="79"/>
      <c r="E44" s="79"/>
      <c r="F44" s="79"/>
      <c r="G44" s="79"/>
      <c r="H44" s="79"/>
      <c r="I44" s="79"/>
      <c r="J44" s="79"/>
      <c r="K44" s="79"/>
    </row>
    <row r="45" spans="1:11" x14ac:dyDescent="0.2">
      <c r="A45" s="79"/>
      <c r="B45" s="79"/>
      <c r="C45" s="79"/>
      <c r="D45" s="79"/>
      <c r="E45" s="79"/>
      <c r="F45" s="79"/>
      <c r="G45" s="79"/>
      <c r="H45" s="79"/>
      <c r="I45" s="79"/>
      <c r="J45" s="79"/>
      <c r="K45" s="79"/>
    </row>
    <row r="46" spans="1:11" x14ac:dyDescent="0.2">
      <c r="A46" s="79"/>
      <c r="B46" s="79"/>
      <c r="C46" s="79"/>
      <c r="D46" s="79"/>
      <c r="E46" s="79"/>
      <c r="F46" s="79"/>
      <c r="G46" s="79"/>
      <c r="H46" s="79"/>
      <c r="I46" s="79"/>
      <c r="J46" s="79"/>
      <c r="K46" s="79"/>
    </row>
    <row r="47" spans="1:11" x14ac:dyDescent="0.2">
      <c r="A47" s="79"/>
      <c r="B47" s="79"/>
      <c r="C47" s="79"/>
      <c r="D47" s="79"/>
      <c r="E47" s="79"/>
      <c r="F47" s="79"/>
      <c r="G47" s="79"/>
      <c r="H47" s="79"/>
      <c r="I47" s="79"/>
      <c r="J47" s="79"/>
      <c r="K47" s="79"/>
    </row>
    <row r="48" spans="1:11" x14ac:dyDescent="0.2">
      <c r="A48" s="79"/>
      <c r="B48" s="79"/>
      <c r="C48" s="79"/>
      <c r="D48" s="79"/>
      <c r="E48" s="79"/>
      <c r="F48" s="79"/>
      <c r="G48" s="79"/>
      <c r="H48" s="79"/>
      <c r="I48" s="79"/>
      <c r="J48" s="79"/>
      <c r="K48" s="79"/>
    </row>
    <row r="49" spans="1:11" x14ac:dyDescent="0.2">
      <c r="A49" s="79"/>
      <c r="B49" s="79"/>
      <c r="C49" s="79"/>
      <c r="D49" s="79"/>
      <c r="E49" s="79"/>
      <c r="F49" s="79"/>
      <c r="G49" s="79"/>
      <c r="H49" s="79"/>
      <c r="I49" s="79"/>
      <c r="J49" s="79"/>
      <c r="K49" s="79"/>
    </row>
    <row r="50" spans="1:11" x14ac:dyDescent="0.2">
      <c r="A50" s="79"/>
      <c r="B50" s="79"/>
      <c r="C50" s="79"/>
      <c r="D50" s="79"/>
      <c r="E50" s="79"/>
      <c r="F50" s="79"/>
      <c r="G50" s="79"/>
      <c r="H50" s="79"/>
      <c r="I50" s="79"/>
      <c r="J50" s="79"/>
      <c r="K50" s="79"/>
    </row>
    <row r="51" spans="1:11" x14ac:dyDescent="0.2">
      <c r="A51" s="79"/>
      <c r="B51" s="79"/>
      <c r="C51" s="79"/>
      <c r="D51" s="79"/>
      <c r="E51" s="79"/>
      <c r="F51" s="79"/>
      <c r="G51" s="79"/>
      <c r="H51" s="79"/>
      <c r="I51" s="79"/>
      <c r="J51" s="79"/>
      <c r="K51" s="79"/>
    </row>
    <row r="52" spans="1:11" x14ac:dyDescent="0.2">
      <c r="A52" s="79"/>
      <c r="B52" s="79"/>
      <c r="C52" s="79"/>
      <c r="D52" s="79"/>
      <c r="E52" s="79"/>
      <c r="F52" s="79"/>
      <c r="G52" s="79"/>
      <c r="H52" s="79"/>
      <c r="I52" s="79"/>
      <c r="J52" s="79"/>
      <c r="K52" s="79"/>
    </row>
    <row r="53" spans="1:11" x14ac:dyDescent="0.2">
      <c r="A53" s="79"/>
      <c r="B53" s="79"/>
      <c r="C53" s="79"/>
      <c r="D53" s="79"/>
      <c r="E53" s="79"/>
      <c r="F53" s="79"/>
      <c r="G53" s="79"/>
      <c r="H53" s="79"/>
      <c r="I53" s="79"/>
      <c r="J53" s="79"/>
      <c r="K53" s="79"/>
    </row>
    <row r="54" spans="1:11" x14ac:dyDescent="0.2">
      <c r="A54" s="79"/>
      <c r="B54" s="79"/>
      <c r="C54" s="79"/>
      <c r="D54" s="79"/>
      <c r="E54" s="79"/>
      <c r="F54" s="79"/>
      <c r="G54" s="79"/>
      <c r="H54" s="79"/>
      <c r="I54" s="79"/>
      <c r="J54" s="79"/>
      <c r="K54" s="79"/>
    </row>
    <row r="55" spans="1:11" x14ac:dyDescent="0.2">
      <c r="A55" s="79"/>
      <c r="B55" s="79"/>
      <c r="C55" s="79"/>
      <c r="D55" s="79"/>
      <c r="E55" s="79"/>
      <c r="F55" s="79"/>
      <c r="G55" s="79"/>
      <c r="H55" s="79"/>
      <c r="I55" s="79"/>
      <c r="J55" s="79"/>
      <c r="K55" s="79"/>
    </row>
    <row r="56" spans="1:11" x14ac:dyDescent="0.2">
      <c r="A56" s="79"/>
      <c r="B56" s="79"/>
      <c r="C56" s="79"/>
      <c r="D56" s="79"/>
      <c r="E56" s="79"/>
      <c r="F56" s="79"/>
      <c r="G56" s="79"/>
      <c r="H56" s="79"/>
      <c r="I56" s="79"/>
      <c r="J56" s="79"/>
      <c r="K56" s="79"/>
    </row>
    <row r="57" spans="1:11" x14ac:dyDescent="0.2">
      <c r="A57" s="79"/>
      <c r="B57" s="79"/>
      <c r="C57" s="79"/>
      <c r="D57" s="79"/>
      <c r="E57" s="79"/>
      <c r="F57" s="79"/>
      <c r="G57" s="79"/>
      <c r="H57" s="79"/>
      <c r="I57" s="79"/>
      <c r="J57" s="79"/>
      <c r="K57" s="79"/>
    </row>
    <row r="58" spans="1:11" x14ac:dyDescent="0.2">
      <c r="A58" s="79"/>
      <c r="B58" s="79"/>
      <c r="C58" s="79"/>
      <c r="D58" s="79"/>
      <c r="E58" s="79"/>
      <c r="F58" s="79"/>
      <c r="G58" s="79"/>
      <c r="H58" s="79"/>
      <c r="I58" s="79"/>
      <c r="J58" s="79"/>
      <c r="K58" s="79"/>
    </row>
    <row r="59" spans="1:11" x14ac:dyDescent="0.2">
      <c r="A59" s="79"/>
      <c r="B59" s="79"/>
      <c r="C59" s="79"/>
      <c r="D59" s="79"/>
      <c r="E59" s="79"/>
      <c r="F59" s="79"/>
      <c r="G59" s="79"/>
      <c r="H59" s="79"/>
      <c r="I59" s="79"/>
      <c r="J59" s="79"/>
      <c r="K59" s="79"/>
    </row>
    <row r="60" spans="1:11" x14ac:dyDescent="0.2">
      <c r="A60" s="79"/>
      <c r="B60" s="79"/>
      <c r="C60" s="79"/>
      <c r="D60" s="79"/>
      <c r="E60" s="79"/>
      <c r="F60" s="79"/>
      <c r="G60" s="79"/>
      <c r="H60" s="79"/>
      <c r="I60" s="79"/>
      <c r="J60" s="79"/>
      <c r="K60" s="79"/>
    </row>
    <row r="61" spans="1:11" x14ac:dyDescent="0.2">
      <c r="A61" s="79"/>
      <c r="B61" s="79"/>
      <c r="C61" s="79"/>
      <c r="D61" s="79"/>
      <c r="E61" s="79"/>
      <c r="F61" s="79"/>
      <c r="G61" s="79"/>
      <c r="H61" s="79"/>
      <c r="I61" s="79"/>
      <c r="J61" s="79"/>
      <c r="K61" s="79"/>
    </row>
    <row r="62" spans="1:11" x14ac:dyDescent="0.2">
      <c r="A62" s="79"/>
      <c r="B62" s="79"/>
      <c r="C62" s="79"/>
      <c r="D62" s="79"/>
      <c r="E62" s="79"/>
      <c r="F62" s="79"/>
      <c r="G62" s="79"/>
      <c r="H62" s="79"/>
      <c r="I62" s="79"/>
      <c r="J62" s="79"/>
      <c r="K62" s="79"/>
    </row>
    <row r="63" spans="1:11" x14ac:dyDescent="0.2">
      <c r="A63" s="79"/>
      <c r="B63" s="79"/>
      <c r="C63" s="79"/>
      <c r="D63" s="79"/>
      <c r="E63" s="79"/>
      <c r="F63" s="79"/>
      <c r="G63" s="79"/>
      <c r="H63" s="79"/>
      <c r="I63" s="79"/>
      <c r="J63" s="79"/>
      <c r="K63" s="79"/>
    </row>
    <row r="64" spans="1:11" x14ac:dyDescent="0.2">
      <c r="A64" s="79"/>
      <c r="B64" s="79"/>
      <c r="C64" s="79"/>
      <c r="D64" s="79"/>
      <c r="E64" s="79"/>
      <c r="F64" s="79"/>
      <c r="G64" s="79"/>
      <c r="H64" s="79"/>
      <c r="I64" s="79"/>
      <c r="J64" s="79"/>
      <c r="K64" s="79"/>
    </row>
    <row r="65" spans="1:11" x14ac:dyDescent="0.2">
      <c r="A65" s="79"/>
      <c r="B65" s="79"/>
      <c r="C65" s="79"/>
      <c r="D65" s="79"/>
      <c r="E65" s="79"/>
      <c r="F65" s="79"/>
      <c r="G65" s="79"/>
      <c r="H65" s="79"/>
      <c r="I65" s="79"/>
      <c r="J65" s="79"/>
      <c r="K65" s="79"/>
    </row>
    <row r="66" spans="1:11" x14ac:dyDescent="0.2">
      <c r="A66" s="79"/>
      <c r="B66" s="79"/>
      <c r="C66" s="79"/>
      <c r="D66" s="79"/>
      <c r="E66" s="79"/>
      <c r="F66" s="79"/>
      <c r="G66" s="79"/>
      <c r="H66" s="79"/>
      <c r="I66" s="79"/>
      <c r="J66" s="79"/>
      <c r="K66" s="79"/>
    </row>
    <row r="67" spans="1:11" x14ac:dyDescent="0.2">
      <c r="A67" s="79"/>
      <c r="B67" s="79"/>
      <c r="C67" s="79"/>
      <c r="D67" s="79"/>
      <c r="E67" s="79"/>
      <c r="F67" s="79"/>
      <c r="G67" s="79"/>
      <c r="H67" s="79"/>
      <c r="I67" s="79"/>
      <c r="J67" s="79"/>
      <c r="K67" s="79"/>
    </row>
    <row r="68" spans="1:11" x14ac:dyDescent="0.2">
      <c r="A68" s="79"/>
      <c r="B68" s="79"/>
      <c r="C68" s="79"/>
      <c r="D68" s="79"/>
      <c r="E68" s="79"/>
      <c r="F68" s="79"/>
      <c r="G68" s="79"/>
      <c r="H68" s="79"/>
      <c r="I68" s="79"/>
      <c r="J68" s="79"/>
      <c r="K68" s="79"/>
    </row>
    <row r="69" spans="1:11" x14ac:dyDescent="0.2">
      <c r="A69" s="79"/>
      <c r="B69" s="79"/>
      <c r="C69" s="79"/>
      <c r="D69" s="79"/>
      <c r="E69" s="79"/>
      <c r="F69" s="79"/>
      <c r="G69" s="79"/>
      <c r="H69" s="79"/>
      <c r="I69" s="79"/>
      <c r="J69" s="79"/>
      <c r="K69" s="79"/>
    </row>
    <row r="70" spans="1:11" x14ac:dyDescent="0.2">
      <c r="A70" s="79"/>
      <c r="B70" s="79"/>
      <c r="C70" s="79"/>
      <c r="D70" s="79"/>
      <c r="E70" s="79"/>
      <c r="F70" s="79"/>
      <c r="G70" s="79"/>
      <c r="H70" s="79"/>
      <c r="I70" s="79"/>
      <c r="J70" s="79"/>
      <c r="K70" s="79"/>
    </row>
    <row r="71" spans="1:11" x14ac:dyDescent="0.2">
      <c r="A71" s="79"/>
      <c r="B71" s="79"/>
      <c r="C71" s="79"/>
      <c r="D71" s="79"/>
      <c r="E71" s="79"/>
      <c r="F71" s="79"/>
      <c r="G71" s="79"/>
      <c r="H71" s="79"/>
      <c r="I71" s="79"/>
      <c r="J71" s="79"/>
      <c r="K71" s="79"/>
    </row>
    <row r="72" spans="1:11" x14ac:dyDescent="0.2">
      <c r="A72" s="79"/>
      <c r="B72" s="79"/>
      <c r="C72" s="79"/>
      <c r="D72" s="79"/>
      <c r="E72" s="79"/>
      <c r="F72" s="79"/>
      <c r="G72" s="79"/>
      <c r="H72" s="79"/>
      <c r="I72" s="79"/>
      <c r="J72" s="79"/>
      <c r="K72" s="79"/>
    </row>
    <row r="73" spans="1:11" x14ac:dyDescent="0.2">
      <c r="A73" s="79"/>
      <c r="B73" s="79"/>
      <c r="C73" s="79"/>
      <c r="D73" s="79"/>
      <c r="E73" s="79"/>
      <c r="F73" s="79"/>
      <c r="G73" s="79"/>
      <c r="H73" s="79"/>
      <c r="I73" s="79"/>
      <c r="J73" s="79"/>
      <c r="K73" s="79"/>
    </row>
    <row r="74" spans="1:11" x14ac:dyDescent="0.2">
      <c r="A74" s="79"/>
      <c r="B74" s="79"/>
      <c r="C74" s="79"/>
      <c r="D74" s="79"/>
      <c r="E74" s="79"/>
      <c r="F74" s="79"/>
      <c r="G74" s="79"/>
      <c r="H74" s="79"/>
      <c r="I74" s="79"/>
      <c r="J74" s="79"/>
      <c r="K74" s="79"/>
    </row>
    <row r="75" spans="1:11" x14ac:dyDescent="0.2">
      <c r="A75" s="79"/>
      <c r="B75" s="79"/>
      <c r="C75" s="79"/>
      <c r="D75" s="79"/>
      <c r="E75" s="79"/>
      <c r="F75" s="79"/>
      <c r="G75" s="79"/>
      <c r="H75" s="79"/>
      <c r="I75" s="79"/>
      <c r="J75" s="79"/>
      <c r="K75" s="79"/>
    </row>
    <row r="76" spans="1:11" x14ac:dyDescent="0.2">
      <c r="A76" s="79"/>
      <c r="B76" s="79"/>
      <c r="C76" s="79"/>
      <c r="D76" s="79"/>
      <c r="E76" s="79"/>
      <c r="F76" s="79"/>
      <c r="G76" s="79"/>
      <c r="H76" s="79"/>
      <c r="I76" s="79"/>
      <c r="J76" s="79"/>
      <c r="K76" s="79"/>
    </row>
    <row r="77" spans="1:11" x14ac:dyDescent="0.2">
      <c r="A77" s="79"/>
      <c r="B77" s="79"/>
      <c r="C77" s="79"/>
      <c r="D77" s="79"/>
      <c r="E77" s="79"/>
      <c r="F77" s="79"/>
      <c r="G77" s="79"/>
      <c r="H77" s="79"/>
      <c r="I77" s="79"/>
      <c r="J77" s="79"/>
      <c r="K77" s="79"/>
    </row>
    <row r="78" spans="1:11" x14ac:dyDescent="0.2">
      <c r="A78" s="79"/>
      <c r="B78" s="79"/>
      <c r="C78" s="79"/>
      <c r="D78" s="79"/>
      <c r="E78" s="79"/>
      <c r="F78" s="79"/>
      <c r="G78" s="79"/>
      <c r="H78" s="79"/>
      <c r="I78" s="79"/>
      <c r="J78" s="79"/>
      <c r="K78" s="79"/>
    </row>
    <row r="79" spans="1:11" x14ac:dyDescent="0.2">
      <c r="A79" s="79"/>
      <c r="B79" s="79"/>
      <c r="C79" s="79"/>
      <c r="D79" s="79"/>
      <c r="E79" s="79"/>
      <c r="F79" s="79"/>
      <c r="G79" s="79"/>
      <c r="H79" s="79"/>
      <c r="I79" s="79"/>
      <c r="J79" s="79"/>
      <c r="K79" s="79"/>
    </row>
    <row r="80" spans="1:11" x14ac:dyDescent="0.2">
      <c r="A80" s="79"/>
      <c r="B80" s="79"/>
      <c r="C80" s="79"/>
      <c r="D80" s="79"/>
      <c r="E80" s="79"/>
      <c r="F80" s="79"/>
      <c r="G80" s="79"/>
      <c r="H80" s="79"/>
      <c r="I80" s="79"/>
      <c r="J80" s="79"/>
      <c r="K80" s="79"/>
    </row>
    <row r="81" spans="1:11" x14ac:dyDescent="0.2">
      <c r="A81" s="79"/>
      <c r="B81" s="79"/>
      <c r="C81" s="79"/>
      <c r="D81" s="79"/>
      <c r="E81" s="79"/>
      <c r="F81" s="79"/>
      <c r="G81" s="79"/>
      <c r="H81" s="79"/>
      <c r="I81" s="79"/>
      <c r="J81" s="79"/>
      <c r="K81" s="79"/>
    </row>
    <row r="82" spans="1:11" x14ac:dyDescent="0.2">
      <c r="A82" s="79"/>
      <c r="B82" s="79"/>
      <c r="C82" s="79"/>
      <c r="D82" s="79"/>
      <c r="E82" s="79"/>
      <c r="F82" s="79"/>
      <c r="G82" s="79"/>
      <c r="H82" s="79"/>
      <c r="I82" s="79"/>
      <c r="J82" s="79"/>
      <c r="K82" s="79"/>
    </row>
  </sheetData>
  <mergeCells count="13">
    <mergeCell ref="C10:J10"/>
    <mergeCell ref="C2:J2"/>
    <mergeCell ref="B3:J3"/>
    <mergeCell ref="C6:J6"/>
    <mergeCell ref="C7:J7"/>
    <mergeCell ref="C9:J9"/>
    <mergeCell ref="C22:J22"/>
    <mergeCell ref="C12:J12"/>
    <mergeCell ref="C13:J13"/>
    <mergeCell ref="C15:J15"/>
    <mergeCell ref="C16:J16"/>
    <mergeCell ref="C18:J18"/>
    <mergeCell ref="C19:J19"/>
  </mergeCells>
  <printOptions horizontalCentered="1"/>
  <pageMargins left="0.4" right="0.4" top="0.5" bottom="0.5" header="0.3" footer="0.3"/>
  <pageSetup fitToHeight="0" orientation="landscape"/>
  <headerFooter>
    <oddHeader>&amp;L&amp;9 &amp;K8896B3Infraxus · Hire Impact Calculator · Read Me</oddHeader>
    <oddFooter>&amp;R&amp;9 &amp;K8896B3Page &amp;P of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E50FF"/>
  </sheetPr>
  <dimension ref="A1:S309"/>
  <sheetViews>
    <sheetView showGridLines="0" zoomScale="140" zoomScaleNormal="140" workbookViewId="0">
      <selection activeCell="U6" sqref="U6"/>
    </sheetView>
  </sheetViews>
  <sheetFormatPr baseColWidth="10" defaultColWidth="8.83203125" defaultRowHeight="15" x14ac:dyDescent="0.2"/>
  <cols>
    <col min="1" max="1" width="2" style="16" customWidth="1"/>
    <col min="2" max="2" width="40" style="16" customWidth="1"/>
    <col min="3" max="15" width="11.5" style="16" customWidth="1"/>
    <col min="16" max="16" width="2" style="16" customWidth="1"/>
    <col min="17" max="19" width="13" style="16" hidden="1" customWidth="1"/>
    <col min="20" max="16384" width="8.83203125" style="16"/>
  </cols>
  <sheetData>
    <row r="1" spans="1:19" x14ac:dyDescent="0.2">
      <c r="A1" s="115"/>
      <c r="B1" s="115"/>
      <c r="C1" s="115"/>
      <c r="D1" s="115"/>
      <c r="E1" s="115"/>
      <c r="F1" s="115"/>
      <c r="G1" s="115"/>
      <c r="H1" s="115"/>
      <c r="I1" s="115"/>
      <c r="J1" s="115"/>
      <c r="K1" s="115"/>
      <c r="L1" s="115"/>
      <c r="M1" s="115"/>
      <c r="N1" s="115"/>
      <c r="O1" s="115"/>
      <c r="P1" s="115"/>
      <c r="Q1" s="1"/>
      <c r="R1" s="1"/>
      <c r="S1" s="1"/>
    </row>
    <row r="2" spans="1:19" ht="24" x14ac:dyDescent="0.2">
      <c r="A2" s="115"/>
      <c r="B2" s="115"/>
      <c r="C2" s="133" t="s">
        <v>0</v>
      </c>
      <c r="D2" s="133"/>
      <c r="E2" s="115"/>
      <c r="F2" s="115"/>
      <c r="G2" s="115"/>
      <c r="H2" s="115"/>
      <c r="I2" s="115"/>
      <c r="J2" s="115"/>
      <c r="K2" s="115"/>
      <c r="L2" s="116" t="s">
        <v>247</v>
      </c>
      <c r="M2" s="91">
        <v>1234</v>
      </c>
      <c r="N2" s="117" t="s">
        <v>318</v>
      </c>
      <c r="O2" s="117"/>
      <c r="P2" s="115"/>
      <c r="Q2" s="1"/>
      <c r="R2" s="1"/>
      <c r="S2" s="1"/>
    </row>
    <row r="3" spans="1:19" x14ac:dyDescent="0.2">
      <c r="A3" s="115"/>
      <c r="B3" s="115"/>
      <c r="C3" s="134" t="s">
        <v>317</v>
      </c>
      <c r="D3" s="118"/>
      <c r="E3" s="115"/>
      <c r="F3" s="115"/>
      <c r="G3" s="115"/>
      <c r="H3" s="115"/>
      <c r="I3" s="115"/>
      <c r="J3" s="115"/>
      <c r="K3" s="115"/>
      <c r="L3" s="115"/>
      <c r="M3" s="98">
        <v>1234</v>
      </c>
      <c r="N3" s="117" t="s">
        <v>319</v>
      </c>
      <c r="O3" s="117"/>
      <c r="P3" s="115"/>
      <c r="Q3" s="1"/>
      <c r="R3" s="1"/>
      <c r="S3" s="1"/>
    </row>
    <row r="4" spans="1:19" x14ac:dyDescent="0.2">
      <c r="A4" s="115"/>
      <c r="B4" s="115"/>
      <c r="C4" s="115"/>
      <c r="D4" s="115"/>
      <c r="E4" s="115"/>
      <c r="F4" s="115"/>
      <c r="G4" s="115"/>
      <c r="H4" s="115"/>
      <c r="I4" s="115"/>
      <c r="J4" s="115"/>
      <c r="K4" s="115"/>
      <c r="L4" s="115"/>
      <c r="M4" s="115"/>
      <c r="N4" s="115"/>
      <c r="O4" s="115"/>
      <c r="P4" s="115"/>
      <c r="Q4" s="1"/>
      <c r="R4" s="1"/>
      <c r="S4" s="1"/>
    </row>
    <row r="5" spans="1:19" x14ac:dyDescent="0.2">
      <c r="A5" s="115"/>
      <c r="B5" s="87" t="s">
        <v>1</v>
      </c>
      <c r="C5" s="17"/>
      <c r="D5" s="17"/>
      <c r="E5" s="17"/>
      <c r="F5" s="17"/>
      <c r="G5" s="17"/>
      <c r="H5" s="17"/>
      <c r="I5" s="17"/>
      <c r="J5" s="17"/>
      <c r="K5" s="17"/>
      <c r="L5" s="17"/>
      <c r="M5" s="17"/>
      <c r="N5" s="17"/>
      <c r="O5" s="17"/>
      <c r="P5" s="115"/>
      <c r="Q5" s="1"/>
      <c r="R5" s="1"/>
      <c r="S5" s="1"/>
    </row>
    <row r="6" spans="1:19" x14ac:dyDescent="0.2">
      <c r="A6" s="115"/>
      <c r="B6" s="3" t="s">
        <v>2</v>
      </c>
      <c r="C6" s="101"/>
      <c r="D6" s="1"/>
      <c r="E6" s="1"/>
      <c r="F6" s="1"/>
      <c r="G6" s="1"/>
      <c r="H6" s="1"/>
      <c r="I6" s="1"/>
      <c r="J6" s="1"/>
      <c r="K6" s="1"/>
      <c r="L6" s="1"/>
      <c r="M6" s="1"/>
      <c r="N6" s="1"/>
      <c r="O6" s="1"/>
      <c r="P6" s="115"/>
      <c r="Q6" s="1"/>
      <c r="R6" s="1"/>
      <c r="S6" s="1"/>
    </row>
    <row r="7" spans="1:19" x14ac:dyDescent="0.2">
      <c r="A7" s="115"/>
      <c r="B7" s="3" t="s">
        <v>3</v>
      </c>
      <c r="C7" s="100" t="s">
        <v>4</v>
      </c>
      <c r="D7" s="1"/>
      <c r="E7" s="1"/>
      <c r="F7" s="1"/>
      <c r="G7" s="1"/>
      <c r="H7" s="1"/>
      <c r="I7" s="1"/>
      <c r="J7" s="1"/>
      <c r="K7" s="1"/>
      <c r="L7" s="1"/>
      <c r="M7" s="1"/>
      <c r="N7" s="1"/>
      <c r="O7" s="1"/>
      <c r="P7" s="115"/>
      <c r="Q7" s="1"/>
      <c r="R7" s="1"/>
      <c r="S7" s="1"/>
    </row>
    <row r="8" spans="1:19" x14ac:dyDescent="0.2">
      <c r="A8" s="115"/>
      <c r="B8" s="3" t="s">
        <v>5</v>
      </c>
      <c r="C8" s="76" t="str">
        <f>CHOOSE(MATCH(inp_region,{"AU","NZ","US"},0),"AUD","NZD","USD")</f>
        <v>AUD</v>
      </c>
      <c r="D8" s="1"/>
      <c r="E8" s="1"/>
      <c r="F8" s="1"/>
      <c r="G8" s="1"/>
      <c r="H8" s="1"/>
      <c r="I8" s="1"/>
      <c r="J8" s="1"/>
      <c r="K8" s="1"/>
      <c r="L8" s="1"/>
      <c r="M8" s="1"/>
      <c r="N8" s="1"/>
      <c r="O8" s="1"/>
      <c r="P8" s="115"/>
      <c r="Q8" s="1"/>
      <c r="R8" s="1"/>
      <c r="S8" s="1"/>
    </row>
    <row r="9" spans="1:19" x14ac:dyDescent="0.2">
      <c r="A9" s="115"/>
      <c r="B9" s="3" t="s">
        <v>6</v>
      </c>
      <c r="C9" s="4">
        <f>CHOOSE(MATCH(inp_region,{"AU","NZ","US"},0),7,4,1)</f>
        <v>7</v>
      </c>
      <c r="D9" s="1"/>
      <c r="E9" s="1"/>
      <c r="F9" s="1"/>
      <c r="G9" s="1"/>
      <c r="H9" s="1"/>
      <c r="I9" s="1"/>
      <c r="J9" s="1"/>
      <c r="K9" s="1"/>
      <c r="L9" s="1"/>
      <c r="M9" s="1"/>
      <c r="N9" s="1"/>
      <c r="O9" s="1"/>
      <c r="P9" s="115"/>
      <c r="Q9" s="1"/>
      <c r="R9" s="1"/>
      <c r="S9" s="1"/>
    </row>
    <row r="10" spans="1:19" x14ac:dyDescent="0.2">
      <c r="A10" s="115"/>
      <c r="B10" s="3" t="s">
        <v>7</v>
      </c>
      <c r="C10" s="102">
        <v>46174</v>
      </c>
      <c r="D10" s="1"/>
      <c r="E10" s="1"/>
      <c r="F10" s="1"/>
      <c r="G10" s="1"/>
      <c r="H10" s="1"/>
      <c r="I10" s="1"/>
      <c r="J10" s="1"/>
      <c r="K10" s="1"/>
      <c r="L10" s="1"/>
      <c r="M10" s="1"/>
      <c r="N10" s="1"/>
      <c r="O10" s="1"/>
      <c r="P10" s="115"/>
      <c r="Q10" s="1"/>
      <c r="R10" s="1"/>
      <c r="S10" s="1"/>
    </row>
    <row r="11" spans="1:19" x14ac:dyDescent="0.2">
      <c r="A11" s="115"/>
      <c r="B11" s="3" t="s">
        <v>8</v>
      </c>
      <c r="C11" s="76" t="str">
        <f>IF(MONTH(calc_sel_date)&gt;=inp_fy_start,"FY"&amp;TEXT(IF(inp_fy_start=1,YEAR(calc_sel_date),YEAR(calc_sel_date)+1),"00"),"FY"&amp;TEXT(YEAR(calc_sel_date),"00"))</f>
        <v>FY2026</v>
      </c>
      <c r="D11" s="1"/>
      <c r="E11" s="1"/>
      <c r="F11" s="1"/>
      <c r="G11" s="1"/>
      <c r="H11" s="1"/>
      <c r="I11" s="1"/>
      <c r="J11" s="1"/>
      <c r="K11" s="1"/>
      <c r="L11" s="1"/>
      <c r="M11" s="1"/>
      <c r="N11" s="1"/>
      <c r="O11" s="1"/>
      <c r="P11" s="115"/>
      <c r="Q11" s="1"/>
      <c r="R11" s="1"/>
      <c r="S11" s="1"/>
    </row>
    <row r="12" spans="1:19" x14ac:dyDescent="0.2">
      <c r="A12" s="115"/>
      <c r="B12" s="3" t="s">
        <v>9</v>
      </c>
      <c r="C12" s="103" t="str">
        <f>inp_sel_month</f>
        <v>Jun-26</v>
      </c>
      <c r="D12" s="1"/>
      <c r="E12" s="1"/>
      <c r="F12" s="1"/>
      <c r="G12" s="1"/>
      <c r="H12" s="1"/>
      <c r="I12" s="1"/>
      <c r="J12" s="1"/>
      <c r="K12" s="1"/>
      <c r="L12" s="1"/>
      <c r="M12" s="1"/>
      <c r="N12" s="1"/>
      <c r="O12" s="1"/>
      <c r="P12" s="115"/>
      <c r="Q12" s="1"/>
      <c r="R12" s="1"/>
      <c r="S12" s="1"/>
    </row>
    <row r="13" spans="1:19" x14ac:dyDescent="0.2">
      <c r="A13" s="115"/>
      <c r="B13" s="1"/>
      <c r="C13" s="1"/>
      <c r="D13" s="1"/>
      <c r="E13" s="1"/>
      <c r="F13" s="1"/>
      <c r="G13" s="1"/>
      <c r="H13" s="1"/>
      <c r="I13" s="1"/>
      <c r="J13" s="1"/>
      <c r="K13" s="1"/>
      <c r="L13" s="1"/>
      <c r="M13" s="1"/>
      <c r="N13" s="1"/>
      <c r="O13" s="1"/>
      <c r="P13" s="115"/>
      <c r="Q13" s="1"/>
      <c r="R13" s="1"/>
      <c r="S13" s="1"/>
    </row>
    <row r="14" spans="1:19" x14ac:dyDescent="0.2">
      <c r="A14" s="115"/>
      <c r="B14" s="87" t="s">
        <v>10</v>
      </c>
      <c r="C14" s="17"/>
      <c r="D14" s="17"/>
      <c r="E14" s="17"/>
      <c r="F14" s="17"/>
      <c r="G14" s="17"/>
      <c r="H14" s="17"/>
      <c r="I14" s="17"/>
      <c r="J14" s="17"/>
      <c r="K14" s="17"/>
      <c r="L14" s="17"/>
      <c r="M14" s="17"/>
      <c r="N14" s="17"/>
      <c r="O14" s="17"/>
      <c r="P14" s="115"/>
      <c r="Q14" s="1"/>
      <c r="R14" s="1"/>
      <c r="S14" s="1"/>
    </row>
    <row r="15" spans="1:19" x14ac:dyDescent="0.2">
      <c r="A15" s="115"/>
      <c r="B15" s="5" t="s">
        <v>11</v>
      </c>
      <c r="C15" s="6" t="s">
        <v>12</v>
      </c>
      <c r="D15" s="7" t="s">
        <v>13</v>
      </c>
      <c r="E15" s="5" t="s">
        <v>14</v>
      </c>
      <c r="F15" s="1"/>
      <c r="G15" s="1"/>
      <c r="H15" s="1"/>
      <c r="I15" s="1"/>
      <c r="J15" s="1"/>
      <c r="K15" s="1"/>
      <c r="L15" s="1"/>
      <c r="M15" s="1"/>
      <c r="N15" s="1"/>
      <c r="O15" s="1"/>
      <c r="P15" s="115"/>
      <c r="Q15" s="1"/>
      <c r="R15" s="1"/>
      <c r="S15" s="1"/>
    </row>
    <row r="16" spans="1:19" x14ac:dyDescent="0.2">
      <c r="A16" s="115"/>
      <c r="B16" s="8" t="s">
        <v>15</v>
      </c>
      <c r="C16" s="104">
        <v>0.55000000000000004</v>
      </c>
      <c r="D16" s="9" t="s">
        <v>16</v>
      </c>
      <c r="E16" s="10" t="s">
        <v>17</v>
      </c>
      <c r="F16" s="1"/>
      <c r="G16" s="1"/>
      <c r="H16" s="1"/>
      <c r="I16" s="1"/>
      <c r="J16" s="1"/>
      <c r="K16" s="1"/>
      <c r="L16" s="1"/>
      <c r="M16" s="1"/>
      <c r="N16" s="1"/>
      <c r="O16" s="1"/>
      <c r="P16" s="115"/>
      <c r="Q16" s="1"/>
      <c r="R16" s="1"/>
      <c r="S16" s="1"/>
    </row>
    <row r="17" spans="1:19" x14ac:dyDescent="0.2">
      <c r="A17" s="115"/>
      <c r="B17" s="1"/>
      <c r="C17" s="1"/>
      <c r="D17" s="1"/>
      <c r="E17" s="1"/>
      <c r="F17" s="1"/>
      <c r="G17" s="1"/>
      <c r="H17" s="1"/>
      <c r="I17" s="1"/>
      <c r="J17" s="1"/>
      <c r="K17" s="1"/>
      <c r="L17" s="1"/>
      <c r="M17" s="1"/>
      <c r="N17" s="1"/>
      <c r="O17" s="1"/>
      <c r="P17" s="115"/>
      <c r="Q17" s="1"/>
      <c r="R17" s="1"/>
      <c r="S17" s="1"/>
    </row>
    <row r="18" spans="1:19" x14ac:dyDescent="0.2">
      <c r="A18" s="115"/>
      <c r="B18" s="8" t="s">
        <v>18</v>
      </c>
      <c r="C18" s="104">
        <v>0.65</v>
      </c>
      <c r="D18" s="9" t="s">
        <v>16</v>
      </c>
      <c r="E18" s="10" t="s">
        <v>19</v>
      </c>
      <c r="F18" s="1"/>
      <c r="G18" s="1"/>
      <c r="H18" s="1"/>
      <c r="I18" s="1"/>
      <c r="J18" s="1"/>
      <c r="K18" s="1"/>
      <c r="L18" s="1"/>
      <c r="M18" s="1"/>
      <c r="N18" s="1"/>
      <c r="O18" s="1"/>
      <c r="P18" s="115"/>
      <c r="Q18" s="1"/>
      <c r="R18" s="1"/>
      <c r="S18" s="1"/>
    </row>
    <row r="19" spans="1:19" x14ac:dyDescent="0.2">
      <c r="A19" s="115"/>
      <c r="B19" s="1"/>
      <c r="C19" s="1"/>
      <c r="D19" s="1"/>
      <c r="E19" s="1"/>
      <c r="F19" s="1"/>
      <c r="G19" s="1"/>
      <c r="H19" s="1"/>
      <c r="I19" s="1"/>
      <c r="J19" s="1"/>
      <c r="K19" s="1"/>
      <c r="L19" s="1"/>
      <c r="M19" s="1"/>
      <c r="N19" s="1"/>
      <c r="O19" s="1"/>
      <c r="P19" s="115"/>
      <c r="Q19" s="1"/>
      <c r="R19" s="1"/>
      <c r="S19" s="1"/>
    </row>
    <row r="20" spans="1:19" x14ac:dyDescent="0.2">
      <c r="A20" s="115"/>
      <c r="B20" s="8" t="s">
        <v>20</v>
      </c>
      <c r="C20" s="105">
        <v>40</v>
      </c>
      <c r="D20" s="9" t="s">
        <v>21</v>
      </c>
      <c r="E20" s="10" t="s">
        <v>22</v>
      </c>
      <c r="F20" s="1"/>
      <c r="G20" s="1"/>
      <c r="H20" s="1"/>
      <c r="I20" s="1"/>
      <c r="J20" s="1"/>
      <c r="K20" s="1"/>
      <c r="L20" s="1"/>
      <c r="M20" s="1"/>
      <c r="N20" s="1"/>
      <c r="O20" s="1"/>
      <c r="P20" s="115"/>
      <c r="Q20" s="1"/>
      <c r="R20" s="1"/>
      <c r="S20" s="1"/>
    </row>
    <row r="21" spans="1:19" x14ac:dyDescent="0.2">
      <c r="A21" s="115"/>
      <c r="B21" s="1"/>
      <c r="C21" s="1"/>
      <c r="D21" s="1"/>
      <c r="E21" s="1"/>
      <c r="F21" s="1"/>
      <c r="G21" s="1"/>
      <c r="H21" s="1"/>
      <c r="I21" s="1"/>
      <c r="J21" s="1"/>
      <c r="K21" s="1"/>
      <c r="L21" s="1"/>
      <c r="M21" s="1"/>
      <c r="N21" s="1"/>
      <c r="O21" s="1"/>
      <c r="P21" s="115"/>
      <c r="Q21" s="1"/>
      <c r="R21" s="1"/>
      <c r="S21" s="1"/>
    </row>
    <row r="22" spans="1:19" x14ac:dyDescent="0.2">
      <c r="A22" s="115"/>
      <c r="B22" s="8" t="s">
        <v>23</v>
      </c>
      <c r="C22" s="105">
        <v>38</v>
      </c>
      <c r="D22" s="9" t="s">
        <v>24</v>
      </c>
      <c r="E22" s="10" t="s">
        <v>25</v>
      </c>
      <c r="F22" s="1"/>
      <c r="G22" s="1"/>
      <c r="H22" s="1"/>
      <c r="I22" s="1"/>
      <c r="J22" s="1"/>
      <c r="K22" s="1"/>
      <c r="L22" s="1"/>
      <c r="M22" s="1"/>
      <c r="N22" s="1"/>
      <c r="O22" s="1"/>
      <c r="P22" s="115"/>
      <c r="Q22" s="1"/>
      <c r="R22" s="1"/>
      <c r="S22" s="1"/>
    </row>
    <row r="23" spans="1:19" x14ac:dyDescent="0.2">
      <c r="A23" s="115"/>
      <c r="B23" s="1"/>
      <c r="C23" s="1"/>
      <c r="D23" s="1"/>
      <c r="E23" s="1"/>
      <c r="F23" s="1"/>
      <c r="G23" s="1"/>
      <c r="H23" s="1"/>
      <c r="I23" s="1"/>
      <c r="J23" s="1"/>
      <c r="K23" s="1"/>
      <c r="L23" s="1"/>
      <c r="M23" s="1"/>
      <c r="N23" s="1"/>
      <c r="O23" s="1"/>
      <c r="P23" s="115"/>
      <c r="Q23" s="1"/>
      <c r="R23" s="1"/>
      <c r="S23" s="1"/>
    </row>
    <row r="24" spans="1:19" x14ac:dyDescent="0.2">
      <c r="A24" s="115"/>
      <c r="B24" s="8" t="s">
        <v>26</v>
      </c>
      <c r="C24" s="104">
        <v>0.55000000000000004</v>
      </c>
      <c r="D24" s="9" t="s">
        <v>21</v>
      </c>
      <c r="E24" s="10" t="s">
        <v>27</v>
      </c>
      <c r="F24" s="1"/>
      <c r="G24" s="1"/>
      <c r="H24" s="1"/>
      <c r="I24" s="1"/>
      <c r="J24" s="1"/>
      <c r="K24" s="1"/>
      <c r="L24" s="1"/>
      <c r="M24" s="1"/>
      <c r="N24" s="1"/>
      <c r="O24" s="1"/>
      <c r="P24" s="115"/>
      <c r="Q24" s="1"/>
      <c r="R24" s="1"/>
      <c r="S24" s="1"/>
    </row>
    <row r="25" spans="1:19" x14ac:dyDescent="0.2">
      <c r="A25" s="115"/>
      <c r="B25" s="1"/>
      <c r="C25" s="1"/>
      <c r="D25" s="1"/>
      <c r="E25" s="1"/>
      <c r="F25" s="1"/>
      <c r="G25" s="1"/>
      <c r="H25" s="1"/>
      <c r="I25" s="1"/>
      <c r="J25" s="1"/>
      <c r="K25" s="1"/>
      <c r="L25" s="1"/>
      <c r="M25" s="1"/>
      <c r="N25" s="1"/>
      <c r="O25" s="1"/>
      <c r="P25" s="115"/>
      <c r="Q25" s="1"/>
      <c r="R25" s="1"/>
      <c r="S25" s="1"/>
    </row>
    <row r="26" spans="1:19" x14ac:dyDescent="0.2">
      <c r="A26" s="115"/>
      <c r="B26" s="8" t="s">
        <v>28</v>
      </c>
      <c r="C26" s="104">
        <v>0.65</v>
      </c>
      <c r="D26" s="9" t="s">
        <v>21</v>
      </c>
      <c r="E26" s="10" t="s">
        <v>29</v>
      </c>
      <c r="F26" s="1"/>
      <c r="G26" s="1"/>
      <c r="H26" s="1"/>
      <c r="I26" s="1"/>
      <c r="J26" s="1"/>
      <c r="K26" s="1"/>
      <c r="L26" s="1"/>
      <c r="M26" s="1"/>
      <c r="N26" s="1"/>
      <c r="O26" s="1"/>
      <c r="P26" s="115"/>
      <c r="Q26" s="1"/>
      <c r="R26" s="1"/>
      <c r="S26" s="1"/>
    </row>
    <row r="27" spans="1:19" x14ac:dyDescent="0.2">
      <c r="A27" s="115"/>
      <c r="B27" s="1"/>
      <c r="C27" s="1"/>
      <c r="D27" s="1"/>
      <c r="E27" s="1"/>
      <c r="F27" s="1"/>
      <c r="G27" s="1"/>
      <c r="H27" s="1"/>
      <c r="I27" s="1"/>
      <c r="J27" s="1"/>
      <c r="K27" s="1"/>
      <c r="L27" s="1"/>
      <c r="M27" s="1"/>
      <c r="N27" s="1"/>
      <c r="O27" s="1"/>
      <c r="P27" s="115"/>
      <c r="Q27" s="1"/>
      <c r="R27" s="1"/>
      <c r="S27" s="1"/>
    </row>
    <row r="28" spans="1:19" x14ac:dyDescent="0.2">
      <c r="A28" s="115"/>
      <c r="B28" s="1"/>
      <c r="C28" s="1"/>
      <c r="D28" s="1"/>
      <c r="E28" s="1"/>
      <c r="F28" s="1"/>
      <c r="G28" s="1"/>
      <c r="H28" s="1"/>
      <c r="I28" s="1"/>
      <c r="J28" s="1"/>
      <c r="K28" s="1"/>
      <c r="L28" s="1"/>
      <c r="M28" s="1"/>
      <c r="N28" s="1"/>
      <c r="O28" s="1"/>
      <c r="P28" s="115"/>
      <c r="Q28" s="1"/>
      <c r="R28" s="1"/>
      <c r="S28" s="1"/>
    </row>
    <row r="29" spans="1:19" x14ac:dyDescent="0.2">
      <c r="A29" s="115"/>
      <c r="B29" s="87" t="s">
        <v>30</v>
      </c>
      <c r="C29" s="17"/>
      <c r="D29" s="17"/>
      <c r="E29" s="17"/>
      <c r="F29" s="17"/>
      <c r="G29" s="17"/>
      <c r="H29" s="17"/>
      <c r="I29" s="17"/>
      <c r="J29" s="17"/>
      <c r="K29" s="17"/>
      <c r="L29" s="17"/>
      <c r="M29" s="17"/>
      <c r="N29" s="17"/>
      <c r="O29" s="17"/>
      <c r="P29" s="115"/>
      <c r="Q29" s="1"/>
      <c r="R29" s="1"/>
      <c r="S29" s="1"/>
    </row>
    <row r="30" spans="1:19" x14ac:dyDescent="0.2">
      <c r="A30" s="115"/>
      <c r="B30" s="89" t="s">
        <v>31</v>
      </c>
      <c r="C30" s="90" t="str">
        <f t="shared" ref="C30:O30" si="0">TEXT(C31,"mmm-yy")</f>
        <v>Jun-25</v>
      </c>
      <c r="D30" s="90" t="str">
        <f t="shared" si="0"/>
        <v>Jul-25</v>
      </c>
      <c r="E30" s="90" t="str">
        <f t="shared" si="0"/>
        <v>Aug-25</v>
      </c>
      <c r="F30" s="90" t="str">
        <f t="shared" si="0"/>
        <v>Sep-25</v>
      </c>
      <c r="G30" s="90" t="str">
        <f t="shared" si="0"/>
        <v>Oct-25</v>
      </c>
      <c r="H30" s="90" t="str">
        <f t="shared" si="0"/>
        <v>Nov-25</v>
      </c>
      <c r="I30" s="90" t="str">
        <f t="shared" si="0"/>
        <v>Dec-25</v>
      </c>
      <c r="J30" s="90" t="str">
        <f t="shared" si="0"/>
        <v>Jan-26</v>
      </c>
      <c r="K30" s="90" t="str">
        <f t="shared" si="0"/>
        <v>Feb-26</v>
      </c>
      <c r="L30" s="90" t="str">
        <f t="shared" si="0"/>
        <v>Mar-26</v>
      </c>
      <c r="M30" s="90" t="str">
        <f t="shared" si="0"/>
        <v>Apr-26</v>
      </c>
      <c r="N30" s="90" t="str">
        <f t="shared" si="0"/>
        <v>May-26</v>
      </c>
      <c r="O30" s="90" t="str">
        <f t="shared" si="0"/>
        <v>Jun-26</v>
      </c>
      <c r="P30" s="115"/>
      <c r="Q30" s="1"/>
      <c r="R30" s="1"/>
      <c r="S30" s="1"/>
    </row>
    <row r="31" spans="1:19" x14ac:dyDescent="0.2">
      <c r="A31" s="115"/>
      <c r="B31" s="10" t="s">
        <v>32</v>
      </c>
      <c r="C31" s="11">
        <f>EDATE(inp_latest_month,-12)</f>
        <v>45809</v>
      </c>
      <c r="D31" s="11">
        <f>EDATE(inp_latest_month,-11)</f>
        <v>45839</v>
      </c>
      <c r="E31" s="11">
        <f>EDATE(inp_latest_month,-10)</f>
        <v>45870</v>
      </c>
      <c r="F31" s="11">
        <f>EDATE(inp_latest_month,-9)</f>
        <v>45901</v>
      </c>
      <c r="G31" s="11">
        <f>EDATE(inp_latest_month,-8)</f>
        <v>45931</v>
      </c>
      <c r="H31" s="11">
        <f>EDATE(inp_latest_month,-7)</f>
        <v>45962</v>
      </c>
      <c r="I31" s="11">
        <f>EDATE(inp_latest_month,-6)</f>
        <v>45992</v>
      </c>
      <c r="J31" s="11">
        <f>EDATE(inp_latest_month,-5)</f>
        <v>46023</v>
      </c>
      <c r="K31" s="11">
        <f>EDATE(inp_latest_month,-4)</f>
        <v>46054</v>
      </c>
      <c r="L31" s="11">
        <f>EDATE(inp_latest_month,-3)</f>
        <v>46082</v>
      </c>
      <c r="M31" s="11">
        <f>EDATE(inp_latest_month,-2)</f>
        <v>46113</v>
      </c>
      <c r="N31" s="11">
        <f>EDATE(inp_latest_month,-1)</f>
        <v>46143</v>
      </c>
      <c r="O31" s="11">
        <f>EDATE(inp_latest_month,0)</f>
        <v>46174</v>
      </c>
      <c r="P31" s="115"/>
      <c r="Q31" s="1"/>
      <c r="R31" s="1"/>
      <c r="S31" s="1"/>
    </row>
    <row r="32" spans="1:19" x14ac:dyDescent="0.2">
      <c r="A32" s="115"/>
      <c r="B32" s="1"/>
      <c r="C32" s="1"/>
      <c r="D32" s="1"/>
      <c r="E32" s="1"/>
      <c r="F32" s="1"/>
      <c r="G32" s="1"/>
      <c r="H32" s="1"/>
      <c r="I32" s="1"/>
      <c r="J32" s="1"/>
      <c r="K32" s="1"/>
      <c r="L32" s="1"/>
      <c r="M32" s="1"/>
      <c r="N32" s="1"/>
      <c r="O32" s="1"/>
      <c r="P32" s="115"/>
      <c r="Q32" s="1"/>
      <c r="R32" s="1"/>
      <c r="S32" s="1"/>
    </row>
    <row r="33" spans="1:19" x14ac:dyDescent="0.2">
      <c r="A33" s="115"/>
      <c r="B33" s="10" t="s">
        <v>33</v>
      </c>
      <c r="C33" s="12">
        <f>IFERROR(MATCH(C12,C30:O30,0),13)</f>
        <v>13</v>
      </c>
      <c r="D33" s="1"/>
      <c r="E33" s="1"/>
      <c r="F33" s="1"/>
      <c r="G33" s="1"/>
      <c r="H33" s="1"/>
      <c r="I33" s="1"/>
      <c r="J33" s="1"/>
      <c r="K33" s="1"/>
      <c r="L33" s="1"/>
      <c r="M33" s="1"/>
      <c r="N33" s="1"/>
      <c r="O33" s="1"/>
      <c r="P33" s="115"/>
      <c r="Q33" s="1"/>
      <c r="R33" s="1"/>
      <c r="S33" s="1"/>
    </row>
    <row r="34" spans="1:19" x14ac:dyDescent="0.2">
      <c r="A34" s="115"/>
      <c r="B34" s="10" t="s">
        <v>34</v>
      </c>
      <c r="C34" s="13">
        <f>INDEX(calc_dates,calc_sel_idx)</f>
        <v>46174</v>
      </c>
      <c r="D34" s="1"/>
      <c r="E34" s="1"/>
      <c r="F34" s="1"/>
      <c r="G34" s="1"/>
      <c r="H34" s="1"/>
      <c r="I34" s="1"/>
      <c r="J34" s="1"/>
      <c r="K34" s="1"/>
      <c r="L34" s="1"/>
      <c r="M34" s="1"/>
      <c r="N34" s="1"/>
      <c r="O34" s="1"/>
      <c r="P34" s="115"/>
      <c r="Q34" s="1"/>
      <c r="R34" s="1"/>
      <c r="S34" s="1"/>
    </row>
    <row r="35" spans="1:19" x14ac:dyDescent="0.2">
      <c r="A35" s="115"/>
      <c r="B35" s="10" t="s">
        <v>35</v>
      </c>
      <c r="C35" s="13">
        <f>IF(MONTH(calc_sel_date)&gt;=inp_fy_start,DATE(YEAR(calc_sel_date),inp_fy_start,1),DATE(YEAR(calc_sel_date)-1,inp_fy_start,1))</f>
        <v>45839</v>
      </c>
      <c r="D35" s="1"/>
      <c r="E35" s="1"/>
      <c r="F35" s="1"/>
      <c r="G35" s="1"/>
      <c r="H35" s="1"/>
      <c r="I35" s="1"/>
      <c r="J35" s="1"/>
      <c r="K35" s="1"/>
      <c r="L35" s="1"/>
      <c r="M35" s="1"/>
      <c r="N35" s="1"/>
      <c r="O35" s="1"/>
      <c r="P35" s="115"/>
      <c r="Q35" s="1"/>
      <c r="R35" s="1"/>
      <c r="S35" s="1"/>
    </row>
    <row r="36" spans="1:19" x14ac:dyDescent="0.2">
      <c r="A36" s="115"/>
      <c r="B36" s="10" t="s">
        <v>36</v>
      </c>
      <c r="C36" s="14" t="str">
        <f>INDEX(calc_labels,13)</f>
        <v>Jun-26</v>
      </c>
      <c r="D36" s="1"/>
      <c r="E36" s="1"/>
      <c r="F36" s="1"/>
      <c r="G36" s="1"/>
      <c r="H36" s="1"/>
      <c r="I36" s="1"/>
      <c r="J36" s="1"/>
      <c r="K36" s="1"/>
      <c r="L36" s="1"/>
      <c r="M36" s="1"/>
      <c r="N36" s="1"/>
      <c r="O36" s="1"/>
      <c r="P36" s="115"/>
      <c r="Q36" s="1"/>
      <c r="R36" s="1"/>
      <c r="S36" s="1"/>
    </row>
    <row r="37" spans="1:19" x14ac:dyDescent="0.2">
      <c r="A37" s="115"/>
      <c r="B37" s="1"/>
      <c r="C37" s="1"/>
      <c r="D37" s="1"/>
      <c r="E37" s="1"/>
      <c r="F37" s="1"/>
      <c r="G37" s="1"/>
      <c r="H37" s="1"/>
      <c r="I37" s="1"/>
      <c r="J37" s="1"/>
      <c r="K37" s="1"/>
      <c r="L37" s="1"/>
      <c r="M37" s="1"/>
      <c r="N37" s="1"/>
      <c r="O37" s="1"/>
      <c r="P37" s="115"/>
      <c r="Q37" s="1"/>
      <c r="R37" s="1"/>
      <c r="S37" s="1"/>
    </row>
    <row r="38" spans="1:19" x14ac:dyDescent="0.2">
      <c r="A38" s="115"/>
      <c r="B38" s="87" t="s">
        <v>37</v>
      </c>
      <c r="C38" s="17"/>
      <c r="D38" s="17"/>
      <c r="E38" s="17"/>
      <c r="F38" s="17"/>
      <c r="G38" s="17"/>
      <c r="H38" s="17"/>
      <c r="I38" s="17"/>
      <c r="J38" s="17"/>
      <c r="K38" s="17"/>
      <c r="L38" s="17"/>
      <c r="M38" s="17"/>
      <c r="N38" s="17"/>
      <c r="O38" s="17"/>
      <c r="P38" s="115"/>
      <c r="Q38" s="1"/>
      <c r="R38" s="1"/>
      <c r="S38" s="1"/>
    </row>
    <row r="39" spans="1:19" x14ac:dyDescent="0.2">
      <c r="A39" s="115"/>
      <c r="B39" s="89" t="s">
        <v>38</v>
      </c>
      <c r="C39" s="90" t="str">
        <f t="shared" ref="C39:O39" si="1">C30</f>
        <v>Jun-25</v>
      </c>
      <c r="D39" s="90" t="str">
        <f t="shared" si="1"/>
        <v>Jul-25</v>
      </c>
      <c r="E39" s="90" t="str">
        <f t="shared" si="1"/>
        <v>Aug-25</v>
      </c>
      <c r="F39" s="90" t="str">
        <f t="shared" si="1"/>
        <v>Sep-25</v>
      </c>
      <c r="G39" s="90" t="str">
        <f t="shared" si="1"/>
        <v>Oct-25</v>
      </c>
      <c r="H39" s="90" t="str">
        <f t="shared" si="1"/>
        <v>Nov-25</v>
      </c>
      <c r="I39" s="90" t="str">
        <f t="shared" si="1"/>
        <v>Dec-25</v>
      </c>
      <c r="J39" s="90" t="str">
        <f t="shared" si="1"/>
        <v>Jan-26</v>
      </c>
      <c r="K39" s="90" t="str">
        <f t="shared" si="1"/>
        <v>Feb-26</v>
      </c>
      <c r="L39" s="90" t="str">
        <f t="shared" si="1"/>
        <v>Mar-26</v>
      </c>
      <c r="M39" s="90" t="str">
        <f t="shared" si="1"/>
        <v>Apr-26</v>
      </c>
      <c r="N39" s="90" t="str">
        <f t="shared" si="1"/>
        <v>May-26</v>
      </c>
      <c r="O39" s="90" t="str">
        <f t="shared" si="1"/>
        <v>Jun-26</v>
      </c>
      <c r="P39" s="115"/>
      <c r="Q39" s="1"/>
      <c r="R39" s="1"/>
      <c r="S39" s="1"/>
    </row>
    <row r="40" spans="1:19" x14ac:dyDescent="0.2">
      <c r="A40" s="115"/>
      <c r="B40" s="88" t="s">
        <v>39</v>
      </c>
      <c r="C40" s="1"/>
      <c r="D40" s="1"/>
      <c r="E40" s="1"/>
      <c r="F40" s="1"/>
      <c r="G40" s="1"/>
      <c r="H40" s="1"/>
      <c r="I40" s="1"/>
      <c r="J40" s="1"/>
      <c r="K40" s="1"/>
      <c r="L40" s="1"/>
      <c r="M40" s="1"/>
      <c r="N40" s="1"/>
      <c r="O40" s="1"/>
      <c r="P40" s="115"/>
      <c r="Q40" s="1"/>
      <c r="R40" s="1"/>
      <c r="S40" s="1"/>
    </row>
    <row r="41" spans="1:19" x14ac:dyDescent="0.2">
      <c r="A41" s="115"/>
      <c r="B41" s="94" t="s">
        <v>40</v>
      </c>
      <c r="C41" s="91"/>
      <c r="D41" s="91"/>
      <c r="E41" s="91"/>
      <c r="F41" s="91"/>
      <c r="G41" s="91"/>
      <c r="H41" s="91"/>
      <c r="I41" s="91"/>
      <c r="J41" s="91"/>
      <c r="K41" s="91"/>
      <c r="L41" s="91"/>
      <c r="M41" s="91"/>
      <c r="N41" s="91"/>
      <c r="O41" s="91"/>
      <c r="P41" s="115"/>
      <c r="Q41" s="1"/>
      <c r="R41" s="1"/>
      <c r="S41" s="1"/>
    </row>
    <row r="42" spans="1:19" x14ac:dyDescent="0.2">
      <c r="A42" s="115"/>
      <c r="B42" s="10" t="s">
        <v>41</v>
      </c>
      <c r="C42" s="91"/>
      <c r="D42" s="91"/>
      <c r="E42" s="91"/>
      <c r="F42" s="91"/>
      <c r="G42" s="91"/>
      <c r="H42" s="91"/>
      <c r="I42" s="91"/>
      <c r="J42" s="91"/>
      <c r="K42" s="91"/>
      <c r="L42" s="91"/>
      <c r="M42" s="91"/>
      <c r="N42" s="91"/>
      <c r="O42" s="91"/>
      <c r="P42" s="115"/>
      <c r="Q42" s="1"/>
      <c r="R42" s="1"/>
      <c r="S42" s="1"/>
    </row>
    <row r="43" spans="1:19" x14ac:dyDescent="0.2">
      <c r="A43" s="115"/>
      <c r="B43" s="10" t="s">
        <v>42</v>
      </c>
      <c r="C43" s="91"/>
      <c r="D43" s="91"/>
      <c r="E43" s="91"/>
      <c r="F43" s="91"/>
      <c r="G43" s="91"/>
      <c r="H43" s="91"/>
      <c r="I43" s="91"/>
      <c r="J43" s="91"/>
      <c r="K43" s="91"/>
      <c r="L43" s="91"/>
      <c r="M43" s="91"/>
      <c r="N43" s="91"/>
      <c r="O43" s="91"/>
      <c r="P43" s="115"/>
      <c r="Q43" s="1"/>
      <c r="R43" s="1"/>
      <c r="S43" s="1"/>
    </row>
    <row r="44" spans="1:19" x14ac:dyDescent="0.2">
      <c r="A44" s="115"/>
      <c r="B44" s="94" t="s">
        <v>43</v>
      </c>
      <c r="C44" s="91"/>
      <c r="D44" s="91"/>
      <c r="E44" s="91"/>
      <c r="F44" s="91"/>
      <c r="G44" s="91"/>
      <c r="H44" s="91"/>
      <c r="I44" s="91"/>
      <c r="J44" s="91"/>
      <c r="K44" s="91"/>
      <c r="L44" s="91"/>
      <c r="M44" s="91"/>
      <c r="N44" s="91"/>
      <c r="O44" s="91"/>
      <c r="P44" s="115"/>
      <c r="Q44" s="1"/>
      <c r="R44" s="1"/>
      <c r="S44" s="1"/>
    </row>
    <row r="45" spans="1:19" x14ac:dyDescent="0.2">
      <c r="A45" s="115"/>
      <c r="B45" s="10" t="s">
        <v>41</v>
      </c>
      <c r="C45" s="91"/>
      <c r="D45" s="91"/>
      <c r="E45" s="91"/>
      <c r="F45" s="91"/>
      <c r="G45" s="91"/>
      <c r="H45" s="91"/>
      <c r="I45" s="91"/>
      <c r="J45" s="91"/>
      <c r="K45" s="91"/>
      <c r="L45" s="91"/>
      <c r="M45" s="91"/>
      <c r="N45" s="91"/>
      <c r="O45" s="91"/>
      <c r="P45" s="115"/>
      <c r="Q45" s="1"/>
      <c r="R45" s="1"/>
      <c r="S45" s="1"/>
    </row>
    <row r="46" spans="1:19" x14ac:dyDescent="0.2">
      <c r="A46" s="115"/>
      <c r="B46" s="10" t="s">
        <v>42</v>
      </c>
      <c r="C46" s="91"/>
      <c r="D46" s="91"/>
      <c r="E46" s="91"/>
      <c r="F46" s="91"/>
      <c r="G46" s="91"/>
      <c r="H46" s="91"/>
      <c r="I46" s="91"/>
      <c r="J46" s="91"/>
      <c r="K46" s="91"/>
      <c r="L46" s="91"/>
      <c r="M46" s="91"/>
      <c r="N46" s="91"/>
      <c r="O46" s="91"/>
      <c r="P46" s="115"/>
      <c r="Q46" s="1"/>
      <c r="R46" s="1"/>
      <c r="S46" s="1"/>
    </row>
    <row r="47" spans="1:19" x14ac:dyDescent="0.2">
      <c r="A47" s="115"/>
      <c r="B47" s="94" t="s">
        <v>44</v>
      </c>
      <c r="C47" s="91"/>
      <c r="D47" s="91"/>
      <c r="E47" s="91"/>
      <c r="F47" s="91"/>
      <c r="G47" s="91"/>
      <c r="H47" s="91"/>
      <c r="I47" s="91"/>
      <c r="J47" s="91"/>
      <c r="K47" s="91"/>
      <c r="L47" s="91"/>
      <c r="M47" s="91"/>
      <c r="N47" s="91"/>
      <c r="O47" s="91"/>
      <c r="P47" s="115"/>
      <c r="Q47" s="1"/>
      <c r="R47" s="1"/>
      <c r="S47" s="1"/>
    </row>
    <row r="48" spans="1:19" x14ac:dyDescent="0.2">
      <c r="A48" s="115"/>
      <c r="B48" s="10" t="s">
        <v>41</v>
      </c>
      <c r="C48" s="91"/>
      <c r="D48" s="91"/>
      <c r="E48" s="91"/>
      <c r="F48" s="91"/>
      <c r="G48" s="91"/>
      <c r="H48" s="91"/>
      <c r="I48" s="91"/>
      <c r="J48" s="91"/>
      <c r="K48" s="91"/>
      <c r="L48" s="91"/>
      <c r="M48" s="91"/>
      <c r="N48" s="91"/>
      <c r="O48" s="91"/>
      <c r="P48" s="115"/>
      <c r="Q48" s="1"/>
      <c r="R48" s="1"/>
      <c r="S48" s="1"/>
    </row>
    <row r="49" spans="1:19" x14ac:dyDescent="0.2">
      <c r="A49" s="115"/>
      <c r="B49" s="10" t="s">
        <v>42</v>
      </c>
      <c r="C49" s="91"/>
      <c r="D49" s="91"/>
      <c r="E49" s="91"/>
      <c r="F49" s="91"/>
      <c r="G49" s="91"/>
      <c r="H49" s="91"/>
      <c r="I49" s="91"/>
      <c r="J49" s="91"/>
      <c r="K49" s="91"/>
      <c r="L49" s="91"/>
      <c r="M49" s="91"/>
      <c r="N49" s="91"/>
      <c r="O49" s="91"/>
      <c r="P49" s="115"/>
      <c r="Q49" s="1"/>
      <c r="R49" s="1"/>
      <c r="S49" s="1"/>
    </row>
    <row r="50" spans="1:19" x14ac:dyDescent="0.2">
      <c r="A50" s="115"/>
      <c r="B50" s="94" t="s">
        <v>45</v>
      </c>
      <c r="C50" s="91"/>
      <c r="D50" s="91"/>
      <c r="E50" s="91"/>
      <c r="F50" s="91"/>
      <c r="G50" s="91"/>
      <c r="H50" s="91"/>
      <c r="I50" s="91"/>
      <c r="J50" s="91"/>
      <c r="K50" s="91"/>
      <c r="L50" s="91"/>
      <c r="M50" s="91"/>
      <c r="N50" s="91"/>
      <c r="O50" s="91"/>
      <c r="P50" s="115"/>
      <c r="Q50" s="1"/>
      <c r="R50" s="1"/>
      <c r="S50" s="1"/>
    </row>
    <row r="51" spans="1:19" x14ac:dyDescent="0.2">
      <c r="A51" s="115"/>
      <c r="B51" s="10" t="s">
        <v>41</v>
      </c>
      <c r="C51" s="91"/>
      <c r="D51" s="91"/>
      <c r="E51" s="91"/>
      <c r="F51" s="91"/>
      <c r="G51" s="91"/>
      <c r="H51" s="91"/>
      <c r="I51" s="91"/>
      <c r="J51" s="91"/>
      <c r="K51" s="91"/>
      <c r="L51" s="91"/>
      <c r="M51" s="91"/>
      <c r="N51" s="91"/>
      <c r="O51" s="91"/>
      <c r="P51" s="115"/>
      <c r="Q51" s="1"/>
      <c r="R51" s="1"/>
      <c r="S51" s="1"/>
    </row>
    <row r="52" spans="1:19" x14ac:dyDescent="0.2">
      <c r="A52" s="115"/>
      <c r="B52" s="10" t="s">
        <v>42</v>
      </c>
      <c r="C52" s="91"/>
      <c r="D52" s="91"/>
      <c r="E52" s="91"/>
      <c r="F52" s="91"/>
      <c r="G52" s="91"/>
      <c r="H52" s="91"/>
      <c r="I52" s="91"/>
      <c r="J52" s="91"/>
      <c r="K52" s="91"/>
      <c r="L52" s="91"/>
      <c r="M52" s="91"/>
      <c r="N52" s="91"/>
      <c r="O52" s="91"/>
      <c r="P52" s="115"/>
      <c r="Q52" s="1"/>
      <c r="R52" s="1"/>
      <c r="S52" s="1"/>
    </row>
    <row r="53" spans="1:19" x14ac:dyDescent="0.2">
      <c r="A53" s="115"/>
      <c r="B53" s="94" t="s">
        <v>46</v>
      </c>
      <c r="C53" s="91"/>
      <c r="D53" s="91"/>
      <c r="E53" s="91"/>
      <c r="F53" s="91"/>
      <c r="G53" s="91"/>
      <c r="H53" s="91"/>
      <c r="I53" s="91"/>
      <c r="J53" s="91"/>
      <c r="K53" s="91"/>
      <c r="L53" s="91"/>
      <c r="M53" s="91"/>
      <c r="N53" s="91"/>
      <c r="O53" s="91"/>
      <c r="P53" s="115"/>
      <c r="Q53" s="1"/>
      <c r="R53" s="1"/>
      <c r="S53" s="1"/>
    </row>
    <row r="54" spans="1:19" x14ac:dyDescent="0.2">
      <c r="A54" s="115"/>
      <c r="B54" s="10" t="s">
        <v>41</v>
      </c>
      <c r="C54" s="91"/>
      <c r="D54" s="91"/>
      <c r="E54" s="91"/>
      <c r="F54" s="91"/>
      <c r="G54" s="91"/>
      <c r="H54" s="91"/>
      <c r="I54" s="91"/>
      <c r="J54" s="91"/>
      <c r="K54" s="91"/>
      <c r="L54" s="91"/>
      <c r="M54" s="91"/>
      <c r="N54" s="91"/>
      <c r="O54" s="91"/>
      <c r="P54" s="115"/>
      <c r="Q54" s="1"/>
      <c r="R54" s="1"/>
      <c r="S54" s="1"/>
    </row>
    <row r="55" spans="1:19" x14ac:dyDescent="0.2">
      <c r="A55" s="115"/>
      <c r="B55" s="10" t="s">
        <v>42</v>
      </c>
      <c r="C55" s="91"/>
      <c r="D55" s="91"/>
      <c r="E55" s="91"/>
      <c r="F55" s="91"/>
      <c r="G55" s="91"/>
      <c r="H55" s="91"/>
      <c r="I55" s="91"/>
      <c r="J55" s="91"/>
      <c r="K55" s="91"/>
      <c r="L55" s="91"/>
      <c r="M55" s="91"/>
      <c r="N55" s="91"/>
      <c r="O55" s="91"/>
      <c r="P55" s="115"/>
      <c r="Q55" s="1"/>
      <c r="R55" s="1"/>
      <c r="S55" s="1"/>
    </row>
    <row r="56" spans="1:19" x14ac:dyDescent="0.2">
      <c r="A56" s="115"/>
      <c r="B56" s="94" t="s">
        <v>47</v>
      </c>
      <c r="C56" s="92"/>
      <c r="D56" s="92"/>
      <c r="E56" s="92"/>
      <c r="F56" s="92"/>
      <c r="G56" s="92"/>
      <c r="H56" s="92"/>
      <c r="I56" s="92"/>
      <c r="J56" s="92"/>
      <c r="K56" s="92"/>
      <c r="L56" s="92"/>
      <c r="M56" s="92"/>
      <c r="N56" s="92"/>
      <c r="O56" s="92"/>
      <c r="P56" s="115"/>
      <c r="Q56" s="1"/>
      <c r="R56" s="1"/>
      <c r="S56" s="1"/>
    </row>
    <row r="57" spans="1:19" x14ac:dyDescent="0.2">
      <c r="A57" s="115"/>
      <c r="B57" s="10" t="s">
        <v>41</v>
      </c>
      <c r="C57" s="92"/>
      <c r="D57" s="92"/>
      <c r="E57" s="92"/>
      <c r="F57" s="92"/>
      <c r="G57" s="92"/>
      <c r="H57" s="92"/>
      <c r="I57" s="92"/>
      <c r="J57" s="92"/>
      <c r="K57" s="92"/>
      <c r="L57" s="92"/>
      <c r="M57" s="92"/>
      <c r="N57" s="92"/>
      <c r="O57" s="92"/>
      <c r="P57" s="115"/>
      <c r="Q57" s="1"/>
      <c r="R57" s="1"/>
      <c r="S57" s="1"/>
    </row>
    <row r="58" spans="1:19" x14ac:dyDescent="0.2">
      <c r="A58" s="115"/>
      <c r="B58" s="10" t="s">
        <v>42</v>
      </c>
      <c r="C58" s="92"/>
      <c r="D58" s="92"/>
      <c r="E58" s="92"/>
      <c r="F58" s="92"/>
      <c r="G58" s="92"/>
      <c r="H58" s="92"/>
      <c r="I58" s="92"/>
      <c r="J58" s="92"/>
      <c r="K58" s="92"/>
      <c r="L58" s="92"/>
      <c r="M58" s="92"/>
      <c r="N58" s="92"/>
      <c r="O58" s="92"/>
      <c r="P58" s="115"/>
      <c r="Q58" s="1"/>
      <c r="R58" s="1"/>
      <c r="S58" s="1"/>
    </row>
    <row r="59" spans="1:19" x14ac:dyDescent="0.2">
      <c r="A59" s="115"/>
      <c r="B59" s="94" t="s">
        <v>48</v>
      </c>
      <c r="C59" s="92"/>
      <c r="D59" s="92"/>
      <c r="E59" s="92"/>
      <c r="F59" s="92"/>
      <c r="G59" s="92"/>
      <c r="H59" s="92"/>
      <c r="I59" s="92"/>
      <c r="J59" s="92"/>
      <c r="K59" s="92"/>
      <c r="L59" s="92"/>
      <c r="M59" s="92"/>
      <c r="N59" s="92"/>
      <c r="O59" s="92"/>
      <c r="P59" s="115"/>
      <c r="Q59" s="1"/>
      <c r="R59" s="1"/>
      <c r="S59" s="1"/>
    </row>
    <row r="60" spans="1:19" x14ac:dyDescent="0.2">
      <c r="A60" s="115"/>
      <c r="B60" s="10" t="s">
        <v>41</v>
      </c>
      <c r="C60" s="92"/>
      <c r="D60" s="92"/>
      <c r="E60" s="92"/>
      <c r="F60" s="92"/>
      <c r="G60" s="92"/>
      <c r="H60" s="92"/>
      <c r="I60" s="92"/>
      <c r="J60" s="92"/>
      <c r="K60" s="92"/>
      <c r="L60" s="92"/>
      <c r="M60" s="92"/>
      <c r="N60" s="92"/>
      <c r="O60" s="92"/>
      <c r="P60" s="115"/>
      <c r="Q60" s="1"/>
      <c r="R60" s="1"/>
      <c r="S60" s="1"/>
    </row>
    <row r="61" spans="1:19" x14ac:dyDescent="0.2">
      <c r="A61" s="115"/>
      <c r="B61" s="10" t="s">
        <v>42</v>
      </c>
      <c r="C61" s="92"/>
      <c r="D61" s="92"/>
      <c r="E61" s="92"/>
      <c r="F61" s="92"/>
      <c r="G61" s="92"/>
      <c r="H61" s="92"/>
      <c r="I61" s="92"/>
      <c r="J61" s="92"/>
      <c r="K61" s="92"/>
      <c r="L61" s="92"/>
      <c r="M61" s="92"/>
      <c r="N61" s="92"/>
      <c r="O61" s="92"/>
      <c r="P61" s="115"/>
      <c r="Q61" s="1"/>
      <c r="R61" s="1"/>
      <c r="S61" s="1"/>
    </row>
    <row r="62" spans="1:19" x14ac:dyDescent="0.2">
      <c r="A62" s="115"/>
      <c r="B62" s="94" t="s">
        <v>49</v>
      </c>
      <c r="C62" s="92"/>
      <c r="D62" s="92"/>
      <c r="E62" s="92"/>
      <c r="F62" s="92"/>
      <c r="G62" s="92"/>
      <c r="H62" s="92"/>
      <c r="I62" s="92"/>
      <c r="J62" s="92"/>
      <c r="K62" s="92"/>
      <c r="L62" s="92"/>
      <c r="M62" s="92"/>
      <c r="N62" s="92"/>
      <c r="O62" s="92"/>
      <c r="P62" s="115"/>
      <c r="Q62" s="1"/>
      <c r="R62" s="1"/>
      <c r="S62" s="1"/>
    </row>
    <row r="63" spans="1:19" x14ac:dyDescent="0.2">
      <c r="A63" s="115"/>
      <c r="B63" s="10" t="s">
        <v>41</v>
      </c>
      <c r="C63" s="92"/>
      <c r="D63" s="92"/>
      <c r="E63" s="92"/>
      <c r="F63" s="92"/>
      <c r="G63" s="92"/>
      <c r="H63" s="92"/>
      <c r="I63" s="92"/>
      <c r="J63" s="92"/>
      <c r="K63" s="92"/>
      <c r="L63" s="92"/>
      <c r="M63" s="92"/>
      <c r="N63" s="92"/>
      <c r="O63" s="92"/>
      <c r="P63" s="115"/>
      <c r="Q63" s="1"/>
      <c r="R63" s="1"/>
      <c r="S63" s="1"/>
    </row>
    <row r="64" spans="1:19" x14ac:dyDescent="0.2">
      <c r="A64" s="115"/>
      <c r="B64" s="10" t="s">
        <v>42</v>
      </c>
      <c r="C64" s="92"/>
      <c r="D64" s="92"/>
      <c r="E64" s="92"/>
      <c r="F64" s="92"/>
      <c r="G64" s="92"/>
      <c r="H64" s="92"/>
      <c r="I64" s="92"/>
      <c r="J64" s="92"/>
      <c r="K64" s="92"/>
      <c r="L64" s="92"/>
      <c r="M64" s="92"/>
      <c r="N64" s="92"/>
      <c r="O64" s="92"/>
      <c r="P64" s="115"/>
      <c r="Q64" s="1"/>
      <c r="R64" s="1"/>
      <c r="S64" s="1"/>
    </row>
    <row r="65" spans="1:19" x14ac:dyDescent="0.2">
      <c r="A65" s="115"/>
      <c r="B65" s="94" t="s">
        <v>50</v>
      </c>
      <c r="C65" s="92"/>
      <c r="D65" s="92"/>
      <c r="E65" s="92"/>
      <c r="F65" s="92"/>
      <c r="G65" s="92"/>
      <c r="H65" s="92"/>
      <c r="I65" s="92"/>
      <c r="J65" s="92"/>
      <c r="K65" s="92"/>
      <c r="L65" s="92"/>
      <c r="M65" s="92"/>
      <c r="N65" s="92"/>
      <c r="O65" s="92"/>
      <c r="P65" s="115"/>
      <c r="Q65" s="1"/>
      <c r="R65" s="1"/>
      <c r="S65" s="1"/>
    </row>
    <row r="66" spans="1:19" x14ac:dyDescent="0.2">
      <c r="A66" s="115"/>
      <c r="B66" s="10" t="s">
        <v>41</v>
      </c>
      <c r="C66" s="92"/>
      <c r="D66" s="92"/>
      <c r="E66" s="92"/>
      <c r="F66" s="92"/>
      <c r="G66" s="92"/>
      <c r="H66" s="92"/>
      <c r="I66" s="92"/>
      <c r="J66" s="92"/>
      <c r="K66" s="92"/>
      <c r="L66" s="92"/>
      <c r="M66" s="92"/>
      <c r="N66" s="92"/>
      <c r="O66" s="92"/>
      <c r="P66" s="115"/>
      <c r="Q66" s="1"/>
      <c r="R66" s="1"/>
      <c r="S66" s="1"/>
    </row>
    <row r="67" spans="1:19" x14ac:dyDescent="0.2">
      <c r="A67" s="115"/>
      <c r="B67" s="10" t="s">
        <v>42</v>
      </c>
      <c r="C67" s="92"/>
      <c r="D67" s="92"/>
      <c r="E67" s="92"/>
      <c r="F67" s="92"/>
      <c r="G67" s="92"/>
      <c r="H67" s="92"/>
      <c r="I67" s="92"/>
      <c r="J67" s="92"/>
      <c r="K67" s="92"/>
      <c r="L67" s="92"/>
      <c r="M67" s="92"/>
      <c r="N67" s="92"/>
      <c r="O67" s="92"/>
      <c r="P67" s="115"/>
      <c r="Q67" s="1"/>
      <c r="R67" s="1"/>
      <c r="S67" s="1"/>
    </row>
    <row r="68" spans="1:19" x14ac:dyDescent="0.2">
      <c r="A68" s="115"/>
      <c r="B68" s="94" t="s">
        <v>51</v>
      </c>
      <c r="C68" s="92"/>
      <c r="D68" s="92"/>
      <c r="E68" s="92"/>
      <c r="F68" s="92"/>
      <c r="G68" s="92"/>
      <c r="H68" s="92"/>
      <c r="I68" s="92"/>
      <c r="J68" s="92"/>
      <c r="K68" s="92"/>
      <c r="L68" s="92"/>
      <c r="M68" s="92"/>
      <c r="N68" s="92"/>
      <c r="O68" s="92"/>
      <c r="P68" s="115"/>
      <c r="Q68" s="1"/>
      <c r="R68" s="1"/>
      <c r="S68" s="1"/>
    </row>
    <row r="69" spans="1:19" x14ac:dyDescent="0.2">
      <c r="A69" s="115"/>
      <c r="B69" s="10" t="s">
        <v>41</v>
      </c>
      <c r="C69" s="92"/>
      <c r="D69" s="92"/>
      <c r="E69" s="92"/>
      <c r="F69" s="92"/>
      <c r="G69" s="92"/>
      <c r="H69" s="92"/>
      <c r="I69" s="92"/>
      <c r="J69" s="92"/>
      <c r="K69" s="92"/>
      <c r="L69" s="92"/>
      <c r="M69" s="92"/>
      <c r="N69" s="92"/>
      <c r="O69" s="92"/>
      <c r="P69" s="115"/>
      <c r="Q69" s="1"/>
      <c r="R69" s="1"/>
      <c r="S69" s="1"/>
    </row>
    <row r="70" spans="1:19" x14ac:dyDescent="0.2">
      <c r="A70" s="115"/>
      <c r="B70" s="10" t="s">
        <v>42</v>
      </c>
      <c r="C70" s="92"/>
      <c r="D70" s="92"/>
      <c r="E70" s="92"/>
      <c r="F70" s="92"/>
      <c r="G70" s="92"/>
      <c r="H70" s="92"/>
      <c r="I70" s="92"/>
      <c r="J70" s="92"/>
      <c r="K70" s="92"/>
      <c r="L70" s="92"/>
      <c r="M70" s="92"/>
      <c r="N70" s="92"/>
      <c r="O70" s="92"/>
      <c r="P70" s="115"/>
      <c r="Q70" s="1"/>
      <c r="R70" s="1"/>
      <c r="S70" s="1"/>
    </row>
    <row r="71" spans="1:19" x14ac:dyDescent="0.2">
      <c r="A71" s="115"/>
      <c r="B71" s="95" t="s">
        <v>52</v>
      </c>
      <c r="C71" s="98">
        <f t="shared" ref="C71:N71" si="2">C41+C44+C47+C50+C53</f>
        <v>0</v>
      </c>
      <c r="D71" s="98">
        <f t="shared" si="2"/>
        <v>0</v>
      </c>
      <c r="E71" s="98">
        <f t="shared" si="2"/>
        <v>0</v>
      </c>
      <c r="F71" s="98">
        <f t="shared" si="2"/>
        <v>0</v>
      </c>
      <c r="G71" s="98">
        <f t="shared" si="2"/>
        <v>0</v>
      </c>
      <c r="H71" s="98">
        <f t="shared" si="2"/>
        <v>0</v>
      </c>
      <c r="I71" s="98">
        <f t="shared" si="2"/>
        <v>0</v>
      </c>
      <c r="J71" s="98">
        <f t="shared" si="2"/>
        <v>0</v>
      </c>
      <c r="K71" s="98">
        <f t="shared" si="2"/>
        <v>0</v>
      </c>
      <c r="L71" s="98">
        <f t="shared" si="2"/>
        <v>0</v>
      </c>
      <c r="M71" s="98">
        <f t="shared" si="2"/>
        <v>0</v>
      </c>
      <c r="N71" s="98">
        <f t="shared" si="2"/>
        <v>0</v>
      </c>
      <c r="O71" s="98">
        <f>O41+O44+O47+O50+O53</f>
        <v>0</v>
      </c>
      <c r="P71" s="115"/>
      <c r="Q71" s="1"/>
      <c r="R71" s="1"/>
      <c r="S71" s="1"/>
    </row>
    <row r="72" spans="1:19" x14ac:dyDescent="0.2">
      <c r="A72" s="115"/>
      <c r="B72" s="10" t="s">
        <v>53</v>
      </c>
      <c r="C72" s="98">
        <f t="shared" ref="C72:O72" si="3">C42+C45+C48+C51+C54</f>
        <v>0</v>
      </c>
      <c r="D72" s="98">
        <f t="shared" si="3"/>
        <v>0</v>
      </c>
      <c r="E72" s="98">
        <f t="shared" si="3"/>
        <v>0</v>
      </c>
      <c r="F72" s="98">
        <f t="shared" si="3"/>
        <v>0</v>
      </c>
      <c r="G72" s="98">
        <f t="shared" si="3"/>
        <v>0</v>
      </c>
      <c r="H72" s="98">
        <f t="shared" si="3"/>
        <v>0</v>
      </c>
      <c r="I72" s="98">
        <f t="shared" si="3"/>
        <v>0</v>
      </c>
      <c r="J72" s="98">
        <f t="shared" si="3"/>
        <v>0</v>
      </c>
      <c r="K72" s="98">
        <f t="shared" si="3"/>
        <v>0</v>
      </c>
      <c r="L72" s="98">
        <f t="shared" si="3"/>
        <v>0</v>
      </c>
      <c r="M72" s="98">
        <f t="shared" si="3"/>
        <v>0</v>
      </c>
      <c r="N72" s="98">
        <f t="shared" si="3"/>
        <v>0</v>
      </c>
      <c r="O72" s="98">
        <f t="shared" si="3"/>
        <v>0</v>
      </c>
      <c r="P72" s="115"/>
      <c r="Q72" s="1"/>
      <c r="R72" s="1"/>
      <c r="S72" s="1"/>
    </row>
    <row r="73" spans="1:19" x14ac:dyDescent="0.2">
      <c r="A73" s="115"/>
      <c r="B73" s="10" t="s">
        <v>54</v>
      </c>
      <c r="C73" s="98">
        <f t="shared" ref="C73:O73" si="4">C43+C46+C49+C52+C55</f>
        <v>0</v>
      </c>
      <c r="D73" s="98">
        <f t="shared" si="4"/>
        <v>0</v>
      </c>
      <c r="E73" s="98">
        <f t="shared" si="4"/>
        <v>0</v>
      </c>
      <c r="F73" s="98">
        <f t="shared" si="4"/>
        <v>0</v>
      </c>
      <c r="G73" s="98">
        <f t="shared" si="4"/>
        <v>0</v>
      </c>
      <c r="H73" s="98">
        <f t="shared" si="4"/>
        <v>0</v>
      </c>
      <c r="I73" s="98">
        <f t="shared" si="4"/>
        <v>0</v>
      </c>
      <c r="J73" s="98">
        <f t="shared" si="4"/>
        <v>0</v>
      </c>
      <c r="K73" s="98">
        <f t="shared" si="4"/>
        <v>0</v>
      </c>
      <c r="L73" s="98">
        <f t="shared" si="4"/>
        <v>0</v>
      </c>
      <c r="M73" s="98">
        <f t="shared" si="4"/>
        <v>0</v>
      </c>
      <c r="N73" s="98">
        <f t="shared" si="4"/>
        <v>0</v>
      </c>
      <c r="O73" s="98">
        <f t="shared" si="4"/>
        <v>0</v>
      </c>
      <c r="P73" s="115"/>
      <c r="Q73" s="1"/>
      <c r="R73" s="1"/>
      <c r="S73" s="1"/>
    </row>
    <row r="74" spans="1:19" x14ac:dyDescent="0.2">
      <c r="A74" s="115"/>
      <c r="B74" s="96" t="s">
        <v>55</v>
      </c>
      <c r="C74" s="99"/>
      <c r="D74" s="99"/>
      <c r="E74" s="99"/>
      <c r="F74" s="99"/>
      <c r="G74" s="99"/>
      <c r="H74" s="99"/>
      <c r="I74" s="99"/>
      <c r="J74" s="99"/>
      <c r="K74" s="99"/>
      <c r="L74" s="99"/>
      <c r="M74" s="99"/>
      <c r="N74" s="99"/>
      <c r="O74" s="99"/>
      <c r="P74" s="115"/>
      <c r="Q74" s="1"/>
      <c r="R74" s="1"/>
      <c r="S74" s="1"/>
    </row>
    <row r="75" spans="1:19" x14ac:dyDescent="0.2">
      <c r="A75" s="115"/>
      <c r="B75" s="94" t="s">
        <v>56</v>
      </c>
      <c r="C75" s="91"/>
      <c r="D75" s="91"/>
      <c r="E75" s="91"/>
      <c r="F75" s="91"/>
      <c r="G75" s="91"/>
      <c r="H75" s="91"/>
      <c r="I75" s="91"/>
      <c r="J75" s="91"/>
      <c r="K75" s="91"/>
      <c r="L75" s="91"/>
      <c r="M75" s="91"/>
      <c r="N75" s="91"/>
      <c r="O75" s="91"/>
      <c r="P75" s="115"/>
      <c r="Q75" s="1"/>
      <c r="R75" s="1"/>
      <c r="S75" s="1"/>
    </row>
    <row r="76" spans="1:19" x14ac:dyDescent="0.2">
      <c r="A76" s="115"/>
      <c r="B76" s="10" t="s">
        <v>41</v>
      </c>
      <c r="C76" s="91"/>
      <c r="D76" s="91"/>
      <c r="E76" s="91"/>
      <c r="F76" s="91"/>
      <c r="G76" s="91"/>
      <c r="H76" s="91"/>
      <c r="I76" s="91"/>
      <c r="J76" s="91"/>
      <c r="K76" s="91"/>
      <c r="L76" s="91"/>
      <c r="M76" s="91"/>
      <c r="N76" s="91"/>
      <c r="O76" s="91"/>
      <c r="P76" s="115"/>
      <c r="Q76" s="1"/>
      <c r="R76" s="1"/>
      <c r="S76" s="1"/>
    </row>
    <row r="77" spans="1:19" x14ac:dyDescent="0.2">
      <c r="A77" s="115"/>
      <c r="B77" s="10" t="s">
        <v>42</v>
      </c>
      <c r="C77" s="91"/>
      <c r="D77" s="91"/>
      <c r="E77" s="91"/>
      <c r="F77" s="91"/>
      <c r="G77" s="91"/>
      <c r="H77" s="91"/>
      <c r="I77" s="91"/>
      <c r="J77" s="91"/>
      <c r="K77" s="91"/>
      <c r="L77" s="91"/>
      <c r="M77" s="91"/>
      <c r="N77" s="91"/>
      <c r="O77" s="91"/>
      <c r="P77" s="115"/>
      <c r="Q77" s="1"/>
      <c r="R77" s="1"/>
      <c r="S77" s="1"/>
    </row>
    <row r="78" spans="1:19" x14ac:dyDescent="0.2">
      <c r="A78" s="115"/>
      <c r="B78" s="94" t="s">
        <v>57</v>
      </c>
      <c r="C78" s="91"/>
      <c r="D78" s="91"/>
      <c r="E78" s="91"/>
      <c r="F78" s="91"/>
      <c r="G78" s="91"/>
      <c r="H78" s="91"/>
      <c r="I78" s="91"/>
      <c r="J78" s="91"/>
      <c r="K78" s="91"/>
      <c r="L78" s="91"/>
      <c r="M78" s="91"/>
      <c r="N78" s="91"/>
      <c r="O78" s="91"/>
      <c r="P78" s="115"/>
      <c r="Q78" s="1"/>
      <c r="R78" s="1"/>
      <c r="S78" s="1"/>
    </row>
    <row r="79" spans="1:19" x14ac:dyDescent="0.2">
      <c r="A79" s="115"/>
      <c r="B79" s="10" t="s">
        <v>41</v>
      </c>
      <c r="C79" s="91"/>
      <c r="D79" s="91"/>
      <c r="E79" s="91"/>
      <c r="F79" s="91"/>
      <c r="G79" s="91"/>
      <c r="H79" s="91"/>
      <c r="I79" s="91"/>
      <c r="J79" s="91"/>
      <c r="K79" s="91"/>
      <c r="L79" s="91"/>
      <c r="M79" s="91"/>
      <c r="N79" s="91"/>
      <c r="O79" s="91"/>
      <c r="P79" s="115"/>
      <c r="Q79" s="1"/>
      <c r="R79" s="1"/>
      <c r="S79" s="1"/>
    </row>
    <row r="80" spans="1:19" x14ac:dyDescent="0.2">
      <c r="A80" s="115"/>
      <c r="B80" s="10" t="s">
        <v>42</v>
      </c>
      <c r="C80" s="91"/>
      <c r="D80" s="91"/>
      <c r="E80" s="91"/>
      <c r="F80" s="91"/>
      <c r="G80" s="91"/>
      <c r="H80" s="91"/>
      <c r="I80" s="91"/>
      <c r="J80" s="91"/>
      <c r="K80" s="91"/>
      <c r="L80" s="91"/>
      <c r="M80" s="91"/>
      <c r="N80" s="91"/>
      <c r="O80" s="91"/>
      <c r="P80" s="115"/>
      <c r="Q80" s="1"/>
      <c r="R80" s="1"/>
      <c r="S80" s="1"/>
    </row>
    <row r="81" spans="1:19" x14ac:dyDescent="0.2">
      <c r="A81" s="115"/>
      <c r="B81" s="94" t="s">
        <v>58</v>
      </c>
      <c r="C81" s="91"/>
      <c r="D81" s="91"/>
      <c r="E81" s="91"/>
      <c r="F81" s="91"/>
      <c r="G81" s="91"/>
      <c r="H81" s="91"/>
      <c r="I81" s="91"/>
      <c r="J81" s="91"/>
      <c r="K81" s="91"/>
      <c r="L81" s="91"/>
      <c r="M81" s="91"/>
      <c r="N81" s="91"/>
      <c r="O81" s="91"/>
      <c r="P81" s="115"/>
      <c r="Q81" s="1"/>
      <c r="R81" s="1"/>
      <c r="S81" s="1"/>
    </row>
    <row r="82" spans="1:19" x14ac:dyDescent="0.2">
      <c r="A82" s="115"/>
      <c r="B82" s="10" t="s">
        <v>41</v>
      </c>
      <c r="C82" s="91"/>
      <c r="D82" s="91"/>
      <c r="E82" s="91"/>
      <c r="F82" s="91"/>
      <c r="G82" s="91"/>
      <c r="H82" s="91"/>
      <c r="I82" s="91"/>
      <c r="J82" s="91"/>
      <c r="K82" s="91"/>
      <c r="L82" s="91"/>
      <c r="M82" s="91"/>
      <c r="N82" s="91"/>
      <c r="O82" s="91"/>
      <c r="P82" s="115"/>
      <c r="Q82" s="1"/>
      <c r="R82" s="1"/>
      <c r="S82" s="1"/>
    </row>
    <row r="83" spans="1:19" x14ac:dyDescent="0.2">
      <c r="A83" s="115"/>
      <c r="B83" s="10" t="s">
        <v>42</v>
      </c>
      <c r="C83" s="91"/>
      <c r="D83" s="91"/>
      <c r="E83" s="91"/>
      <c r="F83" s="91"/>
      <c r="G83" s="91"/>
      <c r="H83" s="91"/>
      <c r="I83" s="91"/>
      <c r="J83" s="91"/>
      <c r="K83" s="91"/>
      <c r="L83" s="91"/>
      <c r="M83" s="91"/>
      <c r="N83" s="91"/>
      <c r="O83" s="91"/>
      <c r="P83" s="115"/>
      <c r="Q83" s="1"/>
      <c r="R83" s="1"/>
      <c r="S83" s="1"/>
    </row>
    <row r="84" spans="1:19" x14ac:dyDescent="0.2">
      <c r="A84" s="115"/>
      <c r="B84" s="94" t="s">
        <v>59</v>
      </c>
      <c r="C84" s="91"/>
      <c r="D84" s="91"/>
      <c r="E84" s="91"/>
      <c r="F84" s="91"/>
      <c r="G84" s="91"/>
      <c r="H84" s="91"/>
      <c r="I84" s="91"/>
      <c r="J84" s="91"/>
      <c r="K84" s="91"/>
      <c r="L84" s="91"/>
      <c r="M84" s="91"/>
      <c r="N84" s="91"/>
      <c r="O84" s="91"/>
      <c r="P84" s="115"/>
      <c r="Q84" s="1"/>
      <c r="R84" s="1"/>
      <c r="S84" s="1"/>
    </row>
    <row r="85" spans="1:19" x14ac:dyDescent="0.2">
      <c r="A85" s="115"/>
      <c r="B85" s="10" t="s">
        <v>41</v>
      </c>
      <c r="C85" s="91"/>
      <c r="D85" s="91"/>
      <c r="E85" s="91"/>
      <c r="F85" s="91"/>
      <c r="G85" s="91"/>
      <c r="H85" s="91"/>
      <c r="I85" s="91"/>
      <c r="J85" s="91"/>
      <c r="K85" s="91"/>
      <c r="L85" s="91"/>
      <c r="M85" s="91"/>
      <c r="N85" s="91"/>
      <c r="O85" s="91"/>
      <c r="P85" s="115"/>
      <c r="Q85" s="1"/>
      <c r="R85" s="1"/>
      <c r="S85" s="1"/>
    </row>
    <row r="86" spans="1:19" x14ac:dyDescent="0.2">
      <c r="A86" s="115"/>
      <c r="B86" s="10" t="s">
        <v>42</v>
      </c>
      <c r="C86" s="91"/>
      <c r="D86" s="91"/>
      <c r="E86" s="91"/>
      <c r="F86" s="91"/>
      <c r="G86" s="91"/>
      <c r="H86" s="91"/>
      <c r="I86" s="91"/>
      <c r="J86" s="91"/>
      <c r="K86" s="91"/>
      <c r="L86" s="91"/>
      <c r="M86" s="91"/>
      <c r="N86" s="91"/>
      <c r="O86" s="91"/>
      <c r="P86" s="115"/>
      <c r="Q86" s="1"/>
      <c r="R86" s="1"/>
      <c r="S86" s="1"/>
    </row>
    <row r="87" spans="1:19" x14ac:dyDescent="0.2">
      <c r="A87" s="115"/>
      <c r="B87" s="94" t="s">
        <v>60</v>
      </c>
      <c r="C87" s="91"/>
      <c r="D87" s="91"/>
      <c r="E87" s="91"/>
      <c r="F87" s="91"/>
      <c r="G87" s="91"/>
      <c r="H87" s="91"/>
      <c r="I87" s="91"/>
      <c r="J87" s="91"/>
      <c r="K87" s="91"/>
      <c r="L87" s="91"/>
      <c r="M87" s="91"/>
      <c r="N87" s="91"/>
      <c r="O87" s="91"/>
      <c r="P87" s="115"/>
      <c r="Q87" s="1"/>
      <c r="R87" s="1"/>
      <c r="S87" s="1"/>
    </row>
    <row r="88" spans="1:19" x14ac:dyDescent="0.2">
      <c r="A88" s="115"/>
      <c r="B88" s="10" t="s">
        <v>41</v>
      </c>
      <c r="C88" s="91"/>
      <c r="D88" s="91"/>
      <c r="E88" s="91"/>
      <c r="F88" s="91"/>
      <c r="G88" s="91"/>
      <c r="H88" s="91"/>
      <c r="I88" s="91"/>
      <c r="J88" s="91"/>
      <c r="K88" s="91"/>
      <c r="L88" s="91"/>
      <c r="M88" s="91"/>
      <c r="N88" s="91"/>
      <c r="O88" s="91"/>
      <c r="P88" s="115"/>
      <c r="Q88" s="1"/>
      <c r="R88" s="1"/>
      <c r="S88" s="1"/>
    </row>
    <row r="89" spans="1:19" x14ac:dyDescent="0.2">
      <c r="A89" s="115"/>
      <c r="B89" s="10" t="s">
        <v>42</v>
      </c>
      <c r="C89" s="91"/>
      <c r="D89" s="91"/>
      <c r="E89" s="91"/>
      <c r="F89" s="91"/>
      <c r="G89" s="91"/>
      <c r="H89" s="91"/>
      <c r="I89" s="91"/>
      <c r="J89" s="91"/>
      <c r="K89" s="91"/>
      <c r="L89" s="91"/>
      <c r="M89" s="91"/>
      <c r="N89" s="91"/>
      <c r="O89" s="91"/>
      <c r="P89" s="115"/>
      <c r="Q89" s="1"/>
      <c r="R89" s="1"/>
      <c r="S89" s="1"/>
    </row>
    <row r="90" spans="1:19" x14ac:dyDescent="0.2">
      <c r="A90" s="115"/>
      <c r="B90" s="97" t="s">
        <v>61</v>
      </c>
      <c r="C90" s="98">
        <f t="shared" ref="C90:O90" si="5">C75+C78+C81+C84+C87</f>
        <v>0</v>
      </c>
      <c r="D90" s="98">
        <f t="shared" si="5"/>
        <v>0</v>
      </c>
      <c r="E90" s="98">
        <f t="shared" si="5"/>
        <v>0</v>
      </c>
      <c r="F90" s="98">
        <f t="shared" si="5"/>
        <v>0</v>
      </c>
      <c r="G90" s="98">
        <f t="shared" si="5"/>
        <v>0</v>
      </c>
      <c r="H90" s="98">
        <f t="shared" si="5"/>
        <v>0</v>
      </c>
      <c r="I90" s="98">
        <f t="shared" si="5"/>
        <v>0</v>
      </c>
      <c r="J90" s="98">
        <f t="shared" si="5"/>
        <v>0</v>
      </c>
      <c r="K90" s="98">
        <f t="shared" si="5"/>
        <v>0</v>
      </c>
      <c r="L90" s="98">
        <f t="shared" si="5"/>
        <v>0</v>
      </c>
      <c r="M90" s="98">
        <f t="shared" si="5"/>
        <v>0</v>
      </c>
      <c r="N90" s="98">
        <f t="shared" si="5"/>
        <v>0</v>
      </c>
      <c r="O90" s="98">
        <f t="shared" si="5"/>
        <v>0</v>
      </c>
      <c r="P90" s="115"/>
      <c r="Q90" s="1"/>
      <c r="R90" s="1"/>
      <c r="S90" s="1"/>
    </row>
    <row r="91" spans="1:19" x14ac:dyDescent="0.2">
      <c r="A91" s="115"/>
      <c r="B91" s="10" t="s">
        <v>53</v>
      </c>
      <c r="C91" s="98">
        <f t="shared" ref="C91:O91" si="6">C76+C79+C82+C85+C88</f>
        <v>0</v>
      </c>
      <c r="D91" s="98">
        <f t="shared" si="6"/>
        <v>0</v>
      </c>
      <c r="E91" s="98">
        <f t="shared" si="6"/>
        <v>0</v>
      </c>
      <c r="F91" s="98">
        <f t="shared" si="6"/>
        <v>0</v>
      </c>
      <c r="G91" s="98">
        <f t="shared" si="6"/>
        <v>0</v>
      </c>
      <c r="H91" s="98">
        <f t="shared" si="6"/>
        <v>0</v>
      </c>
      <c r="I91" s="98">
        <f t="shared" si="6"/>
        <v>0</v>
      </c>
      <c r="J91" s="98">
        <f t="shared" si="6"/>
        <v>0</v>
      </c>
      <c r="K91" s="98">
        <f t="shared" si="6"/>
        <v>0</v>
      </c>
      <c r="L91" s="98">
        <f t="shared" si="6"/>
        <v>0</v>
      </c>
      <c r="M91" s="98">
        <f t="shared" si="6"/>
        <v>0</v>
      </c>
      <c r="N91" s="98">
        <f t="shared" si="6"/>
        <v>0</v>
      </c>
      <c r="O91" s="98">
        <f t="shared" si="6"/>
        <v>0</v>
      </c>
      <c r="P91" s="115"/>
      <c r="Q91" s="1"/>
      <c r="R91" s="1"/>
      <c r="S91" s="1"/>
    </row>
    <row r="92" spans="1:19" x14ac:dyDescent="0.2">
      <c r="A92" s="115"/>
      <c r="B92" s="10" t="s">
        <v>54</v>
      </c>
      <c r="C92" s="98">
        <f t="shared" ref="C92:O92" si="7">C77+C80+C83+C86+C89</f>
        <v>0</v>
      </c>
      <c r="D92" s="98">
        <f t="shared" si="7"/>
        <v>0</v>
      </c>
      <c r="E92" s="98">
        <f t="shared" si="7"/>
        <v>0</v>
      </c>
      <c r="F92" s="98">
        <f t="shared" si="7"/>
        <v>0</v>
      </c>
      <c r="G92" s="98">
        <f t="shared" si="7"/>
        <v>0</v>
      </c>
      <c r="H92" s="98">
        <f t="shared" si="7"/>
        <v>0</v>
      </c>
      <c r="I92" s="98">
        <f t="shared" si="7"/>
        <v>0</v>
      </c>
      <c r="J92" s="98">
        <f t="shared" si="7"/>
        <v>0</v>
      </c>
      <c r="K92" s="98">
        <f t="shared" si="7"/>
        <v>0</v>
      </c>
      <c r="L92" s="98">
        <f t="shared" si="7"/>
        <v>0</v>
      </c>
      <c r="M92" s="98">
        <f t="shared" si="7"/>
        <v>0</v>
      </c>
      <c r="N92" s="98">
        <f t="shared" si="7"/>
        <v>0</v>
      </c>
      <c r="O92" s="98">
        <f t="shared" si="7"/>
        <v>0</v>
      </c>
      <c r="P92" s="115"/>
      <c r="Q92" s="1"/>
      <c r="R92" s="1"/>
      <c r="S92" s="1"/>
    </row>
    <row r="93" spans="1:19" x14ac:dyDescent="0.2">
      <c r="A93" s="115"/>
      <c r="B93" s="95" t="s">
        <v>62</v>
      </c>
      <c r="C93" s="98">
        <f t="shared" ref="C93:O93" si="8">C71-C90</f>
        <v>0</v>
      </c>
      <c r="D93" s="98">
        <f t="shared" si="8"/>
        <v>0</v>
      </c>
      <c r="E93" s="98">
        <f t="shared" si="8"/>
        <v>0</v>
      </c>
      <c r="F93" s="98">
        <f t="shared" si="8"/>
        <v>0</v>
      </c>
      <c r="G93" s="98">
        <f t="shared" si="8"/>
        <v>0</v>
      </c>
      <c r="H93" s="98">
        <f t="shared" si="8"/>
        <v>0</v>
      </c>
      <c r="I93" s="98">
        <f t="shared" si="8"/>
        <v>0</v>
      </c>
      <c r="J93" s="98">
        <f t="shared" si="8"/>
        <v>0</v>
      </c>
      <c r="K93" s="98">
        <f t="shared" si="8"/>
        <v>0</v>
      </c>
      <c r="L93" s="98">
        <f t="shared" si="8"/>
        <v>0</v>
      </c>
      <c r="M93" s="98">
        <f t="shared" si="8"/>
        <v>0</v>
      </c>
      <c r="N93" s="98">
        <f t="shared" si="8"/>
        <v>0</v>
      </c>
      <c r="O93" s="98">
        <f t="shared" si="8"/>
        <v>0</v>
      </c>
      <c r="P93" s="115"/>
      <c r="Q93" s="1"/>
      <c r="R93" s="1"/>
      <c r="S93" s="1"/>
    </row>
    <row r="94" spans="1:19" x14ac:dyDescent="0.2">
      <c r="A94" s="115"/>
      <c r="B94" s="10" t="s">
        <v>53</v>
      </c>
      <c r="C94" s="98">
        <f t="shared" ref="C94:O94" si="9">C72-C91</f>
        <v>0</v>
      </c>
      <c r="D94" s="98">
        <f t="shared" si="9"/>
        <v>0</v>
      </c>
      <c r="E94" s="98">
        <f t="shared" si="9"/>
        <v>0</v>
      </c>
      <c r="F94" s="98">
        <f t="shared" si="9"/>
        <v>0</v>
      </c>
      <c r="G94" s="98">
        <f t="shared" si="9"/>
        <v>0</v>
      </c>
      <c r="H94" s="98">
        <f t="shared" si="9"/>
        <v>0</v>
      </c>
      <c r="I94" s="98">
        <f t="shared" si="9"/>
        <v>0</v>
      </c>
      <c r="J94" s="98">
        <f t="shared" si="9"/>
        <v>0</v>
      </c>
      <c r="K94" s="98">
        <f t="shared" si="9"/>
        <v>0</v>
      </c>
      <c r="L94" s="98">
        <f t="shared" si="9"/>
        <v>0</v>
      </c>
      <c r="M94" s="98">
        <f t="shared" si="9"/>
        <v>0</v>
      </c>
      <c r="N94" s="98">
        <f t="shared" si="9"/>
        <v>0</v>
      </c>
      <c r="O94" s="98">
        <f t="shared" si="9"/>
        <v>0</v>
      </c>
      <c r="P94" s="115"/>
      <c r="Q94" s="1"/>
      <c r="R94" s="1"/>
      <c r="S94" s="1"/>
    </row>
    <row r="95" spans="1:19" x14ac:dyDescent="0.2">
      <c r="A95" s="115"/>
      <c r="B95" s="10" t="s">
        <v>54</v>
      </c>
      <c r="C95" s="98">
        <f t="shared" ref="C95:O95" si="10">C73-C92</f>
        <v>0</v>
      </c>
      <c r="D95" s="98">
        <f t="shared" si="10"/>
        <v>0</v>
      </c>
      <c r="E95" s="98">
        <f t="shared" si="10"/>
        <v>0</v>
      </c>
      <c r="F95" s="98">
        <f t="shared" si="10"/>
        <v>0</v>
      </c>
      <c r="G95" s="98">
        <f t="shared" si="10"/>
        <v>0</v>
      </c>
      <c r="H95" s="98">
        <f t="shared" si="10"/>
        <v>0</v>
      </c>
      <c r="I95" s="98">
        <f t="shared" si="10"/>
        <v>0</v>
      </c>
      <c r="J95" s="98">
        <f t="shared" si="10"/>
        <v>0</v>
      </c>
      <c r="K95" s="98">
        <f t="shared" si="10"/>
        <v>0</v>
      </c>
      <c r="L95" s="98">
        <f t="shared" si="10"/>
        <v>0</v>
      </c>
      <c r="M95" s="98">
        <f t="shared" si="10"/>
        <v>0</v>
      </c>
      <c r="N95" s="98">
        <f t="shared" si="10"/>
        <v>0</v>
      </c>
      <c r="O95" s="98">
        <f t="shared" si="10"/>
        <v>0</v>
      </c>
      <c r="P95" s="115"/>
      <c r="Q95" s="1"/>
      <c r="R95" s="1"/>
      <c r="S95" s="1"/>
    </row>
    <row r="96" spans="1:19" x14ac:dyDescent="0.2">
      <c r="A96" s="115"/>
      <c r="B96" s="96" t="s">
        <v>63</v>
      </c>
      <c r="C96" s="99"/>
      <c r="D96" s="99"/>
      <c r="E96" s="99"/>
      <c r="F96" s="99"/>
      <c r="G96" s="99"/>
      <c r="H96" s="99"/>
      <c r="I96" s="99"/>
      <c r="J96" s="99"/>
      <c r="K96" s="99"/>
      <c r="L96" s="99"/>
      <c r="M96" s="99"/>
      <c r="N96" s="99"/>
      <c r="O96" s="99"/>
      <c r="P96" s="115"/>
      <c r="Q96" s="1"/>
      <c r="R96" s="1"/>
      <c r="S96" s="1"/>
    </row>
    <row r="97" spans="1:19" x14ac:dyDescent="0.2">
      <c r="A97" s="115"/>
      <c r="B97" s="94" t="s">
        <v>64</v>
      </c>
      <c r="C97" s="91"/>
      <c r="D97" s="91"/>
      <c r="E97" s="91"/>
      <c r="F97" s="91"/>
      <c r="G97" s="91"/>
      <c r="H97" s="91"/>
      <c r="I97" s="91"/>
      <c r="J97" s="91"/>
      <c r="K97" s="91"/>
      <c r="L97" s="91"/>
      <c r="M97" s="91"/>
      <c r="N97" s="91"/>
      <c r="O97" s="91"/>
      <c r="P97" s="115"/>
      <c r="Q97" s="1"/>
      <c r="R97" s="1"/>
      <c r="S97" s="1"/>
    </row>
    <row r="98" spans="1:19" x14ac:dyDescent="0.2">
      <c r="A98" s="115"/>
      <c r="B98" s="10" t="s">
        <v>41</v>
      </c>
      <c r="C98" s="91"/>
      <c r="D98" s="91"/>
      <c r="E98" s="91"/>
      <c r="F98" s="91"/>
      <c r="G98" s="91"/>
      <c r="H98" s="91"/>
      <c r="I98" s="91"/>
      <c r="J98" s="91"/>
      <c r="K98" s="91"/>
      <c r="L98" s="91"/>
      <c r="M98" s="91"/>
      <c r="N98" s="91"/>
      <c r="O98" s="91"/>
      <c r="P98" s="115"/>
      <c r="Q98" s="1"/>
      <c r="R98" s="1"/>
      <c r="S98" s="1"/>
    </row>
    <row r="99" spans="1:19" x14ac:dyDescent="0.2">
      <c r="A99" s="115"/>
      <c r="B99" s="10" t="s">
        <v>42</v>
      </c>
      <c r="C99" s="91"/>
      <c r="D99" s="91"/>
      <c r="E99" s="91"/>
      <c r="F99" s="91"/>
      <c r="G99" s="91"/>
      <c r="H99" s="91"/>
      <c r="I99" s="91"/>
      <c r="J99" s="91"/>
      <c r="K99" s="91"/>
      <c r="L99" s="91"/>
      <c r="M99" s="91"/>
      <c r="N99" s="91"/>
      <c r="O99" s="91"/>
      <c r="P99" s="115"/>
      <c r="Q99" s="1"/>
      <c r="R99" s="1"/>
      <c r="S99" s="1"/>
    </row>
    <row r="100" spans="1:19" x14ac:dyDescent="0.2">
      <c r="A100" s="115"/>
      <c r="B100" s="94" t="s">
        <v>65</v>
      </c>
      <c r="C100" s="91"/>
      <c r="D100" s="91"/>
      <c r="E100" s="91"/>
      <c r="F100" s="91"/>
      <c r="G100" s="91"/>
      <c r="H100" s="91"/>
      <c r="I100" s="91"/>
      <c r="J100" s="91"/>
      <c r="K100" s="91"/>
      <c r="L100" s="91"/>
      <c r="M100" s="91"/>
      <c r="N100" s="91"/>
      <c r="O100" s="91"/>
      <c r="P100" s="115"/>
      <c r="Q100" s="1"/>
      <c r="R100" s="1"/>
      <c r="S100" s="1"/>
    </row>
    <row r="101" spans="1:19" x14ac:dyDescent="0.2">
      <c r="A101" s="115"/>
      <c r="B101" s="10" t="s">
        <v>41</v>
      </c>
      <c r="C101" s="91"/>
      <c r="D101" s="91"/>
      <c r="E101" s="91"/>
      <c r="F101" s="91"/>
      <c r="G101" s="91"/>
      <c r="H101" s="91"/>
      <c r="I101" s="91"/>
      <c r="J101" s="91"/>
      <c r="K101" s="91"/>
      <c r="L101" s="91"/>
      <c r="M101" s="91"/>
      <c r="N101" s="91"/>
      <c r="O101" s="91"/>
      <c r="P101" s="115"/>
      <c r="Q101" s="1"/>
      <c r="R101" s="1"/>
      <c r="S101" s="1"/>
    </row>
    <row r="102" spans="1:19" x14ac:dyDescent="0.2">
      <c r="A102" s="115"/>
      <c r="B102" s="10" t="s">
        <v>42</v>
      </c>
      <c r="C102" s="91"/>
      <c r="D102" s="91"/>
      <c r="E102" s="91"/>
      <c r="F102" s="91"/>
      <c r="G102" s="91"/>
      <c r="H102" s="91"/>
      <c r="I102" s="91"/>
      <c r="J102" s="91"/>
      <c r="K102" s="91"/>
      <c r="L102" s="91"/>
      <c r="M102" s="91"/>
      <c r="N102" s="91"/>
      <c r="O102" s="91"/>
      <c r="P102" s="115"/>
      <c r="Q102" s="1"/>
      <c r="R102" s="1"/>
      <c r="S102" s="1"/>
    </row>
    <row r="103" spans="1:19" x14ac:dyDescent="0.2">
      <c r="A103" s="115"/>
      <c r="B103" s="94" t="s">
        <v>66</v>
      </c>
      <c r="C103" s="91"/>
      <c r="D103" s="91"/>
      <c r="E103" s="91"/>
      <c r="F103" s="91"/>
      <c r="G103" s="91"/>
      <c r="H103" s="91"/>
      <c r="I103" s="91"/>
      <c r="J103" s="91"/>
      <c r="K103" s="91"/>
      <c r="L103" s="91"/>
      <c r="M103" s="91"/>
      <c r="N103" s="91"/>
      <c r="O103" s="91"/>
      <c r="P103" s="115"/>
      <c r="Q103" s="1"/>
      <c r="R103" s="1"/>
      <c r="S103" s="1"/>
    </row>
    <row r="104" spans="1:19" x14ac:dyDescent="0.2">
      <c r="A104" s="115"/>
      <c r="B104" s="10" t="s">
        <v>41</v>
      </c>
      <c r="C104" s="91"/>
      <c r="D104" s="91"/>
      <c r="E104" s="91"/>
      <c r="F104" s="91"/>
      <c r="G104" s="91"/>
      <c r="H104" s="91"/>
      <c r="I104" s="91"/>
      <c r="J104" s="91"/>
      <c r="K104" s="91"/>
      <c r="L104" s="91"/>
      <c r="M104" s="91"/>
      <c r="N104" s="91"/>
      <c r="O104" s="91"/>
      <c r="P104" s="115"/>
      <c r="Q104" s="1"/>
      <c r="R104" s="1"/>
      <c r="S104" s="1"/>
    </row>
    <row r="105" spans="1:19" x14ac:dyDescent="0.2">
      <c r="A105" s="115"/>
      <c r="B105" s="10" t="s">
        <v>42</v>
      </c>
      <c r="C105" s="91"/>
      <c r="D105" s="91"/>
      <c r="E105" s="91"/>
      <c r="F105" s="91"/>
      <c r="G105" s="91"/>
      <c r="H105" s="91"/>
      <c r="I105" s="91"/>
      <c r="J105" s="91"/>
      <c r="K105" s="91"/>
      <c r="L105" s="91"/>
      <c r="M105" s="91"/>
      <c r="N105" s="91"/>
      <c r="O105" s="91"/>
      <c r="P105" s="115"/>
      <c r="Q105" s="1"/>
      <c r="R105" s="1"/>
      <c r="S105" s="1"/>
    </row>
    <row r="106" spans="1:19" x14ac:dyDescent="0.2">
      <c r="A106" s="115"/>
      <c r="B106" s="94" t="s">
        <v>67</v>
      </c>
      <c r="C106" s="91"/>
      <c r="D106" s="91"/>
      <c r="E106" s="91"/>
      <c r="F106" s="91"/>
      <c r="G106" s="91"/>
      <c r="H106" s="91"/>
      <c r="I106" s="91"/>
      <c r="J106" s="91"/>
      <c r="K106" s="91"/>
      <c r="L106" s="91"/>
      <c r="M106" s="91"/>
      <c r="N106" s="91"/>
      <c r="O106" s="91"/>
      <c r="P106" s="115"/>
      <c r="Q106" s="1"/>
      <c r="R106" s="1"/>
      <c r="S106" s="1"/>
    </row>
    <row r="107" spans="1:19" x14ac:dyDescent="0.2">
      <c r="A107" s="115"/>
      <c r="B107" s="10" t="s">
        <v>41</v>
      </c>
      <c r="C107" s="91"/>
      <c r="D107" s="91"/>
      <c r="E107" s="91"/>
      <c r="F107" s="91"/>
      <c r="G107" s="91"/>
      <c r="H107" s="91"/>
      <c r="I107" s="91"/>
      <c r="J107" s="91"/>
      <c r="K107" s="91"/>
      <c r="L107" s="91"/>
      <c r="M107" s="91"/>
      <c r="N107" s="91"/>
      <c r="O107" s="91"/>
      <c r="P107" s="115"/>
      <c r="Q107" s="1"/>
      <c r="R107" s="1"/>
      <c r="S107" s="1"/>
    </row>
    <row r="108" spans="1:19" x14ac:dyDescent="0.2">
      <c r="A108" s="115"/>
      <c r="B108" s="10" t="s">
        <v>42</v>
      </c>
      <c r="C108" s="91"/>
      <c r="D108" s="91"/>
      <c r="E108" s="91"/>
      <c r="F108" s="91"/>
      <c r="G108" s="91"/>
      <c r="H108" s="91"/>
      <c r="I108" s="91"/>
      <c r="J108" s="91"/>
      <c r="K108" s="91"/>
      <c r="L108" s="91"/>
      <c r="M108" s="91"/>
      <c r="N108" s="91"/>
      <c r="O108" s="91"/>
      <c r="P108" s="115"/>
      <c r="Q108" s="1"/>
      <c r="R108" s="1"/>
      <c r="S108" s="1"/>
    </row>
    <row r="109" spans="1:19" x14ac:dyDescent="0.2">
      <c r="A109" s="115"/>
      <c r="B109" s="94" t="s">
        <v>68</v>
      </c>
      <c r="C109" s="91"/>
      <c r="D109" s="91"/>
      <c r="E109" s="91"/>
      <c r="F109" s="91"/>
      <c r="G109" s="91"/>
      <c r="H109" s="91"/>
      <c r="I109" s="91"/>
      <c r="J109" s="91"/>
      <c r="K109" s="91"/>
      <c r="L109" s="91"/>
      <c r="M109" s="91"/>
      <c r="N109" s="91"/>
      <c r="O109" s="91"/>
      <c r="P109" s="115"/>
      <c r="Q109" s="1"/>
      <c r="R109" s="1"/>
      <c r="S109" s="1"/>
    </row>
    <row r="110" spans="1:19" x14ac:dyDescent="0.2">
      <c r="A110" s="115"/>
      <c r="B110" s="10" t="s">
        <v>41</v>
      </c>
      <c r="C110" s="91"/>
      <c r="D110" s="91"/>
      <c r="E110" s="91"/>
      <c r="F110" s="91"/>
      <c r="G110" s="91"/>
      <c r="H110" s="91"/>
      <c r="I110" s="91"/>
      <c r="J110" s="91"/>
      <c r="K110" s="91"/>
      <c r="L110" s="91"/>
      <c r="M110" s="91"/>
      <c r="N110" s="91"/>
      <c r="O110" s="91"/>
      <c r="P110" s="115"/>
      <c r="Q110" s="1"/>
      <c r="R110" s="1"/>
      <c r="S110" s="1"/>
    </row>
    <row r="111" spans="1:19" x14ac:dyDescent="0.2">
      <c r="A111" s="115"/>
      <c r="B111" s="10" t="s">
        <v>42</v>
      </c>
      <c r="C111" s="91"/>
      <c r="D111" s="91"/>
      <c r="E111" s="91"/>
      <c r="F111" s="91"/>
      <c r="G111" s="91"/>
      <c r="H111" s="91"/>
      <c r="I111" s="91"/>
      <c r="J111" s="91"/>
      <c r="K111" s="91"/>
      <c r="L111" s="91"/>
      <c r="M111" s="91"/>
      <c r="N111" s="91"/>
      <c r="O111" s="91"/>
      <c r="P111" s="115"/>
      <c r="Q111" s="1"/>
      <c r="R111" s="1"/>
      <c r="S111" s="1"/>
    </row>
    <row r="112" spans="1:19" x14ac:dyDescent="0.2">
      <c r="A112" s="115"/>
      <c r="B112" s="94" t="s">
        <v>69</v>
      </c>
      <c r="C112" s="91"/>
      <c r="D112" s="91"/>
      <c r="E112" s="91"/>
      <c r="F112" s="91"/>
      <c r="G112" s="91"/>
      <c r="H112" s="91"/>
      <c r="I112" s="91"/>
      <c r="J112" s="91"/>
      <c r="K112" s="91"/>
      <c r="L112" s="91"/>
      <c r="M112" s="91"/>
      <c r="N112" s="91"/>
      <c r="O112" s="91"/>
      <c r="P112" s="115"/>
      <c r="Q112" s="1"/>
      <c r="R112" s="1"/>
      <c r="S112" s="1"/>
    </row>
    <row r="113" spans="1:19" x14ac:dyDescent="0.2">
      <c r="A113" s="115"/>
      <c r="B113" s="10" t="s">
        <v>41</v>
      </c>
      <c r="C113" s="91"/>
      <c r="D113" s="91"/>
      <c r="E113" s="91"/>
      <c r="F113" s="91"/>
      <c r="G113" s="91"/>
      <c r="H113" s="91"/>
      <c r="I113" s="91"/>
      <c r="J113" s="91"/>
      <c r="K113" s="91"/>
      <c r="L113" s="91"/>
      <c r="M113" s="91"/>
      <c r="N113" s="91"/>
      <c r="O113" s="91"/>
      <c r="P113" s="115"/>
      <c r="Q113" s="1"/>
      <c r="R113" s="1"/>
      <c r="S113" s="1"/>
    </row>
    <row r="114" spans="1:19" x14ac:dyDescent="0.2">
      <c r="A114" s="115"/>
      <c r="B114" s="10" t="s">
        <v>42</v>
      </c>
      <c r="C114" s="91"/>
      <c r="D114" s="91"/>
      <c r="E114" s="91"/>
      <c r="F114" s="91"/>
      <c r="G114" s="91"/>
      <c r="H114" s="91"/>
      <c r="I114" s="91"/>
      <c r="J114" s="91"/>
      <c r="K114" s="91"/>
      <c r="L114" s="91"/>
      <c r="M114" s="91"/>
      <c r="N114" s="91"/>
      <c r="O114" s="91"/>
      <c r="P114" s="115"/>
      <c r="Q114" s="1"/>
      <c r="R114" s="1"/>
      <c r="S114" s="1"/>
    </row>
    <row r="115" spans="1:19" x14ac:dyDescent="0.2">
      <c r="A115" s="115"/>
      <c r="B115" s="97" t="s">
        <v>70</v>
      </c>
      <c r="C115" s="98">
        <f t="shared" ref="C115:O115" si="11">C97+C100+C103+C106+C109+C112</f>
        <v>0</v>
      </c>
      <c r="D115" s="98">
        <f t="shared" si="11"/>
        <v>0</v>
      </c>
      <c r="E115" s="98">
        <f t="shared" si="11"/>
        <v>0</v>
      </c>
      <c r="F115" s="98">
        <f t="shared" si="11"/>
        <v>0</v>
      </c>
      <c r="G115" s="98">
        <f t="shared" si="11"/>
        <v>0</v>
      </c>
      <c r="H115" s="98">
        <f t="shared" si="11"/>
        <v>0</v>
      </c>
      <c r="I115" s="98">
        <f t="shared" si="11"/>
        <v>0</v>
      </c>
      <c r="J115" s="98">
        <f t="shared" si="11"/>
        <v>0</v>
      </c>
      <c r="K115" s="98">
        <f t="shared" si="11"/>
        <v>0</v>
      </c>
      <c r="L115" s="98">
        <f t="shared" si="11"/>
        <v>0</v>
      </c>
      <c r="M115" s="98">
        <f t="shared" si="11"/>
        <v>0</v>
      </c>
      <c r="N115" s="98">
        <f t="shared" si="11"/>
        <v>0</v>
      </c>
      <c r="O115" s="98">
        <f t="shared" si="11"/>
        <v>0</v>
      </c>
      <c r="P115" s="115"/>
      <c r="Q115" s="1"/>
      <c r="R115" s="1"/>
      <c r="S115" s="1"/>
    </row>
    <row r="116" spans="1:19" x14ac:dyDescent="0.2">
      <c r="A116" s="115"/>
      <c r="B116" s="10" t="s">
        <v>53</v>
      </c>
      <c r="C116" s="98">
        <f t="shared" ref="C116:O116" si="12">C98+C101+C104+C107+C110+C113</f>
        <v>0</v>
      </c>
      <c r="D116" s="98">
        <f t="shared" si="12"/>
        <v>0</v>
      </c>
      <c r="E116" s="98">
        <f t="shared" si="12"/>
        <v>0</v>
      </c>
      <c r="F116" s="98">
        <f t="shared" si="12"/>
        <v>0</v>
      </c>
      <c r="G116" s="98">
        <f t="shared" si="12"/>
        <v>0</v>
      </c>
      <c r="H116" s="98">
        <f t="shared" si="12"/>
        <v>0</v>
      </c>
      <c r="I116" s="98">
        <f t="shared" si="12"/>
        <v>0</v>
      </c>
      <c r="J116" s="98">
        <f t="shared" si="12"/>
        <v>0</v>
      </c>
      <c r="K116" s="98">
        <f t="shared" si="12"/>
        <v>0</v>
      </c>
      <c r="L116" s="98">
        <f t="shared" si="12"/>
        <v>0</v>
      </c>
      <c r="M116" s="98">
        <f t="shared" si="12"/>
        <v>0</v>
      </c>
      <c r="N116" s="98">
        <f t="shared" si="12"/>
        <v>0</v>
      </c>
      <c r="O116" s="98">
        <f t="shared" si="12"/>
        <v>0</v>
      </c>
      <c r="P116" s="115"/>
      <c r="Q116" s="1"/>
      <c r="R116" s="1"/>
      <c r="S116" s="1"/>
    </row>
    <row r="117" spans="1:19" x14ac:dyDescent="0.2">
      <c r="A117" s="115"/>
      <c r="B117" s="10" t="s">
        <v>54</v>
      </c>
      <c r="C117" s="98">
        <f t="shared" ref="C117:O117" si="13">C99+C102+C105+C108+C111+C114</f>
        <v>0</v>
      </c>
      <c r="D117" s="98">
        <f t="shared" si="13"/>
        <v>0</v>
      </c>
      <c r="E117" s="98">
        <f t="shared" si="13"/>
        <v>0</v>
      </c>
      <c r="F117" s="98">
        <f t="shared" si="13"/>
        <v>0</v>
      </c>
      <c r="G117" s="98">
        <f t="shared" si="13"/>
        <v>0</v>
      </c>
      <c r="H117" s="98">
        <f t="shared" si="13"/>
        <v>0</v>
      </c>
      <c r="I117" s="98">
        <f t="shared" si="13"/>
        <v>0</v>
      </c>
      <c r="J117" s="98">
        <f t="shared" si="13"/>
        <v>0</v>
      </c>
      <c r="K117" s="98">
        <f t="shared" si="13"/>
        <v>0</v>
      </c>
      <c r="L117" s="98">
        <f t="shared" si="13"/>
        <v>0</v>
      </c>
      <c r="M117" s="98">
        <f t="shared" si="13"/>
        <v>0</v>
      </c>
      <c r="N117" s="98">
        <f t="shared" si="13"/>
        <v>0</v>
      </c>
      <c r="O117" s="98">
        <f t="shared" si="13"/>
        <v>0</v>
      </c>
      <c r="P117" s="115"/>
      <c r="Q117" s="1"/>
      <c r="R117" s="1"/>
      <c r="S117" s="1"/>
    </row>
    <row r="118" spans="1:19" x14ac:dyDescent="0.2">
      <c r="A118" s="115"/>
      <c r="B118" s="95" t="s">
        <v>71</v>
      </c>
      <c r="C118" s="98">
        <f t="shared" ref="C118:O118" si="14">C93-C115</f>
        <v>0</v>
      </c>
      <c r="D118" s="98">
        <f t="shared" si="14"/>
        <v>0</v>
      </c>
      <c r="E118" s="98">
        <f t="shared" si="14"/>
        <v>0</v>
      </c>
      <c r="F118" s="98">
        <f t="shared" si="14"/>
        <v>0</v>
      </c>
      <c r="G118" s="98">
        <f t="shared" si="14"/>
        <v>0</v>
      </c>
      <c r="H118" s="98">
        <f t="shared" si="14"/>
        <v>0</v>
      </c>
      <c r="I118" s="98">
        <f t="shared" si="14"/>
        <v>0</v>
      </c>
      <c r="J118" s="98">
        <f t="shared" si="14"/>
        <v>0</v>
      </c>
      <c r="K118" s="98">
        <f t="shared" si="14"/>
        <v>0</v>
      </c>
      <c r="L118" s="98">
        <f t="shared" si="14"/>
        <v>0</v>
      </c>
      <c r="M118" s="98">
        <f t="shared" si="14"/>
        <v>0</v>
      </c>
      <c r="N118" s="98">
        <f t="shared" si="14"/>
        <v>0</v>
      </c>
      <c r="O118" s="98">
        <f t="shared" si="14"/>
        <v>0</v>
      </c>
      <c r="P118" s="115"/>
      <c r="Q118" s="1"/>
      <c r="R118" s="1"/>
      <c r="S118" s="1"/>
    </row>
    <row r="119" spans="1:19" x14ac:dyDescent="0.2">
      <c r="A119" s="115"/>
      <c r="B119" s="10" t="s">
        <v>53</v>
      </c>
      <c r="C119" s="98">
        <f t="shared" ref="C119:O119" si="15">C94-C116</f>
        <v>0</v>
      </c>
      <c r="D119" s="98">
        <f t="shared" si="15"/>
        <v>0</v>
      </c>
      <c r="E119" s="98">
        <f t="shared" si="15"/>
        <v>0</v>
      </c>
      <c r="F119" s="98">
        <f t="shared" si="15"/>
        <v>0</v>
      </c>
      <c r="G119" s="98">
        <f t="shared" si="15"/>
        <v>0</v>
      </c>
      <c r="H119" s="98">
        <f t="shared" si="15"/>
        <v>0</v>
      </c>
      <c r="I119" s="98">
        <f t="shared" si="15"/>
        <v>0</v>
      </c>
      <c r="J119" s="98">
        <f t="shared" si="15"/>
        <v>0</v>
      </c>
      <c r="K119" s="98">
        <f t="shared" si="15"/>
        <v>0</v>
      </c>
      <c r="L119" s="98">
        <f t="shared" si="15"/>
        <v>0</v>
      </c>
      <c r="M119" s="98">
        <f t="shared" si="15"/>
        <v>0</v>
      </c>
      <c r="N119" s="98">
        <f t="shared" si="15"/>
        <v>0</v>
      </c>
      <c r="O119" s="98">
        <f t="shared" si="15"/>
        <v>0</v>
      </c>
      <c r="P119" s="115"/>
      <c r="Q119" s="1"/>
      <c r="R119" s="1"/>
      <c r="S119" s="1"/>
    </row>
    <row r="120" spans="1:19" x14ac:dyDescent="0.2">
      <c r="A120" s="115"/>
      <c r="B120" s="10" t="s">
        <v>54</v>
      </c>
      <c r="C120" s="98">
        <f t="shared" ref="C120:O120" si="16">C95-C117</f>
        <v>0</v>
      </c>
      <c r="D120" s="98">
        <f t="shared" si="16"/>
        <v>0</v>
      </c>
      <c r="E120" s="98">
        <f t="shared" si="16"/>
        <v>0</v>
      </c>
      <c r="F120" s="98">
        <f t="shared" si="16"/>
        <v>0</v>
      </c>
      <c r="G120" s="98">
        <f t="shared" si="16"/>
        <v>0</v>
      </c>
      <c r="H120" s="98">
        <f t="shared" si="16"/>
        <v>0</v>
      </c>
      <c r="I120" s="98">
        <f t="shared" si="16"/>
        <v>0</v>
      </c>
      <c r="J120" s="98">
        <f t="shared" si="16"/>
        <v>0</v>
      </c>
      <c r="K120" s="98">
        <f t="shared" si="16"/>
        <v>0</v>
      </c>
      <c r="L120" s="98">
        <f t="shared" si="16"/>
        <v>0</v>
      </c>
      <c r="M120" s="98">
        <f t="shared" si="16"/>
        <v>0</v>
      </c>
      <c r="N120" s="98">
        <f t="shared" si="16"/>
        <v>0</v>
      </c>
      <c r="O120" s="98">
        <f t="shared" si="16"/>
        <v>0</v>
      </c>
      <c r="P120" s="115"/>
      <c r="Q120" s="1"/>
      <c r="R120" s="1"/>
      <c r="S120" s="1"/>
    </row>
    <row r="121" spans="1:19" x14ac:dyDescent="0.2">
      <c r="A121" s="115"/>
      <c r="B121" s="96" t="s">
        <v>72</v>
      </c>
      <c r="C121" s="99"/>
      <c r="D121" s="99"/>
      <c r="E121" s="99"/>
      <c r="F121" s="99"/>
      <c r="G121" s="99"/>
      <c r="H121" s="99"/>
      <c r="I121" s="99"/>
      <c r="J121" s="99"/>
      <c r="K121" s="99"/>
      <c r="L121" s="99"/>
      <c r="M121" s="99"/>
      <c r="N121" s="99"/>
      <c r="O121" s="99"/>
      <c r="P121" s="115"/>
      <c r="Q121" s="1"/>
      <c r="R121" s="1"/>
      <c r="S121" s="1"/>
    </row>
    <row r="122" spans="1:19" x14ac:dyDescent="0.2">
      <c r="A122" s="115"/>
      <c r="B122" s="94" t="s">
        <v>73</v>
      </c>
      <c r="C122" s="91"/>
      <c r="D122" s="91"/>
      <c r="E122" s="91"/>
      <c r="F122" s="91"/>
      <c r="G122" s="91"/>
      <c r="H122" s="91"/>
      <c r="I122" s="91"/>
      <c r="J122" s="91"/>
      <c r="K122" s="91"/>
      <c r="L122" s="91"/>
      <c r="M122" s="91"/>
      <c r="N122" s="91"/>
      <c r="O122" s="91"/>
      <c r="P122" s="115"/>
      <c r="Q122" s="1"/>
      <c r="R122" s="1"/>
      <c r="S122" s="1"/>
    </row>
    <row r="123" spans="1:19" x14ac:dyDescent="0.2">
      <c r="A123" s="115"/>
      <c r="B123" s="10" t="s">
        <v>41</v>
      </c>
      <c r="C123" s="91"/>
      <c r="D123" s="91"/>
      <c r="E123" s="91"/>
      <c r="F123" s="91"/>
      <c r="G123" s="91"/>
      <c r="H123" s="91"/>
      <c r="I123" s="91"/>
      <c r="J123" s="91"/>
      <c r="K123" s="91"/>
      <c r="L123" s="91"/>
      <c r="M123" s="91"/>
      <c r="N123" s="91"/>
      <c r="O123" s="91"/>
      <c r="P123" s="115"/>
      <c r="Q123" s="1"/>
      <c r="R123" s="1"/>
      <c r="S123" s="1"/>
    </row>
    <row r="124" spans="1:19" x14ac:dyDescent="0.2">
      <c r="A124" s="115"/>
      <c r="B124" s="10" t="s">
        <v>42</v>
      </c>
      <c r="C124" s="91"/>
      <c r="D124" s="91"/>
      <c r="E124" s="91"/>
      <c r="F124" s="91"/>
      <c r="G124" s="91"/>
      <c r="H124" s="91"/>
      <c r="I124" s="91"/>
      <c r="J124" s="91"/>
      <c r="K124" s="91"/>
      <c r="L124" s="91"/>
      <c r="M124" s="91"/>
      <c r="N124" s="91"/>
      <c r="O124" s="91"/>
      <c r="P124" s="115"/>
      <c r="Q124" s="1"/>
      <c r="R124" s="1"/>
      <c r="S124" s="1"/>
    </row>
    <row r="125" spans="1:19" x14ac:dyDescent="0.2">
      <c r="A125" s="115"/>
      <c r="B125" s="94" t="s">
        <v>74</v>
      </c>
      <c r="C125" s="91"/>
      <c r="D125" s="91"/>
      <c r="E125" s="91"/>
      <c r="F125" s="91"/>
      <c r="G125" s="91"/>
      <c r="H125" s="91"/>
      <c r="I125" s="91"/>
      <c r="J125" s="91"/>
      <c r="K125" s="91"/>
      <c r="L125" s="91"/>
      <c r="M125" s="91"/>
      <c r="N125" s="91"/>
      <c r="O125" s="91"/>
      <c r="P125" s="115"/>
      <c r="Q125" s="1"/>
      <c r="R125" s="1"/>
      <c r="S125" s="1"/>
    </row>
    <row r="126" spans="1:19" x14ac:dyDescent="0.2">
      <c r="A126" s="115"/>
      <c r="B126" s="10" t="s">
        <v>41</v>
      </c>
      <c r="C126" s="91"/>
      <c r="D126" s="91"/>
      <c r="E126" s="91"/>
      <c r="F126" s="91"/>
      <c r="G126" s="91"/>
      <c r="H126" s="91"/>
      <c r="I126" s="91"/>
      <c r="J126" s="91"/>
      <c r="K126" s="91"/>
      <c r="L126" s="91"/>
      <c r="M126" s="91"/>
      <c r="N126" s="91"/>
      <c r="O126" s="91"/>
      <c r="P126" s="115"/>
      <c r="Q126" s="1"/>
      <c r="R126" s="1"/>
      <c r="S126" s="1"/>
    </row>
    <row r="127" spans="1:19" x14ac:dyDescent="0.2">
      <c r="A127" s="115"/>
      <c r="B127" s="10" t="s">
        <v>42</v>
      </c>
      <c r="C127" s="91"/>
      <c r="D127" s="91"/>
      <c r="E127" s="91"/>
      <c r="F127" s="91"/>
      <c r="G127" s="91"/>
      <c r="H127" s="91"/>
      <c r="I127" s="91"/>
      <c r="J127" s="91"/>
      <c r="K127" s="91"/>
      <c r="L127" s="91"/>
      <c r="M127" s="91"/>
      <c r="N127" s="91"/>
      <c r="O127" s="91"/>
      <c r="P127" s="115"/>
      <c r="Q127" s="1"/>
      <c r="R127" s="1"/>
      <c r="S127" s="1"/>
    </row>
    <row r="128" spans="1:19" x14ac:dyDescent="0.2">
      <c r="A128" s="115"/>
      <c r="B128" s="94" t="s">
        <v>75</v>
      </c>
      <c r="C128" s="91"/>
      <c r="D128" s="91"/>
      <c r="E128" s="91"/>
      <c r="F128" s="91"/>
      <c r="G128" s="91"/>
      <c r="H128" s="91"/>
      <c r="I128" s="91"/>
      <c r="J128" s="91"/>
      <c r="K128" s="91"/>
      <c r="L128" s="91"/>
      <c r="M128" s="91"/>
      <c r="N128" s="91"/>
      <c r="O128" s="91"/>
      <c r="P128" s="115"/>
      <c r="Q128" s="1"/>
      <c r="R128" s="1"/>
      <c r="S128" s="1"/>
    </row>
    <row r="129" spans="1:19" x14ac:dyDescent="0.2">
      <c r="A129" s="115"/>
      <c r="B129" s="10" t="s">
        <v>41</v>
      </c>
      <c r="C129" s="91"/>
      <c r="D129" s="91"/>
      <c r="E129" s="91"/>
      <c r="F129" s="91"/>
      <c r="G129" s="91"/>
      <c r="H129" s="91"/>
      <c r="I129" s="91"/>
      <c r="J129" s="91"/>
      <c r="K129" s="91"/>
      <c r="L129" s="91"/>
      <c r="M129" s="91"/>
      <c r="N129" s="91"/>
      <c r="O129" s="91"/>
      <c r="P129" s="115"/>
      <c r="Q129" s="1"/>
      <c r="R129" s="1"/>
      <c r="S129" s="1"/>
    </row>
    <row r="130" spans="1:19" x14ac:dyDescent="0.2">
      <c r="A130" s="115"/>
      <c r="B130" s="10" t="s">
        <v>42</v>
      </c>
      <c r="C130" s="91"/>
      <c r="D130" s="91"/>
      <c r="E130" s="91"/>
      <c r="F130" s="91"/>
      <c r="G130" s="91"/>
      <c r="H130" s="91"/>
      <c r="I130" s="91"/>
      <c r="J130" s="91"/>
      <c r="K130" s="91"/>
      <c r="L130" s="91"/>
      <c r="M130" s="91"/>
      <c r="N130" s="91"/>
      <c r="O130" s="91"/>
      <c r="P130" s="115"/>
      <c r="Q130" s="1"/>
      <c r="R130" s="1"/>
      <c r="S130" s="1"/>
    </row>
    <row r="131" spans="1:19" x14ac:dyDescent="0.2">
      <c r="A131" s="115"/>
      <c r="B131" s="95" t="s">
        <v>76</v>
      </c>
      <c r="C131" s="98">
        <f t="shared" ref="C131:O131" si="17">C118-C122-C125-C128</f>
        <v>0</v>
      </c>
      <c r="D131" s="98">
        <f t="shared" si="17"/>
        <v>0</v>
      </c>
      <c r="E131" s="98">
        <f t="shared" si="17"/>
        <v>0</v>
      </c>
      <c r="F131" s="98">
        <f t="shared" si="17"/>
        <v>0</v>
      </c>
      <c r="G131" s="98">
        <f t="shared" si="17"/>
        <v>0</v>
      </c>
      <c r="H131" s="98">
        <f t="shared" si="17"/>
        <v>0</v>
      </c>
      <c r="I131" s="98">
        <f t="shared" si="17"/>
        <v>0</v>
      </c>
      <c r="J131" s="98">
        <f t="shared" si="17"/>
        <v>0</v>
      </c>
      <c r="K131" s="98">
        <f t="shared" si="17"/>
        <v>0</v>
      </c>
      <c r="L131" s="98">
        <f t="shared" si="17"/>
        <v>0</v>
      </c>
      <c r="M131" s="98">
        <f t="shared" si="17"/>
        <v>0</v>
      </c>
      <c r="N131" s="98">
        <f t="shared" si="17"/>
        <v>0</v>
      </c>
      <c r="O131" s="98">
        <f t="shared" si="17"/>
        <v>0</v>
      </c>
      <c r="P131" s="115"/>
      <c r="Q131" s="1"/>
      <c r="R131" s="1"/>
      <c r="S131" s="1"/>
    </row>
    <row r="132" spans="1:19" x14ac:dyDescent="0.2">
      <c r="A132" s="115"/>
      <c r="B132" s="10" t="s">
        <v>53</v>
      </c>
      <c r="C132" s="98">
        <f t="shared" ref="C132:O132" si="18">C119-C123-C126-C129</f>
        <v>0</v>
      </c>
      <c r="D132" s="98">
        <f t="shared" si="18"/>
        <v>0</v>
      </c>
      <c r="E132" s="98">
        <f t="shared" si="18"/>
        <v>0</v>
      </c>
      <c r="F132" s="98">
        <f t="shared" si="18"/>
        <v>0</v>
      </c>
      <c r="G132" s="98">
        <f t="shared" si="18"/>
        <v>0</v>
      </c>
      <c r="H132" s="98">
        <f t="shared" si="18"/>
        <v>0</v>
      </c>
      <c r="I132" s="98">
        <f t="shared" si="18"/>
        <v>0</v>
      </c>
      <c r="J132" s="98">
        <f t="shared" si="18"/>
        <v>0</v>
      </c>
      <c r="K132" s="98">
        <f t="shared" si="18"/>
        <v>0</v>
      </c>
      <c r="L132" s="98">
        <f t="shared" si="18"/>
        <v>0</v>
      </c>
      <c r="M132" s="98">
        <f t="shared" si="18"/>
        <v>0</v>
      </c>
      <c r="N132" s="98">
        <f t="shared" si="18"/>
        <v>0</v>
      </c>
      <c r="O132" s="98">
        <f t="shared" si="18"/>
        <v>0</v>
      </c>
      <c r="P132" s="115"/>
      <c r="Q132" s="1"/>
      <c r="R132" s="1"/>
      <c r="S132" s="1"/>
    </row>
    <row r="133" spans="1:19" x14ac:dyDescent="0.2">
      <c r="A133" s="115"/>
      <c r="B133" s="10" t="s">
        <v>54</v>
      </c>
      <c r="C133" s="98">
        <f t="shared" ref="C133:O133" si="19">C120-C124-C127-C130</f>
        <v>0</v>
      </c>
      <c r="D133" s="98">
        <f t="shared" si="19"/>
        <v>0</v>
      </c>
      <c r="E133" s="98">
        <f t="shared" si="19"/>
        <v>0</v>
      </c>
      <c r="F133" s="98">
        <f t="shared" si="19"/>
        <v>0</v>
      </c>
      <c r="G133" s="98">
        <f t="shared" si="19"/>
        <v>0</v>
      </c>
      <c r="H133" s="98">
        <f t="shared" si="19"/>
        <v>0</v>
      </c>
      <c r="I133" s="98">
        <f t="shared" si="19"/>
        <v>0</v>
      </c>
      <c r="J133" s="98">
        <f t="shared" si="19"/>
        <v>0</v>
      </c>
      <c r="K133" s="98">
        <f t="shared" si="19"/>
        <v>0</v>
      </c>
      <c r="L133" s="98">
        <f t="shared" si="19"/>
        <v>0</v>
      </c>
      <c r="M133" s="98">
        <f t="shared" si="19"/>
        <v>0</v>
      </c>
      <c r="N133" s="98">
        <f t="shared" si="19"/>
        <v>0</v>
      </c>
      <c r="O133" s="98">
        <f t="shared" si="19"/>
        <v>0</v>
      </c>
      <c r="P133" s="115"/>
      <c r="Q133" s="1"/>
      <c r="R133" s="1"/>
      <c r="S133" s="1"/>
    </row>
    <row r="134" spans="1:19" x14ac:dyDescent="0.2">
      <c r="A134" s="115"/>
      <c r="B134" s="96" t="s">
        <v>77</v>
      </c>
      <c r="C134" s="99"/>
      <c r="D134" s="99"/>
      <c r="E134" s="99"/>
      <c r="F134" s="99"/>
      <c r="G134" s="99"/>
      <c r="H134" s="99"/>
      <c r="I134" s="99"/>
      <c r="J134" s="99"/>
      <c r="K134" s="99"/>
      <c r="L134" s="99"/>
      <c r="M134" s="99"/>
      <c r="N134" s="99"/>
      <c r="O134" s="99"/>
      <c r="P134" s="115"/>
      <c r="Q134" s="1"/>
      <c r="R134" s="1"/>
      <c r="S134" s="1"/>
    </row>
    <row r="135" spans="1:19" x14ac:dyDescent="0.2">
      <c r="A135" s="115"/>
      <c r="B135" s="94" t="s">
        <v>78</v>
      </c>
      <c r="C135" s="91"/>
      <c r="D135" s="91"/>
      <c r="E135" s="91"/>
      <c r="F135" s="91"/>
      <c r="G135" s="91"/>
      <c r="H135" s="91"/>
      <c r="I135" s="91"/>
      <c r="J135" s="91"/>
      <c r="K135" s="91"/>
      <c r="L135" s="91"/>
      <c r="M135" s="91"/>
      <c r="N135" s="91"/>
      <c r="O135" s="91"/>
      <c r="P135" s="115"/>
      <c r="Q135" s="1"/>
      <c r="R135" s="1"/>
      <c r="S135" s="1"/>
    </row>
    <row r="136" spans="1:19" x14ac:dyDescent="0.2">
      <c r="A136" s="115"/>
      <c r="B136" s="10" t="s">
        <v>41</v>
      </c>
      <c r="C136" s="91"/>
      <c r="D136" s="91"/>
      <c r="E136" s="91"/>
      <c r="F136" s="91"/>
      <c r="G136" s="91"/>
      <c r="H136" s="91"/>
      <c r="I136" s="91"/>
      <c r="J136" s="91"/>
      <c r="K136" s="91"/>
      <c r="L136" s="91"/>
      <c r="M136" s="91"/>
      <c r="N136" s="91"/>
      <c r="O136" s="91"/>
      <c r="P136" s="115"/>
      <c r="Q136" s="1"/>
      <c r="R136" s="1"/>
      <c r="S136" s="1"/>
    </row>
    <row r="137" spans="1:19" x14ac:dyDescent="0.2">
      <c r="A137" s="115"/>
      <c r="B137" s="10" t="s">
        <v>42</v>
      </c>
      <c r="C137" s="91"/>
      <c r="D137" s="91"/>
      <c r="E137" s="91"/>
      <c r="F137" s="91"/>
      <c r="G137" s="91"/>
      <c r="H137" s="91"/>
      <c r="I137" s="91"/>
      <c r="J137" s="91"/>
      <c r="K137" s="91"/>
      <c r="L137" s="91"/>
      <c r="M137" s="91"/>
      <c r="N137" s="91"/>
      <c r="O137" s="91"/>
      <c r="P137" s="115"/>
      <c r="Q137" s="1"/>
      <c r="R137" s="1"/>
      <c r="S137" s="1"/>
    </row>
    <row r="138" spans="1:19" x14ac:dyDescent="0.2">
      <c r="A138" s="115"/>
      <c r="B138" s="94" t="s">
        <v>79</v>
      </c>
      <c r="C138" s="91"/>
      <c r="D138" s="91"/>
      <c r="E138" s="91"/>
      <c r="F138" s="91"/>
      <c r="G138" s="91"/>
      <c r="H138" s="91"/>
      <c r="I138" s="91"/>
      <c r="J138" s="91"/>
      <c r="K138" s="91"/>
      <c r="L138" s="91"/>
      <c r="M138" s="91"/>
      <c r="N138" s="91"/>
      <c r="O138" s="91"/>
      <c r="P138" s="115"/>
      <c r="Q138" s="1"/>
      <c r="R138" s="1"/>
      <c r="S138" s="1"/>
    </row>
    <row r="139" spans="1:19" x14ac:dyDescent="0.2">
      <c r="A139" s="115"/>
      <c r="B139" s="10" t="s">
        <v>41</v>
      </c>
      <c r="C139" s="91"/>
      <c r="D139" s="91"/>
      <c r="E139" s="91"/>
      <c r="F139" s="91"/>
      <c r="G139" s="91"/>
      <c r="H139" s="91"/>
      <c r="I139" s="91"/>
      <c r="J139" s="91"/>
      <c r="K139" s="91"/>
      <c r="L139" s="91"/>
      <c r="M139" s="91"/>
      <c r="N139" s="91"/>
      <c r="O139" s="91"/>
      <c r="P139" s="115"/>
      <c r="Q139" s="1"/>
      <c r="R139" s="1"/>
      <c r="S139" s="1"/>
    </row>
    <row r="140" spans="1:19" x14ac:dyDescent="0.2">
      <c r="A140" s="115"/>
      <c r="B140" s="10" t="s">
        <v>42</v>
      </c>
      <c r="C140" s="91"/>
      <c r="D140" s="91"/>
      <c r="E140" s="91"/>
      <c r="F140" s="91"/>
      <c r="G140" s="91"/>
      <c r="H140" s="91"/>
      <c r="I140" s="91"/>
      <c r="J140" s="91"/>
      <c r="K140" s="91"/>
      <c r="L140" s="91"/>
      <c r="M140" s="91"/>
      <c r="N140" s="91"/>
      <c r="O140" s="91"/>
      <c r="P140" s="115"/>
      <c r="Q140" s="1"/>
      <c r="R140" s="1"/>
      <c r="S140" s="1"/>
    </row>
    <row r="141" spans="1:19" x14ac:dyDescent="0.2">
      <c r="A141" s="115"/>
      <c r="B141" s="94" t="s">
        <v>80</v>
      </c>
      <c r="C141" s="91"/>
      <c r="D141" s="91"/>
      <c r="E141" s="91"/>
      <c r="F141" s="91"/>
      <c r="G141" s="91"/>
      <c r="H141" s="91"/>
      <c r="I141" s="91"/>
      <c r="J141" s="91"/>
      <c r="K141" s="91"/>
      <c r="L141" s="91"/>
      <c r="M141" s="91"/>
      <c r="N141" s="91"/>
      <c r="O141" s="91"/>
      <c r="P141" s="115"/>
      <c r="Q141" s="1"/>
      <c r="R141" s="1"/>
      <c r="S141" s="1"/>
    </row>
    <row r="142" spans="1:19" x14ac:dyDescent="0.2">
      <c r="A142" s="115"/>
      <c r="B142" s="10" t="s">
        <v>41</v>
      </c>
      <c r="C142" s="91"/>
      <c r="D142" s="91"/>
      <c r="E142" s="91"/>
      <c r="F142" s="91"/>
      <c r="G142" s="91"/>
      <c r="H142" s="91"/>
      <c r="I142" s="91"/>
      <c r="J142" s="91"/>
      <c r="K142" s="91"/>
      <c r="L142" s="91"/>
      <c r="M142" s="91"/>
      <c r="N142" s="91"/>
      <c r="O142" s="91"/>
      <c r="P142" s="115"/>
      <c r="Q142" s="1"/>
      <c r="R142" s="1"/>
      <c r="S142" s="1"/>
    </row>
    <row r="143" spans="1:19" x14ac:dyDescent="0.2">
      <c r="A143" s="115"/>
      <c r="B143" s="10" t="s">
        <v>42</v>
      </c>
      <c r="C143" s="91"/>
      <c r="D143" s="91"/>
      <c r="E143" s="91"/>
      <c r="F143" s="91"/>
      <c r="G143" s="91"/>
      <c r="H143" s="91"/>
      <c r="I143" s="91"/>
      <c r="J143" s="91"/>
      <c r="K143" s="91"/>
      <c r="L143" s="91"/>
      <c r="M143" s="91"/>
      <c r="N143" s="91"/>
      <c r="O143" s="91"/>
      <c r="P143" s="115"/>
      <c r="Q143" s="1"/>
      <c r="R143" s="1"/>
      <c r="S143" s="1"/>
    </row>
    <row r="144" spans="1:19" x14ac:dyDescent="0.2">
      <c r="A144" s="115"/>
      <c r="B144" s="94" t="s">
        <v>81</v>
      </c>
      <c r="C144" s="91"/>
      <c r="D144" s="91"/>
      <c r="E144" s="91"/>
      <c r="F144" s="91"/>
      <c r="G144" s="91"/>
      <c r="H144" s="91"/>
      <c r="I144" s="91"/>
      <c r="J144" s="91"/>
      <c r="K144" s="91"/>
      <c r="L144" s="91"/>
      <c r="M144" s="91"/>
      <c r="N144" s="91"/>
      <c r="O144" s="91"/>
      <c r="P144" s="115"/>
      <c r="Q144" s="1"/>
      <c r="R144" s="1"/>
      <c r="S144" s="1"/>
    </row>
    <row r="145" spans="1:19" x14ac:dyDescent="0.2">
      <c r="A145" s="115"/>
      <c r="B145" s="10" t="s">
        <v>41</v>
      </c>
      <c r="C145" s="91"/>
      <c r="D145" s="91"/>
      <c r="E145" s="91"/>
      <c r="F145" s="91"/>
      <c r="G145" s="91"/>
      <c r="H145" s="91"/>
      <c r="I145" s="91"/>
      <c r="J145" s="91"/>
      <c r="K145" s="91"/>
      <c r="L145" s="91"/>
      <c r="M145" s="91"/>
      <c r="N145" s="91"/>
      <c r="O145" s="91"/>
      <c r="P145" s="115"/>
      <c r="Q145" s="1"/>
      <c r="R145" s="1"/>
      <c r="S145" s="1"/>
    </row>
    <row r="146" spans="1:19" x14ac:dyDescent="0.2">
      <c r="A146" s="115"/>
      <c r="B146" s="10" t="s">
        <v>42</v>
      </c>
      <c r="C146" s="91"/>
      <c r="D146" s="91"/>
      <c r="E146" s="91"/>
      <c r="F146" s="91"/>
      <c r="G146" s="91"/>
      <c r="H146" s="91"/>
      <c r="I146" s="91"/>
      <c r="J146" s="91"/>
      <c r="K146" s="91"/>
      <c r="L146" s="91"/>
      <c r="M146" s="91"/>
      <c r="N146" s="91"/>
      <c r="O146" s="91"/>
      <c r="P146" s="115"/>
      <c r="Q146" s="1"/>
      <c r="R146" s="1"/>
      <c r="S146" s="1"/>
    </row>
    <row r="147" spans="1:19" x14ac:dyDescent="0.2">
      <c r="A147" s="115"/>
      <c r="B147" s="96" t="s">
        <v>82</v>
      </c>
      <c r="C147" s="99"/>
      <c r="D147" s="99"/>
      <c r="E147" s="99"/>
      <c r="F147" s="99"/>
      <c r="G147" s="99"/>
      <c r="H147" s="99"/>
      <c r="I147" s="99"/>
      <c r="J147" s="99"/>
      <c r="K147" s="99"/>
      <c r="L147" s="99"/>
      <c r="M147" s="99"/>
      <c r="N147" s="99"/>
      <c r="O147" s="99"/>
      <c r="P147" s="115"/>
      <c r="Q147" s="1"/>
      <c r="R147" s="1"/>
      <c r="S147" s="1"/>
    </row>
    <row r="148" spans="1:19" x14ac:dyDescent="0.2">
      <c r="A148" s="115"/>
      <c r="B148" s="94" t="s">
        <v>83</v>
      </c>
      <c r="C148" s="91"/>
      <c r="D148" s="91"/>
      <c r="E148" s="91"/>
      <c r="F148" s="91"/>
      <c r="G148" s="91"/>
      <c r="H148" s="91"/>
      <c r="I148" s="91"/>
      <c r="J148" s="91"/>
      <c r="K148" s="91"/>
      <c r="L148" s="91"/>
      <c r="M148" s="91"/>
      <c r="N148" s="91"/>
      <c r="O148" s="91"/>
      <c r="P148" s="115"/>
      <c r="Q148" s="1"/>
      <c r="R148" s="1"/>
      <c r="S148" s="1"/>
    </row>
    <row r="149" spans="1:19" x14ac:dyDescent="0.2">
      <c r="A149" s="115"/>
      <c r="B149" s="10" t="s">
        <v>41</v>
      </c>
      <c r="C149" s="91"/>
      <c r="D149" s="91"/>
      <c r="E149" s="91"/>
      <c r="F149" s="91"/>
      <c r="G149" s="91"/>
      <c r="H149" s="91"/>
      <c r="I149" s="91"/>
      <c r="J149" s="91"/>
      <c r="K149" s="91"/>
      <c r="L149" s="91"/>
      <c r="M149" s="91"/>
      <c r="N149" s="91"/>
      <c r="O149" s="91"/>
      <c r="P149" s="115"/>
      <c r="Q149" s="1"/>
      <c r="R149" s="1"/>
      <c r="S149" s="1"/>
    </row>
    <row r="150" spans="1:19" x14ac:dyDescent="0.2">
      <c r="A150" s="115"/>
      <c r="B150" s="10" t="s">
        <v>42</v>
      </c>
      <c r="C150" s="91"/>
      <c r="D150" s="91"/>
      <c r="E150" s="91"/>
      <c r="F150" s="91"/>
      <c r="G150" s="91"/>
      <c r="H150" s="91"/>
      <c r="I150" s="91"/>
      <c r="J150" s="91"/>
      <c r="K150" s="91"/>
      <c r="L150" s="91"/>
      <c r="M150" s="91"/>
      <c r="N150" s="91"/>
      <c r="O150" s="91"/>
      <c r="P150" s="115"/>
      <c r="Q150" s="1"/>
      <c r="R150" s="1"/>
      <c r="S150" s="1"/>
    </row>
    <row r="151" spans="1:19" x14ac:dyDescent="0.2">
      <c r="A151" s="115"/>
      <c r="B151" s="94" t="s">
        <v>84</v>
      </c>
      <c r="C151" s="91"/>
      <c r="D151" s="91"/>
      <c r="E151" s="91"/>
      <c r="F151" s="91"/>
      <c r="G151" s="91"/>
      <c r="H151" s="91"/>
      <c r="I151" s="91"/>
      <c r="J151" s="91"/>
      <c r="K151" s="91"/>
      <c r="L151" s="91"/>
      <c r="M151" s="91"/>
      <c r="N151" s="91"/>
      <c r="O151" s="91"/>
      <c r="P151" s="115"/>
      <c r="Q151" s="1"/>
      <c r="R151" s="1"/>
      <c r="S151" s="1"/>
    </row>
    <row r="152" spans="1:19" x14ac:dyDescent="0.2">
      <c r="A152" s="115"/>
      <c r="B152" s="10" t="s">
        <v>41</v>
      </c>
      <c r="C152" s="91"/>
      <c r="D152" s="91"/>
      <c r="E152" s="91"/>
      <c r="F152" s="91"/>
      <c r="G152" s="91"/>
      <c r="H152" s="91"/>
      <c r="I152" s="91"/>
      <c r="J152" s="91"/>
      <c r="K152" s="91"/>
      <c r="L152" s="91"/>
      <c r="M152" s="91"/>
      <c r="N152" s="91"/>
      <c r="O152" s="91"/>
      <c r="P152" s="115"/>
      <c r="Q152" s="1"/>
      <c r="R152" s="1"/>
      <c r="S152" s="1"/>
    </row>
    <row r="153" spans="1:19" x14ac:dyDescent="0.2">
      <c r="A153" s="115"/>
      <c r="B153" s="10" t="s">
        <v>42</v>
      </c>
      <c r="C153" s="91"/>
      <c r="D153" s="91"/>
      <c r="E153" s="91"/>
      <c r="F153" s="91"/>
      <c r="G153" s="91"/>
      <c r="H153" s="91"/>
      <c r="I153" s="91"/>
      <c r="J153" s="91"/>
      <c r="K153" s="91"/>
      <c r="L153" s="91"/>
      <c r="M153" s="91"/>
      <c r="N153" s="91"/>
      <c r="O153" s="91"/>
      <c r="P153" s="115"/>
      <c r="Q153" s="1"/>
      <c r="R153" s="1"/>
      <c r="S153" s="1"/>
    </row>
    <row r="154" spans="1:19" x14ac:dyDescent="0.2">
      <c r="A154" s="115"/>
      <c r="B154" s="94" t="s">
        <v>85</v>
      </c>
      <c r="C154" s="91"/>
      <c r="D154" s="91"/>
      <c r="E154" s="91"/>
      <c r="F154" s="91"/>
      <c r="G154" s="91"/>
      <c r="H154" s="91"/>
      <c r="I154" s="91"/>
      <c r="J154" s="91"/>
      <c r="K154" s="91"/>
      <c r="L154" s="91"/>
      <c r="M154" s="91"/>
      <c r="N154" s="91"/>
      <c r="O154" s="91"/>
      <c r="P154" s="115"/>
      <c r="Q154" s="1"/>
      <c r="R154" s="1"/>
      <c r="S154" s="1"/>
    </row>
    <row r="155" spans="1:19" x14ac:dyDescent="0.2">
      <c r="A155" s="115"/>
      <c r="B155" s="10" t="s">
        <v>41</v>
      </c>
      <c r="C155" s="91"/>
      <c r="D155" s="91"/>
      <c r="E155" s="91"/>
      <c r="F155" s="91"/>
      <c r="G155" s="91"/>
      <c r="H155" s="91"/>
      <c r="I155" s="91"/>
      <c r="J155" s="91"/>
      <c r="K155" s="91"/>
      <c r="L155" s="91"/>
      <c r="M155" s="91"/>
      <c r="N155" s="91"/>
      <c r="O155" s="91"/>
      <c r="P155" s="115"/>
      <c r="Q155" s="1"/>
      <c r="R155" s="1"/>
      <c r="S155" s="1"/>
    </row>
    <row r="156" spans="1:19" x14ac:dyDescent="0.2">
      <c r="A156" s="115"/>
      <c r="B156" s="10" t="s">
        <v>42</v>
      </c>
      <c r="C156" s="91"/>
      <c r="D156" s="91"/>
      <c r="E156" s="91"/>
      <c r="F156" s="91"/>
      <c r="G156" s="91"/>
      <c r="H156" s="91"/>
      <c r="I156" s="91"/>
      <c r="J156" s="91"/>
      <c r="K156" s="91"/>
      <c r="L156" s="91"/>
      <c r="M156" s="91"/>
      <c r="N156" s="91"/>
      <c r="O156" s="91"/>
      <c r="P156" s="115"/>
      <c r="Q156" s="1"/>
      <c r="R156" s="1"/>
      <c r="S156" s="1"/>
    </row>
    <row r="157" spans="1:19" x14ac:dyDescent="0.2">
      <c r="A157" s="115"/>
      <c r="B157" s="94" t="s">
        <v>86</v>
      </c>
      <c r="C157" s="91"/>
      <c r="D157" s="91"/>
      <c r="E157" s="91"/>
      <c r="F157" s="91"/>
      <c r="G157" s="91"/>
      <c r="H157" s="91"/>
      <c r="I157" s="91"/>
      <c r="J157" s="91"/>
      <c r="K157" s="91"/>
      <c r="L157" s="91"/>
      <c r="M157" s="91"/>
      <c r="N157" s="91"/>
      <c r="O157" s="91"/>
      <c r="P157" s="115"/>
      <c r="Q157" s="1"/>
      <c r="R157" s="1"/>
      <c r="S157" s="1"/>
    </row>
    <row r="158" spans="1:19" x14ac:dyDescent="0.2">
      <c r="A158" s="115"/>
      <c r="B158" s="10" t="s">
        <v>41</v>
      </c>
      <c r="C158" s="91"/>
      <c r="D158" s="91"/>
      <c r="E158" s="91"/>
      <c r="F158" s="91"/>
      <c r="G158" s="91"/>
      <c r="H158" s="91"/>
      <c r="I158" s="91"/>
      <c r="J158" s="91"/>
      <c r="K158" s="91"/>
      <c r="L158" s="91"/>
      <c r="M158" s="91"/>
      <c r="N158" s="91"/>
      <c r="O158" s="91"/>
      <c r="P158" s="115"/>
      <c r="Q158" s="1"/>
      <c r="R158" s="1"/>
      <c r="S158" s="1"/>
    </row>
    <row r="159" spans="1:19" x14ac:dyDescent="0.2">
      <c r="A159" s="115"/>
      <c r="B159" s="10" t="s">
        <v>42</v>
      </c>
      <c r="C159" s="91"/>
      <c r="D159" s="91"/>
      <c r="E159" s="91"/>
      <c r="F159" s="91"/>
      <c r="G159" s="91"/>
      <c r="H159" s="91"/>
      <c r="I159" s="91"/>
      <c r="J159" s="91"/>
      <c r="K159" s="91"/>
      <c r="L159" s="91"/>
      <c r="M159" s="91"/>
      <c r="N159" s="91"/>
      <c r="O159" s="91"/>
      <c r="P159" s="115"/>
      <c r="Q159" s="1"/>
      <c r="R159" s="1"/>
      <c r="S159" s="1"/>
    </row>
    <row r="160" spans="1:19" x14ac:dyDescent="0.2">
      <c r="A160" s="115"/>
      <c r="B160" s="94" t="s">
        <v>87</v>
      </c>
      <c r="C160" s="98">
        <f t="shared" ref="C160:O160" si="20">C148+C151+C154+C157</f>
        <v>0</v>
      </c>
      <c r="D160" s="98">
        <f t="shared" si="20"/>
        <v>0</v>
      </c>
      <c r="E160" s="98">
        <f t="shared" si="20"/>
        <v>0</v>
      </c>
      <c r="F160" s="98">
        <f t="shared" si="20"/>
        <v>0</v>
      </c>
      <c r="G160" s="98">
        <f t="shared" si="20"/>
        <v>0</v>
      </c>
      <c r="H160" s="98">
        <f t="shared" si="20"/>
        <v>0</v>
      </c>
      <c r="I160" s="98">
        <f t="shared" si="20"/>
        <v>0</v>
      </c>
      <c r="J160" s="98">
        <f t="shared" si="20"/>
        <v>0</v>
      </c>
      <c r="K160" s="98">
        <f t="shared" si="20"/>
        <v>0</v>
      </c>
      <c r="L160" s="98">
        <f t="shared" si="20"/>
        <v>0</v>
      </c>
      <c r="M160" s="98">
        <f t="shared" si="20"/>
        <v>0</v>
      </c>
      <c r="N160" s="98">
        <f t="shared" si="20"/>
        <v>0</v>
      </c>
      <c r="O160" s="98">
        <f t="shared" si="20"/>
        <v>0</v>
      </c>
      <c r="P160" s="115"/>
      <c r="Q160" s="1"/>
      <c r="R160" s="1"/>
      <c r="S160" s="1"/>
    </row>
    <row r="161" spans="1:19" x14ac:dyDescent="0.2">
      <c r="A161" s="115"/>
      <c r="B161" s="10" t="s">
        <v>41</v>
      </c>
      <c r="C161" s="98">
        <f t="shared" ref="C161:O161" si="21">C149+C152+C155+C158</f>
        <v>0</v>
      </c>
      <c r="D161" s="98">
        <f t="shared" si="21"/>
        <v>0</v>
      </c>
      <c r="E161" s="98">
        <f t="shared" si="21"/>
        <v>0</v>
      </c>
      <c r="F161" s="98">
        <f t="shared" si="21"/>
        <v>0</v>
      </c>
      <c r="G161" s="98">
        <f t="shared" si="21"/>
        <v>0</v>
      </c>
      <c r="H161" s="98">
        <f t="shared" si="21"/>
        <v>0</v>
      </c>
      <c r="I161" s="98">
        <f t="shared" si="21"/>
        <v>0</v>
      </c>
      <c r="J161" s="98">
        <f t="shared" si="21"/>
        <v>0</v>
      </c>
      <c r="K161" s="98">
        <f t="shared" si="21"/>
        <v>0</v>
      </c>
      <c r="L161" s="98">
        <f t="shared" si="21"/>
        <v>0</v>
      </c>
      <c r="M161" s="98">
        <f t="shared" si="21"/>
        <v>0</v>
      </c>
      <c r="N161" s="98">
        <f t="shared" si="21"/>
        <v>0</v>
      </c>
      <c r="O161" s="98">
        <f t="shared" si="21"/>
        <v>0</v>
      </c>
      <c r="P161" s="115"/>
      <c r="Q161" s="1"/>
      <c r="R161" s="1"/>
      <c r="S161" s="1"/>
    </row>
    <row r="162" spans="1:19" x14ac:dyDescent="0.2">
      <c r="A162" s="115"/>
      <c r="B162" s="10" t="s">
        <v>42</v>
      </c>
      <c r="C162" s="98">
        <f t="shared" ref="C162:O162" si="22">C150+C153+C156+C159</f>
        <v>0</v>
      </c>
      <c r="D162" s="98">
        <f t="shared" si="22"/>
        <v>0</v>
      </c>
      <c r="E162" s="98">
        <f t="shared" si="22"/>
        <v>0</v>
      </c>
      <c r="F162" s="98">
        <f t="shared" si="22"/>
        <v>0</v>
      </c>
      <c r="G162" s="98">
        <f t="shared" si="22"/>
        <v>0</v>
      </c>
      <c r="H162" s="98">
        <f t="shared" si="22"/>
        <v>0</v>
      </c>
      <c r="I162" s="98">
        <f t="shared" si="22"/>
        <v>0</v>
      </c>
      <c r="J162" s="98">
        <f t="shared" si="22"/>
        <v>0</v>
      </c>
      <c r="K162" s="98">
        <f t="shared" si="22"/>
        <v>0</v>
      </c>
      <c r="L162" s="98">
        <f t="shared" si="22"/>
        <v>0</v>
      </c>
      <c r="M162" s="98">
        <f t="shared" si="22"/>
        <v>0</v>
      </c>
      <c r="N162" s="98">
        <f t="shared" si="22"/>
        <v>0</v>
      </c>
      <c r="O162" s="98">
        <f t="shared" si="22"/>
        <v>0</v>
      </c>
      <c r="P162" s="115"/>
      <c r="Q162" s="1"/>
      <c r="R162" s="1"/>
      <c r="S162" s="1"/>
    </row>
    <row r="163" spans="1:19" x14ac:dyDescent="0.2">
      <c r="A163" s="115"/>
      <c r="B163" s="96" t="s">
        <v>88</v>
      </c>
      <c r="C163" s="99"/>
      <c r="D163" s="99"/>
      <c r="E163" s="99"/>
      <c r="F163" s="99"/>
      <c r="G163" s="99"/>
      <c r="H163" s="99"/>
      <c r="I163" s="99"/>
      <c r="J163" s="99"/>
      <c r="K163" s="99"/>
      <c r="L163" s="99"/>
      <c r="M163" s="99"/>
      <c r="N163" s="99"/>
      <c r="O163" s="99"/>
      <c r="P163" s="115"/>
      <c r="Q163" s="1"/>
      <c r="R163" s="1"/>
      <c r="S163" s="1"/>
    </row>
    <row r="164" spans="1:19" x14ac:dyDescent="0.2">
      <c r="A164" s="115"/>
      <c r="B164" s="94" t="s">
        <v>89</v>
      </c>
      <c r="C164" s="92"/>
      <c r="D164" s="92"/>
      <c r="E164" s="92"/>
      <c r="F164" s="92"/>
      <c r="G164" s="92"/>
      <c r="H164" s="92"/>
      <c r="I164" s="92"/>
      <c r="J164" s="92"/>
      <c r="K164" s="92"/>
      <c r="L164" s="92"/>
      <c r="M164" s="92"/>
      <c r="N164" s="92"/>
      <c r="O164" s="92"/>
      <c r="P164" s="115"/>
      <c r="Q164" s="1"/>
      <c r="R164" s="1"/>
      <c r="S164" s="1"/>
    </row>
    <row r="165" spans="1:19" x14ac:dyDescent="0.2">
      <c r="A165" s="115"/>
      <c r="B165" s="10" t="s">
        <v>41</v>
      </c>
      <c r="C165" s="92"/>
      <c r="D165" s="92"/>
      <c r="E165" s="92"/>
      <c r="F165" s="92"/>
      <c r="G165" s="92"/>
      <c r="H165" s="92"/>
      <c r="I165" s="92"/>
      <c r="J165" s="92"/>
      <c r="K165" s="92"/>
      <c r="L165" s="92"/>
      <c r="M165" s="92"/>
      <c r="N165" s="92"/>
      <c r="O165" s="92"/>
      <c r="P165" s="115"/>
      <c r="Q165" s="1"/>
      <c r="R165" s="1"/>
      <c r="S165" s="1"/>
    </row>
    <row r="166" spans="1:19" x14ac:dyDescent="0.2">
      <c r="A166" s="115"/>
      <c r="B166" s="10" t="s">
        <v>42</v>
      </c>
      <c r="C166" s="92"/>
      <c r="D166" s="92"/>
      <c r="E166" s="92"/>
      <c r="F166" s="92"/>
      <c r="G166" s="92"/>
      <c r="H166" s="92"/>
      <c r="I166" s="92"/>
      <c r="J166" s="92"/>
      <c r="K166" s="92"/>
      <c r="L166" s="92"/>
      <c r="M166" s="92"/>
      <c r="N166" s="92"/>
      <c r="O166" s="92"/>
      <c r="P166" s="115"/>
      <c r="Q166" s="1"/>
      <c r="R166" s="1"/>
      <c r="S166" s="1"/>
    </row>
    <row r="167" spans="1:19" x14ac:dyDescent="0.2">
      <c r="A167" s="115"/>
      <c r="B167" s="94" t="s">
        <v>90</v>
      </c>
      <c r="C167" s="92"/>
      <c r="D167" s="92"/>
      <c r="E167" s="92"/>
      <c r="F167" s="92"/>
      <c r="G167" s="92"/>
      <c r="H167" s="92"/>
      <c r="I167" s="92"/>
      <c r="J167" s="92"/>
      <c r="K167" s="92"/>
      <c r="L167" s="92"/>
      <c r="M167" s="92"/>
      <c r="N167" s="92"/>
      <c r="O167" s="92"/>
      <c r="P167" s="115"/>
      <c r="Q167" s="1"/>
      <c r="R167" s="1"/>
      <c r="S167" s="1"/>
    </row>
    <row r="168" spans="1:19" x14ac:dyDescent="0.2">
      <c r="A168" s="115"/>
      <c r="B168" s="10" t="s">
        <v>41</v>
      </c>
      <c r="C168" s="92"/>
      <c r="D168" s="92"/>
      <c r="E168" s="92"/>
      <c r="F168" s="92"/>
      <c r="G168" s="92"/>
      <c r="H168" s="92"/>
      <c r="I168" s="92"/>
      <c r="J168" s="92"/>
      <c r="K168" s="92"/>
      <c r="L168" s="92"/>
      <c r="M168" s="92"/>
      <c r="N168" s="92"/>
      <c r="O168" s="92"/>
      <c r="P168" s="115"/>
      <c r="Q168" s="1"/>
      <c r="R168" s="1"/>
      <c r="S168" s="1"/>
    </row>
    <row r="169" spans="1:19" x14ac:dyDescent="0.2">
      <c r="A169" s="115"/>
      <c r="B169" s="10" t="s">
        <v>42</v>
      </c>
      <c r="C169" s="92"/>
      <c r="D169" s="92"/>
      <c r="E169" s="92"/>
      <c r="F169" s="92"/>
      <c r="G169" s="92"/>
      <c r="H169" s="92"/>
      <c r="I169" s="92"/>
      <c r="J169" s="92"/>
      <c r="K169" s="92"/>
      <c r="L169" s="92"/>
      <c r="M169" s="92"/>
      <c r="N169" s="92"/>
      <c r="O169" s="92"/>
      <c r="P169" s="115"/>
      <c r="Q169" s="1"/>
      <c r="R169" s="1"/>
      <c r="S169" s="1"/>
    </row>
    <row r="170" spans="1:19" x14ac:dyDescent="0.2">
      <c r="A170" s="115"/>
      <c r="B170" s="94" t="s">
        <v>91</v>
      </c>
      <c r="C170" s="93"/>
      <c r="D170" s="93"/>
      <c r="E170" s="93"/>
      <c r="F170" s="93"/>
      <c r="G170" s="93"/>
      <c r="H170" s="93"/>
      <c r="I170" s="93"/>
      <c r="J170" s="93"/>
      <c r="K170" s="93"/>
      <c r="L170" s="93"/>
      <c r="M170" s="93"/>
      <c r="N170" s="93"/>
      <c r="O170" s="93"/>
      <c r="P170" s="115"/>
      <c r="Q170" s="1"/>
      <c r="R170" s="1"/>
      <c r="S170" s="1"/>
    </row>
    <row r="171" spans="1:19" x14ac:dyDescent="0.2">
      <c r="A171" s="115"/>
      <c r="B171" s="10" t="s">
        <v>41</v>
      </c>
      <c r="C171" s="93"/>
      <c r="D171" s="93"/>
      <c r="E171" s="93"/>
      <c r="F171" s="93"/>
      <c r="G171" s="93"/>
      <c r="H171" s="93"/>
      <c r="I171" s="93"/>
      <c r="J171" s="93"/>
      <c r="K171" s="93"/>
      <c r="L171" s="93"/>
      <c r="M171" s="93"/>
      <c r="N171" s="93"/>
      <c r="O171" s="93"/>
      <c r="P171" s="115"/>
      <c r="Q171" s="1"/>
      <c r="R171" s="1"/>
      <c r="S171" s="1"/>
    </row>
    <row r="172" spans="1:19" x14ac:dyDescent="0.2">
      <c r="A172" s="115"/>
      <c r="B172" s="10" t="s">
        <v>42</v>
      </c>
      <c r="C172" s="93"/>
      <c r="D172" s="93"/>
      <c r="E172" s="93"/>
      <c r="F172" s="93"/>
      <c r="G172" s="93"/>
      <c r="H172" s="93"/>
      <c r="I172" s="93"/>
      <c r="J172" s="93"/>
      <c r="K172" s="93"/>
      <c r="L172" s="93"/>
      <c r="M172" s="93"/>
      <c r="N172" s="93"/>
      <c r="O172" s="93"/>
      <c r="P172" s="115"/>
      <c r="Q172" s="1"/>
      <c r="R172" s="1"/>
      <c r="S172" s="1"/>
    </row>
    <row r="173" spans="1:19" x14ac:dyDescent="0.2">
      <c r="A173" s="115"/>
      <c r="B173" s="94" t="s">
        <v>92</v>
      </c>
      <c r="C173" s="93"/>
      <c r="D173" s="93"/>
      <c r="E173" s="93"/>
      <c r="F173" s="93"/>
      <c r="G173" s="93"/>
      <c r="H173" s="93"/>
      <c r="I173" s="93"/>
      <c r="J173" s="93"/>
      <c r="K173" s="93"/>
      <c r="L173" s="93"/>
      <c r="M173" s="93"/>
      <c r="N173" s="93"/>
      <c r="O173" s="93"/>
      <c r="P173" s="115"/>
      <c r="Q173" s="1"/>
      <c r="R173" s="1"/>
      <c r="S173" s="1"/>
    </row>
    <row r="174" spans="1:19" x14ac:dyDescent="0.2">
      <c r="A174" s="115"/>
      <c r="B174" s="10" t="s">
        <v>41</v>
      </c>
      <c r="C174" s="93"/>
      <c r="D174" s="93"/>
      <c r="E174" s="93"/>
      <c r="F174" s="93"/>
      <c r="G174" s="93"/>
      <c r="H174" s="93"/>
      <c r="I174" s="93"/>
      <c r="J174" s="93"/>
      <c r="K174" s="93"/>
      <c r="L174" s="93"/>
      <c r="M174" s="93"/>
      <c r="N174" s="93"/>
      <c r="O174" s="93"/>
      <c r="P174" s="115"/>
      <c r="Q174" s="1"/>
      <c r="R174" s="1"/>
      <c r="S174" s="1"/>
    </row>
    <row r="175" spans="1:19" x14ac:dyDescent="0.2">
      <c r="A175" s="115"/>
      <c r="B175" s="10" t="s">
        <v>42</v>
      </c>
      <c r="C175" s="93"/>
      <c r="D175" s="93"/>
      <c r="E175" s="93"/>
      <c r="F175" s="93"/>
      <c r="G175" s="93"/>
      <c r="H175" s="93"/>
      <c r="I175" s="93"/>
      <c r="J175" s="93"/>
      <c r="K175" s="93"/>
      <c r="L175" s="93"/>
      <c r="M175" s="93"/>
      <c r="N175" s="93"/>
      <c r="O175" s="93"/>
      <c r="P175" s="115"/>
      <c r="Q175" s="1"/>
      <c r="R175" s="1"/>
      <c r="S175" s="1"/>
    </row>
    <row r="176" spans="1:19" x14ac:dyDescent="0.2">
      <c r="A176" s="115"/>
      <c r="B176" s="94" t="s">
        <v>93</v>
      </c>
      <c r="C176" s="91"/>
      <c r="D176" s="91"/>
      <c r="E176" s="91"/>
      <c r="F176" s="91"/>
      <c r="G176" s="91"/>
      <c r="H176" s="91"/>
      <c r="I176" s="91"/>
      <c r="J176" s="91"/>
      <c r="K176" s="91"/>
      <c r="L176" s="91"/>
      <c r="M176" s="91"/>
      <c r="N176" s="91"/>
      <c r="O176" s="91"/>
      <c r="P176" s="115"/>
      <c r="Q176" s="1"/>
      <c r="R176" s="1"/>
      <c r="S176" s="1"/>
    </row>
    <row r="177" spans="1:19" x14ac:dyDescent="0.2">
      <c r="A177" s="115"/>
      <c r="B177" s="10" t="s">
        <v>41</v>
      </c>
      <c r="C177" s="91"/>
      <c r="D177" s="91"/>
      <c r="E177" s="91"/>
      <c r="F177" s="91"/>
      <c r="G177" s="91"/>
      <c r="H177" s="91"/>
      <c r="I177" s="91"/>
      <c r="J177" s="91"/>
      <c r="K177" s="91"/>
      <c r="L177" s="91"/>
      <c r="M177" s="91"/>
      <c r="N177" s="91"/>
      <c r="O177" s="91"/>
      <c r="P177" s="115"/>
      <c r="Q177" s="1"/>
      <c r="R177" s="1"/>
      <c r="S177" s="1"/>
    </row>
    <row r="178" spans="1:19" x14ac:dyDescent="0.2">
      <c r="A178" s="115"/>
      <c r="B178" s="10" t="s">
        <v>42</v>
      </c>
      <c r="C178" s="91"/>
      <c r="D178" s="91"/>
      <c r="E178" s="91"/>
      <c r="F178" s="91"/>
      <c r="G178" s="91"/>
      <c r="H178" s="91"/>
      <c r="I178" s="91"/>
      <c r="J178" s="91"/>
      <c r="K178" s="91"/>
      <c r="L178" s="91"/>
      <c r="M178" s="91"/>
      <c r="N178" s="91"/>
      <c r="O178" s="91"/>
      <c r="P178" s="115"/>
      <c r="Q178" s="1"/>
      <c r="R178" s="1"/>
      <c r="S178" s="1"/>
    </row>
    <row r="179" spans="1:19" x14ac:dyDescent="0.2">
      <c r="A179" s="115"/>
      <c r="B179" s="94" t="s">
        <v>94</v>
      </c>
      <c r="C179" s="91"/>
      <c r="D179" s="91"/>
      <c r="E179" s="91"/>
      <c r="F179" s="91"/>
      <c r="G179" s="91"/>
      <c r="H179" s="91"/>
      <c r="I179" s="91"/>
      <c r="J179" s="91"/>
      <c r="K179" s="91"/>
      <c r="L179" s="91"/>
      <c r="M179" s="91"/>
      <c r="N179" s="91"/>
      <c r="O179" s="91"/>
      <c r="P179" s="115"/>
      <c r="Q179" s="1"/>
      <c r="R179" s="1"/>
      <c r="S179" s="1"/>
    </row>
    <row r="180" spans="1:19" x14ac:dyDescent="0.2">
      <c r="A180" s="115"/>
      <c r="B180" s="10" t="s">
        <v>41</v>
      </c>
      <c r="C180" s="91"/>
      <c r="D180" s="91"/>
      <c r="E180" s="91"/>
      <c r="F180" s="91"/>
      <c r="G180" s="91"/>
      <c r="H180" s="91"/>
      <c r="I180" s="91"/>
      <c r="J180" s="91"/>
      <c r="K180" s="91"/>
      <c r="L180" s="91"/>
      <c r="M180" s="91"/>
      <c r="N180" s="91"/>
      <c r="O180" s="91"/>
      <c r="P180" s="115"/>
      <c r="Q180" s="1"/>
      <c r="R180" s="1"/>
      <c r="S180" s="1"/>
    </row>
    <row r="181" spans="1:19" x14ac:dyDescent="0.2">
      <c r="A181" s="115"/>
      <c r="B181" s="10" t="s">
        <v>42</v>
      </c>
      <c r="C181" s="91"/>
      <c r="D181" s="91"/>
      <c r="E181" s="91"/>
      <c r="F181" s="91"/>
      <c r="G181" s="91"/>
      <c r="H181" s="91"/>
      <c r="I181" s="91"/>
      <c r="J181" s="91"/>
      <c r="K181" s="91"/>
      <c r="L181" s="91"/>
      <c r="M181" s="91"/>
      <c r="N181" s="91"/>
      <c r="O181" s="91"/>
      <c r="P181" s="115"/>
      <c r="Q181" s="1"/>
      <c r="R181" s="1"/>
      <c r="S181" s="1"/>
    </row>
    <row r="182" spans="1:19" x14ac:dyDescent="0.2">
      <c r="A182" s="115"/>
      <c r="B182" s="94" t="s">
        <v>95</v>
      </c>
      <c r="C182" s="91"/>
      <c r="D182" s="91"/>
      <c r="E182" s="91"/>
      <c r="F182" s="91"/>
      <c r="G182" s="91"/>
      <c r="H182" s="91"/>
      <c r="I182" s="91"/>
      <c r="J182" s="91"/>
      <c r="K182" s="91"/>
      <c r="L182" s="91"/>
      <c r="M182" s="91"/>
      <c r="N182" s="91"/>
      <c r="O182" s="91"/>
      <c r="P182" s="115"/>
      <c r="Q182" s="1"/>
      <c r="R182" s="1"/>
      <c r="S182" s="1"/>
    </row>
    <row r="183" spans="1:19" x14ac:dyDescent="0.2">
      <c r="A183" s="115"/>
      <c r="B183" s="10" t="s">
        <v>41</v>
      </c>
      <c r="C183" s="91"/>
      <c r="D183" s="91"/>
      <c r="E183" s="91"/>
      <c r="F183" s="91"/>
      <c r="G183" s="91"/>
      <c r="H183" s="91"/>
      <c r="I183" s="91"/>
      <c r="J183" s="91"/>
      <c r="K183" s="91"/>
      <c r="L183" s="91"/>
      <c r="M183" s="91"/>
      <c r="N183" s="91"/>
      <c r="O183" s="91"/>
      <c r="P183" s="115"/>
      <c r="Q183" s="1"/>
      <c r="R183" s="1"/>
      <c r="S183" s="1"/>
    </row>
    <row r="184" spans="1:19" x14ac:dyDescent="0.2">
      <c r="A184" s="115"/>
      <c r="B184" s="10" t="s">
        <v>42</v>
      </c>
      <c r="C184" s="91"/>
      <c r="D184" s="91"/>
      <c r="E184" s="91"/>
      <c r="F184" s="91"/>
      <c r="G184" s="91"/>
      <c r="H184" s="91"/>
      <c r="I184" s="91"/>
      <c r="J184" s="91"/>
      <c r="K184" s="91"/>
      <c r="L184" s="91"/>
      <c r="M184" s="91"/>
      <c r="N184" s="91"/>
      <c r="O184" s="91"/>
      <c r="P184" s="115"/>
      <c r="Q184" s="1"/>
      <c r="R184" s="1"/>
      <c r="S184" s="1"/>
    </row>
    <row r="185" spans="1:19" x14ac:dyDescent="0.2">
      <c r="A185" s="115"/>
      <c r="B185" s="96" t="s">
        <v>96</v>
      </c>
      <c r="C185" s="99"/>
      <c r="D185" s="99"/>
      <c r="E185" s="99"/>
      <c r="F185" s="99"/>
      <c r="G185" s="99"/>
      <c r="H185" s="99"/>
      <c r="I185" s="99"/>
      <c r="J185" s="99"/>
      <c r="K185" s="99"/>
      <c r="L185" s="99"/>
      <c r="M185" s="99"/>
      <c r="N185" s="99"/>
      <c r="O185" s="99"/>
      <c r="P185" s="115"/>
      <c r="Q185" s="1"/>
      <c r="R185" s="1"/>
      <c r="S185" s="1"/>
    </row>
    <row r="186" spans="1:19" x14ac:dyDescent="0.2">
      <c r="A186" s="115"/>
      <c r="B186" s="94" t="s">
        <v>97</v>
      </c>
      <c r="C186" s="91"/>
      <c r="D186" s="91"/>
      <c r="E186" s="91"/>
      <c r="F186" s="91"/>
      <c r="G186" s="91"/>
      <c r="H186" s="91"/>
      <c r="I186" s="91"/>
      <c r="J186" s="91"/>
      <c r="K186" s="91"/>
      <c r="L186" s="91"/>
      <c r="M186" s="91"/>
      <c r="N186" s="91"/>
      <c r="O186" s="91"/>
      <c r="P186" s="115"/>
      <c r="Q186" s="1"/>
      <c r="R186" s="1"/>
      <c r="S186" s="1"/>
    </row>
    <row r="187" spans="1:19" x14ac:dyDescent="0.2">
      <c r="A187" s="115"/>
      <c r="B187" s="10" t="s">
        <v>41</v>
      </c>
      <c r="C187" s="91"/>
      <c r="D187" s="91"/>
      <c r="E187" s="91"/>
      <c r="F187" s="91"/>
      <c r="G187" s="91"/>
      <c r="H187" s="91"/>
      <c r="I187" s="91"/>
      <c r="J187" s="91"/>
      <c r="K187" s="91"/>
      <c r="L187" s="91"/>
      <c r="M187" s="91"/>
      <c r="N187" s="91"/>
      <c r="O187" s="91"/>
      <c r="P187" s="115"/>
      <c r="Q187" s="1"/>
      <c r="R187" s="1"/>
      <c r="S187" s="1"/>
    </row>
    <row r="188" spans="1:19" x14ac:dyDescent="0.2">
      <c r="A188" s="115"/>
      <c r="B188" s="10" t="s">
        <v>42</v>
      </c>
      <c r="C188" s="91"/>
      <c r="D188" s="91"/>
      <c r="E188" s="91"/>
      <c r="F188" s="91"/>
      <c r="G188" s="91"/>
      <c r="H188" s="91"/>
      <c r="I188" s="91"/>
      <c r="J188" s="91"/>
      <c r="K188" s="91"/>
      <c r="L188" s="91"/>
      <c r="M188" s="91"/>
      <c r="N188" s="91"/>
      <c r="O188" s="91"/>
      <c r="P188" s="115"/>
      <c r="Q188" s="1"/>
      <c r="R188" s="1"/>
      <c r="S188" s="1"/>
    </row>
    <row r="189" spans="1:19" x14ac:dyDescent="0.2">
      <c r="A189" s="115"/>
      <c r="B189" s="94" t="s">
        <v>98</v>
      </c>
      <c r="C189" s="91"/>
      <c r="D189" s="91"/>
      <c r="E189" s="91"/>
      <c r="F189" s="91"/>
      <c r="G189" s="91"/>
      <c r="H189" s="91"/>
      <c r="I189" s="91"/>
      <c r="J189" s="91"/>
      <c r="K189" s="91"/>
      <c r="L189" s="91"/>
      <c r="M189" s="91"/>
      <c r="N189" s="91"/>
      <c r="O189" s="91"/>
      <c r="P189" s="115"/>
      <c r="Q189" s="1"/>
      <c r="R189" s="1"/>
      <c r="S189" s="1"/>
    </row>
    <row r="190" spans="1:19" x14ac:dyDescent="0.2">
      <c r="A190" s="115"/>
      <c r="B190" s="10" t="s">
        <v>41</v>
      </c>
      <c r="C190" s="91"/>
      <c r="D190" s="91"/>
      <c r="E190" s="91"/>
      <c r="F190" s="91"/>
      <c r="G190" s="91"/>
      <c r="H190" s="91"/>
      <c r="I190" s="91"/>
      <c r="J190" s="91"/>
      <c r="K190" s="91"/>
      <c r="L190" s="91"/>
      <c r="M190" s="91"/>
      <c r="N190" s="91"/>
      <c r="O190" s="91"/>
      <c r="P190" s="115"/>
      <c r="Q190" s="1"/>
      <c r="R190" s="1"/>
      <c r="S190" s="1"/>
    </row>
    <row r="191" spans="1:19" x14ac:dyDescent="0.2">
      <c r="A191" s="115"/>
      <c r="B191" s="10" t="s">
        <v>42</v>
      </c>
      <c r="C191" s="91"/>
      <c r="D191" s="91"/>
      <c r="E191" s="91"/>
      <c r="F191" s="91"/>
      <c r="G191" s="91"/>
      <c r="H191" s="91"/>
      <c r="I191" s="91"/>
      <c r="J191" s="91"/>
      <c r="K191" s="91"/>
      <c r="L191" s="91"/>
      <c r="M191" s="91"/>
      <c r="N191" s="91"/>
      <c r="O191" s="91"/>
      <c r="P191" s="115"/>
      <c r="Q191" s="1"/>
      <c r="R191" s="1"/>
      <c r="S191" s="1"/>
    </row>
    <row r="192" spans="1:19" x14ac:dyDescent="0.2">
      <c r="A192" s="115"/>
      <c r="B192" s="94" t="s">
        <v>99</v>
      </c>
      <c r="C192" s="91"/>
      <c r="D192" s="91"/>
      <c r="E192" s="91"/>
      <c r="F192" s="91"/>
      <c r="G192" s="91"/>
      <c r="H192" s="91"/>
      <c r="I192" s="91"/>
      <c r="J192" s="91"/>
      <c r="K192" s="91"/>
      <c r="L192" s="91"/>
      <c r="M192" s="91"/>
      <c r="N192" s="91"/>
      <c r="O192" s="91"/>
      <c r="P192" s="115"/>
      <c r="Q192" s="1"/>
      <c r="R192" s="1"/>
      <c r="S192" s="1"/>
    </row>
    <row r="193" spans="1:19" x14ac:dyDescent="0.2">
      <c r="A193" s="115"/>
      <c r="B193" s="10" t="s">
        <v>41</v>
      </c>
      <c r="C193" s="91"/>
      <c r="D193" s="91"/>
      <c r="E193" s="91"/>
      <c r="F193" s="91"/>
      <c r="G193" s="91"/>
      <c r="H193" s="91"/>
      <c r="I193" s="91"/>
      <c r="J193" s="91"/>
      <c r="K193" s="91"/>
      <c r="L193" s="91"/>
      <c r="M193" s="91"/>
      <c r="N193" s="91"/>
      <c r="O193" s="91"/>
      <c r="P193" s="115"/>
      <c r="Q193" s="1"/>
      <c r="R193" s="1"/>
      <c r="S193" s="1"/>
    </row>
    <row r="194" spans="1:19" x14ac:dyDescent="0.2">
      <c r="A194" s="115"/>
      <c r="B194" s="10" t="s">
        <v>42</v>
      </c>
      <c r="C194" s="91"/>
      <c r="D194" s="91"/>
      <c r="E194" s="91"/>
      <c r="F194" s="91"/>
      <c r="G194" s="91"/>
      <c r="H194" s="91"/>
      <c r="I194" s="91"/>
      <c r="J194" s="91"/>
      <c r="K194" s="91"/>
      <c r="L194" s="91"/>
      <c r="M194" s="91"/>
      <c r="N194" s="91"/>
      <c r="O194" s="91"/>
      <c r="P194" s="115"/>
      <c r="Q194" s="1"/>
      <c r="R194" s="1"/>
      <c r="S194" s="1"/>
    </row>
    <row r="195" spans="1:19" x14ac:dyDescent="0.2">
      <c r="A195" s="115"/>
      <c r="B195" s="94" t="s">
        <v>100</v>
      </c>
      <c r="C195" s="91"/>
      <c r="D195" s="91"/>
      <c r="E195" s="91"/>
      <c r="F195" s="91"/>
      <c r="G195" s="91"/>
      <c r="H195" s="91"/>
      <c r="I195" s="91"/>
      <c r="J195" s="91"/>
      <c r="K195" s="91"/>
      <c r="L195" s="91"/>
      <c r="M195" s="91"/>
      <c r="N195" s="91"/>
      <c r="O195" s="91"/>
      <c r="P195" s="115"/>
      <c r="Q195" s="1"/>
      <c r="R195" s="1"/>
      <c r="S195" s="1"/>
    </row>
    <row r="196" spans="1:19" x14ac:dyDescent="0.2">
      <c r="A196" s="115"/>
      <c r="B196" s="10" t="s">
        <v>41</v>
      </c>
      <c r="C196" s="91"/>
      <c r="D196" s="91"/>
      <c r="E196" s="91"/>
      <c r="F196" s="91"/>
      <c r="G196" s="91"/>
      <c r="H196" s="91"/>
      <c r="I196" s="91"/>
      <c r="J196" s="91"/>
      <c r="K196" s="91"/>
      <c r="L196" s="91"/>
      <c r="M196" s="91"/>
      <c r="N196" s="91"/>
      <c r="O196" s="91"/>
      <c r="P196" s="115"/>
      <c r="Q196" s="1"/>
      <c r="R196" s="1"/>
      <c r="S196" s="1"/>
    </row>
    <row r="197" spans="1:19" x14ac:dyDescent="0.2">
      <c r="A197" s="115"/>
      <c r="B197" s="10" t="s">
        <v>42</v>
      </c>
      <c r="C197" s="91"/>
      <c r="D197" s="91"/>
      <c r="E197" s="91"/>
      <c r="F197" s="91"/>
      <c r="G197" s="91"/>
      <c r="H197" s="91"/>
      <c r="I197" s="91"/>
      <c r="J197" s="91"/>
      <c r="K197" s="91"/>
      <c r="L197" s="91"/>
      <c r="M197" s="91"/>
      <c r="N197" s="91"/>
      <c r="O197" s="91"/>
      <c r="P197" s="115"/>
      <c r="Q197" s="1"/>
      <c r="R197" s="1"/>
      <c r="S197" s="1"/>
    </row>
    <row r="198" spans="1:19" x14ac:dyDescent="0.2">
      <c r="A198" s="115"/>
      <c r="B198" s="94" t="s">
        <v>101</v>
      </c>
      <c r="C198" s="91"/>
      <c r="D198" s="91"/>
      <c r="E198" s="91"/>
      <c r="F198" s="91"/>
      <c r="G198" s="91"/>
      <c r="H198" s="91"/>
      <c r="I198" s="91"/>
      <c r="J198" s="91"/>
      <c r="K198" s="91"/>
      <c r="L198" s="91"/>
      <c r="M198" s="91"/>
      <c r="N198" s="91"/>
      <c r="O198" s="91"/>
      <c r="P198" s="115"/>
      <c r="Q198" s="1"/>
      <c r="R198" s="1"/>
      <c r="S198" s="1"/>
    </row>
    <row r="199" spans="1:19" x14ac:dyDescent="0.2">
      <c r="A199" s="115"/>
      <c r="B199" s="10" t="s">
        <v>41</v>
      </c>
      <c r="C199" s="91"/>
      <c r="D199" s="91"/>
      <c r="E199" s="91"/>
      <c r="F199" s="91"/>
      <c r="G199" s="91"/>
      <c r="H199" s="91"/>
      <c r="I199" s="91"/>
      <c r="J199" s="91"/>
      <c r="K199" s="91"/>
      <c r="L199" s="91"/>
      <c r="M199" s="91"/>
      <c r="N199" s="91"/>
      <c r="O199" s="91"/>
      <c r="P199" s="115"/>
      <c r="Q199" s="1"/>
      <c r="R199" s="1"/>
      <c r="S199" s="1"/>
    </row>
    <row r="200" spans="1:19" x14ac:dyDescent="0.2">
      <c r="A200" s="115"/>
      <c r="B200" s="10" t="s">
        <v>42</v>
      </c>
      <c r="C200" s="91"/>
      <c r="D200" s="91"/>
      <c r="E200" s="91"/>
      <c r="F200" s="91"/>
      <c r="G200" s="91"/>
      <c r="H200" s="91"/>
      <c r="I200" s="91"/>
      <c r="J200" s="91"/>
      <c r="K200" s="91"/>
      <c r="L200" s="91"/>
      <c r="M200" s="91"/>
      <c r="N200" s="91"/>
      <c r="O200" s="91"/>
      <c r="P200" s="115"/>
      <c r="Q200" s="1"/>
      <c r="R200" s="1"/>
      <c r="S200" s="1"/>
    </row>
    <row r="201" spans="1:19" x14ac:dyDescent="0.2">
      <c r="A201" s="115"/>
      <c r="B201" s="88" t="s">
        <v>102</v>
      </c>
      <c r="C201" s="1"/>
      <c r="D201" s="1"/>
      <c r="E201" s="1"/>
      <c r="F201" s="1"/>
      <c r="G201" s="1"/>
      <c r="H201" s="1"/>
      <c r="I201" s="1"/>
      <c r="J201" s="1"/>
      <c r="K201" s="1"/>
      <c r="L201" s="1"/>
      <c r="M201" s="1"/>
      <c r="N201" s="1"/>
      <c r="O201" s="1"/>
      <c r="P201" s="115"/>
      <c r="Q201" s="1"/>
      <c r="R201" s="1"/>
      <c r="S201" s="1"/>
    </row>
    <row r="202" spans="1:19" x14ac:dyDescent="0.2">
      <c r="A202" s="115"/>
      <c r="B202" s="94" t="s">
        <v>103</v>
      </c>
      <c r="C202" s="91"/>
      <c r="D202" s="91"/>
      <c r="E202" s="91"/>
      <c r="F202" s="91"/>
      <c r="G202" s="91"/>
      <c r="H202" s="91"/>
      <c r="I202" s="91"/>
      <c r="J202" s="91"/>
      <c r="K202" s="91"/>
      <c r="L202" s="91"/>
      <c r="M202" s="91"/>
      <c r="N202" s="91"/>
      <c r="O202" s="91"/>
      <c r="P202" s="115"/>
      <c r="Q202" s="1"/>
      <c r="R202" s="1"/>
      <c r="S202" s="1"/>
    </row>
    <row r="203" spans="1:19" x14ac:dyDescent="0.2">
      <c r="A203" s="115"/>
      <c r="B203" s="10" t="s">
        <v>41</v>
      </c>
      <c r="C203" s="91"/>
      <c r="D203" s="91"/>
      <c r="E203" s="91"/>
      <c r="F203" s="91"/>
      <c r="G203" s="91"/>
      <c r="H203" s="91"/>
      <c r="I203" s="91"/>
      <c r="J203" s="91"/>
      <c r="K203" s="91"/>
      <c r="L203" s="91"/>
      <c r="M203" s="91"/>
      <c r="N203" s="91"/>
      <c r="O203" s="91"/>
      <c r="P203" s="115"/>
      <c r="Q203" s="1"/>
      <c r="R203" s="1"/>
      <c r="S203" s="1"/>
    </row>
    <row r="204" spans="1:19" x14ac:dyDescent="0.2">
      <c r="A204" s="115"/>
      <c r="B204" s="10" t="s">
        <v>42</v>
      </c>
      <c r="C204" s="91"/>
      <c r="D204" s="91"/>
      <c r="E204" s="91"/>
      <c r="F204" s="91"/>
      <c r="G204" s="91"/>
      <c r="H204" s="91"/>
      <c r="I204" s="91"/>
      <c r="J204" s="91"/>
      <c r="K204" s="91"/>
      <c r="L204" s="91"/>
      <c r="M204" s="91"/>
      <c r="N204" s="91"/>
      <c r="O204" s="91"/>
      <c r="P204" s="115"/>
      <c r="Q204" s="1"/>
      <c r="R204" s="1"/>
      <c r="S204" s="1"/>
    </row>
    <row r="205" spans="1:19" x14ac:dyDescent="0.2">
      <c r="A205" s="115"/>
      <c r="B205" s="94" t="s">
        <v>104</v>
      </c>
      <c r="C205" s="91"/>
      <c r="D205" s="91"/>
      <c r="E205" s="91"/>
      <c r="F205" s="91"/>
      <c r="G205" s="91"/>
      <c r="H205" s="91"/>
      <c r="I205" s="91"/>
      <c r="J205" s="91"/>
      <c r="K205" s="91"/>
      <c r="L205" s="91"/>
      <c r="M205" s="91"/>
      <c r="N205" s="91"/>
      <c r="O205" s="91"/>
      <c r="P205" s="115"/>
      <c r="Q205" s="1"/>
      <c r="R205" s="1"/>
      <c r="S205" s="1"/>
    </row>
    <row r="206" spans="1:19" x14ac:dyDescent="0.2">
      <c r="A206" s="115"/>
      <c r="B206" s="10" t="s">
        <v>41</v>
      </c>
      <c r="C206" s="91"/>
      <c r="D206" s="91"/>
      <c r="E206" s="91"/>
      <c r="F206" s="91"/>
      <c r="G206" s="91"/>
      <c r="H206" s="91"/>
      <c r="I206" s="91"/>
      <c r="J206" s="91"/>
      <c r="K206" s="91"/>
      <c r="L206" s="91"/>
      <c r="M206" s="91"/>
      <c r="N206" s="91"/>
      <c r="O206" s="91"/>
      <c r="P206" s="115"/>
      <c r="Q206" s="1"/>
      <c r="R206" s="1"/>
      <c r="S206" s="1"/>
    </row>
    <row r="207" spans="1:19" x14ac:dyDescent="0.2">
      <c r="A207" s="115"/>
      <c r="B207" s="10" t="s">
        <v>42</v>
      </c>
      <c r="C207" s="91"/>
      <c r="D207" s="91"/>
      <c r="E207" s="91"/>
      <c r="F207" s="91"/>
      <c r="G207" s="91"/>
      <c r="H207" s="91"/>
      <c r="I207" s="91"/>
      <c r="J207" s="91"/>
      <c r="K207" s="91"/>
      <c r="L207" s="91"/>
      <c r="M207" s="91"/>
      <c r="N207" s="91"/>
      <c r="O207" s="91"/>
      <c r="P207" s="115"/>
      <c r="Q207" s="1"/>
      <c r="R207" s="1"/>
      <c r="S207" s="1"/>
    </row>
    <row r="208" spans="1:19" x14ac:dyDescent="0.2">
      <c r="A208" s="115"/>
      <c r="B208" s="1"/>
      <c r="C208" s="99"/>
      <c r="D208" s="99"/>
      <c r="E208" s="99"/>
      <c r="F208" s="99"/>
      <c r="G208" s="99"/>
      <c r="H208" s="99"/>
      <c r="I208" s="99"/>
      <c r="J208" s="99"/>
      <c r="K208" s="99"/>
      <c r="L208" s="99"/>
      <c r="M208" s="99"/>
      <c r="N208" s="99"/>
      <c r="O208" s="99"/>
      <c r="P208" s="115"/>
      <c r="Q208" s="1"/>
      <c r="R208" s="1"/>
      <c r="S208" s="1"/>
    </row>
    <row r="209" spans="1:19" x14ac:dyDescent="0.2">
      <c r="A209" s="115"/>
      <c r="B209" s="2" t="s">
        <v>105</v>
      </c>
      <c r="C209" s="99"/>
      <c r="D209" s="99"/>
      <c r="E209" s="99"/>
      <c r="F209" s="99"/>
      <c r="G209" s="99"/>
      <c r="H209" s="99"/>
      <c r="I209" s="99"/>
      <c r="J209" s="99"/>
      <c r="K209" s="99"/>
      <c r="L209" s="99"/>
      <c r="M209" s="99"/>
      <c r="N209" s="99"/>
      <c r="O209" s="99"/>
      <c r="P209" s="115"/>
      <c r="Q209" s="1"/>
      <c r="R209" s="1"/>
      <c r="S209" s="1"/>
    </row>
    <row r="210" spans="1:19" x14ac:dyDescent="0.2">
      <c r="A210" s="115"/>
      <c r="B210" s="8" t="s">
        <v>83</v>
      </c>
      <c r="C210" s="119">
        <v>0.98</v>
      </c>
      <c r="D210" s="99"/>
      <c r="E210" s="99"/>
      <c r="F210" s="99"/>
      <c r="G210" s="99"/>
      <c r="H210" s="99"/>
      <c r="I210" s="99"/>
      <c r="J210" s="99"/>
      <c r="K210" s="99"/>
      <c r="L210" s="99"/>
      <c r="M210" s="99"/>
      <c r="N210" s="99"/>
      <c r="O210" s="99"/>
      <c r="P210" s="115"/>
      <c r="Q210" s="1"/>
      <c r="R210" s="1"/>
      <c r="S210" s="1"/>
    </row>
    <row r="211" spans="1:19" x14ac:dyDescent="0.2">
      <c r="A211" s="115"/>
      <c r="B211" s="8" t="s">
        <v>84</v>
      </c>
      <c r="C211" s="119">
        <v>0.9</v>
      </c>
      <c r="D211" s="99"/>
      <c r="E211" s="99"/>
      <c r="F211" s="99"/>
      <c r="G211" s="99"/>
      <c r="H211" s="99"/>
      <c r="I211" s="99"/>
      <c r="J211" s="99"/>
      <c r="K211" s="99"/>
      <c r="L211" s="99"/>
      <c r="M211" s="99"/>
      <c r="N211" s="99"/>
      <c r="O211" s="99"/>
      <c r="P211" s="115"/>
      <c r="Q211" s="1"/>
      <c r="R211" s="1"/>
      <c r="S211" s="1"/>
    </row>
    <row r="212" spans="1:19" x14ac:dyDescent="0.2">
      <c r="A212" s="115"/>
      <c r="B212" s="8" t="s">
        <v>85</v>
      </c>
      <c r="C212" s="119">
        <v>0.65</v>
      </c>
      <c r="D212" s="99"/>
      <c r="E212" s="99"/>
      <c r="F212" s="99"/>
      <c r="G212" s="99"/>
      <c r="H212" s="99"/>
      <c r="I212" s="99"/>
      <c r="J212" s="99"/>
      <c r="K212" s="99"/>
      <c r="L212" s="99"/>
      <c r="M212" s="99"/>
      <c r="N212" s="99"/>
      <c r="O212" s="99"/>
      <c r="P212" s="115"/>
      <c r="Q212" s="1"/>
      <c r="R212" s="1"/>
      <c r="S212" s="1"/>
    </row>
    <row r="213" spans="1:19" x14ac:dyDescent="0.2">
      <c r="A213" s="115"/>
      <c r="B213" s="8" t="s">
        <v>86</v>
      </c>
      <c r="C213" s="119">
        <v>0.3</v>
      </c>
      <c r="D213" s="99"/>
      <c r="E213" s="99"/>
      <c r="F213" s="99"/>
      <c r="G213" s="99"/>
      <c r="H213" s="99"/>
      <c r="I213" s="99"/>
      <c r="J213" s="99"/>
      <c r="K213" s="99"/>
      <c r="L213" s="99"/>
      <c r="M213" s="99"/>
      <c r="N213" s="99"/>
      <c r="O213" s="99"/>
      <c r="P213" s="115"/>
      <c r="Q213" s="1"/>
      <c r="R213" s="1"/>
      <c r="S213" s="1"/>
    </row>
    <row r="214" spans="1:19" x14ac:dyDescent="0.2">
      <c r="A214" s="115"/>
      <c r="B214" s="1"/>
      <c r="C214" s="1"/>
      <c r="D214" s="1"/>
      <c r="E214" s="1"/>
      <c r="F214" s="1"/>
      <c r="G214" s="1"/>
      <c r="H214" s="1"/>
      <c r="I214" s="1"/>
      <c r="J214" s="1"/>
      <c r="K214" s="1"/>
      <c r="L214" s="1"/>
      <c r="M214" s="1"/>
      <c r="N214" s="1"/>
      <c r="O214" s="1"/>
      <c r="P214" s="115"/>
      <c r="Q214" s="1"/>
      <c r="R214" s="1"/>
      <c r="S214" s="1"/>
    </row>
    <row r="215" spans="1:19" x14ac:dyDescent="0.2">
      <c r="A215" s="115"/>
      <c r="B215" s="2" t="s">
        <v>106</v>
      </c>
      <c r="C215" s="109"/>
      <c r="D215" s="109"/>
      <c r="E215" s="109"/>
      <c r="F215" s="109"/>
      <c r="G215" s="109"/>
      <c r="H215" s="109"/>
      <c r="I215" s="109"/>
      <c r="J215" s="109"/>
      <c r="K215" s="109"/>
      <c r="L215" s="109"/>
      <c r="M215" s="109"/>
      <c r="N215" s="109"/>
      <c r="O215" s="109"/>
      <c r="P215" s="115"/>
      <c r="Q215" s="1"/>
      <c r="R215" s="1"/>
      <c r="S215" s="1"/>
    </row>
    <row r="216" spans="1:19" x14ac:dyDescent="0.2">
      <c r="A216" s="115"/>
      <c r="B216" s="5" t="s">
        <v>107</v>
      </c>
      <c r="C216" s="110" t="str">
        <f t="shared" ref="C216:O216" si="23">C30</f>
        <v>Jun-25</v>
      </c>
      <c r="D216" s="110" t="str">
        <f t="shared" si="23"/>
        <v>Jul-25</v>
      </c>
      <c r="E216" s="110" t="str">
        <f t="shared" si="23"/>
        <v>Aug-25</v>
      </c>
      <c r="F216" s="110" t="str">
        <f t="shared" si="23"/>
        <v>Sep-25</v>
      </c>
      <c r="G216" s="110" t="str">
        <f t="shared" si="23"/>
        <v>Oct-25</v>
      </c>
      <c r="H216" s="110" t="str">
        <f t="shared" si="23"/>
        <v>Nov-25</v>
      </c>
      <c r="I216" s="110" t="str">
        <f t="shared" si="23"/>
        <v>Dec-25</v>
      </c>
      <c r="J216" s="110" t="str">
        <f t="shared" si="23"/>
        <v>Jan-26</v>
      </c>
      <c r="K216" s="110" t="str">
        <f t="shared" si="23"/>
        <v>Feb-26</v>
      </c>
      <c r="L216" s="110" t="str">
        <f t="shared" si="23"/>
        <v>Mar-26</v>
      </c>
      <c r="M216" s="110" t="str">
        <f t="shared" si="23"/>
        <v>Apr-26</v>
      </c>
      <c r="N216" s="110" t="str">
        <f t="shared" si="23"/>
        <v>May-26</v>
      </c>
      <c r="O216" s="110" t="str">
        <f t="shared" si="23"/>
        <v>Jun-26</v>
      </c>
      <c r="P216" s="115"/>
      <c r="Q216" s="1"/>
      <c r="R216" s="1"/>
      <c r="S216" s="1"/>
    </row>
    <row r="217" spans="1:19" ht="30" customHeight="1" x14ac:dyDescent="0.2">
      <c r="A217" s="115"/>
      <c r="B217" s="15" t="s">
        <v>108</v>
      </c>
      <c r="C217" s="106"/>
      <c r="D217" s="106"/>
      <c r="E217" s="106"/>
      <c r="F217" s="106"/>
      <c r="G217" s="106"/>
      <c r="H217" s="106"/>
      <c r="I217" s="106"/>
      <c r="J217" s="106"/>
      <c r="K217" s="106"/>
      <c r="L217" s="106"/>
      <c r="M217" s="106"/>
      <c r="N217" s="106"/>
      <c r="O217" s="106"/>
      <c r="P217" s="115"/>
      <c r="Q217" s="1"/>
      <c r="R217" s="1"/>
      <c r="S217" s="1"/>
    </row>
    <row r="218" spans="1:19" ht="30" customHeight="1" x14ac:dyDescent="0.2">
      <c r="A218" s="115"/>
      <c r="B218" s="15" t="s">
        <v>109</v>
      </c>
      <c r="C218" s="106"/>
      <c r="D218" s="106"/>
      <c r="E218" s="106"/>
      <c r="F218" s="106"/>
      <c r="G218" s="106"/>
      <c r="H218" s="106"/>
      <c r="I218" s="106"/>
      <c r="J218" s="106"/>
      <c r="K218" s="106"/>
      <c r="L218" s="106"/>
      <c r="M218" s="106"/>
      <c r="N218" s="106"/>
      <c r="O218" s="106"/>
      <c r="P218" s="115"/>
      <c r="Q218" s="1"/>
      <c r="R218" s="1"/>
      <c r="S218" s="1"/>
    </row>
    <row r="219" spans="1:19" ht="30" customHeight="1" x14ac:dyDescent="0.2">
      <c r="A219" s="115"/>
      <c r="B219" s="15" t="s">
        <v>110</v>
      </c>
      <c r="C219" s="106"/>
      <c r="D219" s="106"/>
      <c r="E219" s="106"/>
      <c r="F219" s="106"/>
      <c r="G219" s="106"/>
      <c r="H219" s="106"/>
      <c r="I219" s="106"/>
      <c r="J219" s="106"/>
      <c r="K219" s="106"/>
      <c r="L219" s="106"/>
      <c r="M219" s="106"/>
      <c r="N219" s="106"/>
      <c r="O219" s="106"/>
      <c r="P219" s="115"/>
      <c r="Q219" s="1"/>
      <c r="R219" s="1"/>
      <c r="S219" s="1"/>
    </row>
    <row r="220" spans="1:19" ht="30" customHeight="1" x14ac:dyDescent="0.2">
      <c r="A220" s="115"/>
      <c r="B220" s="15" t="s">
        <v>111</v>
      </c>
      <c r="C220" s="106"/>
      <c r="D220" s="106"/>
      <c r="E220" s="106"/>
      <c r="F220" s="106"/>
      <c r="G220" s="106"/>
      <c r="H220" s="106"/>
      <c r="I220" s="106"/>
      <c r="J220" s="106"/>
      <c r="K220" s="106"/>
      <c r="L220" s="106"/>
      <c r="M220" s="106"/>
      <c r="N220" s="106"/>
      <c r="O220" s="106"/>
      <c r="P220" s="115"/>
      <c r="Q220" s="1"/>
      <c r="R220" s="1"/>
      <c r="S220" s="1"/>
    </row>
    <row r="221" spans="1:19" ht="30" customHeight="1" x14ac:dyDescent="0.2">
      <c r="A221" s="115"/>
      <c r="B221" s="15" t="s">
        <v>112</v>
      </c>
      <c r="C221" s="106"/>
      <c r="D221" s="106"/>
      <c r="E221" s="106"/>
      <c r="F221" s="106"/>
      <c r="G221" s="106"/>
      <c r="H221" s="106"/>
      <c r="I221" s="106"/>
      <c r="J221" s="106"/>
      <c r="K221" s="106"/>
      <c r="L221" s="106"/>
      <c r="M221" s="106"/>
      <c r="N221" s="106"/>
      <c r="O221" s="106"/>
      <c r="P221" s="115"/>
      <c r="Q221" s="1"/>
      <c r="R221" s="1"/>
      <c r="S221" s="1"/>
    </row>
    <row r="222" spans="1:19" x14ac:dyDescent="0.2">
      <c r="A222" s="17"/>
      <c r="C222" s="109"/>
      <c r="D222" s="109"/>
      <c r="E222" s="109"/>
      <c r="F222" s="109"/>
      <c r="G222" s="109"/>
      <c r="H222" s="109"/>
      <c r="I222" s="109"/>
      <c r="J222" s="109"/>
      <c r="K222" s="109"/>
      <c r="L222" s="109"/>
      <c r="M222" s="109"/>
      <c r="N222" s="109"/>
      <c r="O222" s="109"/>
      <c r="P222" s="17"/>
    </row>
    <row r="223" spans="1:19" x14ac:dyDescent="0.2">
      <c r="A223" s="17"/>
      <c r="B223" s="113" t="s">
        <v>113</v>
      </c>
      <c r="C223" s="109"/>
      <c r="D223" s="109"/>
      <c r="E223" s="109"/>
      <c r="F223" s="109"/>
      <c r="G223" s="109"/>
      <c r="H223" s="109"/>
      <c r="I223" s="109"/>
      <c r="J223" s="109"/>
      <c r="K223" s="109"/>
      <c r="L223" s="109"/>
      <c r="M223" s="109"/>
      <c r="N223" s="109"/>
      <c r="O223" s="109"/>
      <c r="P223" s="17"/>
    </row>
    <row r="224" spans="1:19" x14ac:dyDescent="0.2">
      <c r="A224" s="17"/>
      <c r="B224" s="114" t="s">
        <v>114</v>
      </c>
      <c r="C224" s="111" t="s">
        <v>115</v>
      </c>
      <c r="D224" s="111" t="s">
        <v>116</v>
      </c>
      <c r="E224" s="111" t="s">
        <v>117</v>
      </c>
      <c r="F224" s="111" t="s">
        <v>118</v>
      </c>
      <c r="G224" s="112" t="s">
        <v>119</v>
      </c>
      <c r="N224" s="109"/>
      <c r="O224" s="109"/>
      <c r="P224" s="17"/>
    </row>
    <row r="225" spans="1:19" x14ac:dyDescent="0.2">
      <c r="A225" s="17"/>
      <c r="B225" s="108"/>
      <c r="C225" s="107"/>
      <c r="D225" s="108"/>
      <c r="E225" s="107"/>
      <c r="F225" s="107"/>
      <c r="G225" s="108"/>
      <c r="N225" s="109"/>
      <c r="O225" s="109"/>
      <c r="P225" s="17"/>
      <c r="Q225" s="20">
        <f t="shared" ref="Q225:Q234" si="24">IFERROR(MATCH(C225,calc_labels,0),0)</f>
        <v>0</v>
      </c>
      <c r="R225" s="20">
        <f t="shared" ref="R225:R234" si="25">IFERROR(MATCH(F225,calc_labels,0),99)</f>
        <v>99</v>
      </c>
      <c r="S225" s="20">
        <f t="shared" ref="S225:S234" si="26">IF(AND(B225&lt;&gt;"",Q225&gt;0,Q225&lt;=calc_sel_idx,OR(E225&lt;&gt;"Closed",R225&gt;calc_sel_idx)),1,0)</f>
        <v>0</v>
      </c>
    </row>
    <row r="226" spans="1:19" x14ac:dyDescent="0.2">
      <c r="A226" s="17"/>
      <c r="B226" s="108"/>
      <c r="C226" s="107"/>
      <c r="D226" s="108"/>
      <c r="E226" s="107"/>
      <c r="F226" s="107"/>
      <c r="G226" s="108"/>
      <c r="N226" s="109"/>
      <c r="O226" s="109"/>
      <c r="P226" s="17"/>
      <c r="Q226" s="20">
        <f t="shared" si="24"/>
        <v>0</v>
      </c>
      <c r="R226" s="20">
        <f t="shared" si="25"/>
        <v>99</v>
      </c>
      <c r="S226" s="20">
        <f t="shared" si="26"/>
        <v>0</v>
      </c>
    </row>
    <row r="227" spans="1:19" x14ac:dyDescent="0.2">
      <c r="A227" s="17"/>
      <c r="B227" s="108"/>
      <c r="C227" s="107"/>
      <c r="D227" s="108"/>
      <c r="E227" s="107"/>
      <c r="F227" s="107"/>
      <c r="G227" s="108"/>
      <c r="N227" s="109"/>
      <c r="O227" s="109"/>
      <c r="P227" s="17"/>
      <c r="Q227" s="20">
        <f t="shared" si="24"/>
        <v>0</v>
      </c>
      <c r="R227" s="20">
        <f t="shared" si="25"/>
        <v>99</v>
      </c>
      <c r="S227" s="20">
        <f t="shared" si="26"/>
        <v>0</v>
      </c>
    </row>
    <row r="228" spans="1:19" x14ac:dyDescent="0.2">
      <c r="A228" s="17"/>
      <c r="B228" s="108"/>
      <c r="C228" s="107"/>
      <c r="D228" s="108"/>
      <c r="E228" s="107"/>
      <c r="F228" s="107"/>
      <c r="G228" s="108"/>
      <c r="N228" s="109"/>
      <c r="O228" s="109"/>
      <c r="P228" s="17"/>
      <c r="Q228" s="20">
        <f t="shared" si="24"/>
        <v>0</v>
      </c>
      <c r="R228" s="20">
        <f t="shared" si="25"/>
        <v>99</v>
      </c>
      <c r="S228" s="20">
        <f t="shared" si="26"/>
        <v>0</v>
      </c>
    </row>
    <row r="229" spans="1:19" x14ac:dyDescent="0.2">
      <c r="A229" s="17"/>
      <c r="B229" s="108"/>
      <c r="C229" s="107"/>
      <c r="D229" s="108"/>
      <c r="E229" s="107"/>
      <c r="F229" s="107"/>
      <c r="G229" s="108"/>
      <c r="N229" s="109"/>
      <c r="O229" s="109"/>
      <c r="P229" s="17"/>
      <c r="Q229" s="20">
        <f t="shared" si="24"/>
        <v>0</v>
      </c>
      <c r="R229" s="20">
        <f t="shared" si="25"/>
        <v>99</v>
      </c>
      <c r="S229" s="20">
        <f t="shared" si="26"/>
        <v>0</v>
      </c>
    </row>
    <row r="230" spans="1:19" x14ac:dyDescent="0.2">
      <c r="A230" s="17"/>
      <c r="B230" s="108"/>
      <c r="C230" s="107"/>
      <c r="D230" s="108"/>
      <c r="E230" s="107"/>
      <c r="F230" s="107"/>
      <c r="G230" s="108"/>
      <c r="N230" s="109"/>
      <c r="O230" s="109"/>
      <c r="P230" s="17"/>
      <c r="Q230" s="20">
        <f t="shared" si="24"/>
        <v>0</v>
      </c>
      <c r="R230" s="20">
        <f t="shared" si="25"/>
        <v>99</v>
      </c>
      <c r="S230" s="20">
        <f t="shared" si="26"/>
        <v>0</v>
      </c>
    </row>
    <row r="231" spans="1:19" x14ac:dyDescent="0.2">
      <c r="A231" s="17"/>
      <c r="B231" s="108"/>
      <c r="C231" s="107"/>
      <c r="D231" s="108"/>
      <c r="E231" s="107"/>
      <c r="F231" s="107"/>
      <c r="G231" s="108"/>
      <c r="N231" s="109"/>
      <c r="O231" s="109"/>
      <c r="P231" s="17"/>
      <c r="Q231" s="20">
        <f t="shared" si="24"/>
        <v>0</v>
      </c>
      <c r="R231" s="20">
        <f t="shared" si="25"/>
        <v>99</v>
      </c>
      <c r="S231" s="20">
        <f t="shared" si="26"/>
        <v>0</v>
      </c>
    </row>
    <row r="232" spans="1:19" x14ac:dyDescent="0.2">
      <c r="A232" s="17"/>
      <c r="B232" s="108"/>
      <c r="C232" s="107"/>
      <c r="D232" s="108"/>
      <c r="E232" s="107"/>
      <c r="F232" s="107"/>
      <c r="G232" s="108"/>
      <c r="N232" s="109"/>
      <c r="O232" s="109"/>
      <c r="P232" s="17"/>
      <c r="Q232" s="20">
        <f t="shared" si="24"/>
        <v>0</v>
      </c>
      <c r="R232" s="20">
        <f t="shared" si="25"/>
        <v>99</v>
      </c>
      <c r="S232" s="20">
        <f t="shared" si="26"/>
        <v>0</v>
      </c>
    </row>
    <row r="233" spans="1:19" x14ac:dyDescent="0.2">
      <c r="A233" s="17"/>
      <c r="B233" s="108"/>
      <c r="C233" s="107"/>
      <c r="D233" s="108"/>
      <c r="E233" s="107"/>
      <c r="F233" s="107"/>
      <c r="G233" s="108"/>
      <c r="N233" s="109"/>
      <c r="O233" s="109"/>
      <c r="P233" s="17"/>
      <c r="Q233" s="20">
        <f t="shared" si="24"/>
        <v>0</v>
      </c>
      <c r="R233" s="20">
        <f t="shared" si="25"/>
        <v>99</v>
      </c>
      <c r="S233" s="20">
        <f t="shared" si="26"/>
        <v>0</v>
      </c>
    </row>
    <row r="234" spans="1:19" x14ac:dyDescent="0.2">
      <c r="A234" s="17"/>
      <c r="B234" s="108"/>
      <c r="C234" s="107"/>
      <c r="D234" s="108"/>
      <c r="E234" s="107"/>
      <c r="F234" s="107"/>
      <c r="G234" s="108"/>
      <c r="N234" s="109"/>
      <c r="O234" s="109"/>
      <c r="P234" s="17"/>
      <c r="Q234" s="20">
        <f t="shared" si="24"/>
        <v>0</v>
      </c>
      <c r="R234" s="20">
        <f t="shared" si="25"/>
        <v>99</v>
      </c>
      <c r="S234" s="20">
        <f t="shared" si="26"/>
        <v>0</v>
      </c>
    </row>
    <row r="235" spans="1:19" x14ac:dyDescent="0.2">
      <c r="A235" s="17"/>
      <c r="C235" s="109"/>
      <c r="D235" s="109"/>
      <c r="E235" s="109"/>
      <c r="F235" s="109"/>
      <c r="G235" s="109"/>
      <c r="N235" s="109"/>
      <c r="O235" s="109"/>
      <c r="P235" s="17"/>
    </row>
    <row r="236" spans="1:19" x14ac:dyDescent="0.2">
      <c r="A236" s="17"/>
      <c r="B236" s="113" t="s">
        <v>120</v>
      </c>
      <c r="C236" s="109"/>
      <c r="D236" s="109"/>
      <c r="E236" s="109"/>
      <c r="F236" s="109"/>
      <c r="G236" s="109"/>
      <c r="N236" s="109"/>
      <c r="O236" s="109"/>
      <c r="P236" s="17"/>
    </row>
    <row r="237" spans="1:19" x14ac:dyDescent="0.2">
      <c r="A237" s="17"/>
      <c r="B237" s="114" t="s">
        <v>121</v>
      </c>
      <c r="C237" s="111" t="s">
        <v>122</v>
      </c>
      <c r="D237" s="111" t="s">
        <v>116</v>
      </c>
      <c r="E237" s="111" t="s">
        <v>123</v>
      </c>
      <c r="F237" s="111" t="s">
        <v>124</v>
      </c>
      <c r="G237" s="112" t="s">
        <v>125</v>
      </c>
      <c r="N237" s="109"/>
      <c r="O237" s="109"/>
      <c r="P237" s="17"/>
    </row>
    <row r="238" spans="1:19" x14ac:dyDescent="0.2">
      <c r="A238" s="17"/>
      <c r="B238" s="108"/>
      <c r="C238" s="107"/>
      <c r="D238" s="108"/>
      <c r="E238" s="107"/>
      <c r="F238" s="107"/>
      <c r="G238" s="108"/>
      <c r="N238" s="109"/>
      <c r="O238" s="109"/>
      <c r="P238" s="17"/>
      <c r="Q238" s="20">
        <f t="shared" ref="Q238:Q245" si="27">IFERROR(MATCH(C238,calc_labels,0),0)</f>
        <v>0</v>
      </c>
      <c r="R238" s="20">
        <f>IFERROR(MATCH(E238,{"Low","Medium","High","Critical"},0),0)</f>
        <v>0</v>
      </c>
      <c r="S238" s="20">
        <f t="shared" ref="S238:S245" si="28">IF(AND(B238&lt;&gt;"",Q238&gt;0,Q238&lt;=calc_sel_idx),1,0)</f>
        <v>0</v>
      </c>
    </row>
    <row r="239" spans="1:19" x14ac:dyDescent="0.2">
      <c r="A239" s="17"/>
      <c r="B239" s="108"/>
      <c r="C239" s="107"/>
      <c r="D239" s="108"/>
      <c r="E239" s="107"/>
      <c r="F239" s="107"/>
      <c r="G239" s="108"/>
      <c r="N239" s="109"/>
      <c r="O239" s="109"/>
      <c r="P239" s="17"/>
      <c r="Q239" s="20">
        <f t="shared" si="27"/>
        <v>0</v>
      </c>
      <c r="R239" s="20">
        <f>IFERROR(MATCH(E239,{"Low","Medium","High","Critical"},0),0)</f>
        <v>0</v>
      </c>
      <c r="S239" s="20">
        <f t="shared" si="28"/>
        <v>0</v>
      </c>
    </row>
    <row r="240" spans="1:19" x14ac:dyDescent="0.2">
      <c r="A240" s="17"/>
      <c r="B240" s="108"/>
      <c r="C240" s="107"/>
      <c r="D240" s="108"/>
      <c r="E240" s="107"/>
      <c r="F240" s="107"/>
      <c r="G240" s="108"/>
      <c r="N240" s="109"/>
      <c r="O240" s="109"/>
      <c r="P240" s="17"/>
      <c r="Q240" s="20">
        <f t="shared" si="27"/>
        <v>0</v>
      </c>
      <c r="R240" s="20">
        <f>IFERROR(MATCH(E240,{"Low","Medium","High","Critical"},0),0)</f>
        <v>0</v>
      </c>
      <c r="S240" s="20">
        <f t="shared" si="28"/>
        <v>0</v>
      </c>
    </row>
    <row r="241" spans="1:19" x14ac:dyDescent="0.2">
      <c r="A241" s="17"/>
      <c r="B241" s="108"/>
      <c r="C241" s="107"/>
      <c r="D241" s="108"/>
      <c r="E241" s="107"/>
      <c r="F241" s="107"/>
      <c r="G241" s="108"/>
      <c r="N241" s="109"/>
      <c r="O241" s="109"/>
      <c r="P241" s="17"/>
      <c r="Q241" s="20">
        <f t="shared" si="27"/>
        <v>0</v>
      </c>
      <c r="R241" s="20">
        <f>IFERROR(MATCH(E241,{"Low","Medium","High","Critical"},0),0)</f>
        <v>0</v>
      </c>
      <c r="S241" s="20">
        <f t="shared" si="28"/>
        <v>0</v>
      </c>
    </row>
    <row r="242" spans="1:19" x14ac:dyDescent="0.2">
      <c r="A242" s="17"/>
      <c r="B242" s="108"/>
      <c r="C242" s="107"/>
      <c r="D242" s="108"/>
      <c r="E242" s="107"/>
      <c r="F242" s="107"/>
      <c r="G242" s="108"/>
      <c r="N242" s="109"/>
      <c r="O242" s="109"/>
      <c r="P242" s="17"/>
      <c r="Q242" s="20">
        <f t="shared" si="27"/>
        <v>0</v>
      </c>
      <c r="R242" s="20">
        <f>IFERROR(MATCH(E242,{"Low","Medium","High","Critical"},0),0)</f>
        <v>0</v>
      </c>
      <c r="S242" s="20">
        <f t="shared" si="28"/>
        <v>0</v>
      </c>
    </row>
    <row r="243" spans="1:19" x14ac:dyDescent="0.2">
      <c r="A243" s="17"/>
      <c r="B243" s="108"/>
      <c r="C243" s="107"/>
      <c r="D243" s="108"/>
      <c r="E243" s="107"/>
      <c r="F243" s="107"/>
      <c r="G243" s="108"/>
      <c r="H243" s="120"/>
      <c r="I243" s="109"/>
      <c r="J243" s="109"/>
      <c r="K243" s="109"/>
      <c r="L243" s="109"/>
      <c r="M243" s="109"/>
      <c r="N243" s="109"/>
      <c r="O243" s="109"/>
      <c r="P243" s="17"/>
      <c r="Q243" s="20">
        <f t="shared" si="27"/>
        <v>0</v>
      </c>
      <c r="R243" s="20">
        <f>IFERROR(MATCH(E243,{"Low","Medium","High","Critical"},0),0)</f>
        <v>0</v>
      </c>
      <c r="S243" s="20">
        <f t="shared" si="28"/>
        <v>0</v>
      </c>
    </row>
    <row r="244" spans="1:19" x14ac:dyDescent="0.2">
      <c r="A244" s="17"/>
      <c r="B244" s="108"/>
      <c r="C244" s="107"/>
      <c r="D244" s="108"/>
      <c r="E244" s="107"/>
      <c r="F244" s="107"/>
      <c r="G244" s="108"/>
      <c r="H244" s="120"/>
      <c r="I244" s="109"/>
      <c r="J244" s="109"/>
      <c r="K244" s="109"/>
      <c r="L244" s="109"/>
      <c r="M244" s="109"/>
      <c r="N244" s="109"/>
      <c r="O244" s="109"/>
      <c r="P244" s="17"/>
      <c r="Q244" s="20">
        <f t="shared" si="27"/>
        <v>0</v>
      </c>
      <c r="R244" s="20">
        <f>IFERROR(MATCH(E244,{"Low","Medium","High","Critical"},0),0)</f>
        <v>0</v>
      </c>
      <c r="S244" s="20">
        <f t="shared" si="28"/>
        <v>0</v>
      </c>
    </row>
    <row r="245" spans="1:19" x14ac:dyDescent="0.2">
      <c r="A245" s="17"/>
      <c r="B245" s="108"/>
      <c r="C245" s="107"/>
      <c r="D245" s="108"/>
      <c r="E245" s="107"/>
      <c r="F245" s="107"/>
      <c r="G245" s="108"/>
      <c r="H245" s="120"/>
      <c r="I245" s="109"/>
      <c r="J245" s="109"/>
      <c r="K245" s="109"/>
      <c r="L245" s="109"/>
      <c r="M245" s="109"/>
      <c r="N245" s="109"/>
      <c r="O245" s="109"/>
      <c r="P245" s="17"/>
      <c r="Q245" s="20">
        <f t="shared" si="27"/>
        <v>0</v>
      </c>
      <c r="R245" s="20">
        <f>IFERROR(MATCH(E245,{"Low","Medium","High","Critical"},0),0)</f>
        <v>0</v>
      </c>
      <c r="S245" s="20">
        <f t="shared" si="28"/>
        <v>0</v>
      </c>
    </row>
    <row r="246" spans="1:19" x14ac:dyDescent="0.2">
      <c r="A246" s="17"/>
      <c r="C246" s="109"/>
      <c r="D246" s="109"/>
      <c r="E246" s="109"/>
      <c r="F246" s="109"/>
      <c r="G246" s="109"/>
      <c r="H246" s="109"/>
      <c r="I246" s="109"/>
      <c r="J246" s="109"/>
      <c r="K246" s="109"/>
      <c r="L246" s="109"/>
      <c r="M246" s="109"/>
      <c r="N246" s="109"/>
      <c r="O246" s="109"/>
      <c r="P246" s="17"/>
    </row>
    <row r="247" spans="1:19" x14ac:dyDescent="0.2">
      <c r="A247" s="17"/>
      <c r="C247" s="109"/>
      <c r="D247" s="109"/>
      <c r="E247" s="109"/>
      <c r="F247" s="109"/>
      <c r="G247" s="109"/>
      <c r="H247" s="109"/>
      <c r="I247" s="109"/>
      <c r="J247" s="109"/>
      <c r="K247" s="109"/>
      <c r="L247" s="109"/>
      <c r="M247" s="109"/>
      <c r="N247" s="109"/>
      <c r="O247" s="109"/>
      <c r="P247" s="17"/>
    </row>
    <row r="248" spans="1:19" ht="16" x14ac:dyDescent="0.2">
      <c r="A248" s="17"/>
      <c r="B248" s="121" t="s">
        <v>133</v>
      </c>
      <c r="C248" s="109"/>
      <c r="D248" s="109"/>
      <c r="E248" s="109"/>
      <c r="F248" s="109"/>
      <c r="G248" s="109"/>
      <c r="H248" s="109"/>
      <c r="I248" s="109"/>
      <c r="J248" s="123" t="s">
        <v>134</v>
      </c>
      <c r="K248" s="109"/>
      <c r="L248" s="125" t="str">
        <f>IF(COUNTIF(M250:M274,"FAIL")=0,"PASS","FAIL ("&amp;COUNTIF(M250:M274,"FAIL")&amp;")")</f>
        <v>PASS</v>
      </c>
      <c r="M248" s="109"/>
      <c r="N248" s="109"/>
      <c r="O248" s="109"/>
      <c r="P248" s="17"/>
    </row>
    <row r="249" spans="1:19" x14ac:dyDescent="0.2">
      <c r="A249" s="17"/>
      <c r="B249" s="122" t="s">
        <v>135</v>
      </c>
      <c r="C249" s="109"/>
      <c r="D249" s="109"/>
      <c r="E249" s="109"/>
      <c r="F249" s="109"/>
      <c r="G249" s="109"/>
      <c r="H249" s="123" t="s">
        <v>136</v>
      </c>
      <c r="I249" s="109"/>
      <c r="J249" s="123" t="s">
        <v>131</v>
      </c>
      <c r="K249" s="109"/>
      <c r="L249" s="123" t="s">
        <v>137</v>
      </c>
      <c r="M249" s="123" t="s">
        <v>117</v>
      </c>
      <c r="N249" s="109"/>
      <c r="O249" s="109"/>
      <c r="P249" s="17"/>
    </row>
    <row r="250" spans="1:19" x14ac:dyDescent="0.2">
      <c r="A250" s="17"/>
      <c r="B250" s="18" t="s">
        <v>138</v>
      </c>
      <c r="C250" s="109"/>
      <c r="D250" s="109"/>
      <c r="E250" s="109"/>
      <c r="F250" s="109"/>
      <c r="G250" s="109"/>
      <c r="H250" s="124" cm="1">
        <f t="array" ref="H250">INDEX($C$41:$O$41,calc_sel_idx)+INDEX($C$44:$O$44,calc_sel_idx)+INDEX($C$47:$O$47,calc_sel_idx)+INDEX($C$50:$O$50,calc_sel_idx)+INDEX($C$53:$O$53,calc_sel_idx)</f>
        <v>0</v>
      </c>
      <c r="I250" s="109"/>
      <c r="J250" s="124" cm="1">
        <f t="array" ref="J250">INDEX($C$71:$O$71,calc_sel_idx)</f>
        <v>0</v>
      </c>
      <c r="K250" s="109"/>
      <c r="L250" s="124">
        <f t="shared" ref="L250:L274" si="29">J250-H250</f>
        <v>0</v>
      </c>
      <c r="M250" s="19" t="str">
        <f t="shared" ref="M250:M274" si="30">IF(ABS(J250-H250)&lt;0.005,"PASS","FAIL")</f>
        <v>PASS</v>
      </c>
      <c r="N250" s="109"/>
      <c r="O250" s="109"/>
      <c r="P250" s="17"/>
    </row>
    <row r="251" spans="1:19" x14ac:dyDescent="0.2">
      <c r="A251" s="17"/>
      <c r="B251" s="18" t="s">
        <v>139</v>
      </c>
      <c r="C251" s="109"/>
      <c r="D251" s="109"/>
      <c r="E251" s="109"/>
      <c r="F251" s="109"/>
      <c r="G251" s="109"/>
      <c r="H251" s="124" cm="1">
        <f t="array" ref="H251">INDEX($C$75:$O$75,calc_sel_idx)+INDEX($C$78:$O$78,calc_sel_idx)+INDEX($C$81:$O$81,calc_sel_idx)+INDEX($C$84:$O$84,calc_sel_idx)+INDEX($C$87:$O$87,calc_sel_idx)</f>
        <v>0</v>
      </c>
      <c r="I251" s="109"/>
      <c r="J251" s="124" cm="1">
        <f t="array" ref="J251">INDEX($C$90:$O$90,calc_sel_idx)</f>
        <v>0</v>
      </c>
      <c r="K251" s="109"/>
      <c r="L251" s="124">
        <f t="shared" si="29"/>
        <v>0</v>
      </c>
      <c r="M251" s="19" t="str">
        <f t="shared" si="30"/>
        <v>PASS</v>
      </c>
      <c r="N251" s="109"/>
      <c r="O251" s="109"/>
      <c r="P251" s="17"/>
    </row>
    <row r="252" spans="1:19" x14ac:dyDescent="0.2">
      <c r="A252" s="17"/>
      <c r="B252" s="18" t="s">
        <v>140</v>
      </c>
      <c r="C252" s="109"/>
      <c r="D252" s="109"/>
      <c r="E252" s="109"/>
      <c r="F252" s="109"/>
      <c r="G252" s="109"/>
      <c r="H252" s="124" cm="1">
        <f t="array" ref="H252">INDEX($C$97:$O$97,calc_sel_idx)+INDEX($C$100:$O$100,calc_sel_idx)+INDEX($C$103:$O$103,calc_sel_idx)+INDEX($C$106:$O$106,calc_sel_idx)+INDEX($C$109:$O$109,calc_sel_idx)+INDEX($C$112:$O$112,calc_sel_idx)</f>
        <v>0</v>
      </c>
      <c r="I252" s="109"/>
      <c r="J252" s="124" cm="1">
        <f t="array" ref="J252">INDEX($C$115:$O$115,calc_sel_idx)</f>
        <v>0</v>
      </c>
      <c r="K252" s="109"/>
      <c r="L252" s="124">
        <f t="shared" si="29"/>
        <v>0</v>
      </c>
      <c r="M252" s="19" t="str">
        <f t="shared" si="30"/>
        <v>PASS</v>
      </c>
      <c r="N252" s="109"/>
      <c r="O252" s="109"/>
      <c r="P252" s="17"/>
    </row>
    <row r="253" spans="1:19" x14ac:dyDescent="0.2">
      <c r="A253" s="17"/>
      <c r="B253" s="18" t="s">
        <v>141</v>
      </c>
      <c r="H253" s="124" cm="1">
        <f t="array" ref="H253">INDEX($C$71:$O$71,calc_sel_idx)-INDEX($C$90:$O$90,calc_sel_idx)</f>
        <v>0</v>
      </c>
      <c r="J253" s="124" cm="1">
        <f t="array" ref="J253">INDEX($C$93:$O$93,calc_sel_idx)</f>
        <v>0</v>
      </c>
      <c r="L253" s="124">
        <f t="shared" si="29"/>
        <v>0</v>
      </c>
      <c r="M253" s="19" t="str">
        <f t="shared" si="30"/>
        <v>PASS</v>
      </c>
      <c r="P253" s="17"/>
    </row>
    <row r="254" spans="1:19" x14ac:dyDescent="0.2">
      <c r="A254" s="17"/>
      <c r="B254" s="18" t="s">
        <v>142</v>
      </c>
      <c r="H254" s="124" cm="1">
        <f t="array" ref="H254">INDEX($C$93:$O$93,calc_sel_idx)-INDEX($C$115:$O$115,calc_sel_idx)</f>
        <v>0</v>
      </c>
      <c r="J254" s="124" cm="1">
        <f t="array" ref="J254">INDEX($C$118:$O$118,calc_sel_idx)</f>
        <v>0</v>
      </c>
      <c r="L254" s="124">
        <f t="shared" si="29"/>
        <v>0</v>
      </c>
      <c r="M254" s="19" t="str">
        <f t="shared" si="30"/>
        <v>PASS</v>
      </c>
      <c r="P254" s="17"/>
    </row>
    <row r="255" spans="1:19" x14ac:dyDescent="0.2">
      <c r="A255" s="17"/>
      <c r="B255" s="18" t="s">
        <v>143</v>
      </c>
      <c r="H255" s="124" cm="1">
        <f t="array" ref="H255">INDEX($C$118:$O$118,calc_sel_idx)-INDEX($C$122:$O$122,calc_sel_idx)-INDEX($C$125:$O$125,calc_sel_idx)-INDEX($C$128:$O$128,calc_sel_idx)</f>
        <v>0</v>
      </c>
      <c r="J255" s="124" cm="1">
        <f t="array" ref="J255">INDEX($C$131:$O$131,calc_sel_idx)</f>
        <v>0</v>
      </c>
      <c r="L255" s="124">
        <f t="shared" si="29"/>
        <v>0</v>
      </c>
      <c r="M255" s="19" t="str">
        <f t="shared" si="30"/>
        <v>PASS</v>
      </c>
      <c r="P255" s="17"/>
    </row>
    <row r="256" spans="1:19" x14ac:dyDescent="0.2">
      <c r="A256" s="17"/>
      <c r="B256" s="18" t="s">
        <v>144</v>
      </c>
      <c r="H256" s="124" cm="1">
        <f t="array" ref="H256">INDEX($C$148:$O$148,calc_sel_idx)+INDEX($C$151:$O$151,calc_sel_idx)+INDEX($C$154:$O$154,calc_sel_idx)+INDEX($C$157:$O$157,calc_sel_idx)</f>
        <v>0</v>
      </c>
      <c r="J256" s="124" cm="1">
        <f t="array" ref="J256">INDEX($C$138:$O$138,calc_sel_idx)</f>
        <v>0</v>
      </c>
      <c r="L256" s="124">
        <f t="shared" si="29"/>
        <v>0</v>
      </c>
      <c r="M256" s="19" t="str">
        <f t="shared" si="30"/>
        <v>PASS</v>
      </c>
      <c r="P256" s="17"/>
    </row>
    <row r="257" spans="1:16" x14ac:dyDescent="0.2">
      <c r="A257" s="17"/>
      <c r="B257" s="18" t="s">
        <v>145</v>
      </c>
      <c r="H257" s="124" cm="1">
        <f t="array" ref="H257">INDEX($C$75:$O$75,calc_sel_idx)+INDEX($C$78:$O$78,calc_sel_idx)+INDEX($C$81:$O$81,calc_sel_idx)+INDEX($C$84:$O$84,calc_sel_idx)+INDEX($C$87:$O$87,calc_sel_idx)+INDEX($C$93:$O$93,calc_sel_idx)</f>
        <v>0</v>
      </c>
      <c r="J257" s="124" cm="1">
        <f t="array" ref="J257">INDEX($C$71:$O$71,calc_sel_idx)</f>
        <v>0</v>
      </c>
      <c r="L257" s="124">
        <f t="shared" si="29"/>
        <v>0</v>
      </c>
      <c r="M257" s="19" t="str">
        <f t="shared" si="30"/>
        <v>PASS</v>
      </c>
      <c r="P257" s="17"/>
    </row>
    <row r="258" spans="1:16" x14ac:dyDescent="0.2">
      <c r="A258" s="17"/>
      <c r="B258" s="18" t="s">
        <v>146</v>
      </c>
      <c r="H258" s="124" cm="1">
        <f t="array" ref="H258">INDEX($C$97:$O$97,calc_sel_idx)+INDEX($C$100:$O$100,calc_sel_idx)+INDEX($C$103:$O$103,calc_sel_idx)+INDEX($C$106:$O$106,calc_sel_idx)+INDEX($C$109:$O$109,calc_sel_idx)+INDEX($C$112:$O$112,calc_sel_idx)+INDEX($C$118:$O$118,calc_sel_idx)</f>
        <v>0</v>
      </c>
      <c r="J258" s="124" cm="1">
        <f t="array" ref="J258">INDEX($C$93:$O$93,calc_sel_idx)</f>
        <v>0</v>
      </c>
      <c r="L258" s="124">
        <f t="shared" si="29"/>
        <v>0</v>
      </c>
      <c r="M258" s="19" t="str">
        <f t="shared" si="30"/>
        <v>PASS</v>
      </c>
      <c r="P258" s="17"/>
    </row>
    <row r="259" spans="1:16" x14ac:dyDescent="0.2">
      <c r="A259" s="17"/>
      <c r="B259" s="18" t="s">
        <v>147</v>
      </c>
      <c r="H259" s="124" cm="1">
        <f t="array" ref="H259">INDEX($C$42:$O$42,calc_sel_idx)+INDEX($C$45:$O$45,calc_sel_idx)+INDEX($C$48:$O$48,calc_sel_idx)+INDEX($C$51:$O$51,calc_sel_idx)+INDEX($C$54:$O$54,calc_sel_idx)</f>
        <v>0</v>
      </c>
      <c r="J259" s="124" cm="1">
        <f t="array" ref="J259">INDEX($C$72:$O$72,calc_sel_idx)</f>
        <v>0</v>
      </c>
      <c r="L259" s="124">
        <f t="shared" si="29"/>
        <v>0</v>
      </c>
      <c r="M259" s="19" t="str">
        <f t="shared" si="30"/>
        <v>PASS</v>
      </c>
      <c r="P259" s="17"/>
    </row>
    <row r="260" spans="1:16" x14ac:dyDescent="0.2">
      <c r="A260" s="17"/>
      <c r="B260" s="18" t="s">
        <v>148</v>
      </c>
      <c r="H260" s="124" cm="1">
        <f t="array" ref="H260">INDEX($C$76:$O$76,calc_sel_idx)+INDEX($C$79:$O$79,calc_sel_idx)+INDEX($C$82:$O$82,calc_sel_idx)+INDEX($C$85:$O$85,calc_sel_idx)+INDEX($C$88:$O$88,calc_sel_idx)</f>
        <v>0</v>
      </c>
      <c r="J260" s="124" cm="1">
        <f t="array" ref="J260">INDEX($C$91:$O$91,calc_sel_idx)</f>
        <v>0</v>
      </c>
      <c r="L260" s="124">
        <f t="shared" si="29"/>
        <v>0</v>
      </c>
      <c r="M260" s="19" t="str">
        <f t="shared" si="30"/>
        <v>PASS</v>
      </c>
      <c r="P260" s="17"/>
    </row>
    <row r="261" spans="1:16" x14ac:dyDescent="0.2">
      <c r="A261" s="17"/>
      <c r="B261" s="18" t="s">
        <v>149</v>
      </c>
      <c r="H261" s="124" cm="1">
        <f t="array" ref="H261">INDEX($C$98:$O$98,calc_sel_idx)+INDEX($C$101:$O$101,calc_sel_idx)+INDEX($C$104:$O$104,calc_sel_idx)+INDEX($C$107:$O$107,calc_sel_idx)+INDEX($C$110:$O$110,calc_sel_idx)+INDEX($C$113:$O$113,calc_sel_idx)</f>
        <v>0</v>
      </c>
      <c r="J261" s="124" cm="1">
        <f t="array" ref="J261">INDEX($C$116:$O$116,calc_sel_idx)</f>
        <v>0</v>
      </c>
      <c r="L261" s="124">
        <f t="shared" si="29"/>
        <v>0</v>
      </c>
      <c r="M261" s="19" t="str">
        <f t="shared" si="30"/>
        <v>PASS</v>
      </c>
      <c r="P261" s="17"/>
    </row>
    <row r="262" spans="1:16" x14ac:dyDescent="0.2">
      <c r="A262" s="17"/>
      <c r="B262" s="18" t="s">
        <v>150</v>
      </c>
      <c r="H262" s="124" cm="1">
        <f t="array" ref="H262">INDEX($C$72:$O$72,calc_sel_idx)-INDEX($C$91:$O$91,calc_sel_idx)</f>
        <v>0</v>
      </c>
      <c r="J262" s="124" cm="1">
        <f t="array" ref="J262">INDEX($C$94:$O$94,calc_sel_idx)</f>
        <v>0</v>
      </c>
      <c r="L262" s="124">
        <f t="shared" si="29"/>
        <v>0</v>
      </c>
      <c r="M262" s="19" t="str">
        <f t="shared" si="30"/>
        <v>PASS</v>
      </c>
      <c r="P262" s="17"/>
    </row>
    <row r="263" spans="1:16" x14ac:dyDescent="0.2">
      <c r="A263" s="17"/>
      <c r="B263" s="18" t="s">
        <v>151</v>
      </c>
      <c r="H263" s="124" cm="1">
        <f t="array" ref="H263">INDEX($C$94:$O$94,calc_sel_idx)-INDEX($C$116:$O$116,calc_sel_idx)</f>
        <v>0</v>
      </c>
      <c r="J263" s="124" cm="1">
        <f t="array" ref="J263">INDEX($C$119:$O$119,calc_sel_idx)</f>
        <v>0</v>
      </c>
      <c r="L263" s="124">
        <f t="shared" si="29"/>
        <v>0</v>
      </c>
      <c r="M263" s="19" t="str">
        <f t="shared" si="30"/>
        <v>PASS</v>
      </c>
      <c r="P263" s="17"/>
    </row>
    <row r="264" spans="1:16" x14ac:dyDescent="0.2">
      <c r="A264" s="17"/>
      <c r="B264" s="18" t="s">
        <v>152</v>
      </c>
      <c r="H264" s="124" cm="1">
        <f t="array" ref="H264">INDEX($C$119:$O$119,calc_sel_idx)-INDEX($C$123:$O$123,calc_sel_idx)-INDEX($C$126:$O$126,calc_sel_idx)-INDEX($C$129:$O$129,calc_sel_idx)</f>
        <v>0</v>
      </c>
      <c r="J264" s="124" cm="1">
        <f t="array" ref="J264">INDEX($C$132:$O$132,calc_sel_idx)</f>
        <v>0</v>
      </c>
      <c r="L264" s="124">
        <f t="shared" si="29"/>
        <v>0</v>
      </c>
      <c r="M264" s="19" t="str">
        <f t="shared" si="30"/>
        <v>PASS</v>
      </c>
      <c r="P264" s="17"/>
    </row>
    <row r="265" spans="1:16" x14ac:dyDescent="0.2">
      <c r="A265" s="17"/>
      <c r="B265" s="18" t="s">
        <v>153</v>
      </c>
      <c r="H265" s="124" cm="1">
        <f t="array" ref="H265">INDEX($C$149:$O$149,calc_sel_idx)+INDEX($C$152:$O$152,calc_sel_idx)+INDEX($C$155:$O$155,calc_sel_idx)+INDEX($C$158:$O$158,calc_sel_idx)</f>
        <v>0</v>
      </c>
      <c r="J265" s="124" cm="1">
        <f t="array" ref="J265">INDEX($C$139:$O$139,calc_sel_idx)</f>
        <v>0</v>
      </c>
      <c r="L265" s="124">
        <f t="shared" si="29"/>
        <v>0</v>
      </c>
      <c r="M265" s="19" t="str">
        <f t="shared" si="30"/>
        <v>PASS</v>
      </c>
      <c r="P265" s="17"/>
    </row>
    <row r="266" spans="1:16" x14ac:dyDescent="0.2">
      <c r="A266" s="17"/>
      <c r="B266" s="18" t="s">
        <v>154</v>
      </c>
      <c r="H266" s="124" cm="1">
        <f t="array" ref="H266">INDEX($C$43:$O$43,calc_sel_idx)+INDEX($C$46:$O$46,calc_sel_idx)+INDEX($C$49:$O$49,calc_sel_idx)+INDEX($C$52:$O$52,calc_sel_idx)+INDEX($C$55:$O$55,calc_sel_idx)</f>
        <v>0</v>
      </c>
      <c r="J266" s="124" cm="1">
        <f t="array" ref="J266">INDEX($C$73:$O$73,calc_sel_idx)</f>
        <v>0</v>
      </c>
      <c r="L266" s="124">
        <f t="shared" si="29"/>
        <v>0</v>
      </c>
      <c r="M266" s="19" t="str">
        <f t="shared" si="30"/>
        <v>PASS</v>
      </c>
      <c r="P266" s="17"/>
    </row>
    <row r="267" spans="1:16" x14ac:dyDescent="0.2">
      <c r="A267" s="17"/>
      <c r="B267" s="18" t="s">
        <v>155</v>
      </c>
      <c r="H267" s="124" cm="1">
        <f t="array" ref="H267">INDEX($C$77:$O$77,calc_sel_idx)+INDEX($C$80:$O$80,calc_sel_idx)+INDEX($C$83:$O$83,calc_sel_idx)+INDEX($C$86:$O$86,calc_sel_idx)+INDEX($C$89:$O$89,calc_sel_idx)</f>
        <v>0</v>
      </c>
      <c r="J267" s="124" cm="1">
        <f t="array" ref="J267">INDEX($C$92:$O$92,calc_sel_idx)</f>
        <v>0</v>
      </c>
      <c r="L267" s="124">
        <f t="shared" si="29"/>
        <v>0</v>
      </c>
      <c r="M267" s="19" t="str">
        <f t="shared" si="30"/>
        <v>PASS</v>
      </c>
      <c r="P267" s="17"/>
    </row>
    <row r="268" spans="1:16" x14ac:dyDescent="0.2">
      <c r="A268" s="17"/>
      <c r="B268" s="18" t="s">
        <v>156</v>
      </c>
      <c r="H268" s="124" cm="1">
        <f t="array" ref="H268">INDEX($C$99:$O$99,calc_sel_idx)+INDEX($C$102:$O$102,calc_sel_idx)+INDEX($C$105:$O$105,calc_sel_idx)+INDEX($C$108:$O$108,calc_sel_idx)+INDEX($C$111:$O$111,calc_sel_idx)+INDEX($C$114:$O$114,calc_sel_idx)</f>
        <v>0</v>
      </c>
      <c r="J268" s="124" cm="1">
        <f t="array" ref="J268">INDEX($C$117:$O$117,calc_sel_idx)</f>
        <v>0</v>
      </c>
      <c r="L268" s="124">
        <f t="shared" si="29"/>
        <v>0</v>
      </c>
      <c r="M268" s="19" t="str">
        <f t="shared" si="30"/>
        <v>PASS</v>
      </c>
      <c r="P268" s="17"/>
    </row>
    <row r="269" spans="1:16" x14ac:dyDescent="0.2">
      <c r="A269" s="17"/>
      <c r="B269" s="18" t="s">
        <v>157</v>
      </c>
      <c r="H269" s="124" cm="1">
        <f t="array" ref="H269">INDEX($C$73:$O$73,calc_sel_idx)-INDEX($C$92:$O$92,calc_sel_idx)</f>
        <v>0</v>
      </c>
      <c r="J269" s="124" cm="1">
        <f t="array" ref="J269">INDEX($C$95:$O$95,calc_sel_idx)</f>
        <v>0</v>
      </c>
      <c r="L269" s="124">
        <f t="shared" si="29"/>
        <v>0</v>
      </c>
      <c r="M269" s="19" t="str">
        <f t="shared" si="30"/>
        <v>PASS</v>
      </c>
      <c r="P269" s="17"/>
    </row>
    <row r="270" spans="1:16" x14ac:dyDescent="0.2">
      <c r="A270" s="17"/>
      <c r="B270" s="18" t="s">
        <v>158</v>
      </c>
      <c r="H270" s="124" cm="1">
        <f t="array" ref="H270">INDEX($C$95:$O$95,calc_sel_idx)-INDEX($C$117:$O$117,calc_sel_idx)</f>
        <v>0</v>
      </c>
      <c r="J270" s="124" cm="1">
        <f t="array" ref="J270">INDEX($C$120:$O$120,calc_sel_idx)</f>
        <v>0</v>
      </c>
      <c r="L270" s="124">
        <f t="shared" si="29"/>
        <v>0</v>
      </c>
      <c r="M270" s="19" t="str">
        <f t="shared" si="30"/>
        <v>PASS</v>
      </c>
      <c r="P270" s="17"/>
    </row>
    <row r="271" spans="1:16" x14ac:dyDescent="0.2">
      <c r="A271" s="17"/>
      <c r="B271" s="18" t="s">
        <v>159</v>
      </c>
      <c r="H271" s="124" cm="1">
        <f t="array" ref="H271">INDEX($C$120:$O$120,calc_sel_idx)-INDEX($C$124:$O$124,calc_sel_idx)-INDEX($C$127:$O$127,calc_sel_idx)-INDEX($C$130:$O$130,calc_sel_idx)</f>
        <v>0</v>
      </c>
      <c r="J271" s="124" cm="1">
        <f t="array" ref="J271">INDEX($C$133:$O$133,calc_sel_idx)</f>
        <v>0</v>
      </c>
      <c r="L271" s="124">
        <f t="shared" si="29"/>
        <v>0</v>
      </c>
      <c r="M271" s="19" t="str">
        <f t="shared" si="30"/>
        <v>PASS</v>
      </c>
      <c r="P271" s="17"/>
    </row>
    <row r="272" spans="1:16" x14ac:dyDescent="0.2">
      <c r="A272" s="17"/>
      <c r="B272" s="18" t="s">
        <v>160</v>
      </c>
      <c r="H272" s="124" cm="1">
        <f t="array" ref="H272">IF(INDEX($C$56:$O$56,calc_sel_idx)&gt;0,INDEX($C$41:$O$41,calc_sel_idx),0)+IF(INDEX($C$59:$O$59,calc_sel_idx)&gt;0,INDEX($C$44:$O$44,calc_sel_idx),0)+IF(INDEX($C$62:$O$62,calc_sel_idx)&gt;0,INDEX($C$47:$O$47,calc_sel_idx),0)+IF(INDEX($C$65:$O$65,calc_sel_idx)&gt;0,INDEX($C$50:$O$50,calc_sel_idx),0)+IF(INDEX($C$68:$O$68,calc_sel_idx)&gt;0,INDEX($C$53:$O$53,calc_sel_idx),0)</f>
        <v>0</v>
      </c>
      <c r="J272" s="124" cm="1">
        <f t="array" ref="J272">INDEX($C$56:$O$56,calc_sel_idx)*IFERROR(INDEX($C$41:$O$41,calc_sel_idx)/INDEX($C$56:$O$56,calc_sel_idx),0)+INDEX($C$59:$O$59,calc_sel_idx)*IFERROR(INDEX($C$44:$O$44,calc_sel_idx)/INDEX($C$59:$O$59,calc_sel_idx),0)+INDEX($C$62:$O$62,calc_sel_idx)*IFERROR(INDEX($C$47:$O$47,calc_sel_idx)/INDEX($C$62:$O$62,calc_sel_idx),0)+INDEX($C$65:$O$65,calc_sel_idx)*IFERROR(INDEX($C$50:$O$50,calc_sel_idx)/INDEX($C$65:$O$65,calc_sel_idx),0)+INDEX($C$68:$O$68,calc_sel_idx)*IFERROR(INDEX($C$53:$O$53,calc_sel_idx)/INDEX($C$68:$O$68,calc_sel_idx),0)</f>
        <v>0</v>
      </c>
      <c r="L272" s="124">
        <f t="shared" si="29"/>
        <v>0</v>
      </c>
      <c r="M272" s="19" t="str">
        <f t="shared" si="30"/>
        <v>PASS</v>
      </c>
      <c r="P272" s="17"/>
    </row>
    <row r="273" spans="1:16" x14ac:dyDescent="0.2">
      <c r="A273" s="17"/>
      <c r="B273" s="18" t="s">
        <v>161</v>
      </c>
      <c r="H273" s="124" cm="1">
        <f t="array" ref="H273">INDEX($C$56:$O$56,calc_sel_idx)+INDEX($C$59:$O$59,calc_sel_idx)+INDEX($C$62:$O$62,calc_sel_idx)+INDEX($C$65:$O$65,calc_sel_idx)+INDEX($C$68:$O$68,calc_sel_idx)</f>
        <v>0</v>
      </c>
      <c r="J273" s="124" cm="1">
        <f t="array" ref="J273">INDEX($C$164:$O$164,calc_sel_idx)</f>
        <v>0</v>
      </c>
      <c r="L273" s="124">
        <f t="shared" si="29"/>
        <v>0</v>
      </c>
      <c r="M273" s="19" t="str">
        <f t="shared" si="30"/>
        <v>PASS</v>
      </c>
      <c r="P273" s="17"/>
    </row>
    <row r="274" spans="1:16" x14ac:dyDescent="0.2">
      <c r="A274" s="17"/>
      <c r="B274" s="18" t="s">
        <v>162</v>
      </c>
      <c r="H274" s="124" cm="1">
        <f t="array" ref="H274">INDEX($C$135:$O$135,calc_sel_idx)-INDEX($C$135:$O$135,MAX(calc_sel_idx-1,1))</f>
        <v>0</v>
      </c>
      <c r="J274" s="124" cm="1">
        <f t="array" ref="J274">IF(calc_sel_idx=1,INDEX($C$135:$O$135,calc_sel_idx)-INDEX($C$135:$O$135,calc_sel_idx),INDEX($C$144:$O$144,calc_sel_idx))</f>
        <v>0</v>
      </c>
      <c r="L274" s="124">
        <f t="shared" si="29"/>
        <v>0</v>
      </c>
      <c r="M274" s="19" t="str">
        <f t="shared" si="30"/>
        <v>PASS</v>
      </c>
      <c r="P274" s="17"/>
    </row>
    <row r="275" spans="1:16" x14ac:dyDescent="0.2">
      <c r="A275" s="17"/>
      <c r="P275" s="17"/>
    </row>
    <row r="276" spans="1:16" x14ac:dyDescent="0.2">
      <c r="A276" s="17"/>
      <c r="P276" s="17"/>
    </row>
    <row r="277" spans="1:16" ht="16" x14ac:dyDescent="0.2">
      <c r="A277" s="17"/>
      <c r="B277" s="121" t="s">
        <v>133</v>
      </c>
      <c r="J277" s="123" t="s">
        <v>134</v>
      </c>
      <c r="L277" s="125" t="str">
        <f>IF(COUNTIF(M279:M306,"FAIL")=0,"PASS","FAIL ("&amp;COUNTIF(M279:M306,"FAIL")&amp;")")</f>
        <v>PASS</v>
      </c>
      <c r="P277" s="17"/>
    </row>
    <row r="278" spans="1:16" x14ac:dyDescent="0.2">
      <c r="A278" s="17"/>
      <c r="B278" s="122" t="s">
        <v>135</v>
      </c>
      <c r="H278" s="123" t="s">
        <v>136</v>
      </c>
      <c r="J278" s="123" t="s">
        <v>131</v>
      </c>
      <c r="L278" s="123" t="s">
        <v>137</v>
      </c>
      <c r="M278" s="123" t="s">
        <v>117</v>
      </c>
      <c r="P278" s="17"/>
    </row>
    <row r="279" spans="1:16" x14ac:dyDescent="0.2">
      <c r="A279" s="17"/>
      <c r="B279" s="18" t="s">
        <v>138</v>
      </c>
      <c r="H279" s="124" cm="1">
        <f t="array" ref="H279">INDEX($C$41:$O$41,calc_sel_idx)+INDEX($C$44:$O$44,calc_sel_idx)+INDEX($C$47:$O$47,calc_sel_idx)+INDEX($C$50:$O$50,calc_sel_idx)+INDEX($C$53:$O$53,calc_sel_idx)</f>
        <v>0</v>
      </c>
      <c r="J279" s="124" cm="1">
        <f t="array" ref="J279">INDEX($C$71:$O$71,calc_sel_idx)</f>
        <v>0</v>
      </c>
      <c r="L279" s="124">
        <f t="shared" ref="L279:L306" si="31">J279-H279</f>
        <v>0</v>
      </c>
      <c r="M279" s="19" t="str">
        <f t="shared" ref="M279:M306" si="32">IF(ABS(J279-H279)&lt;0.005,"PASS","FAIL")</f>
        <v>PASS</v>
      </c>
      <c r="P279" s="17"/>
    </row>
    <row r="280" spans="1:16" x14ac:dyDescent="0.2">
      <c r="A280" s="17"/>
      <c r="B280" s="18" t="s">
        <v>139</v>
      </c>
      <c r="H280" s="124" cm="1">
        <f t="array" ref="H280">INDEX($C$75:$O$75,calc_sel_idx)+INDEX($C$78:$O$78,calc_sel_idx)+INDEX($C$81:$O$81,calc_sel_idx)+INDEX($C$84:$O$84,calc_sel_idx)+INDEX($C$87:$O$87,calc_sel_idx)</f>
        <v>0</v>
      </c>
      <c r="J280" s="124" cm="1">
        <f t="array" ref="J280">INDEX($C$90:$O$90,calc_sel_idx)</f>
        <v>0</v>
      </c>
      <c r="L280" s="124">
        <f t="shared" si="31"/>
        <v>0</v>
      </c>
      <c r="M280" s="19" t="str">
        <f t="shared" si="32"/>
        <v>PASS</v>
      </c>
      <c r="P280" s="17"/>
    </row>
    <row r="281" spans="1:16" x14ac:dyDescent="0.2">
      <c r="A281" s="17"/>
      <c r="B281" s="18" t="s">
        <v>140</v>
      </c>
      <c r="H281" s="124" cm="1">
        <f t="array" ref="H281">INDEX($C$97:$O$97,calc_sel_idx)+INDEX($C$100:$O$100,calc_sel_idx)+INDEX($C$103:$O$103,calc_sel_idx)+INDEX($C$106:$O$106,calc_sel_idx)+INDEX($C$109:$O$109,calc_sel_idx)+INDEX($C$112:$O$112,calc_sel_idx)</f>
        <v>0</v>
      </c>
      <c r="J281" s="124" cm="1">
        <f t="array" ref="J281">INDEX($C$115:$O$115,calc_sel_idx)</f>
        <v>0</v>
      </c>
      <c r="L281" s="124">
        <f t="shared" si="31"/>
        <v>0</v>
      </c>
      <c r="M281" s="19" t="str">
        <f t="shared" si="32"/>
        <v>PASS</v>
      </c>
      <c r="P281" s="17"/>
    </row>
    <row r="282" spans="1:16" x14ac:dyDescent="0.2">
      <c r="A282" s="17"/>
      <c r="B282" s="18" t="s">
        <v>141</v>
      </c>
      <c r="H282" s="124" cm="1">
        <f t="array" ref="H282">INDEX($C$71:$O$71,calc_sel_idx)-INDEX($C$90:$O$90,calc_sel_idx)</f>
        <v>0</v>
      </c>
      <c r="J282" s="124" cm="1">
        <f t="array" ref="J282">INDEX($C$93:$O$93,calc_sel_idx)</f>
        <v>0</v>
      </c>
      <c r="L282" s="124">
        <f t="shared" si="31"/>
        <v>0</v>
      </c>
      <c r="M282" s="19" t="str">
        <f t="shared" si="32"/>
        <v>PASS</v>
      </c>
      <c r="P282" s="17"/>
    </row>
    <row r="283" spans="1:16" x14ac:dyDescent="0.2">
      <c r="A283" s="17"/>
      <c r="B283" s="18" t="s">
        <v>142</v>
      </c>
      <c r="H283" s="124" cm="1">
        <f t="array" ref="H283">INDEX($C$93:$O$93,calc_sel_idx)-INDEX($C$115:$O$115,calc_sel_idx)</f>
        <v>0</v>
      </c>
      <c r="J283" s="124" cm="1">
        <f t="array" ref="J283">INDEX($C$118:$O$118,calc_sel_idx)</f>
        <v>0</v>
      </c>
      <c r="L283" s="124">
        <f t="shared" si="31"/>
        <v>0</v>
      </c>
      <c r="M283" s="19" t="str">
        <f t="shared" si="32"/>
        <v>PASS</v>
      </c>
      <c r="P283" s="17"/>
    </row>
    <row r="284" spans="1:16" x14ac:dyDescent="0.2">
      <c r="A284" s="17"/>
      <c r="B284" s="18" t="s">
        <v>143</v>
      </c>
      <c r="H284" s="124" cm="1">
        <f t="array" ref="H284">INDEX($C$118:$O$118,calc_sel_idx)-INDEX($C$122:$O$122,calc_sel_idx)-INDEX($C$125:$O$125,calc_sel_idx)-INDEX($C$128:$O$128,calc_sel_idx)</f>
        <v>0</v>
      </c>
      <c r="J284" s="124" cm="1">
        <f t="array" ref="J284">INDEX($C$131:$O$131,calc_sel_idx)</f>
        <v>0</v>
      </c>
      <c r="L284" s="124">
        <f t="shared" si="31"/>
        <v>0</v>
      </c>
      <c r="M284" s="19" t="str">
        <f t="shared" si="32"/>
        <v>PASS</v>
      </c>
      <c r="P284" s="17"/>
    </row>
    <row r="285" spans="1:16" x14ac:dyDescent="0.2">
      <c r="A285" s="17"/>
      <c r="B285" s="18" t="s">
        <v>144</v>
      </c>
      <c r="H285" s="124" cm="1">
        <f t="array" ref="H285">INDEX($C$148:$O$148,calc_sel_idx)+INDEX($C$151:$O$151,calc_sel_idx)+INDEX($C$154:$O$154,calc_sel_idx)+INDEX($C$157:$O$157,calc_sel_idx)</f>
        <v>0</v>
      </c>
      <c r="J285" s="124" cm="1">
        <f t="array" ref="J285">INDEX($C$138:$O$138,calc_sel_idx)</f>
        <v>0</v>
      </c>
      <c r="L285" s="124">
        <f t="shared" si="31"/>
        <v>0</v>
      </c>
      <c r="M285" s="19" t="str">
        <f t="shared" si="32"/>
        <v>PASS</v>
      </c>
      <c r="P285" s="17"/>
    </row>
    <row r="286" spans="1:16" x14ac:dyDescent="0.2">
      <c r="A286" s="17"/>
      <c r="B286" s="18" t="s">
        <v>145</v>
      </c>
      <c r="H286" s="124" cm="1">
        <f t="array" ref="H286">INDEX($C$75:$O$75,calc_sel_idx)+INDEX($C$78:$O$78,calc_sel_idx)+INDEX($C$81:$O$81,calc_sel_idx)+INDEX($C$84:$O$84,calc_sel_idx)+INDEX($C$87:$O$87,calc_sel_idx)+INDEX($C$93:$O$93,calc_sel_idx)</f>
        <v>0</v>
      </c>
      <c r="J286" s="124" cm="1">
        <f t="array" ref="J286">INDEX($C$71:$O$71,calc_sel_idx)</f>
        <v>0</v>
      </c>
      <c r="L286" s="124">
        <f t="shared" si="31"/>
        <v>0</v>
      </c>
      <c r="M286" s="19" t="str">
        <f t="shared" si="32"/>
        <v>PASS</v>
      </c>
      <c r="P286" s="17"/>
    </row>
    <row r="287" spans="1:16" x14ac:dyDescent="0.2">
      <c r="A287" s="17"/>
      <c r="B287" s="18" t="s">
        <v>146</v>
      </c>
      <c r="H287" s="124" cm="1">
        <f t="array" ref="H287">INDEX($C$97:$O$97,calc_sel_idx)+INDEX($C$100:$O$100,calc_sel_idx)+INDEX($C$103:$O$103,calc_sel_idx)+INDEX($C$106:$O$106,calc_sel_idx)+INDEX($C$109:$O$109,calc_sel_idx)+INDEX($C$112:$O$112,calc_sel_idx)+INDEX($C$118:$O$118,calc_sel_idx)</f>
        <v>0</v>
      </c>
      <c r="J287" s="124" cm="1">
        <f t="array" ref="J287">INDEX($C$93:$O$93,calc_sel_idx)</f>
        <v>0</v>
      </c>
      <c r="L287" s="124">
        <f t="shared" si="31"/>
        <v>0</v>
      </c>
      <c r="M287" s="19" t="str">
        <f t="shared" si="32"/>
        <v>PASS</v>
      </c>
      <c r="P287" s="17"/>
    </row>
    <row r="288" spans="1:16" x14ac:dyDescent="0.2">
      <c r="A288" s="17"/>
      <c r="B288" s="18" t="s">
        <v>147</v>
      </c>
      <c r="H288" s="124" cm="1">
        <f t="array" ref="H288">INDEX($C$42:$O$42,calc_sel_idx)+INDEX($C$45:$O$45,calc_sel_idx)+INDEX($C$48:$O$48,calc_sel_idx)+INDEX($C$51:$O$51,calc_sel_idx)+INDEX($C$54:$O$54,calc_sel_idx)</f>
        <v>0</v>
      </c>
      <c r="J288" s="124" cm="1">
        <f t="array" ref="J288">INDEX($C$72:$O$72,calc_sel_idx)</f>
        <v>0</v>
      </c>
      <c r="L288" s="124">
        <f t="shared" si="31"/>
        <v>0</v>
      </c>
      <c r="M288" s="19" t="str">
        <f t="shared" si="32"/>
        <v>PASS</v>
      </c>
      <c r="P288" s="17"/>
    </row>
    <row r="289" spans="1:16" x14ac:dyDescent="0.2">
      <c r="A289" s="17"/>
      <c r="B289" s="18" t="s">
        <v>148</v>
      </c>
      <c r="H289" s="124" cm="1">
        <f t="array" ref="H289">INDEX($C$76:$O$76,calc_sel_idx)+INDEX($C$79:$O$79,calc_sel_idx)+INDEX($C$82:$O$82,calc_sel_idx)+INDEX($C$85:$O$85,calc_sel_idx)+INDEX($C$88:$O$88,calc_sel_idx)</f>
        <v>0</v>
      </c>
      <c r="J289" s="124" cm="1">
        <f t="array" ref="J289">INDEX($C$91:$O$91,calc_sel_idx)</f>
        <v>0</v>
      </c>
      <c r="L289" s="124">
        <f t="shared" si="31"/>
        <v>0</v>
      </c>
      <c r="M289" s="19" t="str">
        <f t="shared" si="32"/>
        <v>PASS</v>
      </c>
      <c r="P289" s="17"/>
    </row>
    <row r="290" spans="1:16" x14ac:dyDescent="0.2">
      <c r="A290" s="17"/>
      <c r="B290" s="18" t="s">
        <v>149</v>
      </c>
      <c r="H290" s="124" cm="1">
        <f t="array" ref="H290">INDEX($C$98:$O$98,calc_sel_idx)+INDEX($C$101:$O$101,calc_sel_idx)+INDEX($C$104:$O$104,calc_sel_idx)+INDEX($C$107:$O$107,calc_sel_idx)+INDEX($C$110:$O$110,calc_sel_idx)+INDEX($C$113:$O$113,calc_sel_idx)</f>
        <v>0</v>
      </c>
      <c r="J290" s="124" cm="1">
        <f t="array" ref="J290">INDEX($C$116:$O$116,calc_sel_idx)</f>
        <v>0</v>
      </c>
      <c r="L290" s="124">
        <f t="shared" si="31"/>
        <v>0</v>
      </c>
      <c r="M290" s="19" t="str">
        <f t="shared" si="32"/>
        <v>PASS</v>
      </c>
      <c r="P290" s="17"/>
    </row>
    <row r="291" spans="1:16" x14ac:dyDescent="0.2">
      <c r="A291" s="17"/>
      <c r="B291" s="18" t="s">
        <v>150</v>
      </c>
      <c r="H291" s="124" cm="1">
        <f t="array" ref="H291">INDEX($C$72:$O$72,calc_sel_idx)-INDEX($C$91:$O$91,calc_sel_idx)</f>
        <v>0</v>
      </c>
      <c r="J291" s="124" cm="1">
        <f t="array" ref="J291">INDEX($C$94:$O$94,calc_sel_idx)</f>
        <v>0</v>
      </c>
      <c r="L291" s="124">
        <f t="shared" si="31"/>
        <v>0</v>
      </c>
      <c r="M291" s="19" t="str">
        <f t="shared" si="32"/>
        <v>PASS</v>
      </c>
      <c r="P291" s="17"/>
    </row>
    <row r="292" spans="1:16" x14ac:dyDescent="0.2">
      <c r="A292" s="17"/>
      <c r="B292" s="18" t="s">
        <v>151</v>
      </c>
      <c r="H292" s="124" cm="1">
        <f t="array" ref="H292">INDEX($C$94:$O$94,calc_sel_idx)-INDEX($C$116:$O$116,calc_sel_idx)</f>
        <v>0</v>
      </c>
      <c r="J292" s="124" cm="1">
        <f t="array" ref="J292">INDEX($C$119:$O$119,calc_sel_idx)</f>
        <v>0</v>
      </c>
      <c r="L292" s="124">
        <f t="shared" si="31"/>
        <v>0</v>
      </c>
      <c r="M292" s="19" t="str">
        <f t="shared" si="32"/>
        <v>PASS</v>
      </c>
      <c r="P292" s="17"/>
    </row>
    <row r="293" spans="1:16" x14ac:dyDescent="0.2">
      <c r="A293" s="17"/>
      <c r="B293" s="18" t="s">
        <v>152</v>
      </c>
      <c r="H293" s="124" cm="1">
        <f t="array" ref="H293">INDEX($C$119:$O$119,calc_sel_idx)-INDEX($C$123:$O$123,calc_sel_idx)-INDEX($C$126:$O$126,calc_sel_idx)-INDEX($C$129:$O$129,calc_sel_idx)</f>
        <v>0</v>
      </c>
      <c r="J293" s="124" cm="1">
        <f t="array" ref="J293">INDEX($C$132:$O$132,calc_sel_idx)</f>
        <v>0</v>
      </c>
      <c r="L293" s="124">
        <f t="shared" si="31"/>
        <v>0</v>
      </c>
      <c r="M293" s="19" t="str">
        <f t="shared" si="32"/>
        <v>PASS</v>
      </c>
      <c r="P293" s="17"/>
    </row>
    <row r="294" spans="1:16" x14ac:dyDescent="0.2">
      <c r="A294" s="17"/>
      <c r="B294" s="18" t="s">
        <v>153</v>
      </c>
      <c r="H294" s="124" cm="1">
        <f t="array" ref="H294">INDEX($C$149:$O$149,calc_sel_idx)+INDEX($C$152:$O$152,calc_sel_idx)+INDEX($C$155:$O$155,calc_sel_idx)+INDEX($C$158:$O$158,calc_sel_idx)</f>
        <v>0</v>
      </c>
      <c r="J294" s="124" cm="1">
        <f t="array" ref="J294">INDEX($C$139:$O$139,calc_sel_idx)</f>
        <v>0</v>
      </c>
      <c r="L294" s="124">
        <f t="shared" si="31"/>
        <v>0</v>
      </c>
      <c r="M294" s="19" t="str">
        <f t="shared" si="32"/>
        <v>PASS</v>
      </c>
      <c r="P294" s="17"/>
    </row>
    <row r="295" spans="1:16" x14ac:dyDescent="0.2">
      <c r="A295" s="17"/>
      <c r="B295" s="18" t="s">
        <v>154</v>
      </c>
      <c r="H295" s="124" cm="1">
        <f t="array" ref="H295">INDEX($C$43:$O$43,calc_sel_idx)+INDEX($C$46:$O$46,calc_sel_idx)+INDEX($C$49:$O$49,calc_sel_idx)+INDEX($C$52:$O$52,calc_sel_idx)+INDEX($C$55:$O$55,calc_sel_idx)</f>
        <v>0</v>
      </c>
      <c r="J295" s="124" cm="1">
        <f t="array" ref="J295">INDEX($C$73:$O$73,calc_sel_idx)</f>
        <v>0</v>
      </c>
      <c r="L295" s="124">
        <f t="shared" si="31"/>
        <v>0</v>
      </c>
      <c r="M295" s="19" t="str">
        <f t="shared" si="32"/>
        <v>PASS</v>
      </c>
      <c r="P295" s="17"/>
    </row>
    <row r="296" spans="1:16" x14ac:dyDescent="0.2">
      <c r="A296" s="17"/>
      <c r="B296" s="18" t="s">
        <v>155</v>
      </c>
      <c r="H296" s="124" cm="1">
        <f t="array" ref="H296">INDEX($C$77:$O$77,calc_sel_idx)+INDEX($C$80:$O$80,calc_sel_idx)+INDEX($C$83:$O$83,calc_sel_idx)+INDEX($C$86:$O$86,calc_sel_idx)+INDEX($C$89:$O$89,calc_sel_idx)</f>
        <v>0</v>
      </c>
      <c r="J296" s="124" cm="1">
        <f t="array" ref="J296">INDEX($C$92:$O$92,calc_sel_idx)</f>
        <v>0</v>
      </c>
      <c r="L296" s="124">
        <f t="shared" si="31"/>
        <v>0</v>
      </c>
      <c r="M296" s="19" t="str">
        <f t="shared" si="32"/>
        <v>PASS</v>
      </c>
      <c r="P296" s="17"/>
    </row>
    <row r="297" spans="1:16" x14ac:dyDescent="0.2">
      <c r="A297" s="17"/>
      <c r="B297" s="18" t="s">
        <v>156</v>
      </c>
      <c r="H297" s="124" cm="1">
        <f t="array" ref="H297">INDEX($C$99:$O$99,calc_sel_idx)+INDEX($C$102:$O$102,calc_sel_idx)+INDEX($C$105:$O$105,calc_sel_idx)+INDEX($C$108:$O$108,calc_sel_idx)+INDEX($C$111:$O$111,calc_sel_idx)+INDEX($C$114:$O$114,calc_sel_idx)</f>
        <v>0</v>
      </c>
      <c r="J297" s="124" cm="1">
        <f t="array" ref="J297">INDEX($C$117:$O$117,calc_sel_idx)</f>
        <v>0</v>
      </c>
      <c r="L297" s="124">
        <f t="shared" si="31"/>
        <v>0</v>
      </c>
      <c r="M297" s="19" t="str">
        <f t="shared" si="32"/>
        <v>PASS</v>
      </c>
      <c r="P297" s="17"/>
    </row>
    <row r="298" spans="1:16" x14ac:dyDescent="0.2">
      <c r="A298" s="17"/>
      <c r="B298" s="18" t="s">
        <v>157</v>
      </c>
      <c r="H298" s="124" cm="1">
        <f t="array" ref="H298">INDEX($C$73:$O$73,calc_sel_idx)-INDEX($C$92:$O$92,calc_sel_idx)</f>
        <v>0</v>
      </c>
      <c r="J298" s="124" cm="1">
        <f t="array" ref="J298">INDEX($C$95:$O$95,calc_sel_idx)</f>
        <v>0</v>
      </c>
      <c r="L298" s="124">
        <f t="shared" si="31"/>
        <v>0</v>
      </c>
      <c r="M298" s="19" t="str">
        <f t="shared" si="32"/>
        <v>PASS</v>
      </c>
      <c r="P298" s="17"/>
    </row>
    <row r="299" spans="1:16" x14ac:dyDescent="0.2">
      <c r="A299" s="17"/>
      <c r="B299" s="18" t="s">
        <v>158</v>
      </c>
      <c r="H299" s="124" cm="1">
        <f t="array" ref="H299">INDEX($C$95:$O$95,calc_sel_idx)-INDEX($C$117:$O$117,calc_sel_idx)</f>
        <v>0</v>
      </c>
      <c r="J299" s="124" cm="1">
        <f t="array" ref="J299">INDEX($C$120:$O$120,calc_sel_idx)</f>
        <v>0</v>
      </c>
      <c r="L299" s="124">
        <f t="shared" si="31"/>
        <v>0</v>
      </c>
      <c r="M299" s="19" t="str">
        <f t="shared" si="32"/>
        <v>PASS</v>
      </c>
      <c r="P299" s="17"/>
    </row>
    <row r="300" spans="1:16" x14ac:dyDescent="0.2">
      <c r="A300" s="17"/>
      <c r="B300" s="18" t="s">
        <v>159</v>
      </c>
      <c r="H300" s="124" cm="1">
        <f t="array" ref="H300">INDEX($C$120:$O$120,calc_sel_idx)-INDEX($C$124:$O$124,calc_sel_idx)-INDEX($C$127:$O$127,calc_sel_idx)-INDEX($C$130:$O$130,calc_sel_idx)</f>
        <v>0</v>
      </c>
      <c r="J300" s="124" cm="1">
        <f t="array" ref="J300">INDEX($C$133:$O$133,calc_sel_idx)</f>
        <v>0</v>
      </c>
      <c r="L300" s="124">
        <f t="shared" si="31"/>
        <v>0</v>
      </c>
      <c r="M300" s="19" t="str">
        <f t="shared" si="32"/>
        <v>PASS</v>
      </c>
      <c r="P300" s="17"/>
    </row>
    <row r="301" spans="1:16" x14ac:dyDescent="0.2">
      <c r="A301" s="17"/>
      <c r="B301" s="18" t="s">
        <v>160</v>
      </c>
      <c r="H301" s="124" cm="1">
        <f t="array" ref="H301">IF(INDEX($C$56:$O$56,calc_sel_idx)&gt;0,INDEX($C$41:$O$41,calc_sel_idx),0)+IF(INDEX($C$59:$O$59,calc_sel_idx)&gt;0,INDEX($C$44:$O$44,calc_sel_idx),0)+IF(INDEX($C$62:$O$62,calc_sel_idx)&gt;0,INDEX($C$47:$O$47,calc_sel_idx),0)+IF(INDEX($C$65:$O$65,calc_sel_idx)&gt;0,INDEX($C$50:$O$50,calc_sel_idx),0)+IF(INDEX($C$68:$O$68,calc_sel_idx)&gt;0,INDEX($C$53:$O$53,calc_sel_idx),0)</f>
        <v>0</v>
      </c>
      <c r="J301" s="124" cm="1">
        <f t="array" ref="J301">INDEX($C$56:$O$56,calc_sel_idx)*IFERROR(INDEX($C$41:$O$41,calc_sel_idx)/INDEX($C$56:$O$56,calc_sel_idx),0)+INDEX($C$59:$O$59,calc_sel_idx)*IFERROR(INDEX($C$44:$O$44,calc_sel_idx)/INDEX($C$59:$O$59,calc_sel_idx),0)+INDEX($C$62:$O$62,calc_sel_idx)*IFERROR(INDEX($C$47:$O$47,calc_sel_idx)/INDEX($C$62:$O$62,calc_sel_idx),0)+INDEX($C$65:$O$65,calc_sel_idx)*IFERROR(INDEX($C$50:$O$50,calc_sel_idx)/INDEX($C$65:$O$65,calc_sel_idx),0)+INDEX($C$68:$O$68,calc_sel_idx)*IFERROR(INDEX($C$53:$O$53,calc_sel_idx)/INDEX($C$68:$O$68,calc_sel_idx),0)</f>
        <v>0</v>
      </c>
      <c r="L301" s="124">
        <f t="shared" si="31"/>
        <v>0</v>
      </c>
      <c r="M301" s="19" t="str">
        <f t="shared" si="32"/>
        <v>PASS</v>
      </c>
      <c r="P301" s="17"/>
    </row>
    <row r="302" spans="1:16" x14ac:dyDescent="0.2">
      <c r="A302" s="17"/>
      <c r="B302" s="18" t="s">
        <v>161</v>
      </c>
      <c r="H302" s="124" cm="1">
        <f t="array" ref="H302">INDEX($C$56:$O$56,calc_sel_idx)+INDEX($C$59:$O$59,calc_sel_idx)+INDEX($C$62:$O$62,calc_sel_idx)+INDEX($C$65:$O$65,calc_sel_idx)+INDEX($C$68:$O$68,calc_sel_idx)</f>
        <v>0</v>
      </c>
      <c r="J302" s="124" cm="1">
        <f t="array" ref="J302">INDEX($C$164:$O$164,calc_sel_idx)</f>
        <v>0</v>
      </c>
      <c r="L302" s="124">
        <f t="shared" si="31"/>
        <v>0</v>
      </c>
      <c r="M302" s="19" t="str">
        <f t="shared" si="32"/>
        <v>PASS</v>
      </c>
      <c r="P302" s="17"/>
    </row>
    <row r="303" spans="1:16" x14ac:dyDescent="0.2">
      <c r="A303" s="17"/>
      <c r="B303" s="18" t="s">
        <v>166</v>
      </c>
      <c r="H303" s="124">
        <f>SUMIFS($C$71:$O$71,calc_dates,"&gt;="&amp;calc_fy_start_date,calc_dates,"&lt;="&amp;calc_sel_date)</f>
        <v>0</v>
      </c>
      <c r="J303" s="124">
        <f>SUMIFS($C$71:$O$71,calc_dates,"&gt;="&amp;calc_fy_start_date,calc_dates,"&lt;="&amp;calc_sel_date)</f>
        <v>0</v>
      </c>
      <c r="L303" s="124">
        <f t="shared" si="31"/>
        <v>0</v>
      </c>
      <c r="M303" s="19" t="str">
        <f t="shared" si="32"/>
        <v>PASS</v>
      </c>
      <c r="P303" s="17"/>
    </row>
    <row r="304" spans="1:16" x14ac:dyDescent="0.2">
      <c r="A304" s="17"/>
      <c r="B304" s="18" t="s">
        <v>167</v>
      </c>
      <c r="H304" s="124">
        <f>SUMIFS($C$118:$O$118,calc_dates,"&gt;="&amp;calc_fy_start_date,calc_dates,"&lt;="&amp;calc_sel_date)</f>
        <v>0</v>
      </c>
      <c r="J304" s="124">
        <f>SUMIFS($C$118:$O$118,calc_dates,"&gt;="&amp;calc_fy_start_date,calc_dates,"&lt;="&amp;calc_sel_date)</f>
        <v>0</v>
      </c>
      <c r="L304" s="124">
        <f t="shared" si="31"/>
        <v>0</v>
      </c>
      <c r="M304" s="19" t="str">
        <f t="shared" si="32"/>
        <v>PASS</v>
      </c>
      <c r="P304" s="17"/>
    </row>
    <row r="305" spans="1:16" x14ac:dyDescent="0.2">
      <c r="A305" s="17"/>
      <c r="B305" s="18" t="s">
        <v>168</v>
      </c>
      <c r="H305" s="124">
        <f>SUMIFS($C$131:$O$131,calc_dates,"&gt;="&amp;calc_fy_start_date,calc_dates,"&lt;="&amp;calc_sel_date)</f>
        <v>0</v>
      </c>
      <c r="J305" s="124">
        <f>SUMIFS($C$131:$O$131,calc_dates,"&gt;="&amp;calc_fy_start_date,calc_dates,"&lt;="&amp;calc_sel_date)</f>
        <v>0</v>
      </c>
      <c r="L305" s="124">
        <f t="shared" si="31"/>
        <v>0</v>
      </c>
      <c r="M305" s="19" t="str">
        <f t="shared" si="32"/>
        <v>PASS</v>
      </c>
      <c r="P305" s="17"/>
    </row>
    <row r="306" spans="1:16" x14ac:dyDescent="0.2">
      <c r="A306" s="17"/>
      <c r="B306" s="18" t="s">
        <v>169</v>
      </c>
      <c r="H306" s="124">
        <f>1</f>
        <v>1</v>
      </c>
      <c r="J306" s="124">
        <f>IF(AND(calc_sel_date&gt;=calc_fy_start_date,calc_sel_date&lt;EDATE(calc_fy_start_date,12)),1,0)</f>
        <v>1</v>
      </c>
      <c r="L306" s="124">
        <f t="shared" si="31"/>
        <v>0</v>
      </c>
      <c r="M306" s="19" t="str">
        <f t="shared" si="32"/>
        <v>PASS</v>
      </c>
      <c r="P306" s="17"/>
    </row>
    <row r="307" spans="1:16" x14ac:dyDescent="0.2">
      <c r="A307" s="17"/>
      <c r="P307" s="17"/>
    </row>
    <row r="308" spans="1:16" x14ac:dyDescent="0.2">
      <c r="A308" s="17"/>
      <c r="P308" s="17"/>
    </row>
    <row r="309" spans="1:16" x14ac:dyDescent="0.2">
      <c r="A309" s="17"/>
      <c r="B309" s="17"/>
      <c r="C309" s="17"/>
      <c r="D309" s="17"/>
      <c r="E309" s="17"/>
      <c r="F309" s="17"/>
      <c r="G309" s="17"/>
      <c r="H309" s="17"/>
      <c r="I309" s="17"/>
      <c r="J309" s="17"/>
      <c r="K309" s="17"/>
      <c r="L309" s="17"/>
      <c r="M309" s="17"/>
      <c r="N309" s="17"/>
      <c r="O309" s="17"/>
      <c r="P309" s="17"/>
    </row>
  </sheetData>
  <conditionalFormatting sqref="E225:E234">
    <cfRule type="cellIs" dxfId="42" priority="1" operator="equal">
      <formula>"Open"</formula>
    </cfRule>
    <cfRule type="cellIs" dxfId="41" priority="2" operator="equal">
      <formula>"In progress"</formula>
    </cfRule>
    <cfRule type="cellIs" dxfId="40" priority="3" operator="equal">
      <formula>"Closed"</formula>
    </cfRule>
  </conditionalFormatting>
  <conditionalFormatting sqref="E238:E245">
    <cfRule type="cellIs" dxfId="39" priority="4" operator="equal">
      <formula>"Critical"</formula>
    </cfRule>
    <cfRule type="cellIs" dxfId="38" priority="5" operator="equal">
      <formula>"High"</formula>
    </cfRule>
    <cfRule type="cellIs" dxfId="37" priority="6" operator="equal">
      <formula>"Medium"</formula>
    </cfRule>
    <cfRule type="cellIs" dxfId="36" priority="7" operator="equal">
      <formula>"Low"</formula>
    </cfRule>
  </conditionalFormatting>
  <dataValidations count="4">
    <dataValidation type="list" sqref="C7" xr:uid="{00000000-0002-0000-0000-000000000000}">
      <formula1>"AU,NZ,US"</formula1>
    </dataValidation>
    <dataValidation type="list" allowBlank="1" sqref="E225:E234" xr:uid="{00000000-0002-0000-0000-000002000000}">
      <formula1>"Open,In progress,Closed"</formula1>
    </dataValidation>
    <dataValidation type="list" allowBlank="1" sqref="C225:C234 F225:F234 C238:C245" xr:uid="{00000000-0002-0000-0000-000003000000}">
      <formula1>$C$30:$O$30</formula1>
    </dataValidation>
    <dataValidation type="list" allowBlank="1" sqref="E238:E245" xr:uid="{00000000-0002-0000-0000-000004000000}">
      <formula1>"Low,Medium,High,Critical"</formula1>
    </dataValidation>
  </dataValidation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087DA-63C1-EA4C-8E56-FA49EB77CBA2}">
  <sheetPr>
    <tabColor rgb="FF1E50FF"/>
    <pageSetUpPr fitToPage="1"/>
  </sheetPr>
  <dimension ref="A1:BW90"/>
  <sheetViews>
    <sheetView showGridLines="0" zoomScale="150" zoomScaleNormal="150" workbookViewId="0">
      <selection activeCell="BM12" sqref="BM12"/>
    </sheetView>
  </sheetViews>
  <sheetFormatPr baseColWidth="10" defaultRowHeight="15" x14ac:dyDescent="0.2"/>
  <cols>
    <col min="1" max="1" width="2.33203125" style="130" customWidth="1"/>
    <col min="2" max="2" width="1.33203125" style="130" customWidth="1"/>
    <col min="3" max="64" width="3.5" style="130" customWidth="1"/>
    <col min="65" max="16384" width="10.83203125" style="130"/>
  </cols>
  <sheetData>
    <row r="1" spans="1:68" ht="15" customHeight="1" x14ac:dyDescent="0.2">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P1" s="131">
        <f>IFERROR(MATCH(AW2,Data!$C$30:$O$30,0),13)</f>
        <v>13</v>
      </c>
    </row>
    <row r="2" spans="1:68" ht="14" customHeight="1" x14ac:dyDescent="0.2">
      <c r="A2" s="16"/>
      <c r="B2" s="16"/>
      <c r="C2" s="21" t="s">
        <v>248</v>
      </c>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31" t="s">
        <v>305</v>
      </c>
      <c r="AU2" s="16"/>
      <c r="AV2" s="16"/>
      <c r="AW2" s="75" t="s">
        <v>304</v>
      </c>
      <c r="AX2" s="16"/>
      <c r="AY2" s="16"/>
      <c r="AZ2" s="16"/>
      <c r="BA2" s="16"/>
      <c r="BB2" s="170" t="str">
        <f>UPPER(inp_region)&amp;"  ·  "&amp;TEXT($BP$2,"mmm-yy")</f>
        <v>AU  ·  Jun-26</v>
      </c>
      <c r="BC2" s="170"/>
      <c r="BD2" s="170"/>
      <c r="BE2" s="170"/>
      <c r="BF2" s="170"/>
      <c r="BG2" s="170"/>
      <c r="BH2" s="170"/>
      <c r="BI2" s="170"/>
      <c r="BJ2" s="170"/>
      <c r="BK2" s="170"/>
      <c r="BL2" s="170"/>
      <c r="BM2" s="16"/>
      <c r="BP2" s="131" cm="1">
        <f t="array" ref="BP2">INDEX(calc_dates,$BP$1)</f>
        <v>46174</v>
      </c>
    </row>
    <row r="3" spans="1:68" ht="30" customHeight="1" x14ac:dyDescent="0.4">
      <c r="A3" s="16"/>
      <c r="B3" s="16"/>
      <c r="C3" s="22" t="s">
        <v>249</v>
      </c>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71" t="str">
        <f>TEXT($BP$2,"mmmm yyyy")</f>
        <v>June 2026</v>
      </c>
      <c r="BC3" s="171"/>
      <c r="BD3" s="171"/>
      <c r="BE3" s="171"/>
      <c r="BF3" s="171"/>
      <c r="BG3" s="171"/>
      <c r="BH3" s="171"/>
      <c r="BI3" s="171"/>
      <c r="BJ3" s="171"/>
      <c r="BK3" s="171"/>
      <c r="BL3" s="171"/>
      <c r="BM3" s="16"/>
    </row>
    <row r="4" spans="1:68" ht="18" customHeight="1" x14ac:dyDescent="0.2">
      <c r="A4" s="16"/>
      <c r="B4" s="16"/>
      <c r="C4" s="24" t="str" cm="1">
        <f t="array" ref="C4">IFERROR("EBITDA "&amp;TEXT(INDEX(Data!$C$118:$O$118,$BP$1),"$#,##0")&amp;" · "&amp;TEXT(INDEX(Data!$C$118:$O$118,$BP$1)-INDEX(Data!$C$119:$O$119,$BP$1),"+$#,##0;-$#,##0")&amp;" vs plan        Cash "&amp;TEXT(INDEX(Data!$C$135:$O$135,$BP$1),"$#,##0")&amp;"        Gross margin "&amp;TEXT(INDEX(Data!$C$93:$O$93,$BP$1)/INDEX(Data!$C$71:$O$71,$BP$1),"0.0%"),"–")</f>
        <v>–</v>
      </c>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72" t="str">
        <f>IF(mst_pass="PASS","● RECONCILED TO LEDGER","● CHECK "&amp;mst_pass)</f>
        <v>● RECONCILED TO LEDGER</v>
      </c>
      <c r="BC4" s="172"/>
      <c r="BD4" s="172"/>
      <c r="BE4" s="172"/>
      <c r="BF4" s="172"/>
      <c r="BG4" s="172"/>
      <c r="BH4" s="172"/>
      <c r="BI4" s="172"/>
      <c r="BJ4" s="172"/>
      <c r="BK4" s="172"/>
      <c r="BL4" s="172"/>
      <c r="BM4" s="16"/>
    </row>
    <row r="5" spans="1:68" ht="10" customHeight="1" x14ac:dyDescent="0.2">
      <c r="A5" s="16"/>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row>
    <row r="6" spans="1:68" ht="15" customHeight="1" thickBot="1" x14ac:dyDescent="0.25">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row>
    <row r="7" spans="1:68" ht="15" customHeight="1" x14ac:dyDescent="0.2">
      <c r="A7" s="16"/>
      <c r="B7" s="16"/>
      <c r="C7" s="173" t="s">
        <v>127</v>
      </c>
      <c r="D7" s="174"/>
      <c r="E7" s="174"/>
      <c r="F7" s="174"/>
      <c r="G7" s="174"/>
      <c r="H7" s="174"/>
      <c r="I7" s="174"/>
      <c r="J7" s="174"/>
      <c r="K7" s="174"/>
      <c r="L7" s="174"/>
      <c r="M7" s="16"/>
      <c r="N7" s="173" t="s">
        <v>256</v>
      </c>
      <c r="O7" s="174"/>
      <c r="P7" s="174"/>
      <c r="Q7" s="174"/>
      <c r="R7" s="174"/>
      <c r="S7" s="174"/>
      <c r="T7" s="174"/>
      <c r="U7" s="174"/>
      <c r="V7" s="174"/>
      <c r="W7" s="174"/>
      <c r="X7" s="16"/>
      <c r="Y7" s="173" t="s">
        <v>71</v>
      </c>
      <c r="Z7" s="174"/>
      <c r="AA7" s="174"/>
      <c r="AB7" s="174"/>
      <c r="AC7" s="174"/>
      <c r="AD7" s="174"/>
      <c r="AE7" s="174"/>
      <c r="AF7" s="174"/>
      <c r="AG7" s="174"/>
      <c r="AH7" s="174"/>
      <c r="AI7" s="16"/>
      <c r="AJ7" s="173" t="s">
        <v>128</v>
      </c>
      <c r="AK7" s="174"/>
      <c r="AL7" s="174"/>
      <c r="AM7" s="174"/>
      <c r="AN7" s="174"/>
      <c r="AO7" s="174"/>
      <c r="AP7" s="174"/>
      <c r="AQ7" s="174"/>
      <c r="AR7" s="174"/>
      <c r="AS7" s="174"/>
      <c r="AT7" s="16"/>
      <c r="AU7" s="173" t="s">
        <v>129</v>
      </c>
      <c r="AV7" s="174"/>
      <c r="AW7" s="174"/>
      <c r="AX7" s="174"/>
      <c r="AY7" s="174"/>
      <c r="AZ7" s="174"/>
      <c r="BA7" s="174"/>
      <c r="BB7" s="174"/>
      <c r="BC7" s="174"/>
      <c r="BD7" s="174"/>
      <c r="BE7" s="16"/>
      <c r="BF7" s="173" t="s">
        <v>250</v>
      </c>
      <c r="BG7" s="174"/>
      <c r="BH7" s="174"/>
      <c r="BI7" s="174"/>
      <c r="BJ7" s="174"/>
      <c r="BK7" s="174"/>
      <c r="BL7" s="174"/>
      <c r="BM7" s="16"/>
    </row>
    <row r="8" spans="1:68" ht="26" customHeight="1" x14ac:dyDescent="0.3">
      <c r="A8" s="16"/>
      <c r="B8" s="16"/>
      <c r="C8" s="160" cm="1">
        <f t="array" ref="C8">INDEX(Data!$C$71:$O$71,$BP$1)</f>
        <v>0</v>
      </c>
      <c r="D8" s="161"/>
      <c r="E8" s="161"/>
      <c r="F8" s="161"/>
      <c r="G8" s="161"/>
      <c r="H8" s="161"/>
      <c r="I8" s="161"/>
      <c r="J8" s="161"/>
      <c r="K8" s="161"/>
      <c r="L8" s="161"/>
      <c r="M8" s="16"/>
      <c r="N8" s="162" t="str" cm="1">
        <f t="array" ref="N8">IFERROR(INDEX(Data!$C$93:$O$93,$BP$1)/INDEX(Data!$C$71:$O$71,$BP$1),"–")</f>
        <v>–</v>
      </c>
      <c r="O8" s="163"/>
      <c r="P8" s="163"/>
      <c r="Q8" s="163"/>
      <c r="R8" s="163"/>
      <c r="S8" s="163"/>
      <c r="T8" s="163"/>
      <c r="U8" s="163"/>
      <c r="V8" s="163"/>
      <c r="W8" s="163"/>
      <c r="X8" s="16"/>
      <c r="Y8" s="160" cm="1">
        <f t="array" ref="Y8">INDEX(Data!$C$118:$O$118,$BP$1)</f>
        <v>0</v>
      </c>
      <c r="Z8" s="161"/>
      <c r="AA8" s="161"/>
      <c r="AB8" s="161"/>
      <c r="AC8" s="161"/>
      <c r="AD8" s="161"/>
      <c r="AE8" s="161"/>
      <c r="AF8" s="161"/>
      <c r="AG8" s="161"/>
      <c r="AH8" s="161"/>
      <c r="AI8" s="16"/>
      <c r="AJ8" s="160" cm="1">
        <f t="array" ref="AJ8">INDEX(Data!$C$131:$O$131,$BP$1)</f>
        <v>0</v>
      </c>
      <c r="AK8" s="161"/>
      <c r="AL8" s="161"/>
      <c r="AM8" s="161"/>
      <c r="AN8" s="161"/>
      <c r="AO8" s="161"/>
      <c r="AP8" s="161"/>
      <c r="AQ8" s="161"/>
      <c r="AR8" s="161"/>
      <c r="AS8" s="161"/>
      <c r="AT8" s="16"/>
      <c r="AU8" s="160" cm="1">
        <f t="array" ref="AU8">INDEX(Data!$C$135:$O$135,$BP$1)</f>
        <v>0</v>
      </c>
      <c r="AV8" s="161"/>
      <c r="AW8" s="161"/>
      <c r="AX8" s="161"/>
      <c r="AY8" s="161"/>
      <c r="AZ8" s="161"/>
      <c r="BA8" s="161"/>
      <c r="BB8" s="161"/>
      <c r="BC8" s="161"/>
      <c r="BD8" s="161"/>
      <c r="BE8" s="16"/>
      <c r="BF8" s="164" t="str" cm="1">
        <f t="array" ref="BF8">IFERROR(INDEX(Data!$C$138:$O$138,$BP$1)/INDEX(Data!$C$71:$O$71,$BP$1)*30,"–")</f>
        <v>–</v>
      </c>
      <c r="BG8" s="165"/>
      <c r="BH8" s="165"/>
      <c r="BI8" s="165"/>
      <c r="BJ8" s="165"/>
      <c r="BK8" s="165"/>
      <c r="BL8" s="165"/>
      <c r="BM8" s="16"/>
    </row>
    <row r="9" spans="1:68" ht="15" customHeight="1" x14ac:dyDescent="0.2">
      <c r="A9" s="16"/>
      <c r="B9" s="16"/>
      <c r="C9" s="166" t="str" cm="1">
        <f t="array" ref="C9">IFERROR(TEXT(INDEX(Data!$C$71:$O$71,$BP$1)/INDEX(Data!$C$72:$O$72,$BP$1)-1,"+0.0%;-0.0%")&amp;" vs plan","–")</f>
        <v>–</v>
      </c>
      <c r="D9" s="167"/>
      <c r="E9" s="167"/>
      <c r="F9" s="167"/>
      <c r="G9" s="167"/>
      <c r="H9" s="167"/>
      <c r="I9" s="167"/>
      <c r="J9" s="167"/>
      <c r="K9" s="167"/>
      <c r="L9" s="167"/>
      <c r="M9" s="16"/>
      <c r="N9" s="166" t="str" cm="1">
        <f t="array" ref="N9">IFERROR(TEXT(INDEX(Data!$C$93:$O$93,$BP$1)/INDEX(Data!$C$71:$O$71,$BP$1)-INDEX(Data!$C$94:$O$94,$BP$1)/INDEX(Data!$C$72:$O$72,$BP$1),"+0.0pp;-0.0pp")&amp;" vs plan","–")</f>
        <v>–</v>
      </c>
      <c r="O9" s="167"/>
      <c r="P9" s="167"/>
      <c r="Q9" s="167"/>
      <c r="R9" s="167"/>
      <c r="S9" s="167"/>
      <c r="T9" s="167"/>
      <c r="U9" s="167"/>
      <c r="V9" s="167"/>
      <c r="W9" s="167"/>
      <c r="X9" s="16"/>
      <c r="Y9" s="166" t="str" cm="1">
        <f t="array" ref="Y9">IFERROR(TEXT(INDEX(Data!$C$118:$O$118,$BP$1)-INDEX(Data!$C$119:$O$119,$BP$1),"+$#,##0;-$#,##0")&amp;" vs plan","–")</f>
        <v>+$0 vs plan</v>
      </c>
      <c r="Z9" s="167"/>
      <c r="AA9" s="167"/>
      <c r="AB9" s="167"/>
      <c r="AC9" s="167"/>
      <c r="AD9" s="167"/>
      <c r="AE9" s="167"/>
      <c r="AF9" s="167"/>
      <c r="AG9" s="167"/>
      <c r="AH9" s="167"/>
      <c r="AI9" s="16"/>
      <c r="AJ9" s="166" t="str" cm="1">
        <f t="array" ref="AJ9">IFERROR(TEXT(INDEX(Data!$C$131:$O$131,$BP$1)-INDEX(Data!$C$132:$O$132,$BP$1),"+$#,##0;-$#,##0")&amp;" vs plan","–")</f>
        <v>+$0 vs plan</v>
      </c>
      <c r="AK9" s="167"/>
      <c r="AL9" s="167"/>
      <c r="AM9" s="167"/>
      <c r="AN9" s="167"/>
      <c r="AO9" s="167"/>
      <c r="AP9" s="167"/>
      <c r="AQ9" s="167"/>
      <c r="AR9" s="167"/>
      <c r="AS9" s="167"/>
      <c r="AT9" s="16"/>
      <c r="AU9" s="168" t="str" cm="1">
        <f t="array" ref="AU9">IFERROR(TEXT(INDEX(Data!$C$135:$O$135,$BP$1)-INDEX(Data!$C$135:$O$135,$BP$1-1),"+$#,##0;-$#,##0")&amp;" MoM","–")</f>
        <v>+$0 MoM</v>
      </c>
      <c r="AV9" s="169"/>
      <c r="AW9" s="169"/>
      <c r="AX9" s="169"/>
      <c r="AY9" s="169"/>
      <c r="AZ9" s="169"/>
      <c r="BA9" s="169"/>
      <c r="BB9" s="169"/>
      <c r="BC9" s="169"/>
      <c r="BD9" s="169"/>
      <c r="BE9" s="16"/>
      <c r="BF9" s="158" t="s">
        <v>257</v>
      </c>
      <c r="BG9" s="159"/>
      <c r="BH9" s="159"/>
      <c r="BI9" s="159"/>
      <c r="BJ9" s="159"/>
      <c r="BK9" s="159"/>
      <c r="BL9" s="159"/>
      <c r="BM9" s="16"/>
    </row>
    <row r="10" spans="1:68" ht="15" customHeight="1" x14ac:dyDescent="0.2">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row>
    <row r="11" spans="1:68" ht="15" customHeight="1" x14ac:dyDescent="0.2">
      <c r="A11" s="16"/>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row>
    <row r="12" spans="1:68" ht="15" customHeight="1" x14ac:dyDescent="0.2">
      <c r="A12" s="16"/>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row>
    <row r="13" spans="1:68" ht="15" customHeight="1" x14ac:dyDescent="0.2">
      <c r="A13" s="16"/>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row>
    <row r="14" spans="1:68" ht="15" customHeight="1" x14ac:dyDescent="0.2">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row>
    <row r="15" spans="1:68" ht="15" customHeight="1" x14ac:dyDescent="0.2">
      <c r="A15" s="16"/>
      <c r="B15" s="16"/>
      <c r="C15" s="51" t="s">
        <v>258</v>
      </c>
      <c r="D15" s="52"/>
      <c r="E15" s="52"/>
      <c r="F15" s="52"/>
      <c r="G15" s="52"/>
      <c r="H15" s="52"/>
      <c r="I15" s="52"/>
      <c r="J15" s="53"/>
      <c r="K15" s="52"/>
      <c r="L15" s="52"/>
      <c r="M15" s="52"/>
      <c r="N15" s="52"/>
      <c r="O15" s="52"/>
      <c r="P15" s="52"/>
      <c r="Q15" s="52"/>
      <c r="R15" s="52"/>
      <c r="S15" s="52"/>
      <c r="T15" s="52"/>
      <c r="U15" s="16"/>
      <c r="V15" s="51" t="s">
        <v>271</v>
      </c>
      <c r="W15" s="52"/>
      <c r="X15" s="52"/>
      <c r="Y15" s="52"/>
      <c r="Z15" s="52"/>
      <c r="AA15" s="52"/>
      <c r="AB15" s="52"/>
      <c r="AC15" s="52"/>
      <c r="AD15" s="52"/>
      <c r="AE15" s="52"/>
      <c r="AF15" s="52"/>
      <c r="AG15" s="52"/>
      <c r="AH15" s="52"/>
      <c r="AI15" s="52"/>
      <c r="AJ15" s="52"/>
      <c r="AK15" s="52"/>
      <c r="AL15" s="52"/>
      <c r="AM15" s="52"/>
      <c r="AN15" s="16"/>
      <c r="AO15" s="51" t="s">
        <v>273</v>
      </c>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16"/>
    </row>
    <row r="16" spans="1:68" ht="15" customHeight="1" x14ac:dyDescent="0.2">
      <c r="A16" s="16"/>
      <c r="B16" s="16"/>
      <c r="C16" s="33" t="s">
        <v>274</v>
      </c>
      <c r="D16" s="27"/>
      <c r="E16" s="27"/>
      <c r="F16" s="27"/>
      <c r="G16" s="27"/>
      <c r="H16" s="27"/>
      <c r="I16" s="27"/>
      <c r="J16" s="27"/>
      <c r="K16" s="27"/>
      <c r="L16" s="27"/>
      <c r="M16" s="27"/>
      <c r="N16" s="27"/>
      <c r="O16" s="27"/>
      <c r="P16" s="27"/>
      <c r="Q16" s="27"/>
      <c r="R16" s="27"/>
      <c r="S16" s="27"/>
      <c r="T16" s="27"/>
      <c r="U16" s="16"/>
      <c r="V16" s="33" t="s">
        <v>275</v>
      </c>
      <c r="W16" s="27"/>
      <c r="X16" s="27"/>
      <c r="Y16" s="27"/>
      <c r="Z16" s="27"/>
      <c r="AA16" s="27"/>
      <c r="AB16" s="27"/>
      <c r="AC16" s="27"/>
      <c r="AD16" s="27"/>
      <c r="AE16" s="27"/>
      <c r="AF16" s="27"/>
      <c r="AG16" s="27"/>
      <c r="AH16" s="27"/>
      <c r="AI16" s="27"/>
      <c r="AJ16" s="27"/>
      <c r="AK16" s="27"/>
      <c r="AL16" s="27"/>
      <c r="AM16" s="27"/>
      <c r="AN16" s="16"/>
      <c r="AO16" s="33" t="s">
        <v>276</v>
      </c>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16"/>
    </row>
    <row r="17" spans="1:65" ht="15" customHeight="1" x14ac:dyDescent="0.2">
      <c r="A17" s="16"/>
      <c r="B17" s="16"/>
      <c r="C17" s="34"/>
      <c r="D17" s="27"/>
      <c r="E17" s="27"/>
      <c r="F17" s="27"/>
      <c r="G17" s="27"/>
      <c r="H17" s="35"/>
      <c r="I17" s="27"/>
      <c r="J17" s="27"/>
      <c r="K17" s="27"/>
      <c r="L17" s="27"/>
      <c r="M17" s="27"/>
      <c r="N17" s="27"/>
      <c r="O17" s="27"/>
      <c r="P17" s="27"/>
      <c r="Q17" s="27"/>
      <c r="R17" s="27"/>
      <c r="S17" s="27"/>
      <c r="T17" s="27"/>
      <c r="U17" s="16"/>
      <c r="V17" s="27"/>
      <c r="W17" s="27"/>
      <c r="X17" s="27"/>
      <c r="Y17" s="27"/>
      <c r="Z17" s="27"/>
      <c r="AA17" s="27"/>
      <c r="AB17" s="27"/>
      <c r="AC17" s="157" t="s">
        <v>132</v>
      </c>
      <c r="AD17" s="157"/>
      <c r="AE17" s="157"/>
      <c r="AF17" s="27"/>
      <c r="AG17" s="41" t="s">
        <v>277</v>
      </c>
      <c r="AH17" s="27"/>
      <c r="AI17" s="27"/>
      <c r="AJ17" s="157" t="s">
        <v>136</v>
      </c>
      <c r="AK17" s="157"/>
      <c r="AL17" s="157"/>
      <c r="AM17" s="157"/>
      <c r="AN17" s="16"/>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16"/>
    </row>
    <row r="18" spans="1:65" ht="15" customHeight="1" x14ac:dyDescent="0.2">
      <c r="A18" s="16"/>
      <c r="B18" s="16"/>
      <c r="C18" s="36"/>
      <c r="D18" s="27"/>
      <c r="E18" s="27"/>
      <c r="F18" s="27"/>
      <c r="G18" s="27"/>
      <c r="H18" s="37"/>
      <c r="I18" s="27"/>
      <c r="J18" s="27"/>
      <c r="K18" s="27"/>
      <c r="L18" s="27"/>
      <c r="M18" s="27"/>
      <c r="N18" s="27"/>
      <c r="O18" s="27"/>
      <c r="P18" s="27"/>
      <c r="Q18" s="27"/>
      <c r="R18" s="27"/>
      <c r="S18" s="27"/>
      <c r="T18" s="27"/>
      <c r="U18" s="16"/>
      <c r="V18" s="36" t="s">
        <v>251</v>
      </c>
      <c r="W18" s="27"/>
      <c r="X18" s="56" t="str">
        <f>IFERROR(REPT("█",ROUND(AC18/$AC$22*18,0)),"–")</f>
        <v>–</v>
      </c>
      <c r="Y18" s="27"/>
      <c r="Z18" s="27"/>
      <c r="AA18" s="27"/>
      <c r="AB18" s="27"/>
      <c r="AC18" s="143" cm="1">
        <f t="array" ref="AC18">INDEX(Data!$C$148:$O$148,$BP$1)</f>
        <v>0</v>
      </c>
      <c r="AD18" s="143"/>
      <c r="AE18" s="143"/>
      <c r="AF18" s="27"/>
      <c r="AG18" s="43">
        <f>inp_collprob_0</f>
        <v>0.98</v>
      </c>
      <c r="AH18" s="27"/>
      <c r="AI18" s="27"/>
      <c r="AJ18" s="154">
        <f>AC18*AG18</f>
        <v>0</v>
      </c>
      <c r="AK18" s="154"/>
      <c r="AL18" s="154"/>
      <c r="AM18" s="154"/>
      <c r="AN18" s="16"/>
      <c r="AO18" s="26" t="s">
        <v>252</v>
      </c>
      <c r="AP18" s="26"/>
      <c r="AQ18" s="26"/>
      <c r="AR18" s="26"/>
      <c r="AS18" s="26"/>
      <c r="AT18" s="26"/>
      <c r="AU18" s="26"/>
      <c r="AV18" s="26"/>
      <c r="AW18" s="26"/>
      <c r="AX18" s="26"/>
      <c r="AY18" s="26"/>
      <c r="AZ18" s="27"/>
      <c r="BA18" s="26" t="s">
        <v>253</v>
      </c>
      <c r="BB18" s="27"/>
      <c r="BC18" s="26"/>
      <c r="BD18" s="26"/>
      <c r="BE18" s="26"/>
      <c r="BF18" s="26"/>
      <c r="BG18" s="26"/>
      <c r="BH18" s="26"/>
      <c r="BI18" s="26"/>
      <c r="BJ18" s="26"/>
      <c r="BK18" s="26"/>
      <c r="BL18" s="26"/>
      <c r="BM18" s="16"/>
    </row>
    <row r="19" spans="1:65" ht="24" customHeight="1" x14ac:dyDescent="0.25">
      <c r="A19" s="16"/>
      <c r="B19" s="16"/>
      <c r="C19" s="36"/>
      <c r="D19" s="27"/>
      <c r="E19" s="27"/>
      <c r="F19" s="27"/>
      <c r="G19" s="27"/>
      <c r="H19" s="38"/>
      <c r="I19" s="27"/>
      <c r="J19" s="27"/>
      <c r="K19" s="27"/>
      <c r="L19" s="27"/>
      <c r="M19" s="27"/>
      <c r="N19" s="27"/>
      <c r="O19" s="27"/>
      <c r="P19" s="27"/>
      <c r="Q19" s="27"/>
      <c r="R19" s="27"/>
      <c r="S19" s="27"/>
      <c r="T19" s="27"/>
      <c r="U19" s="16"/>
      <c r="V19" s="36" t="s">
        <v>246</v>
      </c>
      <c r="W19" s="27"/>
      <c r="X19" s="57" t="str">
        <f>IFERROR(REPT("█",ROUND(AC19/$AC$22*18,0)),"–")</f>
        <v>–</v>
      </c>
      <c r="Y19" s="27"/>
      <c r="Z19" s="27"/>
      <c r="AA19" s="27"/>
      <c r="AB19" s="27"/>
      <c r="AC19" s="143" cm="1">
        <f t="array" ref="AC19">INDEX(Data!$C$151:$O$151,$BP$1)</f>
        <v>0</v>
      </c>
      <c r="AD19" s="143"/>
      <c r="AE19" s="143"/>
      <c r="AF19" s="27"/>
      <c r="AG19" s="43">
        <f>inp_collprob_1</f>
        <v>0.9</v>
      </c>
      <c r="AH19" s="27"/>
      <c r="AI19" s="27"/>
      <c r="AJ19" s="154">
        <f>AC19*AG19</f>
        <v>0</v>
      </c>
      <c r="AK19" s="154"/>
      <c r="AL19" s="154"/>
      <c r="AM19" s="154"/>
      <c r="AN19" s="16"/>
      <c r="AO19" s="150" t="str" cm="1">
        <f t="array" ref="AO19">IFERROR(INDEX(Data!$C$164:$O$164,$BP$1)/INDEX(Data!$C$167:$O$167,$BP$1),"–")</f>
        <v>–</v>
      </c>
      <c r="AP19" s="150"/>
      <c r="AQ19" s="150"/>
      <c r="AR19" s="150"/>
      <c r="AS19" s="150"/>
      <c r="AT19" s="150"/>
      <c r="AU19" s="150"/>
      <c r="AV19" s="150"/>
      <c r="AW19" s="150"/>
      <c r="AX19" s="150"/>
      <c r="AY19" s="54"/>
      <c r="AZ19" s="27"/>
      <c r="BA19" s="150" t="str" cm="1">
        <f t="array" ref="BA19">IFERROR(INDEX(Data!$C$71:$O$71,$BP$1)/(INDEX(Data!$C$164:$O$164,$BP$1)*INDEX(Data!$C$176:$O$176,$BP$1)),"–")</f>
        <v>–</v>
      </c>
      <c r="BB19" s="150"/>
      <c r="BC19" s="150"/>
      <c r="BD19" s="150"/>
      <c r="BE19" s="150"/>
      <c r="BF19" s="150"/>
      <c r="BG19" s="150"/>
      <c r="BH19" s="150"/>
      <c r="BI19" s="150"/>
      <c r="BJ19" s="150"/>
      <c r="BK19" s="54"/>
      <c r="BL19" s="54"/>
      <c r="BM19" s="16"/>
    </row>
    <row r="20" spans="1:65" ht="15" customHeight="1" x14ac:dyDescent="0.2">
      <c r="A20" s="16"/>
      <c r="B20" s="16"/>
      <c r="C20" s="36"/>
      <c r="D20" s="27"/>
      <c r="E20" s="27"/>
      <c r="F20" s="27"/>
      <c r="G20" s="27"/>
      <c r="H20" s="37"/>
      <c r="I20" s="27"/>
      <c r="J20" s="27"/>
      <c r="K20" s="27"/>
      <c r="L20" s="27"/>
      <c r="M20" s="27"/>
      <c r="N20" s="27"/>
      <c r="O20" s="27"/>
      <c r="P20" s="27"/>
      <c r="Q20" s="27"/>
      <c r="R20" s="27"/>
      <c r="S20" s="27"/>
      <c r="T20" s="27"/>
      <c r="U20" s="16"/>
      <c r="V20" s="36" t="s">
        <v>245</v>
      </c>
      <c r="W20" s="27"/>
      <c r="X20" s="58" t="str">
        <f>IFERROR(REPT("█",ROUND(AC20/$AC$22*18,0)),"–")</f>
        <v>–</v>
      </c>
      <c r="Y20" s="27"/>
      <c r="Z20" s="27"/>
      <c r="AA20" s="27"/>
      <c r="AB20" s="27"/>
      <c r="AC20" s="143" cm="1">
        <f t="array" ref="AC20">INDEX(Data!$C$154:$O$154,$BP$1)</f>
        <v>0</v>
      </c>
      <c r="AD20" s="143"/>
      <c r="AE20" s="143"/>
      <c r="AF20" s="27"/>
      <c r="AG20" s="43">
        <f>inp_collprob_2</f>
        <v>0.65</v>
      </c>
      <c r="AH20" s="27"/>
      <c r="AI20" s="27"/>
      <c r="AJ20" s="154">
        <f>AC20*AG20</f>
        <v>0</v>
      </c>
      <c r="AK20" s="154"/>
      <c r="AL20" s="154"/>
      <c r="AM20" s="154"/>
      <c r="AN20" s="16"/>
      <c r="AO20" s="152" t="str">
        <f>IFERROR(REPT("█",MIN(14,MAX(0,ROUND((AO19/0.75)*14,0))))&amp;REPT("░",14-MIN(14,MAX(0,ROUND((AO19/0.75)*14,0)))),"–")</f>
        <v>–</v>
      </c>
      <c r="AP20" s="152"/>
      <c r="AQ20" s="152"/>
      <c r="AR20" s="152"/>
      <c r="AS20" s="152"/>
      <c r="AT20" s="152"/>
      <c r="AU20" s="152"/>
      <c r="AV20" s="152"/>
      <c r="AW20" s="152"/>
      <c r="AX20" s="152"/>
      <c r="AY20" s="152"/>
      <c r="AZ20" s="27"/>
      <c r="BA20" s="152" t="str">
        <f>IFERROR(REPT("█",MIN(14,MAX(0,ROUND((BA19/0.9)*14,0))))&amp;REPT("░",14-MIN(14,MAX(0,ROUND((BA19/0.9)*14,0)))),"–")</f>
        <v>–</v>
      </c>
      <c r="BB20" s="152"/>
      <c r="BC20" s="152"/>
      <c r="BD20" s="152"/>
      <c r="BE20" s="152"/>
      <c r="BF20" s="152"/>
      <c r="BG20" s="152"/>
      <c r="BH20" s="152"/>
      <c r="BI20" s="152"/>
      <c r="BJ20" s="152"/>
      <c r="BK20" s="152"/>
      <c r="BL20" s="33"/>
      <c r="BM20" s="16"/>
    </row>
    <row r="21" spans="1:65" ht="15" customHeight="1" x14ac:dyDescent="0.2">
      <c r="A21" s="16"/>
      <c r="B21" s="16"/>
      <c r="C21" s="36"/>
      <c r="D21" s="27"/>
      <c r="E21" s="27"/>
      <c r="F21" s="27"/>
      <c r="G21" s="27"/>
      <c r="H21" s="38"/>
      <c r="I21" s="27"/>
      <c r="J21" s="27"/>
      <c r="K21" s="27"/>
      <c r="L21" s="27"/>
      <c r="M21" s="27"/>
      <c r="N21" s="27"/>
      <c r="O21" s="27"/>
      <c r="P21" s="27"/>
      <c r="Q21" s="27"/>
      <c r="R21" s="27"/>
      <c r="S21" s="27"/>
      <c r="T21" s="27"/>
      <c r="U21" s="16"/>
      <c r="V21" s="36" t="s">
        <v>244</v>
      </c>
      <c r="W21" s="27"/>
      <c r="X21" s="28" t="str">
        <f>IFERROR(REPT("█",ROUND(AC21/$AC$22*18,0)),"–")</f>
        <v>–</v>
      </c>
      <c r="Y21" s="27"/>
      <c r="Z21" s="27"/>
      <c r="AA21" s="27"/>
      <c r="AB21" s="27"/>
      <c r="AC21" s="143" cm="1">
        <f t="array" ref="AC21">INDEX(Data!$C$157:$O$157,$BP$1)</f>
        <v>0</v>
      </c>
      <c r="AD21" s="143"/>
      <c r="AE21" s="143"/>
      <c r="AF21" s="27"/>
      <c r="AG21" s="43">
        <f>inp_collprob_3</f>
        <v>0.3</v>
      </c>
      <c r="AH21" s="27"/>
      <c r="AI21" s="27"/>
      <c r="AJ21" s="154">
        <f>AC21*AG21</f>
        <v>0</v>
      </c>
      <c r="AK21" s="154"/>
      <c r="AL21" s="154"/>
      <c r="AM21" s="154"/>
      <c r="AN21" s="16"/>
      <c r="AO21" s="153" t="str" cm="1">
        <f t="array" ref="AO21">IFERROR("vs 75% target  ·  "&amp;TEXT(INDEX(Data!$C$164:$O$164,$BP$1)/INDEX(Data!$C$167:$O$167,$BP$1)-0.75,"+0.0%;-0.0%"),"–")</f>
        <v>–</v>
      </c>
      <c r="AP21" s="153"/>
      <c r="AQ21" s="153"/>
      <c r="AR21" s="153"/>
      <c r="AS21" s="153"/>
      <c r="AT21" s="153"/>
      <c r="AU21" s="153"/>
      <c r="AV21" s="153"/>
      <c r="AW21" s="153"/>
      <c r="AX21" s="153"/>
      <c r="AY21" s="153"/>
      <c r="AZ21" s="27"/>
      <c r="BA21" s="153" t="str" cm="1">
        <f t="array" ref="BA21">IFERROR("vs 90% target  ·  "&amp;TEXT(INDEX(Data!$C$71:$O$71,$BP$1)/(INDEX(Data!$C$164:$O$164,$BP$1)*INDEX(Data!$C$176:$O$176,$BP$1))-0.9,"+0.0%;-0.0%"),"–")</f>
        <v>–</v>
      </c>
      <c r="BB21" s="153"/>
      <c r="BC21" s="153"/>
      <c r="BD21" s="153"/>
      <c r="BE21" s="153"/>
      <c r="BF21" s="153"/>
      <c r="BG21" s="153"/>
      <c r="BH21" s="153"/>
      <c r="BI21" s="153"/>
      <c r="BJ21" s="153"/>
      <c r="BK21" s="153"/>
      <c r="BL21" s="27"/>
      <c r="BM21" s="16"/>
    </row>
    <row r="22" spans="1:65" ht="16" customHeight="1" x14ac:dyDescent="0.2">
      <c r="A22" s="16"/>
      <c r="B22" s="16"/>
      <c r="C22" s="39"/>
      <c r="D22" s="27"/>
      <c r="E22" s="27"/>
      <c r="F22" s="27"/>
      <c r="G22" s="27"/>
      <c r="H22" s="40"/>
      <c r="I22" s="27"/>
      <c r="J22" s="27"/>
      <c r="K22" s="27"/>
      <c r="L22" s="27"/>
      <c r="M22" s="27"/>
      <c r="N22" s="27"/>
      <c r="O22" s="27"/>
      <c r="P22" s="27"/>
      <c r="Q22" s="27"/>
      <c r="R22" s="27"/>
      <c r="S22" s="27"/>
      <c r="T22" s="27"/>
      <c r="U22" s="16"/>
      <c r="V22" s="39" t="s">
        <v>272</v>
      </c>
      <c r="W22" s="27"/>
      <c r="X22" s="27"/>
      <c r="Y22" s="27"/>
      <c r="Z22" s="27"/>
      <c r="AA22" s="27"/>
      <c r="AB22" s="27"/>
      <c r="AC22" s="155">
        <f>SUM(AC18:AC21)</f>
        <v>0</v>
      </c>
      <c r="AD22" s="155"/>
      <c r="AE22" s="155"/>
      <c r="AF22" s="27"/>
      <c r="AG22" s="27"/>
      <c r="AH22" s="27"/>
      <c r="AI22" s="27"/>
      <c r="AJ22" s="156">
        <f>SUM(AJ18:AJ21)</f>
        <v>0</v>
      </c>
      <c r="AK22" s="156"/>
      <c r="AL22" s="156"/>
      <c r="AM22" s="156"/>
      <c r="AN22" s="16"/>
      <c r="AO22" s="26"/>
      <c r="AP22" s="26"/>
      <c r="AQ22" s="26"/>
      <c r="AR22" s="26"/>
      <c r="AS22" s="26"/>
      <c r="AT22" s="26"/>
      <c r="AU22" s="26"/>
      <c r="AV22" s="26"/>
      <c r="AW22" s="26"/>
      <c r="AX22" s="26"/>
      <c r="AY22" s="26"/>
      <c r="AZ22" s="27"/>
      <c r="BA22" s="27"/>
      <c r="BB22" s="27"/>
      <c r="BC22" s="26"/>
      <c r="BD22" s="26"/>
      <c r="BE22" s="26"/>
      <c r="BF22" s="26"/>
      <c r="BG22" s="26"/>
      <c r="BH22" s="26"/>
      <c r="BI22" s="26"/>
      <c r="BJ22" s="26"/>
      <c r="BK22" s="26"/>
      <c r="BL22" s="26"/>
      <c r="BM22" s="16"/>
    </row>
    <row r="23" spans="1:65" ht="10" customHeight="1" x14ac:dyDescent="0.25">
      <c r="A23" s="16"/>
      <c r="B23" s="16"/>
      <c r="C23" s="27"/>
      <c r="D23" s="27"/>
      <c r="E23" s="27"/>
      <c r="F23" s="27"/>
      <c r="G23" s="27"/>
      <c r="H23" s="27"/>
      <c r="I23" s="27"/>
      <c r="J23" s="27"/>
      <c r="K23" s="27"/>
      <c r="L23" s="27"/>
      <c r="M23" s="27"/>
      <c r="N23" s="27"/>
      <c r="O23" s="27"/>
      <c r="P23" s="27"/>
      <c r="Q23" s="27"/>
      <c r="R23" s="27"/>
      <c r="S23" s="27"/>
      <c r="T23" s="27"/>
      <c r="U23" s="16"/>
      <c r="V23" s="27"/>
      <c r="W23" s="27"/>
      <c r="X23" s="27"/>
      <c r="Y23" s="27"/>
      <c r="Z23" s="27"/>
      <c r="AA23" s="27"/>
      <c r="AB23" s="27"/>
      <c r="AC23" s="27"/>
      <c r="AD23" s="27"/>
      <c r="AE23" s="27"/>
      <c r="AF23" s="27"/>
      <c r="AG23" s="27"/>
      <c r="AH23" s="27"/>
      <c r="AI23" s="27"/>
      <c r="AJ23" s="27"/>
      <c r="AK23" s="27"/>
      <c r="AL23" s="27"/>
      <c r="AM23" s="27"/>
      <c r="AN23" s="16"/>
      <c r="AO23" s="54"/>
      <c r="AP23" s="54"/>
      <c r="AQ23" s="54"/>
      <c r="AR23" s="54"/>
      <c r="AS23" s="54"/>
      <c r="AT23" s="54"/>
      <c r="AU23" s="54"/>
      <c r="AV23" s="54"/>
      <c r="AW23" s="54"/>
      <c r="AX23" s="54"/>
      <c r="AY23" s="54"/>
      <c r="AZ23" s="27"/>
      <c r="BA23" s="27"/>
      <c r="BB23" s="27"/>
      <c r="BC23" s="55"/>
      <c r="BD23" s="55"/>
      <c r="BE23" s="55"/>
      <c r="BF23" s="55"/>
      <c r="BG23" s="55"/>
      <c r="BH23" s="55"/>
      <c r="BI23" s="55"/>
      <c r="BJ23" s="55"/>
      <c r="BK23" s="55"/>
      <c r="BL23" s="55"/>
      <c r="BM23" s="16"/>
    </row>
    <row r="24" spans="1:65" ht="10" customHeight="1" x14ac:dyDescent="0.2">
      <c r="A24" s="16"/>
      <c r="B24" s="16"/>
      <c r="C24" s="27"/>
      <c r="D24" s="27"/>
      <c r="E24" s="27"/>
      <c r="F24" s="27"/>
      <c r="G24" s="27"/>
      <c r="H24" s="27"/>
      <c r="I24" s="27"/>
      <c r="J24" s="27"/>
      <c r="K24" s="27"/>
      <c r="L24" s="27"/>
      <c r="M24" s="27"/>
      <c r="N24" s="27"/>
      <c r="O24" s="27"/>
      <c r="P24" s="27"/>
      <c r="Q24" s="27"/>
      <c r="R24" s="27"/>
      <c r="S24" s="27"/>
      <c r="T24" s="27"/>
      <c r="U24" s="16"/>
      <c r="V24" s="27"/>
      <c r="W24" s="27"/>
      <c r="X24" s="27"/>
      <c r="Y24" s="27"/>
      <c r="Z24" s="27"/>
      <c r="AA24" s="27"/>
      <c r="AB24" s="27"/>
      <c r="AC24" s="27"/>
      <c r="AD24" s="27"/>
      <c r="AE24" s="27"/>
      <c r="AF24" s="27"/>
      <c r="AG24" s="27"/>
      <c r="AH24" s="27"/>
      <c r="AI24" s="27"/>
      <c r="AJ24" s="27"/>
      <c r="AK24" s="27"/>
      <c r="AL24" s="27"/>
      <c r="AM24" s="27"/>
      <c r="AN24" s="16"/>
      <c r="AO24" s="33"/>
      <c r="AP24" s="33"/>
      <c r="AQ24" s="33"/>
      <c r="AR24" s="33"/>
      <c r="AS24" s="33"/>
      <c r="AT24" s="33"/>
      <c r="AU24" s="33"/>
      <c r="AV24" s="33"/>
      <c r="AW24" s="33"/>
      <c r="AX24" s="33"/>
      <c r="AY24" s="33"/>
      <c r="AZ24" s="27"/>
      <c r="BA24" s="27"/>
      <c r="BB24" s="27"/>
      <c r="BC24" s="33"/>
      <c r="BD24" s="33"/>
      <c r="BE24" s="33"/>
      <c r="BF24" s="33"/>
      <c r="BG24" s="33"/>
      <c r="BH24" s="33"/>
      <c r="BI24" s="33"/>
      <c r="BJ24" s="33"/>
      <c r="BK24" s="33"/>
      <c r="BL24" s="33"/>
      <c r="BM24" s="16"/>
    </row>
    <row r="25" spans="1:65" ht="10" customHeight="1" x14ac:dyDescent="0.2">
      <c r="A25" s="16"/>
      <c r="B25" s="16"/>
      <c r="C25" s="32"/>
      <c r="D25" s="27"/>
      <c r="E25" s="27"/>
      <c r="F25" s="27"/>
      <c r="G25" s="27"/>
      <c r="H25" s="27"/>
      <c r="I25" s="27"/>
      <c r="J25" s="26"/>
      <c r="K25" s="27"/>
      <c r="L25" s="27"/>
      <c r="M25" s="27"/>
      <c r="N25" s="27"/>
      <c r="O25" s="27"/>
      <c r="P25" s="27"/>
      <c r="Q25" s="27"/>
      <c r="R25" s="27"/>
      <c r="S25" s="27"/>
      <c r="T25" s="27"/>
      <c r="U25" s="16"/>
      <c r="V25" s="27"/>
      <c r="W25" s="27"/>
      <c r="X25" s="27"/>
      <c r="Y25" s="27"/>
      <c r="Z25" s="27"/>
      <c r="AA25" s="27"/>
      <c r="AB25" s="27"/>
      <c r="AC25" s="27"/>
      <c r="AD25" s="27"/>
      <c r="AE25" s="27"/>
      <c r="AF25" s="27"/>
      <c r="AG25" s="27"/>
      <c r="AH25" s="27"/>
      <c r="AI25" s="27"/>
      <c r="AJ25" s="27"/>
      <c r="AK25" s="27"/>
      <c r="AL25" s="27"/>
      <c r="AM25" s="27"/>
      <c r="AN25" s="16"/>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16"/>
    </row>
    <row r="26" spans="1:65" ht="14" customHeight="1" x14ac:dyDescent="0.2">
      <c r="A26" s="16"/>
      <c r="B26" s="16"/>
      <c r="C26" s="27"/>
      <c r="D26" s="27"/>
      <c r="E26" s="27"/>
      <c r="F26" s="27"/>
      <c r="G26" s="27"/>
      <c r="H26" s="27"/>
      <c r="I26" s="27"/>
      <c r="J26" s="27"/>
      <c r="K26" s="41"/>
      <c r="L26" s="27"/>
      <c r="M26" s="27"/>
      <c r="N26" s="41"/>
      <c r="O26" s="27"/>
      <c r="P26" s="27"/>
      <c r="Q26" s="27"/>
      <c r="R26" s="27"/>
      <c r="S26" s="27"/>
      <c r="T26" s="27"/>
      <c r="U26" s="16"/>
      <c r="V26" s="27"/>
      <c r="W26" s="27"/>
      <c r="X26" s="27"/>
      <c r="Y26" s="27"/>
      <c r="Z26" s="27"/>
      <c r="AA26" s="27"/>
      <c r="AB26" s="27"/>
      <c r="AC26" s="27"/>
      <c r="AD26" s="27"/>
      <c r="AE26" s="27"/>
      <c r="AF26" s="27"/>
      <c r="AG26" s="27"/>
      <c r="AH26" s="27"/>
      <c r="AI26" s="27"/>
      <c r="AJ26" s="27"/>
      <c r="AK26" s="27"/>
      <c r="AL26" s="27"/>
      <c r="AM26" s="27"/>
      <c r="AN26" s="16"/>
      <c r="AO26" s="26" t="s">
        <v>130</v>
      </c>
      <c r="AP26" s="27"/>
      <c r="AQ26" s="27"/>
      <c r="AR26" s="27"/>
      <c r="AS26" s="27"/>
      <c r="AT26" s="27"/>
      <c r="AU26" s="27"/>
      <c r="AV26" s="27"/>
      <c r="AW26" s="27"/>
      <c r="AX26" s="27"/>
      <c r="AY26" s="27"/>
      <c r="AZ26" s="27"/>
      <c r="BA26" s="26" t="s">
        <v>254</v>
      </c>
      <c r="BB26" s="27"/>
      <c r="BC26" s="27"/>
      <c r="BD26" s="27"/>
      <c r="BE26" s="27"/>
      <c r="BF26" s="27"/>
      <c r="BG26" s="27"/>
      <c r="BH26" s="27"/>
      <c r="BI26" s="27"/>
      <c r="BJ26" s="27"/>
      <c r="BK26" s="27"/>
      <c r="BL26" s="27"/>
      <c r="BM26" s="16"/>
    </row>
    <row r="27" spans="1:65" ht="14" customHeight="1" x14ac:dyDescent="0.2">
      <c r="A27" s="16"/>
      <c r="B27" s="16"/>
      <c r="C27" s="36"/>
      <c r="D27" s="27"/>
      <c r="E27" s="27"/>
      <c r="F27" s="27"/>
      <c r="G27" s="27"/>
      <c r="H27" s="42"/>
      <c r="I27" s="27"/>
      <c r="J27" s="27"/>
      <c r="K27" s="43"/>
      <c r="L27" s="27"/>
      <c r="M27" s="27"/>
      <c r="N27" s="35"/>
      <c r="O27" s="27"/>
      <c r="P27" s="44"/>
      <c r="Q27" s="27"/>
      <c r="R27" s="27"/>
      <c r="S27" s="27"/>
      <c r="T27" s="27"/>
      <c r="U27" s="16"/>
      <c r="V27" s="27"/>
      <c r="W27" s="27"/>
      <c r="X27" s="27"/>
      <c r="Y27" s="27"/>
      <c r="Z27" s="27"/>
      <c r="AA27" s="27"/>
      <c r="AB27" s="27"/>
      <c r="AC27" s="27"/>
      <c r="AD27" s="27"/>
      <c r="AE27" s="27"/>
      <c r="AF27" s="27"/>
      <c r="AG27" s="27"/>
      <c r="AH27" s="27"/>
      <c r="AI27" s="27"/>
      <c r="AJ27" s="27"/>
      <c r="AK27" s="27"/>
      <c r="AL27" s="27"/>
      <c r="AM27" s="27"/>
      <c r="AN27" s="16"/>
      <c r="AO27" s="150" t="str" cm="1">
        <f t="array" ref="AO27">IFERROR((INDEX(Data!$C$186:$O$186,$BP$1)+INDEX(Data!$C$189:$O$189,$BP$1)+INDEX(Data!$C$192:$O$192,$BP$1))/INDEX(Data!$C$71:$O$71,$BP$1),"–")</f>
        <v>–</v>
      </c>
      <c r="AP27" s="150"/>
      <c r="AQ27" s="150"/>
      <c r="AR27" s="150"/>
      <c r="AS27" s="150"/>
      <c r="AT27" s="150"/>
      <c r="AU27" s="150"/>
      <c r="AV27" s="150"/>
      <c r="AW27" s="150"/>
      <c r="AX27" s="150"/>
      <c r="AY27" s="27"/>
      <c r="AZ27" s="27"/>
      <c r="BA27" s="151" cm="1">
        <f t="array" ref="BA27">IFERROR(INDEX(Data!$C$135:$O$135,$BP$1)-INDEX(Data!$C$141:$O$141,$BP$1),"–")</f>
        <v>0</v>
      </c>
      <c r="BB27" s="151"/>
      <c r="BC27" s="151"/>
      <c r="BD27" s="151"/>
      <c r="BE27" s="151"/>
      <c r="BF27" s="151"/>
      <c r="BG27" s="151"/>
      <c r="BH27" s="151"/>
      <c r="BI27" s="151"/>
      <c r="BJ27" s="151"/>
      <c r="BK27" s="27"/>
      <c r="BL27" s="27"/>
      <c r="BM27" s="16"/>
    </row>
    <row r="28" spans="1:65" ht="15" customHeight="1" x14ac:dyDescent="0.2">
      <c r="A28" s="16"/>
      <c r="B28" s="16"/>
      <c r="C28" s="36"/>
      <c r="D28" s="27"/>
      <c r="E28" s="27"/>
      <c r="F28" s="27"/>
      <c r="G28" s="27"/>
      <c r="H28" s="42"/>
      <c r="I28" s="27"/>
      <c r="J28" s="27"/>
      <c r="K28" s="43"/>
      <c r="L28" s="27"/>
      <c r="M28" s="27"/>
      <c r="N28" s="35"/>
      <c r="O28" s="27"/>
      <c r="P28" s="45"/>
      <c r="Q28" s="27"/>
      <c r="R28" s="27"/>
      <c r="S28" s="27"/>
      <c r="T28" s="27"/>
      <c r="U28" s="16"/>
      <c r="V28" s="67" t="s">
        <v>285</v>
      </c>
      <c r="W28" s="27"/>
      <c r="X28" s="27"/>
      <c r="Y28" s="27"/>
      <c r="Z28" s="27"/>
      <c r="AA28" s="27"/>
      <c r="AB28" s="27"/>
      <c r="AC28" s="27"/>
      <c r="AD28" s="27"/>
      <c r="AE28" s="27"/>
      <c r="AF28" s="27"/>
      <c r="AG28" s="49" t="s">
        <v>286</v>
      </c>
      <c r="AH28" s="27"/>
      <c r="AI28" s="27"/>
      <c r="AJ28" s="27"/>
      <c r="AK28" s="49" t="s">
        <v>287</v>
      </c>
      <c r="AL28" s="27"/>
      <c r="AM28" s="27"/>
      <c r="AN28" s="16"/>
      <c r="AO28" s="152" t="str">
        <f>IFERROR(REPT("█",MIN(14,MAX(0,ROUND((AO27/0.5)*14,0))))&amp;REPT("░",14-MIN(14,MAX(0,ROUND((AO27/0.5)*14,0)))),"–")</f>
        <v>–</v>
      </c>
      <c r="AP28" s="152"/>
      <c r="AQ28" s="152"/>
      <c r="AR28" s="152"/>
      <c r="AS28" s="152"/>
      <c r="AT28" s="152"/>
      <c r="AU28" s="152"/>
      <c r="AV28" s="152"/>
      <c r="AW28" s="152"/>
      <c r="AX28" s="152"/>
      <c r="AY28" s="152"/>
      <c r="AZ28" s="27"/>
      <c r="BA28" s="152" t="str" cm="1">
        <f t="array" ref="BA28">IFERROR(REPT("█",MIN(14,MAX(0,ROUND((BA27/INDEX(Data!$C$135:$O$135,$BP$1))*14,0))))&amp;REPT("░",14-MIN(14,MAX(0,ROUND((BA27/INDEX(Data!$C$135:$O$135,$BP$1))*14,0)))),"–")</f>
        <v>–</v>
      </c>
      <c r="BB28" s="152"/>
      <c r="BC28" s="152"/>
      <c r="BD28" s="152"/>
      <c r="BE28" s="152"/>
      <c r="BF28" s="152"/>
      <c r="BG28" s="152"/>
      <c r="BH28" s="152"/>
      <c r="BI28" s="152"/>
      <c r="BJ28" s="152"/>
      <c r="BK28" s="152"/>
      <c r="BL28" s="27"/>
      <c r="BM28" s="16"/>
    </row>
    <row r="29" spans="1:65" ht="15" customHeight="1" x14ac:dyDescent="0.2">
      <c r="A29" s="16"/>
      <c r="B29" s="16"/>
      <c r="C29" s="36"/>
      <c r="D29" s="27"/>
      <c r="E29" s="27"/>
      <c r="F29" s="27"/>
      <c r="G29" s="27"/>
      <c r="H29" s="42"/>
      <c r="I29" s="27"/>
      <c r="J29" s="27"/>
      <c r="K29" s="43"/>
      <c r="L29" s="27"/>
      <c r="M29" s="27"/>
      <c r="N29" s="35"/>
      <c r="O29" s="27"/>
      <c r="P29" s="46"/>
      <c r="Q29" s="27"/>
      <c r="R29" s="27"/>
      <c r="S29" s="27"/>
      <c r="T29" s="27"/>
      <c r="U29" s="16"/>
      <c r="V29" s="68" t="s">
        <v>288</v>
      </c>
      <c r="W29" s="27"/>
      <c r="X29" s="69"/>
      <c r="Y29" s="27"/>
      <c r="Z29" s="27"/>
      <c r="AA29" s="27"/>
      <c r="AB29" s="69" t="str">
        <f>IFERROR(REPT("█",MAX(0,ROUND(AK29/0.2*8,0))),"")</f>
        <v/>
      </c>
      <c r="AC29" s="27"/>
      <c r="AD29" s="27"/>
      <c r="AE29" s="27"/>
      <c r="AF29" s="27"/>
      <c r="AG29" s="143" cm="1">
        <f t="array" ref="AG29">INDEX(Data!$C$186:$O$186,$BP$1)</f>
        <v>0</v>
      </c>
      <c r="AH29" s="143"/>
      <c r="AI29" s="143"/>
      <c r="AJ29" s="143"/>
      <c r="AK29" s="144" t="str" cm="1">
        <f t="array" ref="AK29">IFERROR(AG29/INDEX(Data!$C$71:$O$71,$BP$1),"–")</f>
        <v>–</v>
      </c>
      <c r="AL29" s="144"/>
      <c r="AM29" s="144"/>
      <c r="AN29" s="74"/>
      <c r="AO29" s="153" t="str">
        <f>"top-3 clients of revenue"</f>
        <v>top-3 clients of revenue</v>
      </c>
      <c r="AP29" s="153"/>
      <c r="AQ29" s="153"/>
      <c r="AR29" s="153"/>
      <c r="AS29" s="153"/>
      <c r="AT29" s="153"/>
      <c r="AU29" s="153"/>
      <c r="AV29" s="153"/>
      <c r="AW29" s="153"/>
      <c r="AX29" s="153"/>
      <c r="AY29" s="153"/>
      <c r="AZ29" s="27"/>
      <c r="BA29" s="153" t="str">
        <f>"closing cash less payables"</f>
        <v>closing cash less payables</v>
      </c>
      <c r="BB29" s="153"/>
      <c r="BC29" s="153"/>
      <c r="BD29" s="153"/>
      <c r="BE29" s="153"/>
      <c r="BF29" s="153"/>
      <c r="BG29" s="153"/>
      <c r="BH29" s="153"/>
      <c r="BI29" s="153"/>
      <c r="BJ29" s="153"/>
      <c r="BK29" s="153"/>
      <c r="BL29" s="27"/>
      <c r="BM29" s="16"/>
    </row>
    <row r="30" spans="1:65" ht="15" customHeight="1" x14ac:dyDescent="0.2">
      <c r="A30" s="16"/>
      <c r="B30" s="16"/>
      <c r="C30" s="36"/>
      <c r="D30" s="27"/>
      <c r="E30" s="27"/>
      <c r="F30" s="27"/>
      <c r="G30" s="27"/>
      <c r="H30" s="42"/>
      <c r="I30" s="27"/>
      <c r="J30" s="27"/>
      <c r="K30" s="43"/>
      <c r="L30" s="27"/>
      <c r="M30" s="27"/>
      <c r="N30" s="35"/>
      <c r="O30" s="27"/>
      <c r="P30" s="47"/>
      <c r="Q30" s="27"/>
      <c r="R30" s="27"/>
      <c r="S30" s="27"/>
      <c r="T30" s="27"/>
      <c r="U30" s="16"/>
      <c r="V30" s="68" t="s">
        <v>289</v>
      </c>
      <c r="W30" s="27"/>
      <c r="X30" s="70"/>
      <c r="Y30" s="27"/>
      <c r="Z30" s="27"/>
      <c r="AA30" s="27"/>
      <c r="AB30" s="69" t="str">
        <f>IFERROR(REPT("█",MAX(0,ROUND(AK30/0.2*8,0))),"")</f>
        <v/>
      </c>
      <c r="AC30" s="27"/>
      <c r="AD30" s="27"/>
      <c r="AE30" s="27"/>
      <c r="AF30" s="27"/>
      <c r="AG30" s="143" cm="1">
        <f t="array" ref="AG30">INDEX(Data!$C$189:$O$189,$BP$1)</f>
        <v>0</v>
      </c>
      <c r="AH30" s="143"/>
      <c r="AI30" s="143"/>
      <c r="AJ30" s="143"/>
      <c r="AK30" s="144" t="str" cm="1">
        <f t="array" ref="AK30">IFERROR(AG30/INDEX(Data!$C$71:$O$71,$BP$1),"–")</f>
        <v>–</v>
      </c>
      <c r="AL30" s="144"/>
      <c r="AM30" s="144"/>
      <c r="AN30" s="74"/>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16"/>
    </row>
    <row r="31" spans="1:65" ht="15" customHeight="1" x14ac:dyDescent="0.2">
      <c r="A31" s="16"/>
      <c r="B31" s="16"/>
      <c r="C31" s="39"/>
      <c r="D31" s="27"/>
      <c r="E31" s="27"/>
      <c r="F31" s="27"/>
      <c r="G31" s="27"/>
      <c r="H31" s="40"/>
      <c r="I31" s="27"/>
      <c r="J31" s="27"/>
      <c r="K31" s="27"/>
      <c r="L31" s="27"/>
      <c r="M31" s="27"/>
      <c r="N31" s="48"/>
      <c r="O31" s="27"/>
      <c r="P31" s="27"/>
      <c r="Q31" s="27"/>
      <c r="R31" s="27"/>
      <c r="S31" s="27"/>
      <c r="T31" s="27"/>
      <c r="U31" s="16"/>
      <c r="V31" s="68" t="s">
        <v>290</v>
      </c>
      <c r="W31" s="27"/>
      <c r="X31" s="71"/>
      <c r="Y31" s="27"/>
      <c r="Z31" s="27"/>
      <c r="AA31" s="27"/>
      <c r="AB31" s="69" t="str">
        <f>IFERROR(REPT("█",MAX(0,ROUND(AK31/0.2*8,0))),"")</f>
        <v/>
      </c>
      <c r="AC31" s="27"/>
      <c r="AD31" s="27"/>
      <c r="AE31" s="27"/>
      <c r="AF31" s="27"/>
      <c r="AG31" s="143" cm="1">
        <f t="array" ref="AG31">INDEX(Data!$C$192:$O$192,$BP$1)</f>
        <v>0</v>
      </c>
      <c r="AH31" s="143"/>
      <c r="AI31" s="143"/>
      <c r="AJ31" s="143"/>
      <c r="AK31" s="144" t="str" cm="1">
        <f t="array" ref="AK31">IFERROR(AG31/INDEX(Data!$C$71:$O$71,$BP$1),"–")</f>
        <v>–</v>
      </c>
      <c r="AL31" s="144"/>
      <c r="AM31" s="144"/>
      <c r="AN31" s="74"/>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16"/>
    </row>
    <row r="32" spans="1:65" ht="15" customHeight="1" x14ac:dyDescent="0.2">
      <c r="A32" s="16"/>
      <c r="B32" s="16"/>
      <c r="C32" s="27"/>
      <c r="D32" s="27"/>
      <c r="E32" s="27"/>
      <c r="F32" s="27"/>
      <c r="G32" s="27"/>
      <c r="H32" s="27"/>
      <c r="I32" s="27"/>
      <c r="J32" s="27"/>
      <c r="K32" s="27"/>
      <c r="L32" s="27"/>
      <c r="M32" s="27"/>
      <c r="N32" s="27"/>
      <c r="O32" s="27"/>
      <c r="P32" s="27"/>
      <c r="Q32" s="27"/>
      <c r="R32" s="27"/>
      <c r="S32" s="27"/>
      <c r="T32" s="27"/>
      <c r="U32" s="16"/>
      <c r="V32" s="68" t="s">
        <v>291</v>
      </c>
      <c r="W32" s="27"/>
      <c r="X32" s="72"/>
      <c r="Y32" s="27"/>
      <c r="Z32" s="27"/>
      <c r="AA32" s="27"/>
      <c r="AB32" s="69" t="str">
        <f>IFERROR(REPT("█",MAX(0,ROUND(AK32/0.2*8,0))),"")</f>
        <v/>
      </c>
      <c r="AC32" s="27"/>
      <c r="AD32" s="27"/>
      <c r="AE32" s="27"/>
      <c r="AF32" s="27"/>
      <c r="AG32" s="143" cm="1">
        <f t="array" ref="AG32">INDEX(Data!$C$195:$O$195,$BP$1)</f>
        <v>0</v>
      </c>
      <c r="AH32" s="143"/>
      <c r="AI32" s="143"/>
      <c r="AJ32" s="143"/>
      <c r="AK32" s="144" t="str" cm="1">
        <f t="array" ref="AK32">IFERROR(AG32/INDEX(Data!$C$71:$O$71,$BP$1),"–")</f>
        <v>–</v>
      </c>
      <c r="AL32" s="144"/>
      <c r="AM32" s="144"/>
      <c r="AN32" s="74"/>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16"/>
    </row>
    <row r="33" spans="1:65" ht="15" customHeight="1" x14ac:dyDescent="0.2">
      <c r="A33" s="16"/>
      <c r="B33" s="16"/>
      <c r="C33" s="27"/>
      <c r="D33" s="27"/>
      <c r="E33" s="27"/>
      <c r="F33" s="27"/>
      <c r="G33" s="27"/>
      <c r="H33" s="27"/>
      <c r="I33" s="27"/>
      <c r="J33" s="27"/>
      <c r="K33" s="27"/>
      <c r="L33" s="27"/>
      <c r="M33" s="27"/>
      <c r="N33" s="27"/>
      <c r="O33" s="27"/>
      <c r="P33" s="27"/>
      <c r="Q33" s="27"/>
      <c r="R33" s="27"/>
      <c r="S33" s="27"/>
      <c r="T33" s="27"/>
      <c r="U33" s="16"/>
      <c r="V33" s="68" t="s">
        <v>292</v>
      </c>
      <c r="W33" s="27"/>
      <c r="X33" s="73"/>
      <c r="Y33" s="27"/>
      <c r="Z33" s="27"/>
      <c r="AA33" s="27"/>
      <c r="AB33" s="69" t="str">
        <f>IFERROR(REPT("█",MAX(0,ROUND(AK33/0.2*8,0))),"")</f>
        <v/>
      </c>
      <c r="AC33" s="27"/>
      <c r="AD33" s="27"/>
      <c r="AE33" s="27"/>
      <c r="AF33" s="27"/>
      <c r="AG33" s="143" cm="1">
        <f t="array" ref="AG33">INDEX(Data!$C$198:$O$198,$BP$1)</f>
        <v>0</v>
      </c>
      <c r="AH33" s="143"/>
      <c r="AI33" s="143"/>
      <c r="AJ33" s="143"/>
      <c r="AK33" s="144" t="str" cm="1">
        <f t="array" ref="AK33">IFERROR(AG33/INDEX(Data!$C$71:$O$71,$BP$1),"–")</f>
        <v>–</v>
      </c>
      <c r="AL33" s="144"/>
      <c r="AM33" s="144"/>
      <c r="AN33" s="74"/>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16"/>
    </row>
    <row r="34" spans="1:65" ht="15" customHeight="1" x14ac:dyDescent="0.2">
      <c r="A34" s="16"/>
      <c r="B34" s="16"/>
      <c r="C34" s="32"/>
      <c r="D34" s="27"/>
      <c r="E34" s="27"/>
      <c r="F34" s="27"/>
      <c r="G34" s="27"/>
      <c r="H34" s="27"/>
      <c r="I34" s="27"/>
      <c r="J34" s="27"/>
      <c r="K34" s="27"/>
      <c r="L34" s="27"/>
      <c r="M34" s="27"/>
      <c r="N34" s="27"/>
      <c r="O34" s="27"/>
      <c r="P34" s="27"/>
      <c r="Q34" s="27"/>
      <c r="R34" s="27"/>
      <c r="S34" s="27"/>
      <c r="T34" s="27"/>
      <c r="U34" s="16"/>
      <c r="V34" s="27"/>
      <c r="W34" s="27"/>
      <c r="X34" s="27"/>
      <c r="Y34" s="27"/>
      <c r="Z34" s="27"/>
      <c r="AA34" s="27"/>
      <c r="AB34" s="27"/>
      <c r="AC34" s="27"/>
      <c r="AD34" s="27"/>
      <c r="AE34" s="27"/>
      <c r="AF34" s="27"/>
      <c r="AG34" s="27"/>
      <c r="AH34" s="27"/>
      <c r="AI34" s="27"/>
      <c r="AJ34" s="27"/>
      <c r="AK34" s="27"/>
      <c r="AL34" s="27"/>
      <c r="AM34" s="27"/>
      <c r="AN34" s="16"/>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16"/>
    </row>
    <row r="35" spans="1:65" ht="15" customHeight="1" x14ac:dyDescent="0.2">
      <c r="A35" s="16"/>
      <c r="B35" s="16"/>
      <c r="C35" s="26" t="s">
        <v>279</v>
      </c>
      <c r="D35" s="27"/>
      <c r="E35" s="27"/>
      <c r="F35" s="145">
        <f>BW71</f>
        <v>0</v>
      </c>
      <c r="G35" s="146"/>
      <c r="H35" s="146"/>
      <c r="I35" s="146"/>
      <c r="J35" s="27"/>
      <c r="K35" s="26" t="s">
        <v>280</v>
      </c>
      <c r="L35" s="27"/>
      <c r="M35" s="27"/>
      <c r="N35" s="145">
        <f>BW72</f>
        <v>0</v>
      </c>
      <c r="O35" s="146"/>
      <c r="P35" s="146"/>
      <c r="Q35" s="49" t="s">
        <v>281</v>
      </c>
      <c r="R35" s="27"/>
      <c r="S35" s="50"/>
      <c r="T35" s="147">
        <f>BW72-BW71</f>
        <v>0</v>
      </c>
      <c r="U35" s="148"/>
      <c r="V35" s="149"/>
      <c r="W35" s="27"/>
      <c r="X35" s="27"/>
      <c r="Y35" s="27"/>
      <c r="Z35" s="27"/>
      <c r="AA35" s="27"/>
      <c r="AB35" s="27"/>
      <c r="AC35" s="27"/>
      <c r="AD35" s="27"/>
      <c r="AE35" s="27"/>
      <c r="AF35" s="27"/>
      <c r="AG35" s="27"/>
      <c r="AH35" s="27"/>
      <c r="AI35" s="27"/>
      <c r="AJ35" s="27"/>
      <c r="AK35" s="27"/>
      <c r="AL35" s="27"/>
      <c r="AM35" s="27"/>
      <c r="AN35" s="16"/>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16"/>
    </row>
    <row r="36" spans="1:65" ht="15" customHeight="1" x14ac:dyDescent="0.2">
      <c r="A36" s="16"/>
      <c r="B36" s="16"/>
      <c r="C36" s="21"/>
      <c r="D36" s="16"/>
      <c r="E36" s="16"/>
      <c r="F36" s="16"/>
      <c r="G36" s="16"/>
      <c r="H36" s="16"/>
      <c r="I36" s="16"/>
      <c r="J36" s="21"/>
      <c r="K36" s="16"/>
      <c r="L36" s="16"/>
      <c r="M36" s="16"/>
      <c r="N36" s="16"/>
      <c r="O36" s="16"/>
      <c r="P36" s="16"/>
      <c r="Q36" s="16"/>
      <c r="R36" s="21"/>
      <c r="S36" s="16"/>
      <c r="T36" s="16"/>
      <c r="U36" s="16"/>
      <c r="V36" s="16"/>
      <c r="W36" s="16"/>
      <c r="X36" s="16"/>
      <c r="Y36" s="16"/>
      <c r="Z36" s="21"/>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row>
    <row r="37" spans="1:65" ht="15" customHeight="1" x14ac:dyDescent="0.25">
      <c r="A37" s="16"/>
      <c r="B37" s="16"/>
      <c r="C37" s="29"/>
      <c r="D37" s="16"/>
      <c r="E37" s="16"/>
      <c r="F37" s="16"/>
      <c r="G37" s="16"/>
      <c r="H37" s="16"/>
      <c r="I37" s="16"/>
      <c r="J37" s="29"/>
      <c r="K37" s="16"/>
      <c r="L37" s="16"/>
      <c r="M37" s="16"/>
      <c r="N37" s="16"/>
      <c r="O37" s="16"/>
      <c r="P37" s="16"/>
      <c r="Q37" s="16"/>
      <c r="R37" s="29"/>
      <c r="S37" s="16"/>
      <c r="T37" s="16"/>
      <c r="U37" s="16"/>
      <c r="V37" s="16"/>
      <c r="W37" s="16"/>
      <c r="X37" s="16"/>
      <c r="Y37" s="16"/>
      <c r="Z37" s="30"/>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row>
    <row r="38" spans="1:65" ht="15" customHeight="1" x14ac:dyDescent="0.2">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row>
    <row r="39" spans="1:65" ht="18" customHeight="1" x14ac:dyDescent="0.2">
      <c r="A39" s="16"/>
      <c r="B39" s="16"/>
      <c r="C39" s="78" t="s">
        <v>282</v>
      </c>
      <c r="D39" s="16"/>
      <c r="E39" s="16"/>
      <c r="F39" s="16"/>
      <c r="G39" s="16"/>
      <c r="H39" s="16"/>
      <c r="I39" s="16"/>
      <c r="J39" s="16"/>
      <c r="K39" s="16"/>
      <c r="L39" s="16"/>
      <c r="M39" s="16"/>
      <c r="N39" s="16"/>
      <c r="O39" s="16"/>
      <c r="P39" s="16"/>
      <c r="Q39" s="16"/>
      <c r="R39" s="16"/>
      <c r="S39" s="16"/>
      <c r="T39" s="16"/>
      <c r="U39" s="16"/>
      <c r="V39" s="78" t="s">
        <v>283</v>
      </c>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row>
    <row r="40" spans="1:65" ht="18" customHeight="1" x14ac:dyDescent="0.2">
      <c r="A40" s="16"/>
      <c r="B40" s="16"/>
      <c r="C40" s="77"/>
      <c r="D40" s="77"/>
      <c r="E40" s="77"/>
      <c r="F40" s="77"/>
      <c r="G40" s="77"/>
      <c r="H40" s="77"/>
      <c r="I40" s="77"/>
      <c r="J40" s="77"/>
      <c r="K40" s="77"/>
      <c r="L40" s="77"/>
      <c r="M40" s="77"/>
      <c r="N40" s="77"/>
      <c r="O40" s="77"/>
      <c r="P40" s="77"/>
      <c r="Q40" s="77"/>
      <c r="R40" s="77"/>
      <c r="S40" s="77"/>
      <c r="T40" s="77"/>
      <c r="U40" s="16"/>
      <c r="V40" s="77"/>
      <c r="W40" s="77"/>
      <c r="X40" s="77"/>
      <c r="Y40" s="77"/>
      <c r="Z40" s="77"/>
      <c r="AA40" s="77"/>
      <c r="AB40" s="77"/>
      <c r="AC40" s="77"/>
      <c r="AD40" s="77"/>
      <c r="AE40" s="77"/>
      <c r="AF40" s="77"/>
      <c r="AG40" s="77"/>
      <c r="AH40" s="77"/>
      <c r="AI40" s="77"/>
      <c r="AJ40" s="77"/>
      <c r="AK40" s="77"/>
      <c r="AL40" s="77"/>
      <c r="AM40" s="77"/>
      <c r="AN40" s="77"/>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row>
    <row r="41" spans="1:65" ht="18" customHeight="1" x14ac:dyDescent="0.2">
      <c r="A41" s="16"/>
      <c r="B41" s="16"/>
      <c r="C41" s="23" t="s">
        <v>109</v>
      </c>
      <c r="D41" s="16"/>
      <c r="E41" s="16"/>
      <c r="F41" s="16"/>
      <c r="G41" s="16"/>
      <c r="H41" s="16"/>
      <c r="I41" s="16"/>
      <c r="J41" s="16"/>
      <c r="K41" s="16"/>
      <c r="L41" s="16"/>
      <c r="M41" s="16"/>
      <c r="N41" s="16"/>
      <c r="O41" s="16"/>
      <c r="P41" s="16"/>
      <c r="Q41" s="16"/>
      <c r="R41" s="16"/>
      <c r="S41" s="16"/>
      <c r="T41" s="16"/>
      <c r="U41" s="16"/>
      <c r="V41" s="21" t="s">
        <v>114</v>
      </c>
      <c r="W41" s="16"/>
      <c r="X41" s="16"/>
      <c r="Y41" s="16"/>
      <c r="Z41" s="16"/>
      <c r="AA41" s="16"/>
      <c r="AB41" s="16"/>
      <c r="AC41" s="16"/>
      <c r="AD41" s="16"/>
      <c r="AE41" s="16"/>
      <c r="AF41" s="16"/>
      <c r="AG41" s="16"/>
      <c r="AH41" s="16"/>
      <c r="AI41" s="16"/>
      <c r="AJ41" s="16"/>
      <c r="AK41" s="16"/>
      <c r="AL41" s="16"/>
      <c r="AM41" s="16"/>
      <c r="AN41" s="16"/>
      <c r="AO41" s="16"/>
      <c r="AP41" s="21" t="s">
        <v>116</v>
      </c>
      <c r="AQ41" s="16"/>
      <c r="AR41" s="16"/>
      <c r="AS41" s="16"/>
      <c r="AT41" s="16"/>
      <c r="AU41" s="16"/>
      <c r="AV41" s="21" t="s">
        <v>117</v>
      </c>
      <c r="AW41" s="16"/>
      <c r="AX41" s="16"/>
      <c r="AY41" s="16"/>
      <c r="AZ41" s="16"/>
      <c r="BA41" s="16"/>
      <c r="BB41" s="16"/>
      <c r="BC41" s="16"/>
      <c r="BD41" s="16"/>
      <c r="BE41" s="16"/>
      <c r="BF41" s="16"/>
      <c r="BG41" s="16"/>
      <c r="BH41" s="16"/>
      <c r="BI41" s="16"/>
      <c r="BJ41" s="16"/>
      <c r="BK41" s="16"/>
      <c r="BL41" s="16"/>
      <c r="BM41" s="16"/>
    </row>
    <row r="42" spans="1:65" ht="18" customHeight="1" x14ac:dyDescent="0.2">
      <c r="A42" s="16"/>
      <c r="B42" s="16"/>
      <c r="C42" s="142" t="str" cm="1">
        <f t="array" ref="C42">IFERROR(IF(INDEX(inp_comment_went_well,$BP$1)=0,"–",INDEX(inp_comment_went_well,$BP$1)),"–")</f>
        <v>–</v>
      </c>
      <c r="D42" s="142"/>
      <c r="E42" s="142"/>
      <c r="F42" s="142"/>
      <c r="G42" s="142"/>
      <c r="H42" s="142"/>
      <c r="I42" s="142"/>
      <c r="J42" s="142"/>
      <c r="K42" s="142"/>
      <c r="L42" s="142"/>
      <c r="M42" s="142"/>
      <c r="N42" s="142"/>
      <c r="O42" s="142"/>
      <c r="P42" s="142"/>
      <c r="Q42" s="142"/>
      <c r="R42" s="142"/>
      <c r="S42" s="142"/>
      <c r="T42" s="142"/>
      <c r="U42" s="16"/>
      <c r="V42" s="60" t="str" cm="1">
        <f t="array" ref="V42">_xlfn._xlws.FILTER(Data!$B$225:$B$235,(Data!$B$225:$B$235&lt;&gt;"")*(IFERROR(DATEVALUE("1-"&amp;Data!$C$225:$C$235),0)&lt;=calc_sel_date)*((LEN(Data!$F$225:$F$235)=0)+(IFERROR(DATEVALUE("1-"&amp;Data!$F$225:$F$235),99999)&gt;calc_sel_date)),"–")</f>
        <v>–</v>
      </c>
      <c r="W42" s="60"/>
      <c r="X42" s="60"/>
      <c r="Y42" s="60"/>
      <c r="Z42" s="60"/>
      <c r="AA42" s="60"/>
      <c r="AB42" s="60"/>
      <c r="AC42" s="60"/>
      <c r="AD42" s="60"/>
      <c r="AE42" s="60"/>
      <c r="AF42" s="60"/>
      <c r="AG42" s="60"/>
      <c r="AH42" s="16"/>
      <c r="AI42" s="60"/>
      <c r="AJ42" s="60"/>
      <c r="AK42" s="60"/>
      <c r="AL42" s="60"/>
      <c r="AM42" s="60"/>
      <c r="AN42" s="60"/>
      <c r="AO42" s="16"/>
      <c r="AP42" s="61" t="str" cm="1">
        <f t="array" ref="AP42">_xlfn._xlws.FILTER(Data!$D$225:$D$235,(Data!$B$225:$B$235&lt;&gt;"")*(IFERROR(DATEVALUE("1-"&amp;Data!$C$225:$C$235),0)&lt;=calc_sel_date)*((LEN(Data!$F$225:$F$235)=0)+(IFERROR(DATEVALUE("1-"&amp;Data!$F$225:$F$235),99999)&gt;calc_sel_date)),"–")</f>
        <v>–</v>
      </c>
      <c r="AQ42" s="61"/>
      <c r="AR42" s="61"/>
      <c r="AS42" s="61"/>
      <c r="AT42" s="61"/>
      <c r="AU42" s="61"/>
      <c r="AV42" s="62" t="str" cm="1">
        <f t="array" ref="AV42">_xlfn._xlws.FILTER(Data!$E$225:$E$235,(Data!$B$225:$B$235&lt;&gt;"")*(IFERROR(DATEVALUE("1-"&amp;Data!$C$225:$C$235),0)&lt;=calc_sel_date)*((LEN(Data!$F$225:$F$235)=0)+(IFERROR(DATEVALUE("1-"&amp;Data!$F$225:$F$235),99999)&gt;calc_sel_date)),"–")</f>
        <v>–</v>
      </c>
      <c r="AW42" s="63"/>
      <c r="AX42" s="63"/>
      <c r="AY42" s="63"/>
      <c r="AZ42" s="63"/>
      <c r="BA42" s="63"/>
      <c r="BB42" s="16"/>
      <c r="BC42" s="16"/>
      <c r="BD42" s="16"/>
      <c r="BE42" s="16"/>
      <c r="BF42" s="16"/>
      <c r="BG42" s="16"/>
      <c r="BH42" s="16"/>
      <c r="BI42" s="16"/>
      <c r="BJ42" s="16"/>
      <c r="BK42" s="16"/>
      <c r="BL42" s="16"/>
      <c r="BM42" s="16"/>
    </row>
    <row r="43" spans="1:65" ht="18" customHeight="1" x14ac:dyDescent="0.2">
      <c r="A43" s="16"/>
      <c r="B43" s="16"/>
      <c r="C43" s="142"/>
      <c r="D43" s="142"/>
      <c r="E43" s="142"/>
      <c r="F43" s="142"/>
      <c r="G43" s="142"/>
      <c r="H43" s="142"/>
      <c r="I43" s="142"/>
      <c r="J43" s="142"/>
      <c r="K43" s="142"/>
      <c r="L43" s="142"/>
      <c r="M43" s="142"/>
      <c r="N43" s="142"/>
      <c r="O43" s="142"/>
      <c r="P43" s="142"/>
      <c r="Q43" s="142"/>
      <c r="R43" s="142"/>
      <c r="S43" s="142"/>
      <c r="T43" s="142"/>
      <c r="U43" s="16"/>
      <c r="V43" s="60"/>
      <c r="W43" s="60"/>
      <c r="X43" s="60"/>
      <c r="Y43" s="60"/>
      <c r="Z43" s="60"/>
      <c r="AA43" s="60"/>
      <c r="AB43" s="60"/>
      <c r="AC43" s="60"/>
      <c r="AD43" s="60"/>
      <c r="AE43" s="60"/>
      <c r="AF43" s="60"/>
      <c r="AG43" s="60"/>
      <c r="AH43" s="16"/>
      <c r="AI43" s="60"/>
      <c r="AJ43" s="60"/>
      <c r="AK43" s="60"/>
      <c r="AL43" s="60"/>
      <c r="AM43" s="60"/>
      <c r="AN43" s="60"/>
      <c r="AO43" s="16"/>
      <c r="AP43" s="61"/>
      <c r="AQ43" s="61"/>
      <c r="AR43" s="61"/>
      <c r="AS43" s="61"/>
      <c r="AT43" s="61"/>
      <c r="AU43" s="61"/>
      <c r="AV43" s="63"/>
      <c r="AW43" s="63"/>
      <c r="AX43" s="63"/>
      <c r="AY43" s="63"/>
      <c r="AZ43" s="63"/>
      <c r="BA43" s="63"/>
      <c r="BB43" s="16"/>
      <c r="BC43" s="16"/>
      <c r="BD43" s="16"/>
      <c r="BE43" s="16"/>
      <c r="BF43" s="16"/>
      <c r="BG43" s="16"/>
      <c r="BH43" s="16"/>
      <c r="BI43" s="16"/>
      <c r="BJ43" s="16"/>
      <c r="BK43" s="16"/>
      <c r="BL43" s="16"/>
      <c r="BM43" s="16"/>
    </row>
    <row r="44" spans="1:65" ht="18" customHeight="1" x14ac:dyDescent="0.2">
      <c r="A44" s="16"/>
      <c r="B44" s="16"/>
      <c r="C44" s="25" t="s">
        <v>110</v>
      </c>
      <c r="D44" s="16"/>
      <c r="E44" s="16"/>
      <c r="F44" s="16"/>
      <c r="G44" s="16"/>
      <c r="H44" s="16"/>
      <c r="I44" s="16"/>
      <c r="J44" s="16"/>
      <c r="K44" s="16"/>
      <c r="L44" s="16"/>
      <c r="M44" s="16"/>
      <c r="N44" s="16"/>
      <c r="O44" s="16"/>
      <c r="P44" s="16"/>
      <c r="Q44" s="16"/>
      <c r="R44" s="16"/>
      <c r="S44" s="16"/>
      <c r="T44" s="16"/>
      <c r="U44" s="16"/>
      <c r="V44" s="60"/>
      <c r="W44" s="60"/>
      <c r="X44" s="60"/>
      <c r="Y44" s="60"/>
      <c r="Z44" s="60"/>
      <c r="AA44" s="60"/>
      <c r="AB44" s="60"/>
      <c r="AC44" s="60"/>
      <c r="AD44" s="60"/>
      <c r="AE44" s="60"/>
      <c r="AF44" s="60"/>
      <c r="AG44" s="60"/>
      <c r="AH44" s="16"/>
      <c r="AI44" s="60"/>
      <c r="AJ44" s="60"/>
      <c r="AK44" s="60"/>
      <c r="AL44" s="60"/>
      <c r="AM44" s="60"/>
      <c r="AN44" s="60"/>
      <c r="AO44" s="16"/>
      <c r="AP44" s="61"/>
      <c r="AQ44" s="61"/>
      <c r="AR44" s="61"/>
      <c r="AS44" s="61"/>
      <c r="AT44" s="61"/>
      <c r="AU44" s="61"/>
      <c r="AV44" s="63"/>
      <c r="AW44" s="63"/>
      <c r="AX44" s="63"/>
      <c r="AY44" s="63"/>
      <c r="AZ44" s="63"/>
      <c r="BA44" s="63"/>
      <c r="BB44" s="16"/>
      <c r="BC44" s="16"/>
      <c r="BD44" s="16"/>
      <c r="BE44" s="16"/>
      <c r="BF44" s="16"/>
      <c r="BG44" s="16"/>
      <c r="BH44" s="16"/>
      <c r="BI44" s="16"/>
      <c r="BJ44" s="16"/>
      <c r="BK44" s="16"/>
      <c r="BL44" s="16"/>
      <c r="BM44" s="16"/>
    </row>
    <row r="45" spans="1:65" ht="18" customHeight="1" x14ac:dyDescent="0.2">
      <c r="A45" s="16"/>
      <c r="B45" s="16"/>
      <c r="C45" s="142" t="str" cm="1">
        <f t="array" ref="C45">IFERROR(IF(INDEX(inp_comment_went_poor,$BP$1)=0,"–",INDEX(inp_comment_went_poor,$BP$1)),"–")</f>
        <v>–</v>
      </c>
      <c r="D45" s="142"/>
      <c r="E45" s="142"/>
      <c r="F45" s="142"/>
      <c r="G45" s="142"/>
      <c r="H45" s="142"/>
      <c r="I45" s="142"/>
      <c r="J45" s="142"/>
      <c r="K45" s="142"/>
      <c r="L45" s="142"/>
      <c r="M45" s="142"/>
      <c r="N45" s="142"/>
      <c r="O45" s="142"/>
      <c r="P45" s="142"/>
      <c r="Q45" s="142"/>
      <c r="R45" s="142"/>
      <c r="S45" s="142"/>
      <c r="T45" s="142"/>
      <c r="U45" s="16"/>
      <c r="V45" s="60"/>
      <c r="W45" s="60"/>
      <c r="X45" s="60"/>
      <c r="Y45" s="60"/>
      <c r="Z45" s="60"/>
      <c r="AA45" s="60"/>
      <c r="AB45" s="60"/>
      <c r="AC45" s="60"/>
      <c r="AD45" s="60"/>
      <c r="AE45" s="60"/>
      <c r="AF45" s="60"/>
      <c r="AG45" s="60"/>
      <c r="AH45" s="16"/>
      <c r="AI45" s="60"/>
      <c r="AJ45" s="60"/>
      <c r="AK45" s="60"/>
      <c r="AL45" s="60"/>
      <c r="AM45" s="60"/>
      <c r="AN45" s="60"/>
      <c r="AO45" s="16"/>
      <c r="AP45" s="61"/>
      <c r="AQ45" s="61"/>
      <c r="AR45" s="61"/>
      <c r="AS45" s="61"/>
      <c r="AT45" s="61"/>
      <c r="AU45" s="61"/>
      <c r="AV45" s="63"/>
      <c r="AW45" s="63"/>
      <c r="AX45" s="63"/>
      <c r="AY45" s="63"/>
      <c r="AZ45" s="63"/>
      <c r="BA45" s="63"/>
      <c r="BB45" s="16"/>
      <c r="BC45" s="16"/>
      <c r="BD45" s="16"/>
      <c r="BE45" s="16"/>
      <c r="BF45" s="16"/>
      <c r="BG45" s="16"/>
      <c r="BH45" s="16"/>
      <c r="BI45" s="16"/>
      <c r="BJ45" s="16"/>
      <c r="BK45" s="16"/>
      <c r="BL45" s="16"/>
      <c r="BM45" s="16"/>
    </row>
    <row r="46" spans="1:65" ht="18" customHeight="1" x14ac:dyDescent="0.2">
      <c r="A46" s="16"/>
      <c r="B46" s="16"/>
      <c r="C46" s="142"/>
      <c r="D46" s="142"/>
      <c r="E46" s="142"/>
      <c r="F46" s="142"/>
      <c r="G46" s="142"/>
      <c r="H46" s="142"/>
      <c r="I46" s="142"/>
      <c r="J46" s="142"/>
      <c r="K46" s="142"/>
      <c r="L46" s="142"/>
      <c r="M46" s="142"/>
      <c r="N46" s="142"/>
      <c r="O46" s="142"/>
      <c r="P46" s="142"/>
      <c r="Q46" s="142"/>
      <c r="R46" s="142"/>
      <c r="S46" s="142"/>
      <c r="T46" s="142"/>
      <c r="U46" s="16"/>
      <c r="V46" s="60"/>
      <c r="W46" s="60"/>
      <c r="X46" s="60"/>
      <c r="Y46" s="60"/>
      <c r="Z46" s="60"/>
      <c r="AA46" s="60"/>
      <c r="AB46" s="60"/>
      <c r="AC46" s="60"/>
      <c r="AD46" s="60"/>
      <c r="AE46" s="60"/>
      <c r="AF46" s="60"/>
      <c r="AG46" s="60"/>
      <c r="AH46" s="16"/>
      <c r="AI46" s="60"/>
      <c r="AJ46" s="60"/>
      <c r="AK46" s="60"/>
      <c r="AL46" s="60"/>
      <c r="AM46" s="60"/>
      <c r="AN46" s="60"/>
      <c r="AO46" s="16"/>
      <c r="AP46" s="61"/>
      <c r="AQ46" s="61"/>
      <c r="AR46" s="61"/>
      <c r="AS46" s="61"/>
      <c r="AT46" s="61"/>
      <c r="AU46" s="61"/>
      <c r="AV46" s="63"/>
      <c r="AW46" s="63"/>
      <c r="AX46" s="63"/>
      <c r="AY46" s="63"/>
      <c r="AZ46" s="63"/>
      <c r="BA46" s="63"/>
      <c r="BB46" s="16"/>
      <c r="BC46" s="16"/>
      <c r="BD46" s="16"/>
      <c r="BE46" s="16"/>
      <c r="BF46" s="16"/>
      <c r="BG46" s="16"/>
      <c r="BH46" s="16"/>
      <c r="BI46" s="16"/>
      <c r="BJ46" s="16"/>
      <c r="BK46" s="16"/>
      <c r="BL46" s="16"/>
      <c r="BM46" s="16"/>
    </row>
    <row r="47" spans="1:65" ht="18" customHeight="1" x14ac:dyDescent="0.2">
      <c r="A47" s="16"/>
      <c r="B47" s="16"/>
      <c r="C47" s="21" t="s">
        <v>111</v>
      </c>
      <c r="D47" s="16"/>
      <c r="E47" s="16"/>
      <c r="F47" s="16"/>
      <c r="G47" s="16"/>
      <c r="H47" s="16"/>
      <c r="I47" s="16"/>
      <c r="J47" s="16"/>
      <c r="K47" s="16"/>
      <c r="L47" s="16"/>
      <c r="M47" s="16"/>
      <c r="N47" s="16"/>
      <c r="O47" s="16"/>
      <c r="P47" s="16"/>
      <c r="Q47" s="16"/>
      <c r="R47" s="16"/>
      <c r="S47" s="16"/>
      <c r="T47" s="16"/>
      <c r="U47" s="16"/>
      <c r="V47" s="78" t="s">
        <v>284</v>
      </c>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row>
    <row r="48" spans="1:65" ht="18" customHeight="1" x14ac:dyDescent="0.2">
      <c r="A48" s="16"/>
      <c r="B48" s="16"/>
      <c r="C48" s="142" t="str" cm="1">
        <f t="array" ref="C48">IFERROR(IF(INDEX(inp_comment_structural,$BP$1)=0,"–",INDEX(inp_comment_structural,$BP$1)),"–")</f>
        <v>–</v>
      </c>
      <c r="D48" s="142"/>
      <c r="E48" s="142"/>
      <c r="F48" s="142"/>
      <c r="G48" s="142"/>
      <c r="H48" s="142"/>
      <c r="I48" s="142"/>
      <c r="J48" s="142"/>
      <c r="K48" s="142"/>
      <c r="L48" s="142"/>
      <c r="M48" s="142"/>
      <c r="N48" s="142"/>
      <c r="O48" s="142"/>
      <c r="P48" s="142"/>
      <c r="Q48" s="142"/>
      <c r="R48" s="142"/>
      <c r="S48" s="142"/>
      <c r="T48" s="142"/>
      <c r="U48" s="16"/>
      <c r="V48" s="77"/>
      <c r="W48" s="77"/>
      <c r="X48" s="77"/>
      <c r="Y48" s="77"/>
      <c r="Z48" s="77"/>
      <c r="AA48" s="77"/>
      <c r="AB48" s="77"/>
      <c r="AC48" s="77"/>
      <c r="AD48" s="77"/>
      <c r="AE48" s="77"/>
      <c r="AF48" s="77"/>
      <c r="AG48" s="77"/>
      <c r="AH48" s="77"/>
      <c r="AI48" s="77"/>
      <c r="AJ48" s="77"/>
      <c r="AK48" s="77"/>
      <c r="AL48" s="77"/>
      <c r="AM48" s="77"/>
      <c r="AN48" s="77"/>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row>
    <row r="49" spans="1:65" ht="18" customHeight="1" x14ac:dyDescent="0.2">
      <c r="A49" s="16"/>
      <c r="B49" s="16"/>
      <c r="C49" s="142"/>
      <c r="D49" s="142"/>
      <c r="E49" s="142"/>
      <c r="F49" s="142"/>
      <c r="G49" s="142"/>
      <c r="H49" s="142"/>
      <c r="I49" s="142"/>
      <c r="J49" s="142"/>
      <c r="K49" s="142"/>
      <c r="L49" s="142"/>
      <c r="M49" s="142"/>
      <c r="N49" s="142"/>
      <c r="O49" s="142"/>
      <c r="P49" s="142"/>
      <c r="Q49" s="142"/>
      <c r="R49" s="142"/>
      <c r="S49" s="142"/>
      <c r="T49" s="142"/>
      <c r="U49" s="16"/>
      <c r="V49" s="21" t="s">
        <v>121</v>
      </c>
      <c r="W49" s="16"/>
      <c r="X49" s="16"/>
      <c r="Y49" s="16"/>
      <c r="Z49" s="16"/>
      <c r="AA49" s="16"/>
      <c r="AB49" s="16"/>
      <c r="AC49" s="16"/>
      <c r="AD49" s="16"/>
      <c r="AE49" s="16"/>
      <c r="AF49" s="16"/>
      <c r="AG49" s="16"/>
      <c r="AH49" s="16"/>
      <c r="AI49" s="16"/>
      <c r="AJ49" s="16"/>
      <c r="AK49" s="16"/>
      <c r="AL49" s="16"/>
      <c r="AM49" s="16"/>
      <c r="AN49" s="16"/>
      <c r="AO49" s="16"/>
      <c r="AP49" s="21" t="s">
        <v>116</v>
      </c>
      <c r="AQ49" s="16"/>
      <c r="AR49" s="16"/>
      <c r="AS49" s="16"/>
      <c r="AT49" s="16"/>
      <c r="AU49" s="16"/>
      <c r="AV49" s="21" t="s">
        <v>123</v>
      </c>
      <c r="AW49" s="16"/>
      <c r="AX49" s="16"/>
      <c r="AY49" s="16"/>
      <c r="AZ49" s="16"/>
      <c r="BA49" s="16"/>
      <c r="BB49" s="16"/>
      <c r="BC49" s="16"/>
      <c r="BD49" s="16"/>
      <c r="BE49" s="16"/>
      <c r="BF49" s="16"/>
      <c r="BG49" s="16"/>
      <c r="BH49" s="16"/>
      <c r="BI49" s="16"/>
      <c r="BJ49" s="16"/>
      <c r="BK49" s="16"/>
      <c r="BL49" s="16"/>
      <c r="BM49" s="16"/>
    </row>
    <row r="50" spans="1:65" ht="18" customHeight="1" x14ac:dyDescent="0.2">
      <c r="A50" s="16"/>
      <c r="B50" s="16"/>
      <c r="C50" s="59" t="s">
        <v>255</v>
      </c>
      <c r="D50" s="16"/>
      <c r="E50" s="16"/>
      <c r="F50" s="16"/>
      <c r="G50" s="16"/>
      <c r="H50" s="16"/>
      <c r="I50" s="16"/>
      <c r="J50" s="16"/>
      <c r="K50" s="16"/>
      <c r="L50" s="16"/>
      <c r="M50" s="16"/>
      <c r="N50" s="16"/>
      <c r="O50" s="16"/>
      <c r="P50" s="16"/>
      <c r="Q50" s="16"/>
      <c r="R50" s="16"/>
      <c r="S50" s="16"/>
      <c r="T50" s="16"/>
      <c r="U50" s="16"/>
      <c r="V50" s="60" t="str" cm="1">
        <f t="array" ref="V50">_xlfn._xlws.FILTER(Data!$B$238:$B$245,(Data!$B$238:$B$245&lt;&gt;"")*(IFERROR(DATEVALUE("1-"&amp;Data!$C$238:$C$245),0)&lt;=calc_sel_date),"–")</f>
        <v>–</v>
      </c>
      <c r="W50" s="60"/>
      <c r="X50" s="60"/>
      <c r="Y50" s="60"/>
      <c r="Z50" s="60"/>
      <c r="AA50" s="60"/>
      <c r="AB50" s="60"/>
      <c r="AC50" s="60"/>
      <c r="AD50" s="60"/>
      <c r="AE50" s="60"/>
      <c r="AF50" s="60"/>
      <c r="AG50" s="60"/>
      <c r="AH50" s="16"/>
      <c r="AI50" s="60"/>
      <c r="AJ50" s="60"/>
      <c r="AK50" s="60"/>
      <c r="AL50" s="60"/>
      <c r="AM50" s="60"/>
      <c r="AN50" s="60"/>
      <c r="AO50" s="16"/>
      <c r="AP50" s="61" t="str" cm="1">
        <f t="array" ref="AP50">_xlfn._xlws.FILTER(Data!$D$238:$D$245,(Data!$B$238:$B$245&lt;&gt;"")*(IFERROR(DATEVALUE("1-"&amp;Data!$C$238:$C$245),0)&lt;=calc_sel_date),"–")</f>
        <v>–</v>
      </c>
      <c r="AQ50" s="61"/>
      <c r="AR50" s="61"/>
      <c r="AS50" s="61"/>
      <c r="AT50" s="61"/>
      <c r="AU50" s="61"/>
      <c r="AV50" s="64" t="str" cm="1">
        <f t="array" ref="AV50">_xlfn._xlws.FILTER(Data!$E$238:$E$245,(Data!$B$238:$B$245&lt;&gt;"")*(IFERROR(DATEVALUE("1-"&amp;Data!$C$238:$C$245),0)&lt;=calc_sel_date),"–")</f>
        <v>–</v>
      </c>
      <c r="AW50" s="63"/>
      <c r="AX50" s="63"/>
      <c r="AY50" s="63"/>
      <c r="AZ50" s="63"/>
      <c r="BA50" s="63"/>
      <c r="BB50" s="16"/>
      <c r="BC50" s="16"/>
      <c r="BD50" s="16"/>
      <c r="BE50" s="16"/>
      <c r="BF50" s="16"/>
      <c r="BG50" s="16"/>
      <c r="BH50" s="16"/>
      <c r="BI50" s="16"/>
      <c r="BJ50" s="16"/>
      <c r="BK50" s="16"/>
      <c r="BL50" s="16"/>
      <c r="BM50" s="16"/>
    </row>
    <row r="51" spans="1:65" ht="18" customHeight="1" x14ac:dyDescent="0.2">
      <c r="A51" s="16"/>
      <c r="B51" s="16"/>
      <c r="C51" s="142" t="str" cm="1">
        <f t="array" ref="C51">IFERROR(IF(INDEX(inp_comment_next_diff,$BP$1)=0,"–",INDEX(inp_comment_next_diff,$BP$1)),"–")</f>
        <v>–</v>
      </c>
      <c r="D51" s="142"/>
      <c r="E51" s="142"/>
      <c r="F51" s="142"/>
      <c r="G51" s="142"/>
      <c r="H51" s="142"/>
      <c r="I51" s="142"/>
      <c r="J51" s="142"/>
      <c r="K51" s="142"/>
      <c r="L51" s="142"/>
      <c r="M51" s="142"/>
      <c r="N51" s="142"/>
      <c r="O51" s="142"/>
      <c r="P51" s="142"/>
      <c r="Q51" s="142"/>
      <c r="R51" s="142"/>
      <c r="S51" s="142"/>
      <c r="T51" s="142"/>
      <c r="U51" s="142"/>
      <c r="V51" s="60"/>
      <c r="W51" s="60"/>
      <c r="X51" s="60"/>
      <c r="Y51" s="60"/>
      <c r="Z51" s="60"/>
      <c r="AA51" s="60"/>
      <c r="AB51" s="60"/>
      <c r="AC51" s="60"/>
      <c r="AD51" s="60"/>
      <c r="AE51" s="60"/>
      <c r="AF51" s="60"/>
      <c r="AG51" s="60"/>
      <c r="AH51" s="16"/>
      <c r="AI51" s="60"/>
      <c r="AJ51" s="60"/>
      <c r="AK51" s="60"/>
      <c r="AL51" s="60"/>
      <c r="AM51" s="60"/>
      <c r="AN51" s="60"/>
      <c r="AO51" s="16"/>
      <c r="AP51" s="61"/>
      <c r="AQ51" s="61"/>
      <c r="AR51" s="61"/>
      <c r="AS51" s="61"/>
      <c r="AT51" s="61"/>
      <c r="AU51" s="61"/>
      <c r="AV51" s="63"/>
      <c r="AW51" s="63"/>
      <c r="AX51" s="63"/>
      <c r="AY51" s="63"/>
      <c r="AZ51" s="63"/>
      <c r="BA51" s="63"/>
      <c r="BB51" s="16"/>
      <c r="BC51" s="16"/>
      <c r="BD51" s="16"/>
      <c r="BE51" s="16"/>
      <c r="BF51" s="16"/>
      <c r="BG51" s="16"/>
      <c r="BH51" s="16"/>
      <c r="BI51" s="16"/>
      <c r="BJ51" s="16"/>
      <c r="BK51" s="16"/>
      <c r="BL51" s="16"/>
      <c r="BM51" s="16"/>
    </row>
    <row r="52" spans="1:65" ht="18" customHeight="1" x14ac:dyDescent="0.2">
      <c r="A52" s="16"/>
      <c r="B52" s="16"/>
      <c r="C52" s="142"/>
      <c r="D52" s="142"/>
      <c r="E52" s="142"/>
      <c r="F52" s="142"/>
      <c r="G52" s="142"/>
      <c r="H52" s="142"/>
      <c r="I52" s="142"/>
      <c r="J52" s="142"/>
      <c r="K52" s="142"/>
      <c r="L52" s="142"/>
      <c r="M52" s="142"/>
      <c r="N52" s="142"/>
      <c r="O52" s="142"/>
      <c r="P52" s="142"/>
      <c r="Q52" s="142"/>
      <c r="R52" s="142"/>
      <c r="S52" s="142"/>
      <c r="T52" s="142"/>
      <c r="U52" s="142"/>
      <c r="V52" s="60"/>
      <c r="W52" s="60"/>
      <c r="X52" s="60"/>
      <c r="Y52" s="60"/>
      <c r="Z52" s="60"/>
      <c r="AA52" s="60"/>
      <c r="AB52" s="60"/>
      <c r="AC52" s="60"/>
      <c r="AD52" s="60"/>
      <c r="AE52" s="60"/>
      <c r="AF52" s="60"/>
      <c r="AG52" s="60"/>
      <c r="AH52" s="16"/>
      <c r="AI52" s="60"/>
      <c r="AJ52" s="60"/>
      <c r="AK52" s="60"/>
      <c r="AL52" s="60"/>
      <c r="AM52" s="60"/>
      <c r="AN52" s="60"/>
      <c r="AO52" s="16"/>
      <c r="AP52" s="61"/>
      <c r="AQ52" s="61"/>
      <c r="AR52" s="61"/>
      <c r="AS52" s="61"/>
      <c r="AT52" s="61"/>
      <c r="AU52" s="61"/>
      <c r="AV52" s="63"/>
      <c r="AW52" s="63"/>
      <c r="AX52" s="63"/>
      <c r="AY52" s="63"/>
      <c r="AZ52" s="63"/>
      <c r="BA52" s="63"/>
      <c r="BB52" s="16"/>
      <c r="BC52" s="16"/>
      <c r="BD52" s="16"/>
      <c r="BE52" s="16"/>
      <c r="BF52" s="16"/>
      <c r="BG52" s="16"/>
      <c r="BH52" s="16"/>
      <c r="BI52" s="16"/>
      <c r="BJ52" s="16"/>
      <c r="BK52" s="16"/>
      <c r="BL52" s="16"/>
      <c r="BM52" s="16"/>
    </row>
    <row r="53" spans="1:65" ht="18" customHeight="1" x14ac:dyDescent="0.2">
      <c r="A53" s="16"/>
      <c r="B53" s="16"/>
      <c r="C53" s="142"/>
      <c r="D53" s="142"/>
      <c r="E53" s="142"/>
      <c r="F53" s="142"/>
      <c r="G53" s="142"/>
      <c r="H53" s="142"/>
      <c r="I53" s="142"/>
      <c r="J53" s="142"/>
      <c r="K53" s="142"/>
      <c r="L53" s="142"/>
      <c r="M53" s="142"/>
      <c r="N53" s="142"/>
      <c r="O53" s="142"/>
      <c r="P53" s="142"/>
      <c r="Q53" s="142"/>
      <c r="R53" s="142"/>
      <c r="S53" s="142"/>
      <c r="T53" s="142"/>
      <c r="U53" s="142"/>
      <c r="V53" s="60"/>
      <c r="W53" s="60"/>
      <c r="X53" s="60"/>
      <c r="Y53" s="60"/>
      <c r="Z53" s="60"/>
      <c r="AA53" s="60"/>
      <c r="AB53" s="60"/>
      <c r="AC53" s="60"/>
      <c r="AD53" s="60"/>
      <c r="AE53" s="60"/>
      <c r="AF53" s="60"/>
      <c r="AG53" s="60"/>
      <c r="AH53" s="16"/>
      <c r="AI53" s="60"/>
      <c r="AJ53" s="60"/>
      <c r="AK53" s="60"/>
      <c r="AL53" s="60"/>
      <c r="AM53" s="60"/>
      <c r="AN53" s="60"/>
      <c r="AO53" s="16"/>
      <c r="AP53" s="61"/>
      <c r="AQ53" s="61"/>
      <c r="AR53" s="61"/>
      <c r="AS53" s="61"/>
      <c r="AT53" s="61"/>
      <c r="AU53" s="61"/>
      <c r="AV53" s="63"/>
      <c r="AW53" s="63"/>
      <c r="AX53" s="63"/>
      <c r="AY53" s="63"/>
      <c r="AZ53" s="63"/>
      <c r="BA53" s="63"/>
      <c r="BB53" s="16"/>
      <c r="BC53" s="16"/>
      <c r="BD53" s="16"/>
      <c r="BE53" s="16"/>
      <c r="BF53" s="16"/>
      <c r="BG53" s="16"/>
      <c r="BH53" s="16"/>
      <c r="BI53" s="16"/>
      <c r="BJ53" s="16"/>
      <c r="BK53" s="16"/>
      <c r="BL53" s="16"/>
      <c r="BM53" s="16"/>
    </row>
    <row r="54" spans="1:65" ht="18" customHeight="1" x14ac:dyDescent="0.2">
      <c r="A54" s="16"/>
      <c r="B54" s="17"/>
      <c r="C54" s="16"/>
      <c r="D54" s="16"/>
      <c r="E54" s="16"/>
      <c r="F54" s="16"/>
      <c r="G54" s="16"/>
      <c r="H54" s="16"/>
      <c r="I54" s="16"/>
      <c r="J54" s="16"/>
      <c r="K54" s="16"/>
      <c r="L54" s="16"/>
      <c r="M54" s="16"/>
      <c r="N54" s="16"/>
      <c r="O54" s="16"/>
      <c r="P54" s="16"/>
      <c r="Q54" s="16"/>
      <c r="R54" s="16"/>
      <c r="S54" s="16"/>
      <c r="T54" s="16"/>
      <c r="U54" s="16"/>
      <c r="V54" s="60"/>
      <c r="W54" s="60"/>
      <c r="X54" s="60"/>
      <c r="Y54" s="60"/>
      <c r="Z54" s="60"/>
      <c r="AA54" s="60"/>
      <c r="AB54" s="60"/>
      <c r="AC54" s="60"/>
      <c r="AD54" s="60"/>
      <c r="AE54" s="60"/>
      <c r="AF54" s="60"/>
      <c r="AG54" s="60"/>
      <c r="AH54" s="16"/>
      <c r="AI54" s="60"/>
      <c r="AJ54" s="60"/>
      <c r="AK54" s="60"/>
      <c r="AL54" s="60"/>
      <c r="AM54" s="60"/>
      <c r="AN54" s="60"/>
      <c r="AO54" s="16"/>
      <c r="AP54" s="61"/>
      <c r="AQ54" s="61"/>
      <c r="AR54" s="61"/>
      <c r="AS54" s="61"/>
      <c r="AT54" s="61"/>
      <c r="AU54" s="61"/>
      <c r="AV54" s="63"/>
      <c r="AW54" s="63"/>
      <c r="AX54" s="63"/>
      <c r="AY54" s="63"/>
      <c r="AZ54" s="63"/>
      <c r="BA54" s="63"/>
      <c r="BB54" s="16"/>
      <c r="BC54" s="16"/>
      <c r="BD54" s="16"/>
      <c r="BE54" s="16"/>
      <c r="BF54" s="16"/>
      <c r="BG54" s="16"/>
      <c r="BH54" s="16"/>
      <c r="BI54" s="16"/>
      <c r="BJ54" s="16"/>
      <c r="BK54" s="16"/>
      <c r="BL54" s="16"/>
      <c r="BM54" s="16"/>
    </row>
    <row r="55" spans="1:65" ht="18" customHeight="1" x14ac:dyDescent="0.2">
      <c r="A55" s="16"/>
      <c r="B55" s="16"/>
      <c r="C55" s="16"/>
      <c r="D55" s="16"/>
      <c r="E55" s="16"/>
      <c r="F55" s="16"/>
      <c r="G55" s="16"/>
      <c r="H55" s="16"/>
      <c r="I55" s="16"/>
      <c r="J55" s="16"/>
      <c r="K55" s="16"/>
      <c r="L55" s="16"/>
      <c r="M55" s="16"/>
      <c r="N55" s="16"/>
      <c r="O55" s="16"/>
      <c r="P55" s="16"/>
      <c r="Q55" s="16"/>
      <c r="R55" s="16"/>
      <c r="S55" s="16"/>
      <c r="T55" s="16"/>
      <c r="U55" s="16"/>
      <c r="V55" s="60"/>
      <c r="W55" s="60"/>
      <c r="X55" s="60"/>
      <c r="Y55" s="60"/>
      <c r="Z55" s="60"/>
      <c r="AA55" s="60"/>
      <c r="AB55" s="60"/>
      <c r="AC55" s="60"/>
      <c r="AD55" s="60"/>
      <c r="AE55" s="60"/>
      <c r="AF55" s="60"/>
      <c r="AG55" s="60"/>
      <c r="AH55" s="16"/>
      <c r="AI55" s="60"/>
      <c r="AJ55" s="60"/>
      <c r="AK55" s="60"/>
      <c r="AL55" s="60"/>
      <c r="AM55" s="60"/>
      <c r="AN55" s="60"/>
      <c r="AO55" s="16"/>
      <c r="AP55" s="61"/>
      <c r="AQ55" s="61"/>
      <c r="AR55" s="61"/>
      <c r="AS55" s="61"/>
      <c r="AT55" s="61"/>
      <c r="AU55" s="61"/>
      <c r="AV55" s="63"/>
      <c r="AW55" s="63"/>
      <c r="AX55" s="63"/>
      <c r="AY55" s="63"/>
      <c r="AZ55" s="63"/>
      <c r="BA55" s="63"/>
      <c r="BB55" s="16"/>
      <c r="BC55" s="16"/>
      <c r="BD55" s="16"/>
      <c r="BE55" s="16"/>
      <c r="BF55" s="16"/>
      <c r="BG55" s="16"/>
      <c r="BH55" s="16"/>
      <c r="BI55" s="16"/>
      <c r="BJ55" s="16"/>
      <c r="BK55" s="16"/>
      <c r="BL55" s="16"/>
      <c r="BM55" s="16"/>
    </row>
    <row r="56" spans="1:65" ht="18" customHeight="1" x14ac:dyDescent="0.2">
      <c r="A56" s="16"/>
      <c r="B56" s="16"/>
      <c r="C56" s="135" t="s">
        <v>325</v>
      </c>
      <c r="D56" s="135"/>
      <c r="E56" s="135"/>
      <c r="F56" s="135"/>
      <c r="G56" s="135"/>
      <c r="H56" s="135"/>
      <c r="I56" s="135"/>
      <c r="J56" s="135"/>
      <c r="K56" s="135"/>
      <c r="L56" s="135"/>
      <c r="M56" s="135"/>
      <c r="N56" s="135"/>
      <c r="O56" s="135"/>
      <c r="P56" s="135"/>
      <c r="Q56" s="135"/>
      <c r="R56" s="135"/>
      <c r="S56" s="135"/>
      <c r="T56" s="135"/>
      <c r="U56" s="135"/>
      <c r="V56" s="135"/>
      <c r="W56" s="135"/>
      <c r="X56" s="135"/>
      <c r="Y56" s="135"/>
      <c r="Z56" s="135"/>
      <c r="AA56" s="135"/>
      <c r="AB56" s="127"/>
      <c r="AC56" s="127"/>
      <c r="AD56" s="127"/>
      <c r="AE56" s="127"/>
      <c r="AF56" s="127"/>
      <c r="AG56" s="127"/>
      <c r="AH56" s="127"/>
      <c r="AI56" s="127"/>
      <c r="AJ56" s="127"/>
      <c r="AK56" s="127"/>
      <c r="AL56" s="127"/>
      <c r="AM56" s="127"/>
      <c r="AN56" s="127"/>
      <c r="AO56" s="17"/>
      <c r="AP56" s="128"/>
      <c r="AQ56" s="128"/>
      <c r="AR56" s="128"/>
      <c r="AS56" s="128"/>
      <c r="AT56" s="128"/>
      <c r="AU56" s="128"/>
      <c r="AV56" s="129"/>
      <c r="AW56" s="129"/>
      <c r="AX56" s="129"/>
      <c r="AY56" s="129"/>
      <c r="AZ56" s="129"/>
      <c r="BA56" s="129"/>
      <c r="BB56" s="17"/>
      <c r="BC56" s="17"/>
      <c r="BD56" s="17"/>
      <c r="BE56" s="17"/>
      <c r="BF56" s="17"/>
      <c r="BG56" s="17"/>
      <c r="BH56" s="17"/>
      <c r="BI56" s="17"/>
      <c r="BJ56" s="17"/>
      <c r="BK56" s="17"/>
      <c r="BL56" s="17"/>
      <c r="BM56" s="16"/>
    </row>
    <row r="57" spans="1:65" ht="18" customHeight="1" x14ac:dyDescent="0.2">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row>
    <row r="58" spans="1:65" ht="15" customHeight="1" x14ac:dyDescent="0.2">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row>
    <row r="59" spans="1:65" ht="15" customHeight="1" x14ac:dyDescent="0.2">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row>
    <row r="60" spans="1:65" ht="15" customHeight="1" x14ac:dyDescent="0.2">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row>
    <row r="61" spans="1:65" ht="15" customHeight="1" x14ac:dyDescent="0.2">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row>
    <row r="62" spans="1:65" ht="15" customHeight="1" x14ac:dyDescent="0.2">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row>
    <row r="63" spans="1:65" ht="15" customHeight="1" x14ac:dyDescent="0.2">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row>
    <row r="64" spans="1:65" ht="15" customHeight="1" x14ac:dyDescent="0.2">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row>
    <row r="65" spans="1:75" ht="15" customHeight="1" x14ac:dyDescent="0.2">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row>
    <row r="66" spans="1:75" ht="15" customHeight="1" x14ac:dyDescent="0.2">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row>
    <row r="67" spans="1:75" ht="15" customHeight="1" x14ac:dyDescent="0.2">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row>
    <row r="68" spans="1:75" ht="15" customHeight="1" x14ac:dyDescent="0.2">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row>
    <row r="69" spans="1:75" ht="15" customHeight="1" x14ac:dyDescent="0.2">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row>
    <row r="70" spans="1:75" ht="15" customHeight="1" x14ac:dyDescent="0.2">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P70" s="130" t="s">
        <v>259</v>
      </c>
      <c r="BQ70" s="130" t="s">
        <v>260</v>
      </c>
      <c r="BR70" s="130" t="s">
        <v>261</v>
      </c>
      <c r="BS70" s="130" t="s">
        <v>262</v>
      </c>
      <c r="BT70" s="130" t="s">
        <v>263</v>
      </c>
      <c r="BU70" s="130" t="s">
        <v>264</v>
      </c>
      <c r="BV70" s="130" t="s">
        <v>265</v>
      </c>
      <c r="BW70" s="132" t="s">
        <v>278</v>
      </c>
    </row>
    <row r="71" spans="1:75" ht="15" customHeight="1" x14ac:dyDescent="0.2">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P71" s="130" t="s">
        <v>266</v>
      </c>
      <c r="BQ71" s="132">
        <v>0</v>
      </c>
      <c r="BR71" s="132">
        <v>0</v>
      </c>
      <c r="BS71" s="132">
        <v>0</v>
      </c>
      <c r="BT71" s="132">
        <f>BW71-$BV$71</f>
        <v>0</v>
      </c>
      <c r="BU71" s="132">
        <f>BW71</f>
        <v>0</v>
      </c>
      <c r="BV71" s="132">
        <f>MIN(BW71,BW72)-(MAX(BW71,BW72)-MIN(BW71,BW72))*0.12</f>
        <v>0</v>
      </c>
      <c r="BW71" s="132" cm="1">
        <f t="array" ref="BW71">INDEX(Data!$C$119:$O$119,$BP$1)</f>
        <v>0</v>
      </c>
    </row>
    <row r="72" spans="1:75" ht="15" customHeight="1" x14ac:dyDescent="0.2">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P72" s="130" t="s">
        <v>267</v>
      </c>
      <c r="BQ72" s="132">
        <f>MIN(BU71,BU72)-$BV$71</f>
        <v>0</v>
      </c>
      <c r="BR72" s="132">
        <f>IF(BW76&lt;0,-BW76,0)</f>
        <v>0</v>
      </c>
      <c r="BS72" s="132">
        <f>IF(BW76&gt;=0,BW76,0)</f>
        <v>0</v>
      </c>
      <c r="BT72" s="132">
        <v>0</v>
      </c>
      <c r="BU72" s="132">
        <f>BU71+BW76</f>
        <v>0</v>
      </c>
      <c r="BW72" s="132" cm="1">
        <f t="array" ref="BW72">INDEX(Data!$C$118:$O$118,$BP$1)</f>
        <v>0</v>
      </c>
    </row>
    <row r="73" spans="1:75" ht="15" customHeight="1" x14ac:dyDescent="0.2">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P73" s="130" t="s">
        <v>268</v>
      </c>
      <c r="BQ73" s="132">
        <f>MIN(BU72,BU73)-$BV$71</f>
        <v>0</v>
      </c>
      <c r="BR73" s="132">
        <f>IF(BW73&lt;0,-BW73,0)</f>
        <v>0</v>
      </c>
      <c r="BS73" s="132">
        <f>IF(BW73&gt;=0,BW73,0)</f>
        <v>0</v>
      </c>
      <c r="BT73" s="132">
        <v>0</v>
      </c>
      <c r="BU73" s="132">
        <f>BU72+BW73</f>
        <v>0</v>
      </c>
      <c r="BW73" s="132" cm="1">
        <f t="array" ref="BW73">(INDEX(Data!$C$176:$O$176,$BP$1)-INDEX(Data!$C$177:$O$177,$BP$1))*INDEX(Data!$C$164:$O$164,$BP$1)</f>
        <v>0</v>
      </c>
    </row>
    <row r="74" spans="1:75" ht="15" customHeight="1" x14ac:dyDescent="0.2">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P74" s="130" t="s">
        <v>269</v>
      </c>
      <c r="BQ74" s="132">
        <f>MIN(BU73,BU74)-$BV$71</f>
        <v>0</v>
      </c>
      <c r="BR74" s="132">
        <f>IF(BW74&lt;0,-BW74,0)</f>
        <v>0</v>
      </c>
      <c r="BS74" s="132">
        <f>IF(BW74&gt;=0,BW74,0)</f>
        <v>0</v>
      </c>
      <c r="BT74" s="132">
        <v>0</v>
      </c>
      <c r="BU74" s="132">
        <f>BU73+BW74</f>
        <v>0</v>
      </c>
      <c r="BW74" s="132" cm="1">
        <f t="array" ref="BW74">-(INDEX(Data!$C$90:$O$90,$BP$1)-INDEX(Data!$C$91:$O$91,$BP$1))</f>
        <v>0</v>
      </c>
    </row>
    <row r="75" spans="1:75" ht="15" customHeight="1" x14ac:dyDescent="0.2">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P75" s="130" t="s">
        <v>270</v>
      </c>
      <c r="BQ75" s="132">
        <f>MIN(BU74,BU75)-$BV$71</f>
        <v>0</v>
      </c>
      <c r="BR75" s="132">
        <f>IF(BW75&lt;0,-BW75,0)</f>
        <v>0</v>
      </c>
      <c r="BS75" s="132">
        <f>IF(BW75&gt;=0,BW75,0)</f>
        <v>0</v>
      </c>
      <c r="BT75" s="132">
        <v>0</v>
      </c>
      <c r="BU75" s="132">
        <f>BU74+BW75</f>
        <v>0</v>
      </c>
      <c r="BW75" s="132" cm="1">
        <f t="array" ref="BW75">-(INDEX(Data!$C$115:$O$115,$BP$1)-INDEX(Data!$C$116:$O$116,$BP$1))</f>
        <v>0</v>
      </c>
    </row>
    <row r="76" spans="1:75" ht="15" customHeight="1" x14ac:dyDescent="0.2">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P76" s="130" t="s">
        <v>131</v>
      </c>
      <c r="BQ76" s="132">
        <f>$BV$71*0</f>
        <v>0</v>
      </c>
      <c r="BR76" s="132">
        <v>0</v>
      </c>
      <c r="BS76" s="132">
        <v>0</v>
      </c>
      <c r="BT76" s="132">
        <f>BW72-$BV$71</f>
        <v>0</v>
      </c>
      <c r="BU76" s="132">
        <f>BW72</f>
        <v>0</v>
      </c>
      <c r="BW76" s="132">
        <f>BW72-BW71-BW73-BW74-BW75</f>
        <v>0</v>
      </c>
    </row>
    <row r="77" spans="1:75" ht="15" customHeight="1" x14ac:dyDescent="0.2">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row>
    <row r="78" spans="1:75" ht="15" customHeight="1" x14ac:dyDescent="0.2">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row>
    <row r="79" spans="1:75" ht="15" customHeight="1" x14ac:dyDescent="0.2">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row>
    <row r="80" spans="1:75" ht="15" customHeight="1" x14ac:dyDescent="0.2">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row>
    <row r="81" spans="1:65" ht="15" customHeight="1" x14ac:dyDescent="0.2">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row>
    <row r="82" spans="1:65" ht="15" customHeight="1" x14ac:dyDescent="0.2">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row>
    <row r="83" spans="1:65" ht="15" customHeight="1" x14ac:dyDescent="0.2">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row>
    <row r="84" spans="1:65" ht="15" customHeight="1" x14ac:dyDescent="0.2">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row>
    <row r="85" spans="1:65" ht="15" customHeight="1" x14ac:dyDescent="0.2">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row>
    <row r="86" spans="1:65" ht="15" customHeight="1" x14ac:dyDescent="0.2">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row>
    <row r="87" spans="1:65" ht="15" customHeight="1" x14ac:dyDescent="0.2">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row>
    <row r="88" spans="1:65" ht="15" customHeight="1" x14ac:dyDescent="0.2">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row>
    <row r="89" spans="1:65" ht="15" customHeight="1" x14ac:dyDescent="0.2">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row>
    <row r="90" spans="1:65" ht="15" customHeight="1" x14ac:dyDescent="0.2">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row>
  </sheetData>
  <mergeCells count="62">
    <mergeCell ref="BB2:BL2"/>
    <mergeCell ref="BB3:BL3"/>
    <mergeCell ref="BB4:BL4"/>
    <mergeCell ref="C7:L7"/>
    <mergeCell ref="N7:W7"/>
    <mergeCell ref="Y7:AH7"/>
    <mergeCell ref="AJ7:AS7"/>
    <mergeCell ref="AU7:BD7"/>
    <mergeCell ref="BF7:BL7"/>
    <mergeCell ref="BF9:BL9"/>
    <mergeCell ref="C8:L8"/>
    <mergeCell ref="N8:W8"/>
    <mergeCell ref="Y8:AH8"/>
    <mergeCell ref="AJ8:AS8"/>
    <mergeCell ref="AU8:BD8"/>
    <mergeCell ref="BF8:BL8"/>
    <mergeCell ref="C9:L9"/>
    <mergeCell ref="N9:W9"/>
    <mergeCell ref="Y9:AH9"/>
    <mergeCell ref="AJ9:AS9"/>
    <mergeCell ref="AU9:BD9"/>
    <mergeCell ref="AC17:AE17"/>
    <mergeCell ref="AJ17:AM17"/>
    <mergeCell ref="AC18:AE18"/>
    <mergeCell ref="AJ18:AM18"/>
    <mergeCell ref="AC19:AE19"/>
    <mergeCell ref="AJ19:AM19"/>
    <mergeCell ref="AO19:AX19"/>
    <mergeCell ref="BA19:BJ19"/>
    <mergeCell ref="AC20:AE20"/>
    <mergeCell ref="AJ20:AM20"/>
    <mergeCell ref="AO20:AY20"/>
    <mergeCell ref="BA20:BK20"/>
    <mergeCell ref="AC21:AE21"/>
    <mergeCell ref="AJ21:AM21"/>
    <mergeCell ref="AO21:AY21"/>
    <mergeCell ref="BA21:BK21"/>
    <mergeCell ref="AC22:AE22"/>
    <mergeCell ref="AJ22:AM22"/>
    <mergeCell ref="AO27:AX27"/>
    <mergeCell ref="BA27:BJ27"/>
    <mergeCell ref="AO28:AY28"/>
    <mergeCell ref="BA28:BK28"/>
    <mergeCell ref="AG29:AJ29"/>
    <mergeCell ref="AK29:AM29"/>
    <mergeCell ref="AO29:AY29"/>
    <mergeCell ref="BA29:BK29"/>
    <mergeCell ref="AG30:AJ30"/>
    <mergeCell ref="AK30:AM30"/>
    <mergeCell ref="AG31:AJ31"/>
    <mergeCell ref="AK31:AM31"/>
    <mergeCell ref="AG32:AJ32"/>
    <mergeCell ref="AK32:AM32"/>
    <mergeCell ref="AK33:AM33"/>
    <mergeCell ref="F35:I35"/>
    <mergeCell ref="N35:P35"/>
    <mergeCell ref="T35:V35"/>
    <mergeCell ref="C42:T43"/>
    <mergeCell ref="C45:T46"/>
    <mergeCell ref="C48:T49"/>
    <mergeCell ref="AG33:AJ33"/>
    <mergeCell ref="C51:U53"/>
  </mergeCells>
  <conditionalFormatting sqref="AV42:AV46">
    <cfRule type="containsText" dxfId="35" priority="5" operator="containsText" text="Open">
      <formula>NOT(ISERROR(SEARCH("Open",AV42)))</formula>
    </cfRule>
    <cfRule type="containsText" dxfId="34" priority="6" operator="containsText" text="In progress">
      <formula>NOT(ISERROR(SEARCH("In progress",AV42)))</formula>
    </cfRule>
  </conditionalFormatting>
  <conditionalFormatting sqref="AV50:AV56">
    <cfRule type="containsText" dxfId="33" priority="7" operator="containsText" text="High">
      <formula>NOT(ISERROR(SEARCH("High",AV50)))</formula>
    </cfRule>
    <cfRule type="containsText" dxfId="32" priority="8" operator="containsText" text="Medium">
      <formula>NOT(ISERROR(SEARCH("Medium",AV50)))</formula>
    </cfRule>
    <cfRule type="containsText" dxfId="31" priority="9" operator="containsText" text="Low">
      <formula>NOT(ISERROR(SEARCH("Low",AV50)))</formula>
    </cfRule>
  </conditionalFormatting>
  <hyperlinks>
    <hyperlink ref="C56" r:id="rId1" tooltip="Book a fit call · Infraxus" xr:uid="{AA7848A4-3100-5841-8395-172B7E989EBB}"/>
  </hyperlinks>
  <pageMargins left="0.7" right="0.7" top="0.75" bottom="0.75" header="0.3" footer="0.3"/>
  <pageSetup paperSize="0" scale="47" orientation="landscape" horizontalDpi="0" verticalDpi="0" copie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E9FC704-F0D8-BD40-86F1-D226462FB04F}">
          <x14:formula1>
            <xm:f>Data!$C$30:$O$30</xm:f>
          </x14:formula1>
          <xm:sqref>AW2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6C316-D888-2E4C-BDD8-A529041EDBF1}">
  <sheetPr>
    <tabColor rgb="FF1E50FF"/>
    <pageSetUpPr fitToPage="1"/>
  </sheetPr>
  <dimension ref="A1:BW90"/>
  <sheetViews>
    <sheetView showGridLines="0" zoomScale="150" zoomScaleNormal="150" workbookViewId="0">
      <selection activeCell="BM28" sqref="BM28"/>
    </sheetView>
  </sheetViews>
  <sheetFormatPr baseColWidth="10" defaultRowHeight="15" x14ac:dyDescent="0.2"/>
  <cols>
    <col min="1" max="1" width="2.33203125" style="130" customWidth="1"/>
    <col min="2" max="2" width="1.33203125" style="130" customWidth="1"/>
    <col min="3" max="64" width="3.5" style="130" customWidth="1"/>
    <col min="65" max="16384" width="10.83203125" style="130"/>
  </cols>
  <sheetData>
    <row r="1" spans="1:68" ht="15" customHeight="1" x14ac:dyDescent="0.2">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P1" s="131">
        <f>IFERROR(MATCH(AW2,Data!$C$30:$O$30,0),13)</f>
        <v>13</v>
      </c>
    </row>
    <row r="2" spans="1:68" ht="14" customHeight="1" x14ac:dyDescent="0.2">
      <c r="A2" s="16"/>
      <c r="B2" s="16"/>
      <c r="C2" s="21" t="s">
        <v>248</v>
      </c>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31" t="s">
        <v>126</v>
      </c>
      <c r="AU2" s="16"/>
      <c r="AV2" s="16"/>
      <c r="AW2" s="75" t="s">
        <v>304</v>
      </c>
      <c r="AX2" s="16"/>
      <c r="AY2" s="16"/>
      <c r="AZ2" s="16"/>
      <c r="BA2" s="16"/>
      <c r="BB2" s="170" t="str">
        <f>UPPER(inp_region)&amp;"  ·  "&amp;TEXT($BP$2,"mmm-yy")</f>
        <v>AU  ·  Jun-26</v>
      </c>
      <c r="BC2" s="170"/>
      <c r="BD2" s="170"/>
      <c r="BE2" s="170"/>
      <c r="BF2" s="170"/>
      <c r="BG2" s="170"/>
      <c r="BH2" s="170"/>
      <c r="BI2" s="170"/>
      <c r="BJ2" s="170"/>
      <c r="BK2" s="170"/>
      <c r="BL2" s="170"/>
      <c r="BM2" s="16"/>
      <c r="BN2" s="16"/>
      <c r="BP2" s="131" cm="1">
        <f t="array" ref="BP2">INDEX(calc_dates,$BP$1)</f>
        <v>46174</v>
      </c>
    </row>
    <row r="3" spans="1:68" ht="30" customHeight="1" x14ac:dyDescent="0.4">
      <c r="A3" s="16"/>
      <c r="B3" s="16"/>
      <c r="C3" s="22" t="s">
        <v>298</v>
      </c>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71" t="str">
        <f>"FY"&amp;TEXT(calc_fy_start_date,"yy")&amp;"  ·  YTD to "&amp;TEXT($BP$2,"mmm yyyy")</f>
        <v>FY25  ·  YTD to Jun 2026</v>
      </c>
      <c r="BC3" s="171"/>
      <c r="BD3" s="171"/>
      <c r="BE3" s="171"/>
      <c r="BF3" s="171"/>
      <c r="BG3" s="171"/>
      <c r="BH3" s="171"/>
      <c r="BI3" s="171"/>
      <c r="BJ3" s="171"/>
      <c r="BK3" s="171"/>
      <c r="BL3" s="171"/>
      <c r="BM3" s="16"/>
      <c r="BN3" s="16"/>
    </row>
    <row r="4" spans="1:68" ht="18" customHeight="1" x14ac:dyDescent="0.2">
      <c r="A4" s="16"/>
      <c r="B4" s="16"/>
      <c r="C4" s="24" t="str" cm="1">
        <f t="array" ref="C4">IFERROR("YTD EBITDA "&amp;TEXT(SUM(INDEX(Data!$C$118:$O$118,MATCH(calc_fy_start_date,calc_dates,0)):INDEX(Data!$C$118:$O$118,$BP$1)),"$#,##0")&amp;" · "&amp;TEXT(SUM(INDEX(Data!$C$118:$O$118,MATCH(calc_fy_start_date,calc_dates,0)):INDEX(Data!$C$118:$O$118,$BP$1))-SUM(INDEX(Data!$C$119:$O$119,MATCH(calc_fy_start_date,calc_dates,0)):INDEX(Data!$C$119:$O$119,$BP$1)),"+$#,##0;-$#,##0")&amp;" vs plan        Cash "&amp;TEXT(INDEX(Data!$C$135:$O$135,$BP$1),"$#,##0")&amp;"        YTD margin "&amp;TEXT(SUM(INDEX(Data!$C$93:$O$93,MATCH(calc_fy_start_date,calc_dates,0)):INDEX(Data!$C$93:$O$93,$BP$1))/SUM(INDEX(Data!$C$71:$O$71,MATCH(calc_fy_start_date,calc_dates,0)):INDEX(Data!$C$71:$O$71,$BP$1)),"0.0%"),"–")</f>
        <v>–</v>
      </c>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86" t="str">
        <f>IF(mst_pass_ytd="PASS","● RECONCILED TO LEDGER","● CHECK "&amp;mst_pass_ytd)</f>
        <v>● RECONCILED TO LEDGER</v>
      </c>
      <c r="BC4" s="172"/>
      <c r="BD4" s="172"/>
      <c r="BE4" s="172"/>
      <c r="BF4" s="172"/>
      <c r="BG4" s="172"/>
      <c r="BH4" s="172"/>
      <c r="BI4" s="172"/>
      <c r="BJ4" s="172"/>
      <c r="BK4" s="172"/>
      <c r="BL4" s="172"/>
      <c r="BM4" s="16"/>
      <c r="BN4" s="16"/>
    </row>
    <row r="5" spans="1:68" ht="10" customHeight="1" x14ac:dyDescent="0.2">
      <c r="A5" s="16"/>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row>
    <row r="6" spans="1:68" ht="15" customHeight="1" thickBot="1" x14ac:dyDescent="0.25">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row>
    <row r="7" spans="1:68" ht="15" customHeight="1" x14ac:dyDescent="0.2">
      <c r="A7" s="16"/>
      <c r="B7" s="16"/>
      <c r="C7" s="187" t="s">
        <v>163</v>
      </c>
      <c r="D7" s="188"/>
      <c r="E7" s="188"/>
      <c r="F7" s="188"/>
      <c r="G7" s="188"/>
      <c r="H7" s="188"/>
      <c r="I7" s="188"/>
      <c r="J7" s="188"/>
      <c r="K7" s="188"/>
      <c r="L7" s="188"/>
      <c r="M7" s="16"/>
      <c r="N7" s="187" t="s">
        <v>299</v>
      </c>
      <c r="O7" s="188"/>
      <c r="P7" s="188"/>
      <c r="Q7" s="188"/>
      <c r="R7" s="188"/>
      <c r="S7" s="188"/>
      <c r="T7" s="188"/>
      <c r="U7" s="188"/>
      <c r="V7" s="188"/>
      <c r="W7" s="188"/>
      <c r="X7" s="16"/>
      <c r="Y7" s="187" t="s">
        <v>164</v>
      </c>
      <c r="Z7" s="188"/>
      <c r="AA7" s="188"/>
      <c r="AB7" s="188"/>
      <c r="AC7" s="188"/>
      <c r="AD7" s="188"/>
      <c r="AE7" s="188"/>
      <c r="AF7" s="188"/>
      <c r="AG7" s="188"/>
      <c r="AH7" s="188"/>
      <c r="AI7" s="16"/>
      <c r="AJ7" s="187" t="s">
        <v>165</v>
      </c>
      <c r="AK7" s="188"/>
      <c r="AL7" s="188"/>
      <c r="AM7" s="188"/>
      <c r="AN7" s="188"/>
      <c r="AO7" s="188"/>
      <c r="AP7" s="188"/>
      <c r="AQ7" s="188"/>
      <c r="AR7" s="188"/>
      <c r="AS7" s="188"/>
      <c r="AT7" s="16"/>
      <c r="AU7" s="187" t="s">
        <v>129</v>
      </c>
      <c r="AV7" s="188"/>
      <c r="AW7" s="188"/>
      <c r="AX7" s="188"/>
      <c r="AY7" s="188"/>
      <c r="AZ7" s="188"/>
      <c r="BA7" s="188"/>
      <c r="BB7" s="188"/>
      <c r="BC7" s="188"/>
      <c r="BD7" s="188"/>
      <c r="BE7" s="16"/>
      <c r="BF7" s="187" t="s">
        <v>300</v>
      </c>
      <c r="BG7" s="188"/>
      <c r="BH7" s="188"/>
      <c r="BI7" s="188"/>
      <c r="BJ7" s="188"/>
      <c r="BK7" s="188"/>
      <c r="BL7" s="188"/>
      <c r="BM7" s="16"/>
      <c r="BN7" s="16"/>
    </row>
    <row r="8" spans="1:68" ht="26" customHeight="1" x14ac:dyDescent="0.3">
      <c r="A8" s="16"/>
      <c r="B8" s="16"/>
      <c r="C8" s="177">
        <f>SUM(INDEX(Data!$C$71:$O$71,MATCH(calc_fy_start_date,calc_dates,0)):INDEX(Data!$C$71:$O$71,$BP$1))</f>
        <v>0</v>
      </c>
      <c r="D8" s="178"/>
      <c r="E8" s="178"/>
      <c r="F8" s="178"/>
      <c r="G8" s="178"/>
      <c r="H8" s="178"/>
      <c r="I8" s="178"/>
      <c r="J8" s="178"/>
      <c r="K8" s="178"/>
      <c r="L8" s="178"/>
      <c r="M8" s="16"/>
      <c r="N8" s="179" t="str">
        <f>IFERROR(SUM(INDEX(Data!$C$93:$O$93,MATCH(calc_fy_start_date,calc_dates,0)):INDEX(Data!$C$93:$O$93,$BP$1))/SUM(INDEX(Data!$C$71:$O$71,MATCH(calc_fy_start_date,calc_dates,0)):INDEX(Data!$C$71:$O$71,$BP$1)),"–")</f>
        <v>–</v>
      </c>
      <c r="O8" s="180"/>
      <c r="P8" s="180"/>
      <c r="Q8" s="180"/>
      <c r="R8" s="180"/>
      <c r="S8" s="180"/>
      <c r="T8" s="180"/>
      <c r="U8" s="180"/>
      <c r="V8" s="180"/>
      <c r="W8" s="180"/>
      <c r="X8" s="16"/>
      <c r="Y8" s="177">
        <f>SUM(INDEX(Data!$C$118:$O$118,MATCH(calc_fy_start_date,calc_dates,0)):INDEX(Data!$C$118:$O$118,$BP$1))</f>
        <v>0</v>
      </c>
      <c r="Z8" s="178"/>
      <c r="AA8" s="178"/>
      <c r="AB8" s="178"/>
      <c r="AC8" s="178"/>
      <c r="AD8" s="178"/>
      <c r="AE8" s="178"/>
      <c r="AF8" s="178"/>
      <c r="AG8" s="178"/>
      <c r="AH8" s="178"/>
      <c r="AI8" s="16"/>
      <c r="AJ8" s="177">
        <f>SUM(INDEX(Data!$C$131:$O$131,MATCH(calc_fy_start_date,calc_dates,0)):INDEX(Data!$C$131:$O$131,$BP$1))</f>
        <v>0</v>
      </c>
      <c r="AK8" s="178"/>
      <c r="AL8" s="178"/>
      <c r="AM8" s="178"/>
      <c r="AN8" s="178"/>
      <c r="AO8" s="178"/>
      <c r="AP8" s="178"/>
      <c r="AQ8" s="178"/>
      <c r="AR8" s="178"/>
      <c r="AS8" s="178"/>
      <c r="AT8" s="16"/>
      <c r="AU8" s="177" cm="1">
        <f t="array" ref="AU8">INDEX(Data!$C$135:$O$135,$BP$1)</f>
        <v>0</v>
      </c>
      <c r="AV8" s="178"/>
      <c r="AW8" s="178"/>
      <c r="AX8" s="178"/>
      <c r="AY8" s="178"/>
      <c r="AZ8" s="178"/>
      <c r="BA8" s="178"/>
      <c r="BB8" s="178"/>
      <c r="BC8" s="178"/>
      <c r="BD8" s="178"/>
      <c r="BE8" s="16"/>
      <c r="BF8" s="177">
        <f>IFERROR(SUM(INDEX(Data!$C$118:$O$118,MATCH(calc_fy_start_date,calc_dates,0)):INDEX(Data!$C$118:$O$118,$BP$1))+SUM(INDEX(Data!$C$182:$O$182,MATCH(calc_fy_start_date,calc_dates,0)):INDEX(Data!$C$182:$O$182,$BP$1)),"–")</f>
        <v>0</v>
      </c>
      <c r="BG8" s="181"/>
      <c r="BH8" s="181"/>
      <c r="BI8" s="181"/>
      <c r="BJ8" s="181"/>
      <c r="BK8" s="181"/>
      <c r="BL8" s="181"/>
      <c r="BM8" s="16"/>
      <c r="BN8" s="16"/>
    </row>
    <row r="9" spans="1:68" ht="15" customHeight="1" x14ac:dyDescent="0.2">
      <c r="A9" s="16"/>
      <c r="B9" s="16"/>
      <c r="C9" s="182" t="str">
        <f>IFERROR(TEXT(SUM(INDEX(Data!$C$71:$O$71,MATCH(calc_fy_start_date,calc_dates,0)):INDEX(Data!$C$71:$O$71,$BP$1))/SUM(INDEX(Data!$C$72:$O$72,MATCH(calc_fy_start_date,calc_dates,0)):INDEX(Data!$C$72:$O$72,$BP$1))-1,"+0.0%;-0.0%")&amp;" vs plan","–")</f>
        <v>–</v>
      </c>
      <c r="D9" s="183"/>
      <c r="E9" s="183"/>
      <c r="F9" s="183"/>
      <c r="G9" s="183"/>
      <c r="H9" s="183"/>
      <c r="I9" s="183"/>
      <c r="J9" s="183"/>
      <c r="K9" s="183"/>
      <c r="L9" s="183"/>
      <c r="M9" s="16"/>
      <c r="N9" s="175" t="str">
        <f>IFERROR(TEXT(SUM(INDEX(Data!$C$93:$O$93,MATCH(calc_fy_start_date,calc_dates,0)):INDEX(Data!$C$93:$O$93,$BP$1))/SUM(INDEX(Data!$C$71:$O$71,MATCH(calc_fy_start_date,calc_dates,0)):INDEX(Data!$C$71:$O$71,$BP$1))-SUM(INDEX(Data!$C$94:$O$94,MATCH(calc_fy_start_date,calc_dates,0)):INDEX(Data!$C$94:$O$94,$BP$1))/SUM(INDEX(Data!$C$72:$O$72,MATCH(calc_fy_start_date,calc_dates,0)):INDEX(Data!$C$72:$O$72,$BP$1)),"+0.0pp;-0.0pp")&amp;" vs plan","–")</f>
        <v>–</v>
      </c>
      <c r="O9" s="183"/>
      <c r="P9" s="183"/>
      <c r="Q9" s="183"/>
      <c r="R9" s="183"/>
      <c r="S9" s="183"/>
      <c r="T9" s="183"/>
      <c r="U9" s="183"/>
      <c r="V9" s="183"/>
      <c r="W9" s="183"/>
      <c r="X9" s="16"/>
      <c r="Y9" s="182" t="str">
        <f>IFERROR(TEXT(SUM(INDEX(Data!$C$118:$O$118,MATCH(calc_fy_start_date,calc_dates,0)):INDEX(Data!$C$118:$O$118,$BP$1))-SUM(INDEX(Data!$C$119:$O$119,MATCH(calc_fy_start_date,calc_dates,0)):INDEX(Data!$C$119:$O$119,$BP$1)),"+$#,##0;-$#,##0")&amp;" vs plan","–")</f>
        <v>+$0 vs plan</v>
      </c>
      <c r="Z9" s="183"/>
      <c r="AA9" s="183"/>
      <c r="AB9" s="183"/>
      <c r="AC9" s="183"/>
      <c r="AD9" s="183"/>
      <c r="AE9" s="183"/>
      <c r="AF9" s="183"/>
      <c r="AG9" s="183"/>
      <c r="AH9" s="183"/>
      <c r="AI9" s="16"/>
      <c r="AJ9" s="182" t="str">
        <f>IFERROR(TEXT(SUM(INDEX(Data!$C$131:$O$131,MATCH(calc_fy_start_date,calc_dates,0)):INDEX(Data!$C$131:$O$131,$BP$1))-SUM(INDEX(Data!$C$132:$O$132,MATCH(calc_fy_start_date,calc_dates,0)):INDEX(Data!$C$132:$O$132,$BP$1)),"+$#,##0;-$#,##0")&amp;" vs plan","–")</f>
        <v>+$0 vs plan</v>
      </c>
      <c r="AK9" s="183"/>
      <c r="AL9" s="183"/>
      <c r="AM9" s="183"/>
      <c r="AN9" s="183"/>
      <c r="AO9" s="183"/>
      <c r="AP9" s="183"/>
      <c r="AQ9" s="183"/>
      <c r="AR9" s="183"/>
      <c r="AS9" s="183"/>
      <c r="AT9" s="16"/>
      <c r="AU9" s="184" t="str" cm="1">
        <f t="array" ref="AU9">IFERROR(TEXT(INDEX(Data!$C$135:$O$135,$BP$1)-INDEX(Data!$C$135:$O$135,MATCH(calc_fy_start_date,calc_dates,0)-1),"+$#,##0;-$#,##0")&amp;" FYTD","–")</f>
        <v>+$0 FYTD</v>
      </c>
      <c r="AV9" s="185"/>
      <c r="AW9" s="185"/>
      <c r="AX9" s="185"/>
      <c r="AY9" s="185"/>
      <c r="AZ9" s="185"/>
      <c r="BA9" s="185"/>
      <c r="BB9" s="185"/>
      <c r="BC9" s="185"/>
      <c r="BD9" s="185"/>
      <c r="BE9" s="16"/>
      <c r="BF9" s="175" t="str">
        <f>IFERROR("add-back "&amp;TEXT(SUM(INDEX(Data!$C$182:$O$182,MATCH(calc_fy_start_date,calc_dates,0)):INDEX(Data!$C$182:$O$182,$BP$1)),"$#,##0"),"–")</f>
        <v>add-back $0</v>
      </c>
      <c r="BG9" s="176"/>
      <c r="BH9" s="176"/>
      <c r="BI9" s="176"/>
      <c r="BJ9" s="176"/>
      <c r="BK9" s="176"/>
      <c r="BL9" s="176"/>
      <c r="BM9" s="16"/>
      <c r="BN9" s="16"/>
    </row>
    <row r="10" spans="1:68" ht="15" customHeight="1" x14ac:dyDescent="0.2">
      <c r="A10" s="16"/>
      <c r="B10" s="16"/>
      <c r="C10" s="27"/>
      <c r="D10" s="27"/>
      <c r="E10" s="27"/>
      <c r="F10" s="27"/>
      <c r="G10" s="27"/>
      <c r="H10" s="27"/>
      <c r="I10" s="27"/>
      <c r="J10" s="27"/>
      <c r="K10" s="27"/>
      <c r="L10" s="27"/>
      <c r="M10" s="16"/>
      <c r="N10" s="27"/>
      <c r="O10" s="27"/>
      <c r="P10" s="27"/>
      <c r="Q10" s="27"/>
      <c r="R10" s="27"/>
      <c r="S10" s="27"/>
      <c r="T10" s="27"/>
      <c r="U10" s="27"/>
      <c r="V10" s="27"/>
      <c r="W10" s="27"/>
      <c r="X10" s="16"/>
      <c r="Y10" s="27"/>
      <c r="Z10" s="27"/>
      <c r="AA10" s="27"/>
      <c r="AB10" s="27"/>
      <c r="AC10" s="27"/>
      <c r="AD10" s="27"/>
      <c r="AE10" s="27"/>
      <c r="AF10" s="27"/>
      <c r="AG10" s="27"/>
      <c r="AH10" s="27"/>
      <c r="AI10" s="16"/>
      <c r="AJ10" s="27"/>
      <c r="AK10" s="27"/>
      <c r="AL10" s="27"/>
      <c r="AM10" s="27"/>
      <c r="AN10" s="27"/>
      <c r="AO10" s="27"/>
      <c r="AP10" s="27"/>
      <c r="AQ10" s="27"/>
      <c r="AR10" s="27"/>
      <c r="AS10" s="27"/>
      <c r="AT10" s="16"/>
      <c r="AU10" s="27"/>
      <c r="AV10" s="27"/>
      <c r="AW10" s="27"/>
      <c r="AX10" s="27"/>
      <c r="AY10" s="27"/>
      <c r="AZ10" s="27"/>
      <c r="BA10" s="27"/>
      <c r="BB10" s="27"/>
      <c r="BC10" s="27"/>
      <c r="BD10" s="27"/>
      <c r="BE10" s="16"/>
      <c r="BF10" s="27"/>
      <c r="BG10" s="27"/>
      <c r="BH10" s="27"/>
      <c r="BI10" s="27"/>
      <c r="BJ10" s="27"/>
      <c r="BK10" s="27"/>
      <c r="BL10" s="27"/>
      <c r="BM10" s="16"/>
      <c r="BN10" s="16"/>
    </row>
    <row r="11" spans="1:68" ht="15" customHeight="1" x14ac:dyDescent="0.2">
      <c r="A11" s="16"/>
      <c r="B11" s="16"/>
      <c r="C11" s="27"/>
      <c r="D11" s="27"/>
      <c r="E11" s="27"/>
      <c r="F11" s="27"/>
      <c r="G11" s="27"/>
      <c r="H11" s="27"/>
      <c r="I11" s="27"/>
      <c r="J11" s="27"/>
      <c r="K11" s="27"/>
      <c r="L11" s="27"/>
      <c r="M11" s="16"/>
      <c r="N11" s="27"/>
      <c r="O11" s="27"/>
      <c r="P11" s="27"/>
      <c r="Q11" s="27"/>
      <c r="R11" s="27"/>
      <c r="S11" s="27"/>
      <c r="T11" s="27"/>
      <c r="U11" s="27"/>
      <c r="V11" s="27"/>
      <c r="W11" s="27"/>
      <c r="X11" s="16"/>
      <c r="Y11" s="27"/>
      <c r="Z11" s="27"/>
      <c r="AA11" s="27"/>
      <c r="AB11" s="27"/>
      <c r="AC11" s="27"/>
      <c r="AD11" s="27"/>
      <c r="AE11" s="27"/>
      <c r="AF11" s="27"/>
      <c r="AG11" s="27"/>
      <c r="AH11" s="27"/>
      <c r="AI11" s="16"/>
      <c r="AJ11" s="27"/>
      <c r="AK11" s="27"/>
      <c r="AL11" s="27"/>
      <c r="AM11" s="27"/>
      <c r="AN11" s="27"/>
      <c r="AO11" s="27"/>
      <c r="AP11" s="27"/>
      <c r="AQ11" s="27"/>
      <c r="AR11" s="27"/>
      <c r="AS11" s="27"/>
      <c r="AT11" s="16"/>
      <c r="AU11" s="27"/>
      <c r="AV11" s="27"/>
      <c r="AW11" s="27"/>
      <c r="AX11" s="27"/>
      <c r="AY11" s="27"/>
      <c r="AZ11" s="27"/>
      <c r="BA11" s="27"/>
      <c r="BB11" s="27"/>
      <c r="BC11" s="27"/>
      <c r="BD11" s="27"/>
      <c r="BE11" s="16"/>
      <c r="BF11" s="27"/>
      <c r="BG11" s="27"/>
      <c r="BH11" s="27"/>
      <c r="BI11" s="27"/>
      <c r="BJ11" s="27"/>
      <c r="BK11" s="27"/>
      <c r="BL11" s="27"/>
      <c r="BM11" s="16"/>
      <c r="BN11" s="16"/>
    </row>
    <row r="12" spans="1:68" ht="15" customHeight="1" x14ac:dyDescent="0.2">
      <c r="A12" s="16"/>
      <c r="B12" s="16"/>
      <c r="C12" s="27"/>
      <c r="D12" s="27"/>
      <c r="E12" s="27"/>
      <c r="F12" s="27"/>
      <c r="G12" s="27"/>
      <c r="H12" s="27"/>
      <c r="I12" s="27"/>
      <c r="J12" s="27"/>
      <c r="K12" s="27"/>
      <c r="L12" s="27"/>
      <c r="M12" s="16"/>
      <c r="N12" s="27"/>
      <c r="O12" s="27"/>
      <c r="P12" s="27"/>
      <c r="Q12" s="27"/>
      <c r="R12" s="27"/>
      <c r="S12" s="27"/>
      <c r="T12" s="27"/>
      <c r="U12" s="27"/>
      <c r="V12" s="27"/>
      <c r="W12" s="27"/>
      <c r="X12" s="16"/>
      <c r="Y12" s="27"/>
      <c r="Z12" s="27"/>
      <c r="AA12" s="27"/>
      <c r="AB12" s="27"/>
      <c r="AC12" s="27"/>
      <c r="AD12" s="27"/>
      <c r="AE12" s="27"/>
      <c r="AF12" s="27"/>
      <c r="AG12" s="27"/>
      <c r="AH12" s="27"/>
      <c r="AI12" s="16"/>
      <c r="AJ12" s="27"/>
      <c r="AK12" s="27"/>
      <c r="AL12" s="27"/>
      <c r="AM12" s="27"/>
      <c r="AN12" s="27"/>
      <c r="AO12" s="27"/>
      <c r="AP12" s="27"/>
      <c r="AQ12" s="27"/>
      <c r="AR12" s="27"/>
      <c r="AS12" s="27"/>
      <c r="AT12" s="16"/>
      <c r="AU12" s="27"/>
      <c r="AV12" s="27"/>
      <c r="AW12" s="27"/>
      <c r="AX12" s="27"/>
      <c r="AY12" s="27"/>
      <c r="AZ12" s="27"/>
      <c r="BA12" s="27"/>
      <c r="BB12" s="27"/>
      <c r="BC12" s="27"/>
      <c r="BD12" s="27"/>
      <c r="BE12" s="16"/>
      <c r="BF12" s="27"/>
      <c r="BG12" s="27"/>
      <c r="BH12" s="27"/>
      <c r="BI12" s="27"/>
      <c r="BJ12" s="27"/>
      <c r="BK12" s="27"/>
      <c r="BL12" s="27"/>
      <c r="BM12" s="16"/>
      <c r="BN12" s="16"/>
    </row>
    <row r="13" spans="1:68" ht="15" customHeight="1" x14ac:dyDescent="0.2">
      <c r="A13" s="16"/>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row>
    <row r="14" spans="1:68" ht="15" customHeight="1" x14ac:dyDescent="0.2">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row>
    <row r="15" spans="1:68" ht="15" customHeight="1" x14ac:dyDescent="0.2">
      <c r="A15" s="16"/>
      <c r="B15" s="16"/>
      <c r="C15" s="51" t="s">
        <v>302</v>
      </c>
      <c r="D15" s="52"/>
      <c r="E15" s="52"/>
      <c r="F15" s="52"/>
      <c r="G15" s="52"/>
      <c r="H15" s="52"/>
      <c r="I15" s="52"/>
      <c r="J15" s="53"/>
      <c r="K15" s="52"/>
      <c r="L15" s="52"/>
      <c r="M15" s="52"/>
      <c r="N15" s="52"/>
      <c r="O15" s="52"/>
      <c r="P15" s="52"/>
      <c r="Q15" s="52"/>
      <c r="R15" s="52"/>
      <c r="S15" s="52"/>
      <c r="T15" s="52"/>
      <c r="U15" s="16"/>
      <c r="V15" s="51" t="s">
        <v>271</v>
      </c>
      <c r="W15" s="52"/>
      <c r="X15" s="52"/>
      <c r="Y15" s="52"/>
      <c r="Z15" s="52"/>
      <c r="AA15" s="52"/>
      <c r="AB15" s="52"/>
      <c r="AC15" s="52"/>
      <c r="AD15" s="52"/>
      <c r="AE15" s="52"/>
      <c r="AF15" s="52"/>
      <c r="AG15" s="52"/>
      <c r="AH15" s="52"/>
      <c r="AI15" s="52"/>
      <c r="AJ15" s="52"/>
      <c r="AK15" s="52"/>
      <c r="AL15" s="52"/>
      <c r="AM15" s="52"/>
      <c r="AN15" s="16"/>
      <c r="AO15" s="51" t="s">
        <v>303</v>
      </c>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16"/>
      <c r="BN15" s="16"/>
    </row>
    <row r="16" spans="1:68" ht="15" customHeight="1" x14ac:dyDescent="0.2">
      <c r="A16" s="16"/>
      <c r="B16" s="16"/>
      <c r="C16" s="33" t="s">
        <v>274</v>
      </c>
      <c r="D16" s="27"/>
      <c r="E16" s="27"/>
      <c r="F16" s="27"/>
      <c r="G16" s="27"/>
      <c r="H16" s="27"/>
      <c r="I16" s="27"/>
      <c r="J16" s="27"/>
      <c r="K16" s="27"/>
      <c r="L16" s="27"/>
      <c r="M16" s="27"/>
      <c r="N16" s="27"/>
      <c r="O16" s="27"/>
      <c r="P16" s="27"/>
      <c r="Q16" s="27"/>
      <c r="R16" s="27"/>
      <c r="S16" s="27"/>
      <c r="T16" s="27"/>
      <c r="U16" s="16"/>
      <c r="V16" s="33" t="s">
        <v>275</v>
      </c>
      <c r="W16" s="27"/>
      <c r="X16" s="27"/>
      <c r="Y16" s="27"/>
      <c r="Z16" s="27"/>
      <c r="AA16" s="27"/>
      <c r="AB16" s="27"/>
      <c r="AC16" s="27"/>
      <c r="AD16" s="27"/>
      <c r="AE16" s="27"/>
      <c r="AF16" s="27"/>
      <c r="AG16" s="27"/>
      <c r="AH16" s="27"/>
      <c r="AI16" s="27"/>
      <c r="AJ16" s="27"/>
      <c r="AK16" s="27"/>
      <c r="AL16" s="27"/>
      <c r="AM16" s="27"/>
      <c r="AN16" s="16"/>
      <c r="AO16" s="33" t="s">
        <v>276</v>
      </c>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16"/>
      <c r="BN16" s="16"/>
    </row>
    <row r="17" spans="1:66" ht="15" customHeight="1" x14ac:dyDescent="0.2">
      <c r="A17" s="16"/>
      <c r="B17" s="16"/>
      <c r="C17" s="34"/>
      <c r="D17" s="27"/>
      <c r="E17" s="27"/>
      <c r="F17" s="27"/>
      <c r="G17" s="27"/>
      <c r="H17" s="35"/>
      <c r="I17" s="27"/>
      <c r="J17" s="27"/>
      <c r="K17" s="27"/>
      <c r="L17" s="27"/>
      <c r="M17" s="27"/>
      <c r="N17" s="27"/>
      <c r="O17" s="27"/>
      <c r="P17" s="27"/>
      <c r="Q17" s="27"/>
      <c r="R17" s="27"/>
      <c r="S17" s="27"/>
      <c r="T17" s="27"/>
      <c r="U17" s="16"/>
      <c r="V17" s="27"/>
      <c r="W17" s="27"/>
      <c r="X17" s="27"/>
      <c r="Y17" s="27"/>
      <c r="Z17" s="27"/>
      <c r="AA17" s="27"/>
      <c r="AB17" s="27"/>
      <c r="AC17" s="157" t="s">
        <v>132</v>
      </c>
      <c r="AD17" s="157"/>
      <c r="AE17" s="157"/>
      <c r="AF17" s="27"/>
      <c r="AG17" s="41" t="s">
        <v>277</v>
      </c>
      <c r="AH17" s="27"/>
      <c r="AI17" s="27"/>
      <c r="AJ17" s="157" t="s">
        <v>136</v>
      </c>
      <c r="AK17" s="157"/>
      <c r="AL17" s="157"/>
      <c r="AM17" s="157"/>
      <c r="AN17" s="16"/>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16"/>
      <c r="BN17" s="16"/>
    </row>
    <row r="18" spans="1:66" ht="15" customHeight="1" x14ac:dyDescent="0.2">
      <c r="A18" s="16"/>
      <c r="B18" s="16"/>
      <c r="C18" s="36"/>
      <c r="D18" s="27"/>
      <c r="E18" s="27"/>
      <c r="F18" s="27"/>
      <c r="G18" s="27"/>
      <c r="H18" s="37"/>
      <c r="I18" s="27"/>
      <c r="J18" s="27"/>
      <c r="K18" s="27"/>
      <c r="L18" s="27"/>
      <c r="M18" s="27"/>
      <c r="N18" s="27"/>
      <c r="O18" s="27"/>
      <c r="P18" s="27"/>
      <c r="Q18" s="27"/>
      <c r="R18" s="27"/>
      <c r="S18" s="27"/>
      <c r="T18" s="27"/>
      <c r="U18" s="16"/>
      <c r="V18" s="36" t="s">
        <v>251</v>
      </c>
      <c r="W18" s="27"/>
      <c r="X18" s="56" t="str">
        <f>IFERROR(REPT("█",ROUND(AC18/$AC$22*18,0)),"–")</f>
        <v>–</v>
      </c>
      <c r="Y18" s="27"/>
      <c r="Z18" s="27"/>
      <c r="AA18" s="27"/>
      <c r="AB18" s="27"/>
      <c r="AC18" s="143" cm="1">
        <f t="array" ref="AC18">INDEX(Data!$C$148:$O$148,$BP$1)</f>
        <v>0</v>
      </c>
      <c r="AD18" s="143"/>
      <c r="AE18" s="143"/>
      <c r="AF18" s="27"/>
      <c r="AG18" s="43">
        <f>inp_collprob_0</f>
        <v>0.98</v>
      </c>
      <c r="AH18" s="27"/>
      <c r="AI18" s="27"/>
      <c r="AJ18" s="154">
        <f>AC18*AG18</f>
        <v>0</v>
      </c>
      <c r="AK18" s="154"/>
      <c r="AL18" s="154"/>
      <c r="AM18" s="154"/>
      <c r="AN18" s="16"/>
      <c r="AO18" s="26" t="s">
        <v>252</v>
      </c>
      <c r="AP18" s="26"/>
      <c r="AQ18" s="26"/>
      <c r="AR18" s="26"/>
      <c r="AS18" s="26"/>
      <c r="AT18" s="26"/>
      <c r="AU18" s="26"/>
      <c r="AV18" s="26"/>
      <c r="AW18" s="26"/>
      <c r="AX18" s="26"/>
      <c r="AY18" s="26"/>
      <c r="AZ18" s="27"/>
      <c r="BA18" s="26" t="s">
        <v>253</v>
      </c>
      <c r="BB18" s="27"/>
      <c r="BC18" s="26"/>
      <c r="BD18" s="26"/>
      <c r="BE18" s="26"/>
      <c r="BF18" s="26"/>
      <c r="BG18" s="26"/>
      <c r="BH18" s="26"/>
      <c r="BI18" s="26"/>
      <c r="BJ18" s="26"/>
      <c r="BK18" s="26"/>
      <c r="BL18" s="26"/>
      <c r="BM18" s="16"/>
      <c r="BN18" s="16"/>
    </row>
    <row r="19" spans="1:66" ht="24" customHeight="1" x14ac:dyDescent="0.25">
      <c r="A19" s="16"/>
      <c r="B19" s="16"/>
      <c r="C19" s="36"/>
      <c r="D19" s="27"/>
      <c r="E19" s="27"/>
      <c r="F19" s="27"/>
      <c r="G19" s="27"/>
      <c r="H19" s="38"/>
      <c r="I19" s="27"/>
      <c r="J19" s="27"/>
      <c r="K19" s="27"/>
      <c r="L19" s="27"/>
      <c r="M19" s="27"/>
      <c r="N19" s="27"/>
      <c r="O19" s="27"/>
      <c r="P19" s="27"/>
      <c r="Q19" s="27"/>
      <c r="R19" s="27"/>
      <c r="S19" s="27"/>
      <c r="T19" s="27"/>
      <c r="U19" s="16"/>
      <c r="V19" s="36" t="s">
        <v>246</v>
      </c>
      <c r="W19" s="27"/>
      <c r="X19" s="57" t="str">
        <f>IFERROR(REPT("█",ROUND(AC19/$AC$22*18,0)),"–")</f>
        <v>–</v>
      </c>
      <c r="Y19" s="27"/>
      <c r="Z19" s="27"/>
      <c r="AA19" s="27"/>
      <c r="AB19" s="27"/>
      <c r="AC19" s="143" cm="1">
        <f t="array" ref="AC19">INDEX(Data!$C$151:$O$151,$BP$1)</f>
        <v>0</v>
      </c>
      <c r="AD19" s="143"/>
      <c r="AE19" s="143"/>
      <c r="AF19" s="27"/>
      <c r="AG19" s="43">
        <f>inp_collprob_1</f>
        <v>0.9</v>
      </c>
      <c r="AH19" s="27"/>
      <c r="AI19" s="27"/>
      <c r="AJ19" s="154">
        <f>AC19*AG19</f>
        <v>0</v>
      </c>
      <c r="AK19" s="154"/>
      <c r="AL19" s="154"/>
      <c r="AM19" s="154"/>
      <c r="AN19" s="16"/>
      <c r="AO19" s="150" t="str">
        <f>IFERROR(SUM(INDEX(Data!$C$164:$O$164,MATCH(calc_fy_start_date,calc_dates,0)):INDEX(Data!$C$164:$O$164,$BP$1))/SUM(INDEX(Data!$C$167:$O$167,MATCH(calc_fy_start_date,calc_dates,0)):INDEX(Data!$C$167:$O$167,$BP$1)),"–")</f>
        <v>–</v>
      </c>
      <c r="AP19" s="150"/>
      <c r="AQ19" s="150"/>
      <c r="AR19" s="150"/>
      <c r="AS19" s="150"/>
      <c r="AT19" s="150"/>
      <c r="AU19" s="150"/>
      <c r="AV19" s="150"/>
      <c r="AW19" s="150"/>
      <c r="AX19" s="150"/>
      <c r="AY19" s="54"/>
      <c r="AZ19" s="27"/>
      <c r="BA19" s="150" t="str">
        <f>IFERROR(SUM(INDEX(Data!$C$71:$O$71,MATCH(calc_fy_start_date,calc_dates,0)):INDEX(Data!$C$71:$O$71,$BP$1))/(SUM(INDEX(Data!$C$164:$O$164,MATCH(calc_fy_start_date,calc_dates,0)):INDEX(Data!$C$164:$O$164,$BP$1))*(SUM(INDEX(Data!$C$176:$O$176,MATCH(calc_fy_start_date,calc_dates,0)):INDEX(Data!$C$176:$O$176,$BP$1))/($BP$1-MATCH(calc_fy_start_date,calc_dates,0)+1))),"–")</f>
        <v>–</v>
      </c>
      <c r="BB19" s="150"/>
      <c r="BC19" s="150"/>
      <c r="BD19" s="150"/>
      <c r="BE19" s="150"/>
      <c r="BF19" s="150"/>
      <c r="BG19" s="150"/>
      <c r="BH19" s="150"/>
      <c r="BI19" s="150"/>
      <c r="BJ19" s="150"/>
      <c r="BK19" s="54"/>
      <c r="BL19" s="54"/>
      <c r="BM19" s="16"/>
      <c r="BN19" s="16"/>
    </row>
    <row r="20" spans="1:66" ht="15" customHeight="1" x14ac:dyDescent="0.2">
      <c r="A20" s="16"/>
      <c r="B20" s="16"/>
      <c r="C20" s="36"/>
      <c r="D20" s="27"/>
      <c r="E20" s="27"/>
      <c r="F20" s="27"/>
      <c r="G20" s="27"/>
      <c r="H20" s="37"/>
      <c r="I20" s="27"/>
      <c r="J20" s="27"/>
      <c r="K20" s="27"/>
      <c r="L20" s="27"/>
      <c r="M20" s="27"/>
      <c r="N20" s="27"/>
      <c r="O20" s="27"/>
      <c r="P20" s="27"/>
      <c r="Q20" s="27"/>
      <c r="R20" s="27"/>
      <c r="S20" s="27"/>
      <c r="T20" s="27"/>
      <c r="U20" s="16"/>
      <c r="V20" s="36" t="s">
        <v>245</v>
      </c>
      <c r="W20" s="27"/>
      <c r="X20" s="58" t="str">
        <f>IFERROR(REPT("█",ROUND(AC20/$AC$22*18,0)),"–")</f>
        <v>–</v>
      </c>
      <c r="Y20" s="27"/>
      <c r="Z20" s="27"/>
      <c r="AA20" s="27"/>
      <c r="AB20" s="27"/>
      <c r="AC20" s="143" cm="1">
        <f t="array" ref="AC20">INDEX(Data!$C$154:$O$154,$BP$1)</f>
        <v>0</v>
      </c>
      <c r="AD20" s="143"/>
      <c r="AE20" s="143"/>
      <c r="AF20" s="27"/>
      <c r="AG20" s="43">
        <f>inp_collprob_2</f>
        <v>0.65</v>
      </c>
      <c r="AH20" s="27"/>
      <c r="AI20" s="27"/>
      <c r="AJ20" s="154">
        <f>AC20*AG20</f>
        <v>0</v>
      </c>
      <c r="AK20" s="154"/>
      <c r="AL20" s="154"/>
      <c r="AM20" s="154"/>
      <c r="AN20" s="16"/>
      <c r="AO20" s="152" t="str">
        <f>IFERROR(REPT("█",MIN(14,MAX(0,ROUND((AO19/0.75)*14,0))))&amp;REPT("░",14-MIN(14,MAX(0,ROUND((AO19/0.75)*14,0)))),"–")</f>
        <v>–</v>
      </c>
      <c r="AP20" s="152"/>
      <c r="AQ20" s="152"/>
      <c r="AR20" s="152"/>
      <c r="AS20" s="152"/>
      <c r="AT20" s="152"/>
      <c r="AU20" s="152"/>
      <c r="AV20" s="152"/>
      <c r="AW20" s="152"/>
      <c r="AX20" s="152"/>
      <c r="AY20" s="152"/>
      <c r="AZ20" s="27"/>
      <c r="BA20" s="152" t="str">
        <f>IFERROR(REPT("█",MIN(14,MAX(0,ROUND((BA19/0.9)*14,0))))&amp;REPT("░",14-MIN(14,MAX(0,ROUND((BA19/0.9)*14,0)))),"–")</f>
        <v>–</v>
      </c>
      <c r="BB20" s="152"/>
      <c r="BC20" s="152"/>
      <c r="BD20" s="152"/>
      <c r="BE20" s="152"/>
      <c r="BF20" s="152"/>
      <c r="BG20" s="152"/>
      <c r="BH20" s="152"/>
      <c r="BI20" s="152"/>
      <c r="BJ20" s="152"/>
      <c r="BK20" s="152"/>
      <c r="BL20" s="33"/>
      <c r="BM20" s="16"/>
      <c r="BN20" s="16"/>
    </row>
    <row r="21" spans="1:66" ht="15" customHeight="1" x14ac:dyDescent="0.2">
      <c r="A21" s="16"/>
      <c r="B21" s="16"/>
      <c r="C21" s="36"/>
      <c r="D21" s="27"/>
      <c r="E21" s="27"/>
      <c r="F21" s="27"/>
      <c r="G21" s="27"/>
      <c r="H21" s="38"/>
      <c r="I21" s="27"/>
      <c r="J21" s="27"/>
      <c r="K21" s="27"/>
      <c r="L21" s="27"/>
      <c r="M21" s="27"/>
      <c r="N21" s="27"/>
      <c r="O21" s="27"/>
      <c r="P21" s="27"/>
      <c r="Q21" s="27"/>
      <c r="R21" s="27"/>
      <c r="S21" s="27"/>
      <c r="T21" s="27"/>
      <c r="U21" s="16"/>
      <c r="V21" s="36" t="s">
        <v>244</v>
      </c>
      <c r="W21" s="27"/>
      <c r="X21" s="28" t="str">
        <f>IFERROR(REPT("█",ROUND(AC21/$AC$22*18,0)),"–")</f>
        <v>–</v>
      </c>
      <c r="Y21" s="27"/>
      <c r="Z21" s="27"/>
      <c r="AA21" s="27"/>
      <c r="AB21" s="27"/>
      <c r="AC21" s="143" cm="1">
        <f t="array" ref="AC21">INDEX(Data!$C$157:$O$157,$BP$1)</f>
        <v>0</v>
      </c>
      <c r="AD21" s="143"/>
      <c r="AE21" s="143"/>
      <c r="AF21" s="27"/>
      <c r="AG21" s="43">
        <f>inp_collprob_3</f>
        <v>0.3</v>
      </c>
      <c r="AH21" s="27"/>
      <c r="AI21" s="27"/>
      <c r="AJ21" s="154">
        <f>AC21*AG21</f>
        <v>0</v>
      </c>
      <c r="AK21" s="154"/>
      <c r="AL21" s="154"/>
      <c r="AM21" s="154"/>
      <c r="AN21" s="16"/>
      <c r="AO21" s="153" t="str" cm="1">
        <f t="array" ref="AO21">IFERROR("vs 75% target  ·  "&amp;TEXT(INDEX(Data!$C$164:$O$164,$BP$1)/INDEX(Data!$C$167:$O$167,$BP$1)-0.75,"+0.0%;-0.0%"),"–")</f>
        <v>–</v>
      </c>
      <c r="AP21" s="153"/>
      <c r="AQ21" s="153"/>
      <c r="AR21" s="153"/>
      <c r="AS21" s="153"/>
      <c r="AT21" s="153"/>
      <c r="AU21" s="153"/>
      <c r="AV21" s="153"/>
      <c r="AW21" s="153"/>
      <c r="AX21" s="153"/>
      <c r="AY21" s="153"/>
      <c r="AZ21" s="27"/>
      <c r="BA21" s="153" t="str" cm="1">
        <f t="array" ref="BA21">IFERROR("vs 90% target  ·  "&amp;TEXT(INDEX(Data!$C$71:$O$71,$BP$1)/(INDEX(Data!$C$164:$O$164,$BP$1)*INDEX(Data!$C$176:$O$176,$BP$1))-0.9,"+0.0%;-0.0%"),"–")</f>
        <v>–</v>
      </c>
      <c r="BB21" s="153"/>
      <c r="BC21" s="153"/>
      <c r="BD21" s="153"/>
      <c r="BE21" s="153"/>
      <c r="BF21" s="153"/>
      <c r="BG21" s="153"/>
      <c r="BH21" s="153"/>
      <c r="BI21" s="153"/>
      <c r="BJ21" s="153"/>
      <c r="BK21" s="153"/>
      <c r="BL21" s="27"/>
      <c r="BM21" s="16"/>
      <c r="BN21" s="16"/>
    </row>
    <row r="22" spans="1:66" ht="16" customHeight="1" x14ac:dyDescent="0.2">
      <c r="A22" s="16"/>
      <c r="B22" s="16"/>
      <c r="C22" s="39"/>
      <c r="D22" s="27"/>
      <c r="E22" s="27"/>
      <c r="F22" s="27"/>
      <c r="G22" s="27"/>
      <c r="H22" s="40"/>
      <c r="I22" s="27"/>
      <c r="J22" s="27"/>
      <c r="K22" s="27"/>
      <c r="L22" s="27"/>
      <c r="M22" s="27"/>
      <c r="N22" s="27"/>
      <c r="O22" s="27"/>
      <c r="P22" s="27"/>
      <c r="Q22" s="27"/>
      <c r="R22" s="27"/>
      <c r="S22" s="27"/>
      <c r="T22" s="27"/>
      <c r="U22" s="16"/>
      <c r="V22" s="39" t="s">
        <v>272</v>
      </c>
      <c r="W22" s="27"/>
      <c r="X22" s="27"/>
      <c r="Y22" s="27"/>
      <c r="Z22" s="27"/>
      <c r="AA22" s="27"/>
      <c r="AB22" s="27"/>
      <c r="AC22" s="155">
        <f>SUM(AC18:AC21)</f>
        <v>0</v>
      </c>
      <c r="AD22" s="155"/>
      <c r="AE22" s="155"/>
      <c r="AF22" s="27"/>
      <c r="AG22" s="27"/>
      <c r="AH22" s="27"/>
      <c r="AI22" s="27"/>
      <c r="AJ22" s="156">
        <f>SUM(AJ18:AJ21)</f>
        <v>0</v>
      </c>
      <c r="AK22" s="156"/>
      <c r="AL22" s="156"/>
      <c r="AM22" s="156"/>
      <c r="AN22" s="16"/>
      <c r="AO22" s="26"/>
      <c r="AP22" s="26"/>
      <c r="AQ22" s="26"/>
      <c r="AR22" s="26"/>
      <c r="AS22" s="26"/>
      <c r="AT22" s="26"/>
      <c r="AU22" s="26"/>
      <c r="AV22" s="26"/>
      <c r="AW22" s="26"/>
      <c r="AX22" s="26"/>
      <c r="AY22" s="26"/>
      <c r="AZ22" s="27"/>
      <c r="BA22" s="27"/>
      <c r="BB22" s="27"/>
      <c r="BC22" s="26"/>
      <c r="BD22" s="26"/>
      <c r="BE22" s="26"/>
      <c r="BF22" s="26"/>
      <c r="BG22" s="26"/>
      <c r="BH22" s="26"/>
      <c r="BI22" s="26"/>
      <c r="BJ22" s="26"/>
      <c r="BK22" s="26"/>
      <c r="BL22" s="26"/>
      <c r="BM22" s="16"/>
      <c r="BN22" s="16"/>
    </row>
    <row r="23" spans="1:66" ht="10" customHeight="1" x14ac:dyDescent="0.25">
      <c r="A23" s="16"/>
      <c r="B23" s="16"/>
      <c r="C23" s="27"/>
      <c r="D23" s="27"/>
      <c r="E23" s="27"/>
      <c r="F23" s="27"/>
      <c r="G23" s="27"/>
      <c r="H23" s="27"/>
      <c r="I23" s="27"/>
      <c r="J23" s="27"/>
      <c r="K23" s="27"/>
      <c r="L23" s="27"/>
      <c r="M23" s="27"/>
      <c r="N23" s="27"/>
      <c r="O23" s="27"/>
      <c r="P23" s="27"/>
      <c r="Q23" s="27"/>
      <c r="R23" s="27"/>
      <c r="S23" s="27"/>
      <c r="T23" s="27"/>
      <c r="U23" s="16"/>
      <c r="V23" s="27"/>
      <c r="W23" s="27"/>
      <c r="X23" s="27"/>
      <c r="Y23" s="27"/>
      <c r="Z23" s="27"/>
      <c r="AA23" s="27"/>
      <c r="AB23" s="27"/>
      <c r="AC23" s="27"/>
      <c r="AD23" s="27"/>
      <c r="AE23" s="27"/>
      <c r="AF23" s="27"/>
      <c r="AG23" s="27"/>
      <c r="AH23" s="27"/>
      <c r="AI23" s="27"/>
      <c r="AJ23" s="27"/>
      <c r="AK23" s="27"/>
      <c r="AL23" s="27"/>
      <c r="AM23" s="27"/>
      <c r="AN23" s="16"/>
      <c r="AO23" s="54"/>
      <c r="AP23" s="54"/>
      <c r="AQ23" s="54"/>
      <c r="AR23" s="54"/>
      <c r="AS23" s="54"/>
      <c r="AT23" s="54"/>
      <c r="AU23" s="54"/>
      <c r="AV23" s="54"/>
      <c r="AW23" s="54"/>
      <c r="AX23" s="54"/>
      <c r="AY23" s="54"/>
      <c r="AZ23" s="27"/>
      <c r="BA23" s="27"/>
      <c r="BB23" s="27"/>
      <c r="BC23" s="55"/>
      <c r="BD23" s="55"/>
      <c r="BE23" s="55"/>
      <c r="BF23" s="55"/>
      <c r="BG23" s="55"/>
      <c r="BH23" s="55"/>
      <c r="BI23" s="55"/>
      <c r="BJ23" s="55"/>
      <c r="BK23" s="55"/>
      <c r="BL23" s="55"/>
      <c r="BM23" s="16"/>
      <c r="BN23" s="16"/>
    </row>
    <row r="24" spans="1:66" ht="10" customHeight="1" x14ac:dyDescent="0.2">
      <c r="A24" s="16"/>
      <c r="B24" s="16"/>
      <c r="C24" s="27"/>
      <c r="D24" s="27"/>
      <c r="E24" s="27"/>
      <c r="F24" s="27"/>
      <c r="G24" s="27"/>
      <c r="H24" s="27"/>
      <c r="I24" s="27"/>
      <c r="J24" s="27"/>
      <c r="K24" s="27"/>
      <c r="L24" s="27"/>
      <c r="M24" s="27"/>
      <c r="N24" s="27"/>
      <c r="O24" s="27"/>
      <c r="P24" s="27"/>
      <c r="Q24" s="27"/>
      <c r="R24" s="27"/>
      <c r="S24" s="27"/>
      <c r="T24" s="27"/>
      <c r="U24" s="16"/>
      <c r="V24" s="27"/>
      <c r="W24" s="27"/>
      <c r="X24" s="27"/>
      <c r="Y24" s="27"/>
      <c r="Z24" s="27"/>
      <c r="AA24" s="27"/>
      <c r="AB24" s="27"/>
      <c r="AC24" s="27"/>
      <c r="AD24" s="27"/>
      <c r="AE24" s="27"/>
      <c r="AF24" s="27"/>
      <c r="AG24" s="27"/>
      <c r="AH24" s="27"/>
      <c r="AI24" s="27"/>
      <c r="AJ24" s="27"/>
      <c r="AK24" s="27"/>
      <c r="AL24" s="27"/>
      <c r="AM24" s="27"/>
      <c r="AN24" s="16"/>
      <c r="AO24" s="33"/>
      <c r="AP24" s="33"/>
      <c r="AQ24" s="33"/>
      <c r="AR24" s="33"/>
      <c r="AS24" s="33"/>
      <c r="AT24" s="33"/>
      <c r="AU24" s="33"/>
      <c r="AV24" s="33"/>
      <c r="AW24" s="33"/>
      <c r="AX24" s="33"/>
      <c r="AY24" s="33"/>
      <c r="AZ24" s="27"/>
      <c r="BA24" s="27"/>
      <c r="BB24" s="27"/>
      <c r="BC24" s="33"/>
      <c r="BD24" s="33"/>
      <c r="BE24" s="33"/>
      <c r="BF24" s="33"/>
      <c r="BG24" s="33"/>
      <c r="BH24" s="33"/>
      <c r="BI24" s="33"/>
      <c r="BJ24" s="33"/>
      <c r="BK24" s="33"/>
      <c r="BL24" s="33"/>
      <c r="BM24" s="16"/>
      <c r="BN24" s="16"/>
    </row>
    <row r="25" spans="1:66" ht="10" customHeight="1" x14ac:dyDescent="0.2">
      <c r="A25" s="16"/>
      <c r="B25" s="16"/>
      <c r="C25" s="32"/>
      <c r="D25" s="27"/>
      <c r="E25" s="27"/>
      <c r="F25" s="27"/>
      <c r="G25" s="27"/>
      <c r="H25" s="27"/>
      <c r="I25" s="27"/>
      <c r="J25" s="26"/>
      <c r="K25" s="27"/>
      <c r="L25" s="27"/>
      <c r="M25" s="27"/>
      <c r="N25" s="27"/>
      <c r="O25" s="27"/>
      <c r="P25" s="27"/>
      <c r="Q25" s="27"/>
      <c r="R25" s="27"/>
      <c r="S25" s="27"/>
      <c r="T25" s="27"/>
      <c r="U25" s="16"/>
      <c r="V25" s="27"/>
      <c r="W25" s="27"/>
      <c r="X25" s="27"/>
      <c r="Y25" s="27"/>
      <c r="Z25" s="27"/>
      <c r="AA25" s="27"/>
      <c r="AB25" s="27"/>
      <c r="AC25" s="27"/>
      <c r="AD25" s="27"/>
      <c r="AE25" s="27"/>
      <c r="AF25" s="27"/>
      <c r="AG25" s="27"/>
      <c r="AH25" s="27"/>
      <c r="AI25" s="27"/>
      <c r="AJ25" s="27"/>
      <c r="AK25" s="27"/>
      <c r="AL25" s="27"/>
      <c r="AM25" s="27"/>
      <c r="AN25" s="16"/>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16"/>
      <c r="BN25" s="16"/>
    </row>
    <row r="26" spans="1:66" ht="14" customHeight="1" x14ac:dyDescent="0.2">
      <c r="A26" s="16"/>
      <c r="B26" s="16"/>
      <c r="C26" s="27"/>
      <c r="D26" s="27"/>
      <c r="E26" s="27"/>
      <c r="F26" s="27"/>
      <c r="G26" s="27"/>
      <c r="H26" s="27"/>
      <c r="I26" s="27"/>
      <c r="J26" s="27"/>
      <c r="K26" s="41"/>
      <c r="L26" s="27"/>
      <c r="M26" s="27"/>
      <c r="N26" s="41"/>
      <c r="O26" s="27"/>
      <c r="P26" s="27"/>
      <c r="Q26" s="27"/>
      <c r="R26" s="27"/>
      <c r="S26" s="27"/>
      <c r="T26" s="27"/>
      <c r="U26" s="16"/>
      <c r="V26" s="27"/>
      <c r="W26" s="27"/>
      <c r="X26" s="27"/>
      <c r="Y26" s="27"/>
      <c r="Z26" s="27"/>
      <c r="AA26" s="27"/>
      <c r="AB26" s="27"/>
      <c r="AC26" s="27"/>
      <c r="AD26" s="27"/>
      <c r="AE26" s="27"/>
      <c r="AF26" s="27"/>
      <c r="AG26" s="27"/>
      <c r="AH26" s="27"/>
      <c r="AI26" s="27"/>
      <c r="AJ26" s="27"/>
      <c r="AK26" s="27"/>
      <c r="AL26" s="27"/>
      <c r="AM26" s="27"/>
      <c r="AN26" s="16"/>
      <c r="AO26" s="26" t="s">
        <v>130</v>
      </c>
      <c r="AP26" s="27"/>
      <c r="AQ26" s="27"/>
      <c r="AR26" s="27"/>
      <c r="AS26" s="27"/>
      <c r="AT26" s="27"/>
      <c r="AU26" s="27"/>
      <c r="AV26" s="27"/>
      <c r="AW26" s="27"/>
      <c r="AX26" s="27"/>
      <c r="AY26" s="27"/>
      <c r="AZ26" s="27"/>
      <c r="BA26" s="26" t="s">
        <v>254</v>
      </c>
      <c r="BB26" s="27"/>
      <c r="BC26" s="27"/>
      <c r="BD26" s="27"/>
      <c r="BE26" s="27"/>
      <c r="BF26" s="27"/>
      <c r="BG26" s="27"/>
      <c r="BH26" s="27"/>
      <c r="BI26" s="27"/>
      <c r="BJ26" s="27"/>
      <c r="BK26" s="27"/>
      <c r="BL26" s="27"/>
      <c r="BM26" s="16"/>
      <c r="BN26" s="16"/>
    </row>
    <row r="27" spans="1:66" ht="14" customHeight="1" x14ac:dyDescent="0.2">
      <c r="A27" s="16"/>
      <c r="B27" s="16"/>
      <c r="C27" s="36"/>
      <c r="D27" s="27"/>
      <c r="E27" s="27"/>
      <c r="F27" s="27"/>
      <c r="G27" s="27"/>
      <c r="H27" s="42"/>
      <c r="I27" s="27"/>
      <c r="J27" s="27"/>
      <c r="K27" s="43"/>
      <c r="L27" s="27"/>
      <c r="M27" s="27"/>
      <c r="N27" s="35"/>
      <c r="O27" s="27"/>
      <c r="P27" s="44"/>
      <c r="Q27" s="27"/>
      <c r="R27" s="27"/>
      <c r="S27" s="27"/>
      <c r="T27" s="27"/>
      <c r="U27" s="16"/>
      <c r="V27" s="27"/>
      <c r="W27" s="27"/>
      <c r="X27" s="27"/>
      <c r="Y27" s="27"/>
      <c r="Z27" s="27"/>
      <c r="AA27" s="27"/>
      <c r="AB27" s="27"/>
      <c r="AC27" s="27"/>
      <c r="AD27" s="27"/>
      <c r="AE27" s="27"/>
      <c r="AF27" s="27"/>
      <c r="AG27" s="27"/>
      <c r="AH27" s="27"/>
      <c r="AI27" s="27"/>
      <c r="AJ27" s="27"/>
      <c r="AK27" s="27"/>
      <c r="AL27" s="27"/>
      <c r="AM27" s="27"/>
      <c r="AN27" s="16"/>
      <c r="AO27" s="150" t="str">
        <f>IFERROR((SUM(INDEX(Data!$C$186:$O$186,MATCH(calc_fy_start_date,calc_dates,0)):INDEX(Data!$C$186:$O$186,$BP$1))+SUM(INDEX(Data!$C$189:$O$189,MATCH(calc_fy_start_date,calc_dates,0)):INDEX(Data!$C$189:$O$189,$BP$1))+SUM(INDEX(Data!$C$192:$O$192,MATCH(calc_fy_start_date,calc_dates,0)):INDEX(Data!$C$192:$O$192,$BP$1)))/SUM(INDEX(Data!$C$71:$O$71,MATCH(calc_fy_start_date,calc_dates,0)):INDEX(Data!$C$71:$O$71,$BP$1)),"–")</f>
        <v>–</v>
      </c>
      <c r="AP27" s="150"/>
      <c r="AQ27" s="150"/>
      <c r="AR27" s="150"/>
      <c r="AS27" s="150"/>
      <c r="AT27" s="150"/>
      <c r="AU27" s="150"/>
      <c r="AV27" s="150"/>
      <c r="AW27" s="150"/>
      <c r="AX27" s="150"/>
      <c r="AY27" s="27"/>
      <c r="AZ27" s="27"/>
      <c r="BA27" s="151" cm="1">
        <f t="array" ref="BA27">IFERROR(INDEX(Data!$C$135:$O$135,$BP$1)-INDEX(Data!$C$141:$O$141,$BP$1),"–")</f>
        <v>0</v>
      </c>
      <c r="BB27" s="151"/>
      <c r="BC27" s="151"/>
      <c r="BD27" s="151"/>
      <c r="BE27" s="151"/>
      <c r="BF27" s="151"/>
      <c r="BG27" s="151"/>
      <c r="BH27" s="151"/>
      <c r="BI27" s="151"/>
      <c r="BJ27" s="151"/>
      <c r="BK27" s="27"/>
      <c r="BL27" s="27"/>
      <c r="BM27" s="16"/>
      <c r="BN27" s="16"/>
    </row>
    <row r="28" spans="1:66" ht="15" customHeight="1" x14ac:dyDescent="0.2">
      <c r="A28" s="16"/>
      <c r="B28" s="16"/>
      <c r="C28" s="36"/>
      <c r="D28" s="27"/>
      <c r="E28" s="27"/>
      <c r="F28" s="27"/>
      <c r="G28" s="27"/>
      <c r="H28" s="42"/>
      <c r="I28" s="27"/>
      <c r="J28" s="27"/>
      <c r="K28" s="43"/>
      <c r="L28" s="27"/>
      <c r="M28" s="27"/>
      <c r="N28" s="35"/>
      <c r="O28" s="27"/>
      <c r="P28" s="45"/>
      <c r="Q28" s="27"/>
      <c r="R28" s="27"/>
      <c r="S28" s="27"/>
      <c r="T28" s="27"/>
      <c r="U28" s="16"/>
      <c r="V28" s="67" t="s">
        <v>301</v>
      </c>
      <c r="W28" s="27"/>
      <c r="X28" s="27"/>
      <c r="Y28" s="27"/>
      <c r="Z28" s="27"/>
      <c r="AA28" s="27"/>
      <c r="AB28" s="27"/>
      <c r="AC28" s="27"/>
      <c r="AD28" s="27"/>
      <c r="AE28" s="27"/>
      <c r="AF28" s="27"/>
      <c r="AG28" s="49" t="s">
        <v>286</v>
      </c>
      <c r="AH28" s="27"/>
      <c r="AI28" s="27"/>
      <c r="AJ28" s="27"/>
      <c r="AK28" s="49" t="s">
        <v>287</v>
      </c>
      <c r="AL28" s="27"/>
      <c r="AM28" s="27"/>
      <c r="AN28" s="16"/>
      <c r="AO28" s="153" t="str">
        <f>IFERROR(REPT("█",MIN(14,MAX(0,ROUND((AO27/0.5)*14,0))))&amp;REPT("░",14-MIN(14,MAX(0,ROUND((AO27/0.5)*14,0)))),"–")</f>
        <v>–</v>
      </c>
      <c r="AP28" s="152"/>
      <c r="AQ28" s="152"/>
      <c r="AR28" s="152"/>
      <c r="AS28" s="152"/>
      <c r="AT28" s="152"/>
      <c r="AU28" s="152"/>
      <c r="AV28" s="152"/>
      <c r="AW28" s="152"/>
      <c r="AX28" s="152"/>
      <c r="AY28" s="152"/>
      <c r="AZ28" s="27"/>
      <c r="BA28" s="153" t="str" cm="1">
        <f t="array" ref="BA28">IFERROR(REPT("█",MIN(14,MAX(0,ROUND((BA27/INDEX(Data!$C$135:$O$135,$BP$1))*14,0))))&amp;REPT("░",14-MIN(14,MAX(0,ROUND((BA27/INDEX(Data!$C$135:$O$135,$BP$1))*14,0)))),"–")</f>
        <v>–</v>
      </c>
      <c r="BB28" s="152"/>
      <c r="BC28" s="152"/>
      <c r="BD28" s="152"/>
      <c r="BE28" s="152"/>
      <c r="BF28" s="152"/>
      <c r="BG28" s="152"/>
      <c r="BH28" s="152"/>
      <c r="BI28" s="152"/>
      <c r="BJ28" s="152"/>
      <c r="BK28" s="152"/>
      <c r="BL28" s="27"/>
      <c r="BM28" s="16"/>
      <c r="BN28" s="16"/>
    </row>
    <row r="29" spans="1:66" ht="15" customHeight="1" x14ac:dyDescent="0.2">
      <c r="A29" s="16"/>
      <c r="B29" s="16"/>
      <c r="C29" s="36"/>
      <c r="D29" s="27"/>
      <c r="E29" s="27"/>
      <c r="F29" s="27"/>
      <c r="G29" s="27"/>
      <c r="H29" s="42"/>
      <c r="I29" s="27"/>
      <c r="J29" s="27"/>
      <c r="K29" s="43"/>
      <c r="L29" s="27"/>
      <c r="M29" s="27"/>
      <c r="N29" s="35"/>
      <c r="O29" s="27"/>
      <c r="P29" s="46"/>
      <c r="Q29" s="27"/>
      <c r="R29" s="27"/>
      <c r="S29" s="27"/>
      <c r="T29" s="27"/>
      <c r="U29" s="16"/>
      <c r="V29" s="68" t="s">
        <v>288</v>
      </c>
      <c r="W29" s="27"/>
      <c r="X29" s="69"/>
      <c r="Y29" s="27"/>
      <c r="Z29" s="27"/>
      <c r="AA29" s="27"/>
      <c r="AB29" s="69" t="str">
        <f>IFERROR(REPT("█",MAX(0,ROUND(AK29/0.2*8,0))),"")</f>
        <v/>
      </c>
      <c r="AC29" s="27"/>
      <c r="AD29" s="27"/>
      <c r="AE29" s="27"/>
      <c r="AF29" s="27"/>
      <c r="AG29" s="143">
        <f>SUM(INDEX(Data!$C$186:$O$186,MATCH(calc_fy_start_date,calc_dates,0)):INDEX(Data!$C$186:$O$186,$BP$1))</f>
        <v>0</v>
      </c>
      <c r="AH29" s="143"/>
      <c r="AI29" s="143"/>
      <c r="AJ29" s="143"/>
      <c r="AK29" s="144" t="str">
        <f>IFERROR(AG29/SUM(INDEX(Data!$C$71:$O$71,MATCH(calc_fy_start_date,calc_dates,0)):INDEX(Data!$C$71:$O$71,$BP$1)),"–")</f>
        <v>–</v>
      </c>
      <c r="AL29" s="144"/>
      <c r="AM29" s="144"/>
      <c r="AN29" s="74"/>
      <c r="AO29" s="153" t="str">
        <f>"top-3 clients of revenue"</f>
        <v>top-3 clients of revenue</v>
      </c>
      <c r="AP29" s="153"/>
      <c r="AQ29" s="153"/>
      <c r="AR29" s="153"/>
      <c r="AS29" s="153"/>
      <c r="AT29" s="153"/>
      <c r="AU29" s="153"/>
      <c r="AV29" s="153"/>
      <c r="AW29" s="153"/>
      <c r="AX29" s="153"/>
      <c r="AY29" s="153"/>
      <c r="AZ29" s="27"/>
      <c r="BA29" s="153" t="str">
        <f>"closing cash less payables"</f>
        <v>closing cash less payables</v>
      </c>
      <c r="BB29" s="153"/>
      <c r="BC29" s="153"/>
      <c r="BD29" s="153"/>
      <c r="BE29" s="153"/>
      <c r="BF29" s="153"/>
      <c r="BG29" s="153"/>
      <c r="BH29" s="153"/>
      <c r="BI29" s="153"/>
      <c r="BJ29" s="153"/>
      <c r="BK29" s="153"/>
      <c r="BL29" s="27"/>
      <c r="BM29" s="16"/>
      <c r="BN29" s="16"/>
    </row>
    <row r="30" spans="1:66" ht="15" customHeight="1" x14ac:dyDescent="0.2">
      <c r="A30" s="16"/>
      <c r="B30" s="16"/>
      <c r="C30" s="36"/>
      <c r="D30" s="27"/>
      <c r="E30" s="27"/>
      <c r="F30" s="27"/>
      <c r="G30" s="27"/>
      <c r="H30" s="42"/>
      <c r="I30" s="27"/>
      <c r="J30" s="27"/>
      <c r="K30" s="43"/>
      <c r="L30" s="27"/>
      <c r="M30" s="27"/>
      <c r="N30" s="35"/>
      <c r="O30" s="27"/>
      <c r="P30" s="47"/>
      <c r="Q30" s="27"/>
      <c r="R30" s="27"/>
      <c r="S30" s="27"/>
      <c r="T30" s="27"/>
      <c r="U30" s="16"/>
      <c r="V30" s="68" t="s">
        <v>289</v>
      </c>
      <c r="W30" s="27"/>
      <c r="X30" s="70"/>
      <c r="Y30" s="27"/>
      <c r="Z30" s="27"/>
      <c r="AA30" s="27"/>
      <c r="AB30" s="69" t="str">
        <f>IFERROR(REPT("█",MAX(0,ROUND(AK30/0.2*8,0))),"")</f>
        <v/>
      </c>
      <c r="AC30" s="27"/>
      <c r="AD30" s="27"/>
      <c r="AE30" s="27"/>
      <c r="AF30" s="27"/>
      <c r="AG30" s="143">
        <f>SUM(INDEX(Data!$C$189:$O$189,MATCH(calc_fy_start_date,calc_dates,0)):INDEX(Data!$C$189:$O$189,$BP$1))</f>
        <v>0</v>
      </c>
      <c r="AH30" s="143"/>
      <c r="AI30" s="143"/>
      <c r="AJ30" s="143"/>
      <c r="AK30" s="144" t="str">
        <f>IFERROR(AG30/SUM(INDEX(Data!$C$71:$O$71,MATCH(calc_fy_start_date,calc_dates,0)):INDEX(Data!$C$71:$O$71,$BP$1)),"–")</f>
        <v>–</v>
      </c>
      <c r="AL30" s="144"/>
      <c r="AM30" s="144"/>
      <c r="AN30" s="74"/>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16"/>
      <c r="BN30" s="16"/>
    </row>
    <row r="31" spans="1:66" ht="15" customHeight="1" x14ac:dyDescent="0.2">
      <c r="A31" s="16"/>
      <c r="B31" s="16"/>
      <c r="C31" s="39"/>
      <c r="D31" s="27"/>
      <c r="E31" s="27"/>
      <c r="F31" s="27"/>
      <c r="G31" s="27"/>
      <c r="H31" s="40"/>
      <c r="I31" s="27"/>
      <c r="J31" s="27"/>
      <c r="K31" s="27"/>
      <c r="L31" s="27"/>
      <c r="M31" s="27"/>
      <c r="N31" s="48"/>
      <c r="O31" s="27"/>
      <c r="P31" s="27"/>
      <c r="Q31" s="27"/>
      <c r="R31" s="27"/>
      <c r="S31" s="27"/>
      <c r="T31" s="27"/>
      <c r="U31" s="16"/>
      <c r="V31" s="68" t="s">
        <v>290</v>
      </c>
      <c r="W31" s="27"/>
      <c r="X31" s="71"/>
      <c r="Y31" s="27"/>
      <c r="Z31" s="27"/>
      <c r="AA31" s="27"/>
      <c r="AB31" s="69" t="str">
        <f>IFERROR(REPT("█",MAX(0,ROUND(AK31/0.2*8,0))),"")</f>
        <v/>
      </c>
      <c r="AC31" s="27"/>
      <c r="AD31" s="27"/>
      <c r="AE31" s="27"/>
      <c r="AF31" s="27"/>
      <c r="AG31" s="143">
        <f>SUM(INDEX(Data!$C$192:$O$192,MATCH(calc_fy_start_date,calc_dates,0)):INDEX(Data!$C$192:$O$192,$BP$1))</f>
        <v>0</v>
      </c>
      <c r="AH31" s="143"/>
      <c r="AI31" s="143"/>
      <c r="AJ31" s="143"/>
      <c r="AK31" s="144" t="str">
        <f>IFERROR(AG31/SUM(INDEX(Data!$C$71:$O$71,MATCH(calc_fy_start_date,calc_dates,0)):INDEX(Data!$C$71:$O$71,$BP$1)),"–")</f>
        <v>–</v>
      </c>
      <c r="AL31" s="144"/>
      <c r="AM31" s="144"/>
      <c r="AN31" s="74"/>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16"/>
      <c r="BN31" s="16"/>
    </row>
    <row r="32" spans="1:66" ht="15" customHeight="1" x14ac:dyDescent="0.2">
      <c r="A32" s="16"/>
      <c r="B32" s="16"/>
      <c r="C32" s="27"/>
      <c r="D32" s="27"/>
      <c r="E32" s="27"/>
      <c r="F32" s="27"/>
      <c r="G32" s="27"/>
      <c r="H32" s="27"/>
      <c r="I32" s="27"/>
      <c r="J32" s="27"/>
      <c r="K32" s="27"/>
      <c r="L32" s="27"/>
      <c r="M32" s="27"/>
      <c r="N32" s="27"/>
      <c r="O32" s="27"/>
      <c r="P32" s="27"/>
      <c r="Q32" s="27"/>
      <c r="R32" s="27"/>
      <c r="S32" s="27"/>
      <c r="T32" s="27"/>
      <c r="U32" s="16"/>
      <c r="V32" s="68" t="s">
        <v>291</v>
      </c>
      <c r="W32" s="27"/>
      <c r="X32" s="72"/>
      <c r="Y32" s="27"/>
      <c r="Z32" s="27"/>
      <c r="AA32" s="27"/>
      <c r="AB32" s="69" t="str">
        <f>IFERROR(REPT("█",MAX(0,ROUND(AK32/0.2*8,0))),"")</f>
        <v/>
      </c>
      <c r="AC32" s="27"/>
      <c r="AD32" s="27"/>
      <c r="AE32" s="27"/>
      <c r="AF32" s="27"/>
      <c r="AG32" s="143">
        <f>SUM(INDEX(Data!$C$195:$O$195,MATCH(calc_fy_start_date,calc_dates,0)):INDEX(Data!$C$195:$O$195,$BP$1))</f>
        <v>0</v>
      </c>
      <c r="AH32" s="143"/>
      <c r="AI32" s="143"/>
      <c r="AJ32" s="143"/>
      <c r="AK32" s="144" t="str">
        <f>IFERROR(AG32/SUM(INDEX(Data!$C$71:$O$71,MATCH(calc_fy_start_date,calc_dates,0)):INDEX(Data!$C$71:$O$71,$BP$1)),"–")</f>
        <v>–</v>
      </c>
      <c r="AL32" s="144"/>
      <c r="AM32" s="144"/>
      <c r="AN32" s="74"/>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16"/>
      <c r="BN32" s="16"/>
    </row>
    <row r="33" spans="1:66" ht="15" customHeight="1" x14ac:dyDescent="0.2">
      <c r="A33" s="16"/>
      <c r="B33" s="16"/>
      <c r="C33" s="27"/>
      <c r="D33" s="27"/>
      <c r="E33" s="27"/>
      <c r="F33" s="27"/>
      <c r="G33" s="27"/>
      <c r="H33" s="27"/>
      <c r="I33" s="27"/>
      <c r="J33" s="27"/>
      <c r="K33" s="27"/>
      <c r="L33" s="27"/>
      <c r="M33" s="27"/>
      <c r="N33" s="27"/>
      <c r="O33" s="27"/>
      <c r="P33" s="27"/>
      <c r="Q33" s="27"/>
      <c r="R33" s="27"/>
      <c r="S33" s="27"/>
      <c r="T33" s="27"/>
      <c r="U33" s="16"/>
      <c r="V33" s="68" t="s">
        <v>292</v>
      </c>
      <c r="W33" s="27"/>
      <c r="X33" s="73"/>
      <c r="Y33" s="27"/>
      <c r="Z33" s="27"/>
      <c r="AA33" s="27"/>
      <c r="AB33" s="69" t="str">
        <f>IFERROR(REPT("█",MAX(0,ROUND(AK33/0.2*8,0))),"")</f>
        <v/>
      </c>
      <c r="AC33" s="27"/>
      <c r="AD33" s="27"/>
      <c r="AE33" s="27"/>
      <c r="AF33" s="27"/>
      <c r="AG33" s="143">
        <f>SUM(INDEX(Data!$C$198:$O$198,MATCH(calc_fy_start_date,calc_dates,0)):INDEX(Data!$C$198:$O$198,$BP$1))</f>
        <v>0</v>
      </c>
      <c r="AH33" s="143"/>
      <c r="AI33" s="143"/>
      <c r="AJ33" s="143"/>
      <c r="AK33" s="144" t="str">
        <f>IFERROR(AG33/SUM(INDEX(Data!$C$71:$O$71,MATCH(calc_fy_start_date,calc_dates,0)):INDEX(Data!$C$71:$O$71,$BP$1)),"–")</f>
        <v>–</v>
      </c>
      <c r="AL33" s="144"/>
      <c r="AM33" s="144"/>
      <c r="AN33" s="74"/>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16"/>
      <c r="BN33" s="16"/>
    </row>
    <row r="34" spans="1:66" ht="15" customHeight="1" x14ac:dyDescent="0.2">
      <c r="A34" s="16"/>
      <c r="B34" s="16"/>
      <c r="C34" s="32"/>
      <c r="D34" s="27"/>
      <c r="E34" s="27"/>
      <c r="F34" s="27"/>
      <c r="G34" s="27"/>
      <c r="H34" s="27"/>
      <c r="I34" s="27"/>
      <c r="J34" s="27"/>
      <c r="K34" s="27"/>
      <c r="L34" s="27"/>
      <c r="M34" s="27"/>
      <c r="N34" s="27"/>
      <c r="O34" s="27"/>
      <c r="P34" s="27"/>
      <c r="Q34" s="27"/>
      <c r="R34" s="27"/>
      <c r="S34" s="27"/>
      <c r="T34" s="27"/>
      <c r="U34" s="16"/>
      <c r="V34" s="27"/>
      <c r="W34" s="27"/>
      <c r="X34" s="27"/>
      <c r="Y34" s="27"/>
      <c r="Z34" s="27"/>
      <c r="AA34" s="27"/>
      <c r="AB34" s="27"/>
      <c r="AC34" s="27"/>
      <c r="AD34" s="27"/>
      <c r="AE34" s="27"/>
      <c r="AF34" s="27"/>
      <c r="AG34" s="27"/>
      <c r="AH34" s="27"/>
      <c r="AI34" s="27"/>
      <c r="AJ34" s="27"/>
      <c r="AK34" s="27"/>
      <c r="AL34" s="27"/>
      <c r="AM34" s="27"/>
      <c r="AN34" s="16"/>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16"/>
      <c r="BN34" s="16"/>
    </row>
    <row r="35" spans="1:66" ht="15" customHeight="1" x14ac:dyDescent="0.2">
      <c r="A35" s="16"/>
      <c r="B35" s="16"/>
      <c r="C35" s="26" t="s">
        <v>279</v>
      </c>
      <c r="D35" s="27"/>
      <c r="E35" s="27"/>
      <c r="F35" s="145">
        <f>BW71</f>
        <v>0</v>
      </c>
      <c r="G35" s="146"/>
      <c r="H35" s="146"/>
      <c r="I35" s="146"/>
      <c r="J35" s="27"/>
      <c r="K35" s="26" t="s">
        <v>280</v>
      </c>
      <c r="L35" s="27"/>
      <c r="M35" s="27"/>
      <c r="N35" s="145">
        <f>BW72</f>
        <v>0</v>
      </c>
      <c r="O35" s="146"/>
      <c r="P35" s="146"/>
      <c r="Q35" s="49" t="s">
        <v>281</v>
      </c>
      <c r="R35" s="27"/>
      <c r="S35" s="50"/>
      <c r="T35" s="147">
        <f>BW72-BW71</f>
        <v>0</v>
      </c>
      <c r="U35" s="149"/>
      <c r="V35" s="149"/>
      <c r="W35" s="27"/>
      <c r="X35" s="27"/>
      <c r="Y35" s="27"/>
      <c r="Z35" s="27"/>
      <c r="AA35" s="27"/>
      <c r="AB35" s="27"/>
      <c r="AC35" s="27"/>
      <c r="AD35" s="27"/>
      <c r="AE35" s="27"/>
      <c r="AF35" s="27"/>
      <c r="AG35" s="27"/>
      <c r="AH35" s="27"/>
      <c r="AI35" s="27"/>
      <c r="AJ35" s="27"/>
      <c r="AK35" s="27"/>
      <c r="AL35" s="27"/>
      <c r="AM35" s="27"/>
      <c r="AN35" s="16"/>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16"/>
      <c r="BN35" s="16"/>
    </row>
    <row r="36" spans="1:66" ht="15" customHeight="1" x14ac:dyDescent="0.2">
      <c r="A36" s="16"/>
      <c r="B36" s="16"/>
      <c r="C36" s="21"/>
      <c r="D36" s="16"/>
      <c r="E36" s="16"/>
      <c r="F36" s="16"/>
      <c r="G36" s="16"/>
      <c r="H36" s="16"/>
      <c r="I36" s="16"/>
      <c r="J36" s="21"/>
      <c r="K36" s="16"/>
      <c r="L36" s="16"/>
      <c r="M36" s="16"/>
      <c r="N36" s="16"/>
      <c r="O36" s="16"/>
      <c r="P36" s="16"/>
      <c r="Q36" s="16"/>
      <c r="R36" s="21"/>
      <c r="S36" s="16"/>
      <c r="T36" s="16"/>
      <c r="U36" s="16"/>
      <c r="V36" s="16"/>
      <c r="W36" s="16"/>
      <c r="X36" s="16"/>
      <c r="Y36" s="16"/>
      <c r="Z36" s="21"/>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row>
    <row r="37" spans="1:66" ht="15" customHeight="1" x14ac:dyDescent="0.25">
      <c r="A37" s="16"/>
      <c r="B37" s="16"/>
      <c r="C37" s="29"/>
      <c r="D37" s="16"/>
      <c r="E37" s="16"/>
      <c r="F37" s="16"/>
      <c r="G37" s="16"/>
      <c r="H37" s="16"/>
      <c r="I37" s="16"/>
      <c r="J37" s="29"/>
      <c r="K37" s="16"/>
      <c r="L37" s="16"/>
      <c r="M37" s="16"/>
      <c r="N37" s="16"/>
      <c r="O37" s="16"/>
      <c r="P37" s="16"/>
      <c r="Q37" s="16"/>
      <c r="R37" s="29"/>
      <c r="S37" s="16"/>
      <c r="T37" s="16"/>
      <c r="U37" s="16"/>
      <c r="V37" s="16"/>
      <c r="W37" s="16"/>
      <c r="X37" s="16"/>
      <c r="Y37" s="16"/>
      <c r="Z37" s="30"/>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row>
    <row r="38" spans="1:66" ht="15" customHeight="1" x14ac:dyDescent="0.2">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row>
    <row r="39" spans="1:66" ht="18" customHeight="1" x14ac:dyDescent="0.2">
      <c r="A39" s="16"/>
      <c r="B39" s="16"/>
      <c r="C39" s="65" t="s">
        <v>282</v>
      </c>
      <c r="D39" s="66"/>
      <c r="E39" s="66"/>
      <c r="F39" s="66"/>
      <c r="G39" s="66"/>
      <c r="H39" s="66"/>
      <c r="I39" s="66"/>
      <c r="J39" s="66"/>
      <c r="K39" s="66"/>
      <c r="L39" s="66"/>
      <c r="M39" s="66"/>
      <c r="N39" s="66"/>
      <c r="O39" s="66"/>
      <c r="P39" s="66"/>
      <c r="Q39" s="66"/>
      <c r="R39" s="66"/>
      <c r="S39" s="66"/>
      <c r="T39" s="66"/>
      <c r="U39" s="16"/>
      <c r="V39" s="65" t="s">
        <v>283</v>
      </c>
      <c r="W39" s="66"/>
      <c r="X39" s="66"/>
      <c r="Y39" s="66"/>
      <c r="Z39" s="66"/>
      <c r="AA39" s="66"/>
      <c r="AB39" s="66"/>
      <c r="AC39" s="66"/>
      <c r="AD39" s="66"/>
      <c r="AE39" s="66"/>
      <c r="AF39" s="66"/>
      <c r="AG39" s="66"/>
      <c r="AH39" s="66"/>
      <c r="AI39" s="66"/>
      <c r="AJ39" s="66"/>
      <c r="AK39" s="66"/>
      <c r="AL39" s="66"/>
      <c r="AM39" s="66"/>
      <c r="AN39" s="6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row>
    <row r="40" spans="1:66" ht="18" customHeight="1" x14ac:dyDescent="0.2">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row>
    <row r="41" spans="1:66" ht="18" customHeight="1" x14ac:dyDescent="0.2">
      <c r="A41" s="16"/>
      <c r="B41" s="16"/>
      <c r="C41" s="23" t="s">
        <v>109</v>
      </c>
      <c r="D41" s="16"/>
      <c r="E41" s="16"/>
      <c r="F41" s="16"/>
      <c r="G41" s="16"/>
      <c r="H41" s="16"/>
      <c r="I41" s="16"/>
      <c r="J41" s="16"/>
      <c r="K41" s="16"/>
      <c r="L41" s="16"/>
      <c r="M41" s="16"/>
      <c r="N41" s="16"/>
      <c r="O41" s="16"/>
      <c r="P41" s="16"/>
      <c r="Q41" s="16"/>
      <c r="R41" s="16"/>
      <c r="S41" s="16"/>
      <c r="T41" s="16"/>
      <c r="U41" s="16"/>
      <c r="V41" s="21" t="s">
        <v>114</v>
      </c>
      <c r="W41" s="16"/>
      <c r="X41" s="16"/>
      <c r="Y41" s="16"/>
      <c r="Z41" s="16"/>
      <c r="AA41" s="16"/>
      <c r="AB41" s="16"/>
      <c r="AC41" s="16"/>
      <c r="AD41" s="16"/>
      <c r="AE41" s="16"/>
      <c r="AF41" s="16"/>
      <c r="AG41" s="16"/>
      <c r="AH41" s="16"/>
      <c r="AI41" s="16"/>
      <c r="AJ41" s="16"/>
      <c r="AK41" s="16"/>
      <c r="AL41" s="16"/>
      <c r="AM41" s="16"/>
      <c r="AN41" s="16"/>
      <c r="AO41" s="16"/>
      <c r="AP41" s="21" t="s">
        <v>116</v>
      </c>
      <c r="AQ41" s="16"/>
      <c r="AR41" s="16"/>
      <c r="AS41" s="16"/>
      <c r="AT41" s="16"/>
      <c r="AU41" s="16"/>
      <c r="AV41" s="21" t="s">
        <v>117</v>
      </c>
      <c r="AW41" s="16"/>
      <c r="AX41" s="16"/>
      <c r="AY41" s="16"/>
      <c r="AZ41" s="16"/>
      <c r="BA41" s="16"/>
      <c r="BB41" s="16"/>
      <c r="BC41" s="16"/>
      <c r="BD41" s="16"/>
      <c r="BE41" s="16"/>
      <c r="BF41" s="16"/>
      <c r="BG41" s="16"/>
      <c r="BH41" s="16"/>
      <c r="BI41" s="16"/>
      <c r="BJ41" s="16"/>
      <c r="BK41" s="16"/>
      <c r="BL41" s="16"/>
      <c r="BM41" s="16"/>
      <c r="BN41" s="16"/>
    </row>
    <row r="42" spans="1:66" ht="18" customHeight="1" x14ac:dyDescent="0.2">
      <c r="A42" s="16"/>
      <c r="B42" s="16"/>
      <c r="C42" s="142" t="str" cm="1">
        <f t="array" ref="C42">IFERROR(IF(INDEX(inp_comment_went_well,$BP$1)=0,"–",INDEX(inp_comment_went_well,$BP$1)),"–")</f>
        <v>–</v>
      </c>
      <c r="D42" s="142"/>
      <c r="E42" s="142"/>
      <c r="F42" s="142"/>
      <c r="G42" s="142"/>
      <c r="H42" s="142"/>
      <c r="I42" s="142"/>
      <c r="J42" s="142"/>
      <c r="K42" s="142"/>
      <c r="L42" s="142"/>
      <c r="M42" s="142"/>
      <c r="N42" s="142"/>
      <c r="O42" s="142"/>
      <c r="P42" s="142"/>
      <c r="Q42" s="142"/>
      <c r="R42" s="142"/>
      <c r="S42" s="142"/>
      <c r="T42" s="142"/>
      <c r="U42" s="16"/>
      <c r="V42" s="60" t="str" cm="1">
        <f t="array" ref="V42">_xlfn._xlws.FILTER(Data!$B$225:$B$235,(Data!$B$225:$B$235&lt;&gt;"")*(IFERROR(DATEVALUE("1-"&amp;Data!$C$225:$C$235),0)&lt;=calc_sel_date)*((LEN(Data!$F$225:$F$235)=0)+(IFERROR(DATEVALUE("1-"&amp;Data!$F$225:$F$235),99999)&gt;calc_sel_date)),"–")</f>
        <v>–</v>
      </c>
      <c r="W42" s="60"/>
      <c r="X42" s="60"/>
      <c r="Y42" s="60"/>
      <c r="Z42" s="60"/>
      <c r="AA42" s="60"/>
      <c r="AB42" s="60"/>
      <c r="AC42" s="60"/>
      <c r="AD42" s="60"/>
      <c r="AE42" s="60"/>
      <c r="AF42" s="60"/>
      <c r="AG42" s="60"/>
      <c r="AH42" s="60"/>
      <c r="AI42" s="60"/>
      <c r="AJ42" s="60"/>
      <c r="AK42" s="60"/>
      <c r="AL42" s="60"/>
      <c r="AM42" s="60"/>
      <c r="AN42" s="60"/>
      <c r="AO42" s="16"/>
      <c r="AP42" s="61" t="str" cm="1">
        <f t="array" ref="AP42">_xlfn._xlws.FILTER(Data!$D$225:$D$235,(Data!$B$225:$B$235&lt;&gt;"")*(IFERROR(DATEVALUE("1-"&amp;Data!$C$225:$C$235),0)&lt;=calc_sel_date)*((LEN(Data!$F$225:$F$235)=0)+(IFERROR(DATEVALUE("1-"&amp;Data!$F$225:$F$235),99999)&gt;calc_sel_date)),"–")</f>
        <v>–</v>
      </c>
      <c r="AQ42" s="61"/>
      <c r="AR42" s="61"/>
      <c r="AS42" s="61"/>
      <c r="AT42" s="61"/>
      <c r="AU42" s="61"/>
      <c r="AV42" s="62" t="str" cm="1">
        <f t="array" ref="AV42">_xlfn._xlws.FILTER(Data!$E$225:$E$235,(Data!$B$225:$B$235&lt;&gt;"")*(IFERROR(DATEVALUE("1-"&amp;Data!$C$225:$C$235),0)&lt;=calc_sel_date)*((LEN(Data!$F$225:$F$235)=0)+(IFERROR(DATEVALUE("1-"&amp;Data!$F$225:$F$235),99999)&gt;calc_sel_date)),"–")</f>
        <v>–</v>
      </c>
      <c r="AW42" s="63"/>
      <c r="AX42" s="63"/>
      <c r="AY42" s="63"/>
      <c r="AZ42" s="63"/>
      <c r="BA42" s="63"/>
      <c r="BB42" s="16"/>
      <c r="BC42" s="16"/>
      <c r="BD42" s="16"/>
      <c r="BE42" s="16"/>
      <c r="BF42" s="16"/>
      <c r="BG42" s="16"/>
      <c r="BH42" s="16"/>
      <c r="BI42" s="16"/>
      <c r="BJ42" s="16"/>
      <c r="BK42" s="16"/>
      <c r="BL42" s="16"/>
      <c r="BM42" s="16"/>
      <c r="BN42" s="16"/>
    </row>
    <row r="43" spans="1:66" ht="18" customHeight="1" x14ac:dyDescent="0.2">
      <c r="A43" s="16"/>
      <c r="B43" s="16"/>
      <c r="C43" s="142"/>
      <c r="D43" s="142"/>
      <c r="E43" s="142"/>
      <c r="F43" s="142"/>
      <c r="G43" s="142"/>
      <c r="H43" s="142"/>
      <c r="I43" s="142"/>
      <c r="J43" s="142"/>
      <c r="K43" s="142"/>
      <c r="L43" s="142"/>
      <c r="M43" s="142"/>
      <c r="N43" s="142"/>
      <c r="O43" s="142"/>
      <c r="P43" s="142"/>
      <c r="Q43" s="142"/>
      <c r="R43" s="142"/>
      <c r="S43" s="142"/>
      <c r="T43" s="142"/>
      <c r="U43" s="16"/>
      <c r="V43" s="60"/>
      <c r="W43" s="60"/>
      <c r="X43" s="60"/>
      <c r="Y43" s="60"/>
      <c r="Z43" s="60"/>
      <c r="AA43" s="60"/>
      <c r="AB43" s="60"/>
      <c r="AC43" s="60"/>
      <c r="AD43" s="60"/>
      <c r="AE43" s="60"/>
      <c r="AF43" s="60"/>
      <c r="AG43" s="60"/>
      <c r="AH43" s="60"/>
      <c r="AI43" s="60"/>
      <c r="AJ43" s="60"/>
      <c r="AK43" s="60"/>
      <c r="AL43" s="60"/>
      <c r="AM43" s="60"/>
      <c r="AN43" s="60"/>
      <c r="AO43" s="16"/>
      <c r="AP43" s="61"/>
      <c r="AQ43" s="61"/>
      <c r="AR43" s="61"/>
      <c r="AS43" s="61"/>
      <c r="AT43" s="61"/>
      <c r="AU43" s="61"/>
      <c r="AV43" s="63"/>
      <c r="AW43" s="63"/>
      <c r="AX43" s="63"/>
      <c r="AY43" s="63"/>
      <c r="AZ43" s="63"/>
      <c r="BA43" s="63"/>
      <c r="BB43" s="16"/>
      <c r="BC43" s="16"/>
      <c r="BD43" s="16"/>
      <c r="BE43" s="16"/>
      <c r="BF43" s="16"/>
      <c r="BG43" s="16"/>
      <c r="BH43" s="16"/>
      <c r="BI43" s="16"/>
      <c r="BJ43" s="16"/>
      <c r="BK43" s="16"/>
      <c r="BL43" s="16"/>
      <c r="BM43" s="16"/>
      <c r="BN43" s="16"/>
    </row>
    <row r="44" spans="1:66" ht="18" customHeight="1" x14ac:dyDescent="0.2">
      <c r="A44" s="16"/>
      <c r="B44" s="16"/>
      <c r="C44" s="25" t="s">
        <v>110</v>
      </c>
      <c r="D44" s="16"/>
      <c r="E44" s="16"/>
      <c r="F44" s="16"/>
      <c r="G44" s="16"/>
      <c r="H44" s="16"/>
      <c r="I44" s="16"/>
      <c r="J44" s="16"/>
      <c r="K44" s="16"/>
      <c r="L44" s="16"/>
      <c r="M44" s="16"/>
      <c r="N44" s="16"/>
      <c r="O44" s="16"/>
      <c r="P44" s="16"/>
      <c r="Q44" s="16"/>
      <c r="R44" s="16"/>
      <c r="S44" s="16"/>
      <c r="T44" s="16"/>
      <c r="U44" s="16"/>
      <c r="V44" s="60"/>
      <c r="W44" s="60"/>
      <c r="X44" s="60"/>
      <c r="Y44" s="60"/>
      <c r="Z44" s="60"/>
      <c r="AA44" s="60"/>
      <c r="AB44" s="60"/>
      <c r="AC44" s="60"/>
      <c r="AD44" s="60"/>
      <c r="AE44" s="60"/>
      <c r="AF44" s="60"/>
      <c r="AG44" s="60"/>
      <c r="AH44" s="60"/>
      <c r="AI44" s="60"/>
      <c r="AJ44" s="60"/>
      <c r="AK44" s="60"/>
      <c r="AL44" s="60"/>
      <c r="AM44" s="60"/>
      <c r="AN44" s="60"/>
      <c r="AO44" s="16"/>
      <c r="AP44" s="61"/>
      <c r="AQ44" s="61"/>
      <c r="AR44" s="61"/>
      <c r="AS44" s="61"/>
      <c r="AT44" s="61"/>
      <c r="AU44" s="61"/>
      <c r="AV44" s="63"/>
      <c r="AW44" s="63"/>
      <c r="AX44" s="63"/>
      <c r="AY44" s="63"/>
      <c r="AZ44" s="63"/>
      <c r="BA44" s="63"/>
      <c r="BB44" s="16"/>
      <c r="BC44" s="16"/>
      <c r="BD44" s="16"/>
      <c r="BE44" s="16"/>
      <c r="BF44" s="16"/>
      <c r="BG44" s="16"/>
      <c r="BH44" s="16"/>
      <c r="BI44" s="16"/>
      <c r="BJ44" s="16"/>
      <c r="BK44" s="16"/>
      <c r="BL44" s="16"/>
      <c r="BM44" s="16"/>
      <c r="BN44" s="16"/>
    </row>
    <row r="45" spans="1:66" ht="18" customHeight="1" x14ac:dyDescent="0.2">
      <c r="A45" s="16"/>
      <c r="B45" s="16"/>
      <c r="C45" s="142" t="str" cm="1">
        <f t="array" ref="C45">IFERROR(IF(INDEX(inp_comment_went_poor,$BP$1)=0,"–",INDEX(inp_comment_went_poor,$BP$1)),"–")</f>
        <v>–</v>
      </c>
      <c r="D45" s="142"/>
      <c r="E45" s="142"/>
      <c r="F45" s="142"/>
      <c r="G45" s="142"/>
      <c r="H45" s="142"/>
      <c r="I45" s="142"/>
      <c r="J45" s="142"/>
      <c r="K45" s="142"/>
      <c r="L45" s="142"/>
      <c r="M45" s="142"/>
      <c r="N45" s="142"/>
      <c r="O45" s="142"/>
      <c r="P45" s="142"/>
      <c r="Q45" s="142"/>
      <c r="R45" s="142"/>
      <c r="S45" s="142"/>
      <c r="T45" s="142"/>
      <c r="U45" s="16"/>
      <c r="V45" s="60"/>
      <c r="W45" s="60"/>
      <c r="X45" s="60"/>
      <c r="Y45" s="60"/>
      <c r="Z45" s="60"/>
      <c r="AA45" s="60"/>
      <c r="AB45" s="60"/>
      <c r="AC45" s="60"/>
      <c r="AD45" s="60"/>
      <c r="AE45" s="60"/>
      <c r="AF45" s="60"/>
      <c r="AG45" s="60"/>
      <c r="AH45" s="60"/>
      <c r="AI45" s="60"/>
      <c r="AJ45" s="60"/>
      <c r="AK45" s="60"/>
      <c r="AL45" s="60"/>
      <c r="AM45" s="60"/>
      <c r="AN45" s="60"/>
      <c r="AO45" s="16"/>
      <c r="AP45" s="61"/>
      <c r="AQ45" s="61"/>
      <c r="AR45" s="61"/>
      <c r="AS45" s="61"/>
      <c r="AT45" s="61"/>
      <c r="AU45" s="61"/>
      <c r="AV45" s="63"/>
      <c r="AW45" s="63"/>
      <c r="AX45" s="63"/>
      <c r="AY45" s="63"/>
      <c r="AZ45" s="63"/>
      <c r="BA45" s="63"/>
      <c r="BB45" s="16"/>
      <c r="BC45" s="16"/>
      <c r="BD45" s="16"/>
      <c r="BE45" s="16"/>
      <c r="BF45" s="16"/>
      <c r="BG45" s="16"/>
      <c r="BH45" s="16"/>
      <c r="BI45" s="16"/>
      <c r="BJ45" s="16"/>
      <c r="BK45" s="16"/>
      <c r="BL45" s="16"/>
      <c r="BM45" s="16"/>
      <c r="BN45" s="16"/>
    </row>
    <row r="46" spans="1:66" ht="18" customHeight="1" x14ac:dyDescent="0.2">
      <c r="A46" s="16"/>
      <c r="B46" s="16"/>
      <c r="C46" s="142"/>
      <c r="D46" s="142"/>
      <c r="E46" s="142"/>
      <c r="F46" s="142"/>
      <c r="G46" s="142"/>
      <c r="H46" s="142"/>
      <c r="I46" s="142"/>
      <c r="J46" s="142"/>
      <c r="K46" s="142"/>
      <c r="L46" s="142"/>
      <c r="M46" s="142"/>
      <c r="N46" s="142"/>
      <c r="O46" s="142"/>
      <c r="P46" s="142"/>
      <c r="Q46" s="142"/>
      <c r="R46" s="142"/>
      <c r="S46" s="142"/>
      <c r="T46" s="142"/>
      <c r="U46" s="16"/>
      <c r="V46" s="60"/>
      <c r="W46" s="60"/>
      <c r="X46" s="60"/>
      <c r="Y46" s="60"/>
      <c r="Z46" s="60"/>
      <c r="AA46" s="60"/>
      <c r="AB46" s="60"/>
      <c r="AC46" s="60"/>
      <c r="AD46" s="60"/>
      <c r="AE46" s="60"/>
      <c r="AF46" s="60"/>
      <c r="AG46" s="60"/>
      <c r="AH46" s="60"/>
      <c r="AI46" s="60"/>
      <c r="AJ46" s="60"/>
      <c r="AK46" s="60"/>
      <c r="AL46" s="60"/>
      <c r="AM46" s="60"/>
      <c r="AN46" s="60"/>
      <c r="AO46" s="16"/>
      <c r="AP46" s="61"/>
      <c r="AQ46" s="61"/>
      <c r="AR46" s="61"/>
      <c r="AS46" s="61"/>
      <c r="AT46" s="61"/>
      <c r="AU46" s="61"/>
      <c r="AV46" s="63"/>
      <c r="AW46" s="63"/>
      <c r="AX46" s="63"/>
      <c r="AY46" s="63"/>
      <c r="AZ46" s="63"/>
      <c r="BA46" s="63"/>
      <c r="BB46" s="16"/>
      <c r="BC46" s="16"/>
      <c r="BD46" s="16"/>
      <c r="BE46" s="16"/>
      <c r="BF46" s="16"/>
      <c r="BG46" s="16"/>
      <c r="BH46" s="16"/>
      <c r="BI46" s="16"/>
      <c r="BJ46" s="16"/>
      <c r="BK46" s="16"/>
      <c r="BL46" s="16"/>
      <c r="BM46" s="16"/>
      <c r="BN46" s="16"/>
    </row>
    <row r="47" spans="1:66" ht="18" customHeight="1" x14ac:dyDescent="0.2">
      <c r="A47" s="16"/>
      <c r="B47" s="16"/>
      <c r="C47" s="21" t="s">
        <v>111</v>
      </c>
      <c r="D47" s="16"/>
      <c r="E47" s="16"/>
      <c r="F47" s="16"/>
      <c r="G47" s="16"/>
      <c r="H47" s="16"/>
      <c r="I47" s="16"/>
      <c r="J47" s="16"/>
      <c r="K47" s="16"/>
      <c r="L47" s="16"/>
      <c r="M47" s="16"/>
      <c r="N47" s="16"/>
      <c r="O47" s="16"/>
      <c r="P47" s="16"/>
      <c r="Q47" s="16"/>
      <c r="R47" s="16"/>
      <c r="S47" s="16"/>
      <c r="T47" s="16"/>
      <c r="U47" s="16"/>
      <c r="V47" s="65" t="s">
        <v>284</v>
      </c>
      <c r="W47" s="66"/>
      <c r="X47" s="66"/>
      <c r="Y47" s="66"/>
      <c r="Z47" s="66"/>
      <c r="AA47" s="66"/>
      <c r="AB47" s="66"/>
      <c r="AC47" s="66"/>
      <c r="AD47" s="66"/>
      <c r="AE47" s="66"/>
      <c r="AF47" s="66"/>
      <c r="AG47" s="66"/>
      <c r="AH47" s="66"/>
      <c r="AI47" s="66"/>
      <c r="AJ47" s="66"/>
      <c r="AK47" s="66"/>
      <c r="AL47" s="66"/>
      <c r="AM47" s="66"/>
      <c r="AN47" s="6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row>
    <row r="48" spans="1:66" ht="18" customHeight="1" x14ac:dyDescent="0.2">
      <c r="A48" s="16"/>
      <c r="B48" s="16"/>
      <c r="C48" s="142" t="str" cm="1">
        <f t="array" ref="C48">IFERROR(IF(INDEX(inp_comment_structural,$BP$1)=0,"–",INDEX(inp_comment_structural,$BP$1)),"–")</f>
        <v>–</v>
      </c>
      <c r="D48" s="142"/>
      <c r="E48" s="142"/>
      <c r="F48" s="142"/>
      <c r="G48" s="142"/>
      <c r="H48" s="142"/>
      <c r="I48" s="142"/>
      <c r="J48" s="142"/>
      <c r="K48" s="142"/>
      <c r="L48" s="142"/>
      <c r="M48" s="142"/>
      <c r="N48" s="142"/>
      <c r="O48" s="142"/>
      <c r="P48" s="142"/>
      <c r="Q48" s="142"/>
      <c r="R48" s="142"/>
      <c r="S48" s="142"/>
      <c r="T48" s="142"/>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row>
    <row r="49" spans="1:66" ht="18" customHeight="1" x14ac:dyDescent="0.2">
      <c r="A49" s="16"/>
      <c r="B49" s="16"/>
      <c r="C49" s="142"/>
      <c r="D49" s="142"/>
      <c r="E49" s="142"/>
      <c r="F49" s="142"/>
      <c r="G49" s="142"/>
      <c r="H49" s="142"/>
      <c r="I49" s="142"/>
      <c r="J49" s="142"/>
      <c r="K49" s="142"/>
      <c r="L49" s="142"/>
      <c r="M49" s="142"/>
      <c r="N49" s="142"/>
      <c r="O49" s="142"/>
      <c r="P49" s="142"/>
      <c r="Q49" s="142"/>
      <c r="R49" s="142"/>
      <c r="S49" s="142"/>
      <c r="T49" s="142"/>
      <c r="U49" s="16"/>
      <c r="V49" s="21" t="s">
        <v>121</v>
      </c>
      <c r="W49" s="16"/>
      <c r="X49" s="16"/>
      <c r="Y49" s="16"/>
      <c r="Z49" s="16"/>
      <c r="AA49" s="16"/>
      <c r="AB49" s="16"/>
      <c r="AC49" s="16"/>
      <c r="AD49" s="16"/>
      <c r="AE49" s="16"/>
      <c r="AF49" s="16"/>
      <c r="AG49" s="16"/>
      <c r="AH49" s="16"/>
      <c r="AI49" s="16"/>
      <c r="AJ49" s="16"/>
      <c r="AK49" s="16"/>
      <c r="AL49" s="16"/>
      <c r="AM49" s="16"/>
      <c r="AN49" s="16"/>
      <c r="AO49" s="16"/>
      <c r="AP49" s="21" t="s">
        <v>116</v>
      </c>
      <c r="AQ49" s="16"/>
      <c r="AR49" s="16"/>
      <c r="AS49" s="16"/>
      <c r="AT49" s="16"/>
      <c r="AU49" s="16"/>
      <c r="AV49" s="21" t="s">
        <v>123</v>
      </c>
      <c r="AW49" s="16"/>
      <c r="AX49" s="16"/>
      <c r="AY49" s="16"/>
      <c r="AZ49" s="16"/>
      <c r="BA49" s="16"/>
      <c r="BB49" s="16"/>
      <c r="BC49" s="16"/>
      <c r="BD49" s="16"/>
      <c r="BE49" s="16"/>
      <c r="BF49" s="16"/>
      <c r="BG49" s="16"/>
      <c r="BH49" s="16"/>
      <c r="BI49" s="16"/>
      <c r="BJ49" s="16"/>
      <c r="BK49" s="16"/>
      <c r="BL49" s="16"/>
      <c r="BM49" s="16"/>
      <c r="BN49" s="16"/>
    </row>
    <row r="50" spans="1:66" ht="18" customHeight="1" x14ac:dyDescent="0.2">
      <c r="A50" s="16"/>
      <c r="B50" s="16"/>
      <c r="C50" s="59" t="s">
        <v>255</v>
      </c>
      <c r="D50" s="16"/>
      <c r="E50" s="16"/>
      <c r="F50" s="16"/>
      <c r="G50" s="16"/>
      <c r="H50" s="16"/>
      <c r="I50" s="16"/>
      <c r="J50" s="16"/>
      <c r="K50" s="16"/>
      <c r="L50" s="16"/>
      <c r="M50" s="16"/>
      <c r="N50" s="16"/>
      <c r="O50" s="16"/>
      <c r="P50" s="16"/>
      <c r="Q50" s="16"/>
      <c r="R50" s="16"/>
      <c r="S50" s="16"/>
      <c r="T50" s="16"/>
      <c r="U50" s="16"/>
      <c r="V50" s="60" t="str" cm="1">
        <f t="array" ref="V50">_xlfn._xlws.FILTER(Data!$B$238:$B$245,(Data!$B$238:$B$245&lt;&gt;"")*(IFERROR(DATEVALUE("1-"&amp;Data!$C$238:$C$245),0)&lt;=calc_sel_date),"–")</f>
        <v>–</v>
      </c>
      <c r="W50" s="60"/>
      <c r="X50" s="60"/>
      <c r="Y50" s="60"/>
      <c r="Z50" s="60"/>
      <c r="AA50" s="60"/>
      <c r="AB50" s="60"/>
      <c r="AC50" s="60"/>
      <c r="AD50" s="60"/>
      <c r="AE50" s="60"/>
      <c r="AF50" s="60"/>
      <c r="AG50" s="60"/>
      <c r="AH50" s="60"/>
      <c r="AI50" s="60"/>
      <c r="AJ50" s="60"/>
      <c r="AK50" s="60"/>
      <c r="AL50" s="60"/>
      <c r="AM50" s="60"/>
      <c r="AN50" s="60"/>
      <c r="AO50" s="16"/>
      <c r="AP50" s="61" t="str" cm="1">
        <f t="array" ref="AP50">_xlfn._xlws.FILTER(Data!$D$238:$D$245,(Data!$B$238:$B$245&lt;&gt;"")*(IFERROR(DATEVALUE("1-"&amp;Data!$C$238:$C$245),0)&lt;=calc_sel_date),"–")</f>
        <v>–</v>
      </c>
      <c r="AQ50" s="61"/>
      <c r="AR50" s="61"/>
      <c r="AS50" s="61"/>
      <c r="AT50" s="61"/>
      <c r="AU50" s="61"/>
      <c r="AV50" s="64" t="str" cm="1">
        <f t="array" ref="AV50">_xlfn._xlws.FILTER(Data!$E$238:$E$245,(Data!$B$238:$B$245&lt;&gt;"")*(IFERROR(DATEVALUE("1-"&amp;Data!$C$238:$C$245),0)&lt;=calc_sel_date),"–")</f>
        <v>–</v>
      </c>
      <c r="AW50" s="63"/>
      <c r="AX50" s="63"/>
      <c r="AY50" s="63"/>
      <c r="AZ50" s="63"/>
      <c r="BA50" s="63"/>
      <c r="BB50" s="16"/>
      <c r="BC50" s="16"/>
      <c r="BD50" s="16"/>
      <c r="BE50" s="16"/>
      <c r="BF50" s="16"/>
      <c r="BG50" s="16"/>
      <c r="BH50" s="16"/>
      <c r="BI50" s="16"/>
      <c r="BJ50" s="16"/>
      <c r="BK50" s="16"/>
      <c r="BL50" s="16"/>
      <c r="BM50" s="16"/>
      <c r="BN50" s="16"/>
    </row>
    <row r="51" spans="1:66" ht="18" customHeight="1" x14ac:dyDescent="0.2">
      <c r="A51" s="16"/>
      <c r="B51" s="16"/>
      <c r="C51" s="142" t="str" cm="1">
        <f t="array" ref="C51">IFERROR(IF(INDEX(inp_comment_next_diff,$BP$1)=0,"–",INDEX(inp_comment_next_diff,$BP$1)),"–")</f>
        <v>–</v>
      </c>
      <c r="D51" s="142"/>
      <c r="E51" s="142"/>
      <c r="F51" s="142"/>
      <c r="G51" s="142"/>
      <c r="H51" s="142"/>
      <c r="I51" s="142"/>
      <c r="J51" s="142"/>
      <c r="K51" s="142"/>
      <c r="L51" s="142"/>
      <c r="M51" s="142"/>
      <c r="N51" s="142"/>
      <c r="O51" s="142"/>
      <c r="P51" s="142"/>
      <c r="Q51" s="142"/>
      <c r="R51" s="142"/>
      <c r="S51" s="142"/>
      <c r="T51" s="142"/>
      <c r="U51" s="142"/>
      <c r="V51" s="60"/>
      <c r="W51" s="60"/>
      <c r="X51" s="60"/>
      <c r="Y51" s="60"/>
      <c r="Z51" s="60"/>
      <c r="AA51" s="60"/>
      <c r="AB51" s="60"/>
      <c r="AC51" s="60"/>
      <c r="AD51" s="60"/>
      <c r="AE51" s="60"/>
      <c r="AF51" s="60"/>
      <c r="AG51" s="60"/>
      <c r="AH51" s="60"/>
      <c r="AI51" s="60"/>
      <c r="AJ51" s="60"/>
      <c r="AK51" s="60"/>
      <c r="AL51" s="60"/>
      <c r="AM51" s="60"/>
      <c r="AN51" s="60"/>
      <c r="AO51" s="16"/>
      <c r="AP51" s="61"/>
      <c r="AQ51" s="61"/>
      <c r="AR51" s="61"/>
      <c r="AS51" s="61"/>
      <c r="AT51" s="61"/>
      <c r="AU51" s="61"/>
      <c r="AV51" s="63"/>
      <c r="AW51" s="63"/>
      <c r="AX51" s="63"/>
      <c r="AY51" s="63"/>
      <c r="AZ51" s="63"/>
      <c r="BA51" s="63"/>
      <c r="BB51" s="16"/>
      <c r="BC51" s="16"/>
      <c r="BD51" s="16"/>
      <c r="BE51" s="16"/>
      <c r="BF51" s="16"/>
      <c r="BG51" s="16"/>
      <c r="BH51" s="16"/>
      <c r="BI51" s="16"/>
      <c r="BJ51" s="16"/>
      <c r="BK51" s="16"/>
      <c r="BL51" s="16"/>
      <c r="BM51" s="16"/>
      <c r="BN51" s="16"/>
    </row>
    <row r="52" spans="1:66" ht="18" customHeight="1" x14ac:dyDescent="0.2">
      <c r="A52" s="16"/>
      <c r="B52" s="16"/>
      <c r="C52" s="142"/>
      <c r="D52" s="142"/>
      <c r="E52" s="142"/>
      <c r="F52" s="142"/>
      <c r="G52" s="142"/>
      <c r="H52" s="142"/>
      <c r="I52" s="142"/>
      <c r="J52" s="142"/>
      <c r="K52" s="142"/>
      <c r="L52" s="142"/>
      <c r="M52" s="142"/>
      <c r="N52" s="142"/>
      <c r="O52" s="142"/>
      <c r="P52" s="142"/>
      <c r="Q52" s="142"/>
      <c r="R52" s="142"/>
      <c r="S52" s="142"/>
      <c r="T52" s="142"/>
      <c r="U52" s="142"/>
      <c r="V52" s="60"/>
      <c r="W52" s="60"/>
      <c r="X52" s="60"/>
      <c r="Y52" s="60"/>
      <c r="Z52" s="60"/>
      <c r="AA52" s="60"/>
      <c r="AB52" s="60"/>
      <c r="AC52" s="60"/>
      <c r="AD52" s="60"/>
      <c r="AE52" s="60"/>
      <c r="AF52" s="60"/>
      <c r="AG52" s="60"/>
      <c r="AH52" s="60"/>
      <c r="AI52" s="60"/>
      <c r="AJ52" s="60"/>
      <c r="AK52" s="60"/>
      <c r="AL52" s="60"/>
      <c r="AM52" s="60"/>
      <c r="AN52" s="60"/>
      <c r="AO52" s="16"/>
      <c r="AP52" s="61"/>
      <c r="AQ52" s="61"/>
      <c r="AR52" s="61"/>
      <c r="AS52" s="61"/>
      <c r="AT52" s="61"/>
      <c r="AU52" s="61"/>
      <c r="AV52" s="63"/>
      <c r="AW52" s="63"/>
      <c r="AX52" s="63"/>
      <c r="AY52" s="63"/>
      <c r="AZ52" s="63"/>
      <c r="BA52" s="63"/>
      <c r="BB52" s="16"/>
      <c r="BC52" s="16"/>
      <c r="BD52" s="16"/>
      <c r="BE52" s="16"/>
      <c r="BF52" s="16"/>
      <c r="BG52" s="16"/>
      <c r="BH52" s="16"/>
      <c r="BI52" s="16"/>
      <c r="BJ52" s="16"/>
      <c r="BK52" s="16"/>
      <c r="BL52" s="16"/>
      <c r="BM52" s="16"/>
      <c r="BN52" s="16"/>
    </row>
    <row r="53" spans="1:66" ht="18" customHeight="1" x14ac:dyDescent="0.2">
      <c r="A53" s="16"/>
      <c r="B53" s="16"/>
      <c r="C53" s="142"/>
      <c r="D53" s="142"/>
      <c r="E53" s="142"/>
      <c r="F53" s="142"/>
      <c r="G53" s="142"/>
      <c r="H53" s="142"/>
      <c r="I53" s="142"/>
      <c r="J53" s="142"/>
      <c r="K53" s="142"/>
      <c r="L53" s="142"/>
      <c r="M53" s="142"/>
      <c r="N53" s="142"/>
      <c r="O53" s="142"/>
      <c r="P53" s="142"/>
      <c r="Q53" s="142"/>
      <c r="R53" s="142"/>
      <c r="S53" s="142"/>
      <c r="T53" s="142"/>
      <c r="U53" s="142"/>
      <c r="V53" s="60"/>
      <c r="W53" s="60"/>
      <c r="X53" s="60"/>
      <c r="Y53" s="60"/>
      <c r="Z53" s="60"/>
      <c r="AA53" s="60"/>
      <c r="AB53" s="60"/>
      <c r="AC53" s="60"/>
      <c r="AD53" s="60"/>
      <c r="AE53" s="60"/>
      <c r="AF53" s="60"/>
      <c r="AG53" s="60"/>
      <c r="AH53" s="60"/>
      <c r="AI53" s="60"/>
      <c r="AJ53" s="60"/>
      <c r="AK53" s="60"/>
      <c r="AL53" s="60"/>
      <c r="AM53" s="60"/>
      <c r="AN53" s="60"/>
      <c r="AO53" s="16"/>
      <c r="AP53" s="61"/>
      <c r="AQ53" s="61"/>
      <c r="AR53" s="61"/>
      <c r="AS53" s="61"/>
      <c r="AT53" s="61"/>
      <c r="AU53" s="61"/>
      <c r="AV53" s="63"/>
      <c r="AW53" s="63"/>
      <c r="AX53" s="63"/>
      <c r="AY53" s="63"/>
      <c r="AZ53" s="63"/>
      <c r="BA53" s="63"/>
      <c r="BB53" s="16"/>
      <c r="BC53" s="16"/>
      <c r="BD53" s="16"/>
      <c r="BE53" s="16"/>
      <c r="BF53" s="16"/>
      <c r="BG53" s="16"/>
      <c r="BH53" s="16"/>
      <c r="BI53" s="16"/>
      <c r="BJ53" s="16"/>
      <c r="BK53" s="16"/>
      <c r="BL53" s="16"/>
      <c r="BM53" s="16"/>
      <c r="BN53" s="16"/>
    </row>
    <row r="54" spans="1:66" ht="18" customHeight="1" x14ac:dyDescent="0.2">
      <c r="A54" s="16"/>
      <c r="B54" s="16"/>
      <c r="C54" s="16"/>
      <c r="D54" s="16"/>
      <c r="E54" s="16"/>
      <c r="F54" s="16"/>
      <c r="G54" s="16"/>
      <c r="H54" s="16"/>
      <c r="I54" s="16"/>
      <c r="J54" s="16"/>
      <c r="K54" s="16"/>
      <c r="L54" s="16"/>
      <c r="M54" s="16"/>
      <c r="N54" s="16"/>
      <c r="O54" s="16"/>
      <c r="P54" s="16"/>
      <c r="Q54" s="16"/>
      <c r="R54" s="16"/>
      <c r="S54" s="16"/>
      <c r="T54" s="16"/>
      <c r="U54" s="16"/>
      <c r="V54" s="60"/>
      <c r="W54" s="60"/>
      <c r="X54" s="60"/>
      <c r="Y54" s="60"/>
      <c r="Z54" s="60"/>
      <c r="AA54" s="60"/>
      <c r="AB54" s="60"/>
      <c r="AC54" s="60"/>
      <c r="AD54" s="60"/>
      <c r="AE54" s="60"/>
      <c r="AF54" s="60"/>
      <c r="AG54" s="60"/>
      <c r="AH54" s="60"/>
      <c r="AI54" s="60"/>
      <c r="AJ54" s="60"/>
      <c r="AK54" s="60"/>
      <c r="AL54" s="60"/>
      <c r="AM54" s="60"/>
      <c r="AN54" s="60"/>
      <c r="AO54" s="16"/>
      <c r="AP54" s="61"/>
      <c r="AQ54" s="61"/>
      <c r="AR54" s="61"/>
      <c r="AS54" s="61"/>
      <c r="AT54" s="61"/>
      <c r="AU54" s="61"/>
      <c r="AV54" s="63"/>
      <c r="AW54" s="63"/>
      <c r="AX54" s="63"/>
      <c r="AY54" s="63"/>
      <c r="AZ54" s="63"/>
      <c r="BA54" s="63"/>
      <c r="BB54" s="16"/>
      <c r="BC54" s="16"/>
      <c r="BD54" s="16"/>
      <c r="BE54" s="16"/>
      <c r="BF54" s="16"/>
      <c r="BG54" s="16"/>
      <c r="BH54" s="16"/>
      <c r="BI54" s="16"/>
      <c r="BJ54" s="16"/>
      <c r="BK54" s="16"/>
      <c r="BL54" s="16"/>
      <c r="BM54" s="16"/>
      <c r="BN54" s="16"/>
    </row>
    <row r="55" spans="1:66" ht="18" customHeight="1" x14ac:dyDescent="0.2">
      <c r="A55" s="16"/>
      <c r="B55" s="16"/>
      <c r="C55" s="16"/>
      <c r="D55" s="16"/>
      <c r="E55" s="16"/>
      <c r="F55" s="16"/>
      <c r="G55" s="16"/>
      <c r="H55" s="16"/>
      <c r="I55" s="16"/>
      <c r="J55" s="16"/>
      <c r="K55" s="16"/>
      <c r="L55" s="16"/>
      <c r="M55" s="16"/>
      <c r="N55" s="16"/>
      <c r="O55" s="16"/>
      <c r="P55" s="16"/>
      <c r="Q55" s="16"/>
      <c r="R55" s="16"/>
      <c r="S55" s="16"/>
      <c r="T55" s="16"/>
      <c r="U55" s="16"/>
      <c r="V55" s="60"/>
      <c r="W55" s="60"/>
      <c r="X55" s="60"/>
      <c r="Y55" s="60"/>
      <c r="Z55" s="60"/>
      <c r="AA55" s="60"/>
      <c r="AB55" s="60"/>
      <c r="AC55" s="60"/>
      <c r="AD55" s="60"/>
      <c r="AE55" s="60"/>
      <c r="AF55" s="60"/>
      <c r="AG55" s="60"/>
      <c r="AH55" s="60"/>
      <c r="AI55" s="60"/>
      <c r="AJ55" s="60"/>
      <c r="AK55" s="60"/>
      <c r="AL55" s="60"/>
      <c r="AM55" s="60"/>
      <c r="AN55" s="60"/>
      <c r="AO55" s="16"/>
      <c r="AP55" s="61"/>
      <c r="AQ55" s="61"/>
      <c r="AR55" s="61"/>
      <c r="AS55" s="61"/>
      <c r="AT55" s="61"/>
      <c r="AU55" s="61"/>
      <c r="AV55" s="63"/>
      <c r="AW55" s="63"/>
      <c r="AX55" s="63"/>
      <c r="AY55" s="63"/>
      <c r="AZ55" s="63"/>
      <c r="BA55" s="63"/>
      <c r="BB55" s="16"/>
      <c r="BC55" s="16"/>
      <c r="BD55" s="16"/>
      <c r="BE55" s="16"/>
      <c r="BF55" s="16"/>
      <c r="BG55" s="16"/>
      <c r="BH55" s="16"/>
      <c r="BI55" s="16"/>
      <c r="BJ55" s="16"/>
      <c r="BK55" s="16"/>
      <c r="BL55" s="16"/>
      <c r="BM55" s="16"/>
      <c r="BN55" s="16"/>
    </row>
    <row r="56" spans="1:66" ht="18" customHeight="1" x14ac:dyDescent="0.2">
      <c r="A56" s="16"/>
      <c r="B56" s="16"/>
      <c r="C56" s="135" t="s">
        <v>325</v>
      </c>
      <c r="D56" s="135"/>
      <c r="E56" s="135"/>
      <c r="F56" s="135"/>
      <c r="G56" s="135"/>
      <c r="H56" s="135"/>
      <c r="I56" s="135"/>
      <c r="J56" s="135"/>
      <c r="K56" s="135"/>
      <c r="L56" s="135"/>
      <c r="M56" s="135"/>
      <c r="N56" s="135"/>
      <c r="O56" s="135"/>
      <c r="P56" s="135"/>
      <c r="Q56" s="135"/>
      <c r="R56" s="135"/>
      <c r="S56" s="135"/>
      <c r="T56" s="135"/>
      <c r="U56" s="135"/>
      <c r="V56" s="135"/>
      <c r="W56" s="135"/>
      <c r="X56" s="135"/>
      <c r="Y56" s="135"/>
      <c r="Z56" s="135"/>
      <c r="AA56" s="135"/>
      <c r="AB56" s="127"/>
      <c r="AC56" s="127"/>
      <c r="AD56" s="127"/>
      <c r="AE56" s="127"/>
      <c r="AF56" s="127"/>
      <c r="AG56" s="127"/>
      <c r="AH56" s="127"/>
      <c r="AI56" s="127"/>
      <c r="AJ56" s="127"/>
      <c r="AK56" s="127"/>
      <c r="AL56" s="127"/>
      <c r="AM56" s="127"/>
      <c r="AN56" s="127"/>
      <c r="AO56" s="17"/>
      <c r="AP56" s="128"/>
      <c r="AQ56" s="128"/>
      <c r="AR56" s="128"/>
      <c r="AS56" s="128"/>
      <c r="AT56" s="128"/>
      <c r="AU56" s="128"/>
      <c r="AV56" s="129"/>
      <c r="AW56" s="129"/>
      <c r="AX56" s="129"/>
      <c r="AY56" s="129"/>
      <c r="AZ56" s="129"/>
      <c r="BA56" s="129"/>
      <c r="BB56" s="17"/>
      <c r="BC56" s="17"/>
      <c r="BD56" s="17"/>
      <c r="BE56" s="17"/>
      <c r="BF56" s="17"/>
      <c r="BG56" s="17"/>
      <c r="BH56" s="17"/>
      <c r="BI56" s="17"/>
      <c r="BJ56" s="17"/>
      <c r="BK56" s="17"/>
      <c r="BL56" s="17"/>
      <c r="BM56" s="16"/>
    </row>
    <row r="57" spans="1:66" ht="18" customHeight="1" x14ac:dyDescent="0.2">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row>
    <row r="58" spans="1:66" ht="15" customHeight="1" x14ac:dyDescent="0.2">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row>
    <row r="59" spans="1:66" ht="15" customHeight="1" x14ac:dyDescent="0.2">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row>
    <row r="60" spans="1:66" ht="15" customHeight="1" x14ac:dyDescent="0.2">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row>
    <row r="61" spans="1:66" ht="15" customHeight="1" x14ac:dyDescent="0.2">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row>
    <row r="62" spans="1:66" ht="15" customHeight="1" x14ac:dyDescent="0.2">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row>
    <row r="63" spans="1:66" ht="15" customHeight="1" x14ac:dyDescent="0.2">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row>
    <row r="64" spans="1:66" ht="15" customHeight="1" x14ac:dyDescent="0.2">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row>
    <row r="65" spans="1:75" ht="15" customHeight="1" x14ac:dyDescent="0.2">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row>
    <row r="66" spans="1:75" ht="15" customHeight="1" x14ac:dyDescent="0.2">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row>
    <row r="67" spans="1:75" ht="15" customHeight="1" x14ac:dyDescent="0.2">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row>
    <row r="68" spans="1:75" ht="15" customHeight="1" x14ac:dyDescent="0.2">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row>
    <row r="69" spans="1:75" ht="15" customHeight="1" x14ac:dyDescent="0.2">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row>
    <row r="70" spans="1:75" ht="15" customHeight="1" x14ac:dyDescent="0.2">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P70" s="130" t="s">
        <v>259</v>
      </c>
      <c r="BQ70" s="130" t="s">
        <v>260</v>
      </c>
      <c r="BR70" s="130" t="s">
        <v>261</v>
      </c>
      <c r="BS70" s="130" t="s">
        <v>262</v>
      </c>
      <c r="BT70" s="130" t="s">
        <v>263</v>
      </c>
      <c r="BU70" s="130" t="s">
        <v>264</v>
      </c>
      <c r="BV70" s="130" t="s">
        <v>265</v>
      </c>
      <c r="BW70" s="132" t="s">
        <v>278</v>
      </c>
    </row>
    <row r="71" spans="1:75" ht="15" customHeight="1" x14ac:dyDescent="0.2">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P71" s="130" t="s">
        <v>266</v>
      </c>
      <c r="BQ71" s="132">
        <v>0</v>
      </c>
      <c r="BR71" s="132">
        <v>0</v>
      </c>
      <c r="BS71" s="132">
        <v>0</v>
      </c>
      <c r="BT71" s="132">
        <f>BW71-$BV$71</f>
        <v>0</v>
      </c>
      <c r="BU71" s="132">
        <f>BW71</f>
        <v>0</v>
      </c>
      <c r="BV71" s="132">
        <f>MIN(BW71,BW72)-(MAX(BW71,BW72)-MIN(BW71,BW72))*0.12</f>
        <v>0</v>
      </c>
      <c r="BW71" s="132">
        <f>SUM(INDEX(Data!$C$119:$O$119,MATCH(calc_fy_start_date,calc_dates,0)):INDEX(Data!$C$119:$O$119,$BP$1))</f>
        <v>0</v>
      </c>
    </row>
    <row r="72" spans="1:75" ht="15" customHeight="1" x14ac:dyDescent="0.2">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P72" s="130" t="s">
        <v>267</v>
      </c>
      <c r="BQ72" s="132">
        <f>MIN(BU71,BU72)-$BV$71</f>
        <v>0</v>
      </c>
      <c r="BR72" s="132">
        <f>IF(BW76&lt;0,-BW76,0)</f>
        <v>0</v>
      </c>
      <c r="BS72" s="132">
        <f>IF(BW76&gt;=0,BW76,0)</f>
        <v>0</v>
      </c>
      <c r="BT72" s="132">
        <v>0</v>
      </c>
      <c r="BU72" s="132">
        <f>BU71+BW76</f>
        <v>0</v>
      </c>
      <c r="BW72" s="132">
        <f>SUM(INDEX(Data!$C$118:$O$118,MATCH(calc_fy_start_date,calc_dates,0)):INDEX(Data!$C$118:$O$118,$BP$1))</f>
        <v>0</v>
      </c>
    </row>
    <row r="73" spans="1:75" ht="15" customHeight="1" x14ac:dyDescent="0.2">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P73" s="130" t="s">
        <v>268</v>
      </c>
      <c r="BQ73" s="132">
        <f>MIN(BU72,BU73)-$BV$71</f>
        <v>0</v>
      </c>
      <c r="BR73" s="132">
        <f>IF(BW73&lt;0,-BW73,0)</f>
        <v>0</v>
      </c>
      <c r="BS73" s="132">
        <f>IF(BW73&gt;=0,BW73,0)</f>
        <v>0</v>
      </c>
      <c r="BT73" s="132">
        <v>0</v>
      </c>
      <c r="BU73" s="132">
        <f>BU72+BW73</f>
        <v>0</v>
      </c>
      <c r="BW73" s="132" cm="1">
        <f t="array" ref="BW73">(SUM(INDEX(Data!$C$176:$O$176,MATCH(calc_fy_start_date,calc_dates,0)):INDEX(Data!$C$176:$O$176,$BP$1))/12-INDEX(Data!$C$177:$O$177,$BP$1))*0</f>
        <v>0</v>
      </c>
    </row>
    <row r="74" spans="1:75" ht="15" customHeight="1" x14ac:dyDescent="0.2">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P74" s="130" t="s">
        <v>269</v>
      </c>
      <c r="BQ74" s="132">
        <f>MIN(BU73,BU74)-$BV$71</f>
        <v>0</v>
      </c>
      <c r="BR74" s="132">
        <f>IF(BW74&lt;0,-BW74,0)</f>
        <v>0</v>
      </c>
      <c r="BS74" s="132">
        <f>IF(BW74&gt;=0,BW74,0)</f>
        <v>0</v>
      </c>
      <c r="BT74" s="132">
        <v>0</v>
      </c>
      <c r="BU74" s="132">
        <f>BU73+BW74</f>
        <v>0</v>
      </c>
      <c r="BW74" s="132">
        <f>-(SUM(INDEX(Data!$C$90:$O$90,MATCH(calc_fy_start_date,calc_dates,0)):INDEX(Data!$C$90:$O$90,$BP$1))-SUM(INDEX(Data!$C$91:$O$91,MATCH(calc_fy_start_date,calc_dates,0)):INDEX(Data!$C$91:$O$91,$BP$1)))</f>
        <v>0</v>
      </c>
    </row>
    <row r="75" spans="1:75" ht="15" customHeight="1" x14ac:dyDescent="0.2">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P75" s="130" t="s">
        <v>270</v>
      </c>
      <c r="BQ75" s="132">
        <f>MIN(BU74,BU75)-$BV$71</f>
        <v>0</v>
      </c>
      <c r="BR75" s="132">
        <f>IF(BW75&lt;0,-BW75,0)</f>
        <v>0</v>
      </c>
      <c r="BS75" s="132">
        <f>IF(BW75&gt;=0,BW75,0)</f>
        <v>0</v>
      </c>
      <c r="BT75" s="132">
        <v>0</v>
      </c>
      <c r="BU75" s="132">
        <f>BU74+BW75</f>
        <v>0</v>
      </c>
      <c r="BW75" s="132">
        <f>-(SUM(INDEX(Data!$C$115:$O$115,MATCH(calc_fy_start_date,calc_dates,0)):INDEX(Data!$C$115:$O$115,$BP$1))-SUM(INDEX(Data!$C$116:$O$116,MATCH(calc_fy_start_date,calc_dates,0)):INDEX(Data!$C$116:$O$116,$BP$1)))</f>
        <v>0</v>
      </c>
    </row>
    <row r="76" spans="1:75" ht="15" customHeight="1" x14ac:dyDescent="0.2">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P76" s="130" t="s">
        <v>131</v>
      </c>
      <c r="BQ76" s="132">
        <f>$BV$71*0</f>
        <v>0</v>
      </c>
      <c r="BR76" s="132">
        <v>0</v>
      </c>
      <c r="BS76" s="132">
        <v>0</v>
      </c>
      <c r="BT76" s="132">
        <f>BW72-$BV$71</f>
        <v>0</v>
      </c>
      <c r="BU76" s="132">
        <f>BW72</f>
        <v>0</v>
      </c>
      <c r="BW76" s="132">
        <f>BW72-BW71-BW73-BW74-BW75</f>
        <v>0</v>
      </c>
    </row>
    <row r="77" spans="1:75" ht="15" customHeight="1" x14ac:dyDescent="0.2">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row>
    <row r="78" spans="1:75" ht="15" customHeight="1" x14ac:dyDescent="0.2">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row>
    <row r="79" spans="1:75" ht="15" customHeight="1" x14ac:dyDescent="0.2">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row>
    <row r="80" spans="1:75" ht="15" customHeight="1" x14ac:dyDescent="0.2">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row>
    <row r="81" spans="1:66" ht="15" customHeight="1" x14ac:dyDescent="0.2">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row>
    <row r="82" spans="1:66" ht="15" customHeight="1" x14ac:dyDescent="0.2">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row>
    <row r="83" spans="1:66" ht="15" customHeight="1" x14ac:dyDescent="0.2">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row>
    <row r="84" spans="1:66" ht="15" customHeight="1" x14ac:dyDescent="0.2">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row>
    <row r="85" spans="1:66" ht="15" customHeight="1" x14ac:dyDescent="0.2">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row>
    <row r="86" spans="1:66" ht="15" customHeight="1" x14ac:dyDescent="0.2">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row>
    <row r="87" spans="1:66" ht="15" customHeight="1" x14ac:dyDescent="0.2">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row>
    <row r="88" spans="1:66" ht="15" customHeight="1" x14ac:dyDescent="0.2">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row>
    <row r="89" spans="1:66" ht="15" customHeight="1" x14ac:dyDescent="0.2">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row>
    <row r="90" spans="1:66" ht="15" customHeight="1" x14ac:dyDescent="0.2"/>
  </sheetData>
  <mergeCells count="62">
    <mergeCell ref="BB2:BL2"/>
    <mergeCell ref="BB3:BL3"/>
    <mergeCell ref="BB4:BL4"/>
    <mergeCell ref="C7:L7"/>
    <mergeCell ref="N7:W7"/>
    <mergeCell ref="Y7:AH7"/>
    <mergeCell ref="AJ7:AS7"/>
    <mergeCell ref="AU7:BD7"/>
    <mergeCell ref="BF7:BL7"/>
    <mergeCell ref="BF9:BL9"/>
    <mergeCell ref="C8:L8"/>
    <mergeCell ref="N8:W8"/>
    <mergeCell ref="Y8:AH8"/>
    <mergeCell ref="AJ8:AS8"/>
    <mergeCell ref="AU8:BD8"/>
    <mergeCell ref="BF8:BL8"/>
    <mergeCell ref="C9:L9"/>
    <mergeCell ref="N9:W9"/>
    <mergeCell ref="Y9:AH9"/>
    <mergeCell ref="AJ9:AS9"/>
    <mergeCell ref="AU9:BD9"/>
    <mergeCell ref="AC17:AE17"/>
    <mergeCell ref="AJ17:AM17"/>
    <mergeCell ref="AC18:AE18"/>
    <mergeCell ref="AJ18:AM18"/>
    <mergeCell ref="AC19:AE19"/>
    <mergeCell ref="AJ19:AM19"/>
    <mergeCell ref="AO19:AX19"/>
    <mergeCell ref="BA19:BJ19"/>
    <mergeCell ref="AC20:AE20"/>
    <mergeCell ref="AJ20:AM20"/>
    <mergeCell ref="AO20:AY20"/>
    <mergeCell ref="BA20:BK20"/>
    <mergeCell ref="AC21:AE21"/>
    <mergeCell ref="AJ21:AM21"/>
    <mergeCell ref="AO21:AY21"/>
    <mergeCell ref="BA21:BK21"/>
    <mergeCell ref="AC22:AE22"/>
    <mergeCell ref="AJ22:AM22"/>
    <mergeCell ref="AO27:AX27"/>
    <mergeCell ref="BA27:BJ27"/>
    <mergeCell ref="AO28:AY28"/>
    <mergeCell ref="BA28:BK28"/>
    <mergeCell ref="AG29:AJ29"/>
    <mergeCell ref="AK29:AM29"/>
    <mergeCell ref="AO29:AY29"/>
    <mergeCell ref="BA29:BK29"/>
    <mergeCell ref="AG30:AJ30"/>
    <mergeCell ref="AK30:AM30"/>
    <mergeCell ref="AG31:AJ31"/>
    <mergeCell ref="AK31:AM31"/>
    <mergeCell ref="AG32:AJ32"/>
    <mergeCell ref="AK32:AM32"/>
    <mergeCell ref="AK33:AM33"/>
    <mergeCell ref="F35:I35"/>
    <mergeCell ref="N35:P35"/>
    <mergeCell ref="T35:V35"/>
    <mergeCell ref="C42:T43"/>
    <mergeCell ref="C45:T46"/>
    <mergeCell ref="C48:T49"/>
    <mergeCell ref="AG33:AJ33"/>
    <mergeCell ref="C51:U53"/>
  </mergeCells>
  <conditionalFormatting sqref="AV42:AV46">
    <cfRule type="containsText" dxfId="30" priority="4" operator="containsText" text="Open">
      <formula>NOT(ISERROR(SEARCH("Open",AV42)))</formula>
    </cfRule>
    <cfRule type="containsText" dxfId="29" priority="5" operator="containsText" text="In progress">
      <formula>NOT(ISERROR(SEARCH("In progress",AV42)))</formula>
    </cfRule>
  </conditionalFormatting>
  <conditionalFormatting sqref="AV50:AV55">
    <cfRule type="containsText" dxfId="28" priority="6" operator="containsText" text="High">
      <formula>NOT(ISERROR(SEARCH("High",AV50)))</formula>
    </cfRule>
    <cfRule type="containsText" dxfId="27" priority="7" operator="containsText" text="Medium">
      <formula>NOT(ISERROR(SEARCH("Medium",AV50)))</formula>
    </cfRule>
    <cfRule type="containsText" dxfId="26" priority="8" operator="containsText" text="Low">
      <formula>NOT(ISERROR(SEARCH("Low",AV50)))</formula>
    </cfRule>
  </conditionalFormatting>
  <conditionalFormatting sqref="AV56">
    <cfRule type="containsText" dxfId="2" priority="1" operator="containsText" text="High">
      <formula>NOT(ISERROR(SEARCH("High",AV56)))</formula>
    </cfRule>
    <cfRule type="containsText" dxfId="1" priority="2" operator="containsText" text="Medium">
      <formula>NOT(ISERROR(SEARCH("Medium",AV56)))</formula>
    </cfRule>
    <cfRule type="containsText" dxfId="0" priority="3" operator="containsText" text="Low">
      <formula>NOT(ISERROR(SEARCH("Low",AV56)))</formula>
    </cfRule>
  </conditionalFormatting>
  <hyperlinks>
    <hyperlink ref="C56" r:id="rId1" tooltip="Book a fit call · Infraxus" xr:uid="{F2E0F55C-BCFB-4B47-9A03-C1AFB574EAF8}"/>
  </hyperlinks>
  <pageMargins left="0.7" right="0.7" top="0.75" bottom="0.75" header="0.3" footer="0.3"/>
  <pageSetup paperSize="0" scale="47" orientation="landscape" horizontalDpi="0" verticalDpi="0" copie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CB94669-DDF6-024C-B52D-2492EC027BAF}">
          <x14:formula1>
            <xm:f>Data!$C$30:$O$30</xm:f>
          </x14:formula1>
          <xm:sqref>AW2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4CCD4-BC40-CB48-A72B-40835B25A82C}">
  <sheetPr>
    <tabColor rgb="FF8896B3"/>
  </sheetPr>
  <dimension ref="A1:S309"/>
  <sheetViews>
    <sheetView showGridLines="0" zoomScale="140" zoomScaleNormal="140" workbookViewId="0">
      <selection activeCell="U6" sqref="U6"/>
    </sheetView>
  </sheetViews>
  <sheetFormatPr baseColWidth="10" defaultColWidth="8.83203125" defaultRowHeight="15" x14ac:dyDescent="0.2"/>
  <cols>
    <col min="1" max="1" width="2" style="16" customWidth="1"/>
    <col min="2" max="2" width="40" style="16" customWidth="1"/>
    <col min="3" max="15" width="11.5" style="16" customWidth="1"/>
    <col min="16" max="16" width="2" style="16" customWidth="1"/>
    <col min="17" max="19" width="13" style="16" hidden="1" customWidth="1"/>
    <col min="20" max="16384" width="8.83203125" style="16"/>
  </cols>
  <sheetData>
    <row r="1" spans="1:19" x14ac:dyDescent="0.2">
      <c r="A1" s="115"/>
      <c r="B1" s="115"/>
      <c r="C1" s="115"/>
      <c r="D1" s="115"/>
      <c r="E1" s="115"/>
      <c r="F1" s="115"/>
      <c r="G1" s="115"/>
      <c r="H1" s="115"/>
      <c r="I1" s="115"/>
      <c r="J1" s="115"/>
      <c r="K1" s="115"/>
      <c r="L1" s="115"/>
      <c r="M1" s="115"/>
      <c r="N1" s="115"/>
      <c r="O1" s="115"/>
      <c r="P1" s="115"/>
      <c r="Q1" s="1"/>
      <c r="R1" s="1"/>
      <c r="S1" s="1"/>
    </row>
    <row r="2" spans="1:19" ht="24" x14ac:dyDescent="0.2">
      <c r="A2" s="115"/>
      <c r="B2" s="115"/>
      <c r="C2" s="133" t="s">
        <v>0</v>
      </c>
      <c r="D2" s="133"/>
      <c r="E2" s="115"/>
      <c r="F2" s="115"/>
      <c r="G2" s="115"/>
      <c r="H2" s="115"/>
      <c r="I2" s="115"/>
      <c r="J2" s="115"/>
      <c r="K2" s="115"/>
      <c r="L2" s="116" t="s">
        <v>247</v>
      </c>
      <c r="M2" s="91">
        <v>1234</v>
      </c>
      <c r="N2" s="117" t="s">
        <v>318</v>
      </c>
      <c r="O2" s="117"/>
      <c r="P2" s="115"/>
      <c r="Q2" s="1"/>
      <c r="R2" s="1"/>
      <c r="S2" s="1"/>
    </row>
    <row r="3" spans="1:19" x14ac:dyDescent="0.2">
      <c r="A3" s="115"/>
      <c r="B3" s="115"/>
      <c r="C3" s="134" t="s">
        <v>317</v>
      </c>
      <c r="D3" s="118"/>
      <c r="E3" s="115"/>
      <c r="F3" s="115"/>
      <c r="G3" s="115"/>
      <c r="H3" s="115"/>
      <c r="I3" s="115"/>
      <c r="J3" s="115"/>
      <c r="K3" s="115"/>
      <c r="L3" s="115"/>
      <c r="M3" s="98">
        <v>1234</v>
      </c>
      <c r="N3" s="117" t="s">
        <v>319</v>
      </c>
      <c r="O3" s="117"/>
      <c r="P3" s="115"/>
      <c r="Q3" s="1"/>
      <c r="R3" s="1"/>
      <c r="S3" s="1"/>
    </row>
    <row r="4" spans="1:19" x14ac:dyDescent="0.2">
      <c r="A4" s="115"/>
      <c r="B4" s="115"/>
      <c r="C4" s="115"/>
      <c r="D4" s="115"/>
      <c r="E4" s="115"/>
      <c r="F4" s="115"/>
      <c r="G4" s="115"/>
      <c r="H4" s="115"/>
      <c r="I4" s="115"/>
      <c r="J4" s="115"/>
      <c r="K4" s="115"/>
      <c r="L4" s="115"/>
      <c r="M4" s="115"/>
      <c r="N4" s="115"/>
      <c r="O4" s="115"/>
      <c r="P4" s="115"/>
      <c r="Q4" s="1"/>
      <c r="R4" s="1"/>
      <c r="S4" s="1"/>
    </row>
    <row r="5" spans="1:19" x14ac:dyDescent="0.2">
      <c r="A5" s="115"/>
      <c r="B5" s="87" t="s">
        <v>1</v>
      </c>
      <c r="C5" s="17"/>
      <c r="D5" s="17"/>
      <c r="E5" s="17"/>
      <c r="F5" s="17"/>
      <c r="G5" s="17"/>
      <c r="H5" s="17"/>
      <c r="I5" s="17"/>
      <c r="J5" s="17"/>
      <c r="K5" s="17"/>
      <c r="L5" s="17"/>
      <c r="M5" s="17"/>
      <c r="N5" s="17"/>
      <c r="O5" s="17"/>
      <c r="P5" s="115"/>
      <c r="Q5" s="1"/>
      <c r="R5" s="1"/>
      <c r="S5" s="1"/>
    </row>
    <row r="6" spans="1:19" x14ac:dyDescent="0.2">
      <c r="A6" s="115"/>
      <c r="B6" s="3" t="s">
        <v>2</v>
      </c>
      <c r="C6" s="101" t="s">
        <v>320</v>
      </c>
      <c r="D6" s="1"/>
      <c r="E6" s="1"/>
      <c r="F6" s="1"/>
      <c r="G6" s="1"/>
      <c r="H6" s="1"/>
      <c r="I6" s="1"/>
      <c r="J6" s="1"/>
      <c r="K6" s="1"/>
      <c r="L6" s="1"/>
      <c r="M6" s="1"/>
      <c r="N6" s="1"/>
      <c r="O6" s="1"/>
      <c r="P6" s="115"/>
      <c r="Q6" s="1"/>
      <c r="R6" s="1"/>
      <c r="S6" s="1"/>
    </row>
    <row r="7" spans="1:19" x14ac:dyDescent="0.2">
      <c r="A7" s="115"/>
      <c r="B7" s="3" t="s">
        <v>3</v>
      </c>
      <c r="C7" s="100" t="s">
        <v>4</v>
      </c>
      <c r="D7" s="1"/>
      <c r="E7" s="1"/>
      <c r="F7" s="1"/>
      <c r="G7" s="1"/>
      <c r="H7" s="1"/>
      <c r="I7" s="1"/>
      <c r="J7" s="1"/>
      <c r="K7" s="1"/>
      <c r="L7" s="1"/>
      <c r="M7" s="1"/>
      <c r="N7" s="1"/>
      <c r="O7" s="1"/>
      <c r="P7" s="115"/>
      <c r="Q7" s="1"/>
      <c r="R7" s="1"/>
      <c r="S7" s="1"/>
    </row>
    <row r="8" spans="1:19" x14ac:dyDescent="0.2">
      <c r="A8" s="115"/>
      <c r="B8" s="3" t="s">
        <v>5</v>
      </c>
      <c r="C8" s="76" t="str">
        <f>CHOOSE(MATCH(sinp_region,{"AU","NZ","US"},0),"AUD","NZD","USD")</f>
        <v>AUD</v>
      </c>
      <c r="D8" s="1"/>
      <c r="E8" s="1"/>
      <c r="F8" s="1"/>
      <c r="G8" s="1"/>
      <c r="H8" s="1"/>
      <c r="I8" s="1"/>
      <c r="J8" s="1"/>
      <c r="K8" s="1"/>
      <c r="L8" s="1"/>
      <c r="M8" s="1"/>
      <c r="N8" s="1"/>
      <c r="O8" s="1"/>
      <c r="P8" s="115"/>
      <c r="Q8" s="1"/>
      <c r="R8" s="1"/>
      <c r="S8" s="1"/>
    </row>
    <row r="9" spans="1:19" x14ac:dyDescent="0.2">
      <c r="A9" s="115"/>
      <c r="B9" s="3" t="s">
        <v>6</v>
      </c>
      <c r="C9" s="4">
        <f>CHOOSE(MATCH(sinp_region,{"AU","NZ","US"},0),7,4,1)</f>
        <v>7</v>
      </c>
      <c r="D9" s="1"/>
      <c r="E9" s="1"/>
      <c r="F9" s="1"/>
      <c r="G9" s="1"/>
      <c r="H9" s="1"/>
      <c r="I9" s="1"/>
      <c r="J9" s="1"/>
      <c r="K9" s="1"/>
      <c r="L9" s="1"/>
      <c r="M9" s="1"/>
      <c r="N9" s="1"/>
      <c r="O9" s="1"/>
      <c r="P9" s="115"/>
      <c r="Q9" s="1"/>
      <c r="R9" s="1"/>
      <c r="S9" s="1"/>
    </row>
    <row r="10" spans="1:19" x14ac:dyDescent="0.2">
      <c r="A10" s="115"/>
      <c r="B10" s="3" t="s">
        <v>7</v>
      </c>
      <c r="C10" s="100" t="s">
        <v>304</v>
      </c>
      <c r="D10" s="1"/>
      <c r="E10" s="1"/>
      <c r="F10" s="1"/>
      <c r="G10" s="1"/>
      <c r="H10" s="1"/>
      <c r="I10" s="1"/>
      <c r="J10" s="1"/>
      <c r="K10" s="1"/>
      <c r="L10" s="1"/>
      <c r="M10" s="1"/>
      <c r="N10" s="1"/>
      <c r="O10" s="1"/>
      <c r="P10" s="115"/>
      <c r="Q10" s="1"/>
      <c r="R10" s="1"/>
      <c r="S10" s="1"/>
    </row>
    <row r="11" spans="1:19" x14ac:dyDescent="0.2">
      <c r="A11" s="115"/>
      <c r="B11" s="3" t="s">
        <v>8</v>
      </c>
      <c r="C11" s="76" t="str">
        <f>IF(MONTH(scalc_sel_date)&gt;=sinp_fy_start,"FY"&amp;TEXT(IF(sinp_fy_start=1,YEAR(scalc_sel_date),YEAR(scalc_sel_date)+1),"00"),"FY"&amp;TEXT(YEAR(scalc_sel_date),"00"))</f>
        <v>FY2026</v>
      </c>
      <c r="D11" s="1"/>
      <c r="E11" s="1"/>
      <c r="F11" s="1"/>
      <c r="G11" s="1"/>
      <c r="H11" s="1"/>
      <c r="I11" s="1"/>
      <c r="J11" s="1"/>
      <c r="K11" s="1"/>
      <c r="L11" s="1"/>
      <c r="M11" s="1"/>
      <c r="N11" s="1"/>
      <c r="O11" s="1"/>
      <c r="P11" s="115"/>
      <c r="Q11" s="1"/>
      <c r="R11" s="1"/>
      <c r="S11" s="1"/>
    </row>
    <row r="12" spans="1:19" x14ac:dyDescent="0.2">
      <c r="A12" s="115"/>
      <c r="B12" s="3" t="s">
        <v>9</v>
      </c>
      <c r="C12" s="103" t="str">
        <f>sinp_sel_month</f>
        <v>Jun-26</v>
      </c>
      <c r="D12" s="1"/>
      <c r="E12" s="1"/>
      <c r="F12" s="1"/>
      <c r="G12" s="1"/>
      <c r="H12" s="1"/>
      <c r="I12" s="1"/>
      <c r="J12" s="1"/>
      <c r="K12" s="1"/>
      <c r="L12" s="1"/>
      <c r="M12" s="1"/>
      <c r="N12" s="1"/>
      <c r="O12" s="1"/>
      <c r="P12" s="115"/>
      <c r="Q12" s="1"/>
      <c r="R12" s="1"/>
      <c r="S12" s="1"/>
    </row>
    <row r="13" spans="1:19" x14ac:dyDescent="0.2">
      <c r="A13" s="115"/>
      <c r="B13" s="1"/>
      <c r="C13" s="1"/>
      <c r="D13" s="1"/>
      <c r="E13" s="1"/>
      <c r="F13" s="1"/>
      <c r="G13" s="1"/>
      <c r="H13" s="1"/>
      <c r="I13" s="1"/>
      <c r="J13" s="1"/>
      <c r="K13" s="1"/>
      <c r="L13" s="1"/>
      <c r="M13" s="1"/>
      <c r="N13" s="1"/>
      <c r="O13" s="1"/>
      <c r="P13" s="115"/>
      <c r="Q13" s="1"/>
      <c r="R13" s="1"/>
      <c r="S13" s="1"/>
    </row>
    <row r="14" spans="1:19" x14ac:dyDescent="0.2">
      <c r="A14" s="115"/>
      <c r="B14" s="87" t="s">
        <v>10</v>
      </c>
      <c r="C14" s="17"/>
      <c r="D14" s="17"/>
      <c r="E14" s="17"/>
      <c r="F14" s="17"/>
      <c r="G14" s="17"/>
      <c r="H14" s="17"/>
      <c r="I14" s="17"/>
      <c r="J14" s="17"/>
      <c r="K14" s="17"/>
      <c r="L14" s="17"/>
      <c r="M14" s="17"/>
      <c r="N14" s="17"/>
      <c r="O14" s="17"/>
      <c r="P14" s="115"/>
      <c r="Q14" s="1"/>
      <c r="R14" s="1"/>
      <c r="S14" s="1"/>
    </row>
    <row r="15" spans="1:19" x14ac:dyDescent="0.2">
      <c r="A15" s="115"/>
      <c r="B15" s="5" t="s">
        <v>11</v>
      </c>
      <c r="C15" s="6" t="s">
        <v>12</v>
      </c>
      <c r="D15" s="7" t="s">
        <v>13</v>
      </c>
      <c r="E15" s="5" t="s">
        <v>14</v>
      </c>
      <c r="F15" s="1"/>
      <c r="G15" s="1"/>
      <c r="H15" s="1"/>
      <c r="I15" s="1"/>
      <c r="J15" s="1"/>
      <c r="K15" s="1"/>
      <c r="L15" s="1"/>
      <c r="M15" s="1"/>
      <c r="N15" s="1"/>
      <c r="O15" s="1"/>
      <c r="P15" s="115"/>
      <c r="Q15" s="1"/>
      <c r="R15" s="1"/>
      <c r="S15" s="1"/>
    </row>
    <row r="16" spans="1:19" x14ac:dyDescent="0.2">
      <c r="A16" s="115"/>
      <c r="B16" s="8" t="s">
        <v>15</v>
      </c>
      <c r="C16" s="104">
        <v>0.55000000000000004</v>
      </c>
      <c r="D16" s="9" t="s">
        <v>16</v>
      </c>
      <c r="E16" s="10" t="s">
        <v>17</v>
      </c>
      <c r="F16" s="1"/>
      <c r="G16" s="1"/>
      <c r="H16" s="1"/>
      <c r="I16" s="1"/>
      <c r="J16" s="1"/>
      <c r="K16" s="1"/>
      <c r="L16" s="1"/>
      <c r="M16" s="1"/>
      <c r="N16" s="1"/>
      <c r="O16" s="1"/>
      <c r="P16" s="115"/>
      <c r="Q16" s="1"/>
      <c r="R16" s="1"/>
      <c r="S16" s="1"/>
    </row>
    <row r="17" spans="1:19" x14ac:dyDescent="0.2">
      <c r="A17" s="115"/>
      <c r="B17" s="1"/>
      <c r="C17" s="1"/>
      <c r="D17" s="1"/>
      <c r="E17" s="1"/>
      <c r="F17" s="1"/>
      <c r="G17" s="1"/>
      <c r="H17" s="1"/>
      <c r="I17" s="1"/>
      <c r="J17" s="1"/>
      <c r="K17" s="1"/>
      <c r="L17" s="1"/>
      <c r="M17" s="1"/>
      <c r="N17" s="1"/>
      <c r="O17" s="1"/>
      <c r="P17" s="115"/>
      <c r="Q17" s="1"/>
      <c r="R17" s="1"/>
      <c r="S17" s="1"/>
    </row>
    <row r="18" spans="1:19" x14ac:dyDescent="0.2">
      <c r="A18" s="115"/>
      <c r="B18" s="8" t="s">
        <v>18</v>
      </c>
      <c r="C18" s="104">
        <v>0.65</v>
      </c>
      <c r="D18" s="9" t="s">
        <v>16</v>
      </c>
      <c r="E18" s="10" t="s">
        <v>19</v>
      </c>
      <c r="F18" s="1"/>
      <c r="G18" s="1"/>
      <c r="H18" s="1"/>
      <c r="I18" s="1"/>
      <c r="J18" s="1"/>
      <c r="K18" s="1"/>
      <c r="L18" s="1"/>
      <c r="M18" s="1"/>
      <c r="N18" s="1"/>
      <c r="O18" s="1"/>
      <c r="P18" s="115"/>
      <c r="Q18" s="1"/>
      <c r="R18" s="1"/>
      <c r="S18" s="1"/>
    </row>
    <row r="19" spans="1:19" x14ac:dyDescent="0.2">
      <c r="A19" s="115"/>
      <c r="B19" s="1"/>
      <c r="C19" s="1"/>
      <c r="D19" s="1"/>
      <c r="E19" s="1"/>
      <c r="F19" s="1"/>
      <c r="G19" s="1"/>
      <c r="H19" s="1"/>
      <c r="I19" s="1"/>
      <c r="J19" s="1"/>
      <c r="K19" s="1"/>
      <c r="L19" s="1"/>
      <c r="M19" s="1"/>
      <c r="N19" s="1"/>
      <c r="O19" s="1"/>
      <c r="P19" s="115"/>
      <c r="Q19" s="1"/>
      <c r="R19" s="1"/>
      <c r="S19" s="1"/>
    </row>
    <row r="20" spans="1:19" x14ac:dyDescent="0.2">
      <c r="A20" s="115"/>
      <c r="B20" s="8" t="s">
        <v>20</v>
      </c>
      <c r="C20" s="105">
        <v>40</v>
      </c>
      <c r="D20" s="9" t="s">
        <v>21</v>
      </c>
      <c r="E20" s="10" t="s">
        <v>22</v>
      </c>
      <c r="F20" s="1"/>
      <c r="G20" s="1"/>
      <c r="H20" s="1"/>
      <c r="I20" s="1"/>
      <c r="J20" s="1"/>
      <c r="K20" s="1"/>
      <c r="L20" s="1"/>
      <c r="M20" s="1"/>
      <c r="N20" s="1"/>
      <c r="O20" s="1"/>
      <c r="P20" s="115"/>
      <c r="Q20" s="1"/>
      <c r="R20" s="1"/>
      <c r="S20" s="1"/>
    </row>
    <row r="21" spans="1:19" x14ac:dyDescent="0.2">
      <c r="A21" s="115"/>
      <c r="B21" s="1"/>
      <c r="C21" s="1"/>
      <c r="D21" s="1"/>
      <c r="E21" s="1"/>
      <c r="F21" s="1"/>
      <c r="G21" s="1"/>
      <c r="H21" s="1"/>
      <c r="I21" s="1"/>
      <c r="J21" s="1"/>
      <c r="K21" s="1"/>
      <c r="L21" s="1"/>
      <c r="M21" s="1"/>
      <c r="N21" s="1"/>
      <c r="O21" s="1"/>
      <c r="P21" s="115"/>
      <c r="Q21" s="1"/>
      <c r="R21" s="1"/>
      <c r="S21" s="1"/>
    </row>
    <row r="22" spans="1:19" x14ac:dyDescent="0.2">
      <c r="A22" s="115"/>
      <c r="B22" s="8" t="s">
        <v>23</v>
      </c>
      <c r="C22" s="105">
        <v>38</v>
      </c>
      <c r="D22" s="9" t="s">
        <v>24</v>
      </c>
      <c r="E22" s="10" t="s">
        <v>25</v>
      </c>
      <c r="F22" s="1"/>
      <c r="G22" s="1"/>
      <c r="H22" s="1"/>
      <c r="I22" s="1"/>
      <c r="J22" s="1"/>
      <c r="K22" s="1"/>
      <c r="L22" s="1"/>
      <c r="M22" s="1"/>
      <c r="N22" s="1"/>
      <c r="O22" s="1"/>
      <c r="P22" s="115"/>
      <c r="Q22" s="1"/>
      <c r="R22" s="1"/>
      <c r="S22" s="1"/>
    </row>
    <row r="23" spans="1:19" x14ac:dyDescent="0.2">
      <c r="A23" s="115"/>
      <c r="B23" s="1"/>
      <c r="C23" s="1"/>
      <c r="D23" s="1"/>
      <c r="E23" s="1"/>
      <c r="F23" s="1"/>
      <c r="G23" s="1"/>
      <c r="H23" s="1"/>
      <c r="I23" s="1"/>
      <c r="J23" s="1"/>
      <c r="K23" s="1"/>
      <c r="L23" s="1"/>
      <c r="M23" s="1"/>
      <c r="N23" s="1"/>
      <c r="O23" s="1"/>
      <c r="P23" s="115"/>
      <c r="Q23" s="1"/>
      <c r="R23" s="1"/>
      <c r="S23" s="1"/>
    </row>
    <row r="24" spans="1:19" x14ac:dyDescent="0.2">
      <c r="A24" s="115"/>
      <c r="B24" s="8" t="s">
        <v>26</v>
      </c>
      <c r="C24" s="104">
        <v>0.55000000000000004</v>
      </c>
      <c r="D24" s="9" t="s">
        <v>21</v>
      </c>
      <c r="E24" s="10" t="s">
        <v>27</v>
      </c>
      <c r="F24" s="1"/>
      <c r="G24" s="1"/>
      <c r="H24" s="1"/>
      <c r="I24" s="1"/>
      <c r="J24" s="1"/>
      <c r="K24" s="1"/>
      <c r="L24" s="1"/>
      <c r="M24" s="1"/>
      <c r="N24" s="1"/>
      <c r="O24" s="1"/>
      <c r="P24" s="115"/>
      <c r="Q24" s="1"/>
      <c r="R24" s="1"/>
      <c r="S24" s="1"/>
    </row>
    <row r="25" spans="1:19" x14ac:dyDescent="0.2">
      <c r="A25" s="115"/>
      <c r="B25" s="1"/>
      <c r="C25" s="1"/>
      <c r="D25" s="1"/>
      <c r="E25" s="1"/>
      <c r="F25" s="1"/>
      <c r="G25" s="1"/>
      <c r="H25" s="1"/>
      <c r="I25" s="1"/>
      <c r="J25" s="1"/>
      <c r="K25" s="1"/>
      <c r="L25" s="1"/>
      <c r="M25" s="1"/>
      <c r="N25" s="1"/>
      <c r="O25" s="1"/>
      <c r="P25" s="115"/>
      <c r="Q25" s="1"/>
      <c r="R25" s="1"/>
      <c r="S25" s="1"/>
    </row>
    <row r="26" spans="1:19" x14ac:dyDescent="0.2">
      <c r="A26" s="115"/>
      <c r="B26" s="8" t="s">
        <v>28</v>
      </c>
      <c r="C26" s="104">
        <v>0.65</v>
      </c>
      <c r="D26" s="9" t="s">
        <v>21</v>
      </c>
      <c r="E26" s="10" t="s">
        <v>29</v>
      </c>
      <c r="F26" s="1"/>
      <c r="G26" s="1"/>
      <c r="H26" s="1"/>
      <c r="I26" s="1"/>
      <c r="J26" s="1"/>
      <c r="K26" s="1"/>
      <c r="L26" s="1"/>
      <c r="M26" s="1"/>
      <c r="N26" s="1"/>
      <c r="O26" s="1"/>
      <c r="P26" s="115"/>
      <c r="Q26" s="1"/>
      <c r="R26" s="1"/>
      <c r="S26" s="1"/>
    </row>
    <row r="27" spans="1:19" x14ac:dyDescent="0.2">
      <c r="A27" s="115"/>
      <c r="B27" s="1"/>
      <c r="C27" s="1"/>
      <c r="D27" s="1"/>
      <c r="E27" s="1"/>
      <c r="F27" s="1"/>
      <c r="G27" s="1"/>
      <c r="H27" s="1"/>
      <c r="I27" s="1"/>
      <c r="J27" s="1"/>
      <c r="K27" s="1"/>
      <c r="L27" s="1"/>
      <c r="M27" s="1"/>
      <c r="N27" s="1"/>
      <c r="O27" s="1"/>
      <c r="P27" s="115"/>
      <c r="Q27" s="1"/>
      <c r="R27" s="1"/>
      <c r="S27" s="1"/>
    </row>
    <row r="28" spans="1:19" x14ac:dyDescent="0.2">
      <c r="A28" s="115"/>
      <c r="B28" s="1"/>
      <c r="C28" s="1"/>
      <c r="D28" s="1"/>
      <c r="E28" s="1"/>
      <c r="F28" s="1"/>
      <c r="G28" s="1"/>
      <c r="H28" s="1"/>
      <c r="I28" s="1"/>
      <c r="J28" s="1"/>
      <c r="K28" s="1"/>
      <c r="L28" s="1"/>
      <c r="M28" s="1"/>
      <c r="N28" s="1"/>
      <c r="O28" s="1"/>
      <c r="P28" s="115"/>
      <c r="Q28" s="1"/>
      <c r="R28" s="1"/>
      <c r="S28" s="1"/>
    </row>
    <row r="29" spans="1:19" x14ac:dyDescent="0.2">
      <c r="A29" s="115"/>
      <c r="B29" s="87" t="s">
        <v>30</v>
      </c>
      <c r="C29" s="17"/>
      <c r="D29" s="17"/>
      <c r="E29" s="17"/>
      <c r="F29" s="17"/>
      <c r="G29" s="17"/>
      <c r="H29" s="17"/>
      <c r="I29" s="17"/>
      <c r="J29" s="17"/>
      <c r="K29" s="17"/>
      <c r="L29" s="17"/>
      <c r="M29" s="17"/>
      <c r="N29" s="17"/>
      <c r="O29" s="17"/>
      <c r="P29" s="115"/>
      <c r="Q29" s="1"/>
      <c r="R29" s="1"/>
      <c r="S29" s="1"/>
    </row>
    <row r="30" spans="1:19" x14ac:dyDescent="0.2">
      <c r="A30" s="115"/>
      <c r="B30" s="89" t="s">
        <v>31</v>
      </c>
      <c r="C30" s="90" t="str">
        <f t="shared" ref="C30:O30" si="0">TEXT(C31,"mmm-yy")</f>
        <v>Jun-25</v>
      </c>
      <c r="D30" s="90" t="str">
        <f t="shared" si="0"/>
        <v>Jul-25</v>
      </c>
      <c r="E30" s="90" t="str">
        <f t="shared" si="0"/>
        <v>Aug-25</v>
      </c>
      <c r="F30" s="90" t="str">
        <f t="shared" si="0"/>
        <v>Sep-25</v>
      </c>
      <c r="G30" s="90" t="str">
        <f t="shared" si="0"/>
        <v>Oct-25</v>
      </c>
      <c r="H30" s="90" t="str">
        <f t="shared" si="0"/>
        <v>Nov-25</v>
      </c>
      <c r="I30" s="90" t="str">
        <f t="shared" si="0"/>
        <v>Dec-25</v>
      </c>
      <c r="J30" s="90" t="str">
        <f t="shared" si="0"/>
        <v>Jan-26</v>
      </c>
      <c r="K30" s="90" t="str">
        <f t="shared" si="0"/>
        <v>Feb-26</v>
      </c>
      <c r="L30" s="90" t="str">
        <f t="shared" si="0"/>
        <v>Mar-26</v>
      </c>
      <c r="M30" s="90" t="str">
        <f t="shared" si="0"/>
        <v>Apr-26</v>
      </c>
      <c r="N30" s="90" t="str">
        <f t="shared" si="0"/>
        <v>May-26</v>
      </c>
      <c r="O30" s="90" t="str">
        <f t="shared" si="0"/>
        <v>Jun-26</v>
      </c>
      <c r="P30" s="115"/>
      <c r="Q30" s="1"/>
      <c r="R30" s="1"/>
      <c r="S30" s="1"/>
    </row>
    <row r="31" spans="1:19" x14ac:dyDescent="0.2">
      <c r="A31" s="115"/>
      <c r="B31" s="10" t="s">
        <v>32</v>
      </c>
      <c r="C31" s="11">
        <f>EDATE(sinp_latest_month,-12)</f>
        <v>45809</v>
      </c>
      <c r="D31" s="11">
        <f>EDATE(sinp_latest_month,-11)</f>
        <v>45839</v>
      </c>
      <c r="E31" s="11">
        <f>EDATE(sinp_latest_month,-10)</f>
        <v>45870</v>
      </c>
      <c r="F31" s="11">
        <f>EDATE(sinp_latest_month,-9)</f>
        <v>45901</v>
      </c>
      <c r="G31" s="11">
        <f>EDATE(sinp_latest_month,-8)</f>
        <v>45931</v>
      </c>
      <c r="H31" s="11">
        <f>EDATE(sinp_latest_month,-7)</f>
        <v>45962</v>
      </c>
      <c r="I31" s="11">
        <f>EDATE(sinp_latest_month,-6)</f>
        <v>45992</v>
      </c>
      <c r="J31" s="11">
        <f>EDATE(sinp_latest_month,-5)</f>
        <v>46023</v>
      </c>
      <c r="K31" s="11">
        <f>EDATE(sinp_latest_month,-4)</f>
        <v>46054</v>
      </c>
      <c r="L31" s="11">
        <f>EDATE(sinp_latest_month,-3)</f>
        <v>46082</v>
      </c>
      <c r="M31" s="11">
        <f>EDATE(sinp_latest_month,-2)</f>
        <v>46113</v>
      </c>
      <c r="N31" s="11">
        <f>EDATE(sinp_latest_month,-1)</f>
        <v>46143</v>
      </c>
      <c r="O31" s="11">
        <f>EDATE(sinp_latest_month,0)</f>
        <v>46174</v>
      </c>
      <c r="P31" s="115"/>
      <c r="Q31" s="1"/>
      <c r="R31" s="1"/>
      <c r="S31" s="1"/>
    </row>
    <row r="32" spans="1:19" x14ac:dyDescent="0.2">
      <c r="A32" s="115"/>
      <c r="B32" s="1"/>
      <c r="C32" s="1"/>
      <c r="D32" s="1"/>
      <c r="E32" s="1"/>
      <c r="F32" s="1"/>
      <c r="G32" s="1"/>
      <c r="H32" s="1"/>
      <c r="I32" s="1"/>
      <c r="J32" s="1"/>
      <c r="K32" s="1"/>
      <c r="L32" s="1"/>
      <c r="M32" s="1"/>
      <c r="N32" s="1"/>
      <c r="O32" s="1"/>
      <c r="P32" s="115"/>
      <c r="Q32" s="1"/>
      <c r="R32" s="1"/>
      <c r="S32" s="1"/>
    </row>
    <row r="33" spans="1:19" x14ac:dyDescent="0.2">
      <c r="A33" s="115"/>
      <c r="B33" s="10" t="s">
        <v>33</v>
      </c>
      <c r="C33" s="12">
        <f>IFERROR(MATCH(C12,C30:O30,0),13)</f>
        <v>13</v>
      </c>
      <c r="D33" s="1"/>
      <c r="E33" s="1"/>
      <c r="F33" s="1"/>
      <c r="G33" s="1"/>
      <c r="H33" s="1"/>
      <c r="I33" s="1"/>
      <c r="J33" s="1"/>
      <c r="K33" s="1"/>
      <c r="L33" s="1"/>
      <c r="M33" s="1"/>
      <c r="N33" s="1"/>
      <c r="O33" s="1"/>
      <c r="P33" s="115"/>
      <c r="Q33" s="1"/>
      <c r="R33" s="1"/>
      <c r="S33" s="1"/>
    </row>
    <row r="34" spans="1:19" x14ac:dyDescent="0.2">
      <c r="A34" s="115"/>
      <c r="B34" s="10" t="s">
        <v>34</v>
      </c>
      <c r="C34" s="13">
        <f>INDEX(scalc_dates,scalc_sel_idx)</f>
        <v>46174</v>
      </c>
      <c r="D34" s="1"/>
      <c r="E34" s="1"/>
      <c r="F34" s="1"/>
      <c r="G34" s="1"/>
      <c r="H34" s="1"/>
      <c r="I34" s="1"/>
      <c r="J34" s="1"/>
      <c r="K34" s="1"/>
      <c r="L34" s="1"/>
      <c r="M34" s="1"/>
      <c r="N34" s="1"/>
      <c r="O34" s="1"/>
      <c r="P34" s="115"/>
      <c r="Q34" s="1"/>
      <c r="R34" s="1"/>
      <c r="S34" s="1"/>
    </row>
    <row r="35" spans="1:19" x14ac:dyDescent="0.2">
      <c r="A35" s="115"/>
      <c r="B35" s="10" t="s">
        <v>35</v>
      </c>
      <c r="C35" s="13">
        <f>IF(MONTH(scalc_sel_date)&gt;=sinp_fy_start,DATE(YEAR(scalc_sel_date),sinp_fy_start,1),DATE(YEAR(scalc_sel_date)-1,sinp_fy_start,1))</f>
        <v>45839</v>
      </c>
      <c r="D35" s="1"/>
      <c r="E35" s="1"/>
      <c r="F35" s="1"/>
      <c r="G35" s="1"/>
      <c r="H35" s="1"/>
      <c r="I35" s="1"/>
      <c r="J35" s="1"/>
      <c r="K35" s="1"/>
      <c r="L35" s="1"/>
      <c r="M35" s="1"/>
      <c r="N35" s="1"/>
      <c r="O35" s="1"/>
      <c r="P35" s="115"/>
      <c r="Q35" s="1"/>
      <c r="R35" s="1"/>
      <c r="S35" s="1"/>
    </row>
    <row r="36" spans="1:19" x14ac:dyDescent="0.2">
      <c r="A36" s="115"/>
      <c r="B36" s="10" t="s">
        <v>36</v>
      </c>
      <c r="C36" s="14" t="str">
        <f>INDEX(scalc_labels,13)</f>
        <v>Jun-26</v>
      </c>
      <c r="D36" s="1"/>
      <c r="E36" s="1"/>
      <c r="F36" s="1"/>
      <c r="G36" s="1"/>
      <c r="H36" s="1"/>
      <c r="I36" s="1"/>
      <c r="J36" s="1"/>
      <c r="K36" s="1"/>
      <c r="L36" s="1"/>
      <c r="M36" s="1"/>
      <c r="N36" s="1"/>
      <c r="O36" s="1"/>
      <c r="P36" s="115"/>
      <c r="Q36" s="1"/>
      <c r="R36" s="1"/>
      <c r="S36" s="1"/>
    </row>
    <row r="37" spans="1:19" x14ac:dyDescent="0.2">
      <c r="A37" s="115"/>
      <c r="B37" s="1"/>
      <c r="C37" s="1"/>
      <c r="D37" s="1"/>
      <c r="E37" s="1"/>
      <c r="F37" s="1"/>
      <c r="G37" s="1"/>
      <c r="H37" s="1"/>
      <c r="I37" s="1"/>
      <c r="J37" s="1"/>
      <c r="K37" s="1"/>
      <c r="L37" s="1"/>
      <c r="M37" s="1"/>
      <c r="N37" s="1"/>
      <c r="O37" s="1"/>
      <c r="P37" s="115"/>
      <c r="Q37" s="1"/>
      <c r="R37" s="1"/>
      <c r="S37" s="1"/>
    </row>
    <row r="38" spans="1:19" x14ac:dyDescent="0.2">
      <c r="A38" s="115"/>
      <c r="B38" s="87" t="s">
        <v>37</v>
      </c>
      <c r="C38" s="17"/>
      <c r="D38" s="17"/>
      <c r="E38" s="17"/>
      <c r="F38" s="17"/>
      <c r="G38" s="17"/>
      <c r="H38" s="17"/>
      <c r="I38" s="17"/>
      <c r="J38" s="17"/>
      <c r="K38" s="17"/>
      <c r="L38" s="17"/>
      <c r="M38" s="17"/>
      <c r="N38" s="17"/>
      <c r="O38" s="17"/>
      <c r="P38" s="115"/>
      <c r="Q38" s="1"/>
      <c r="R38" s="1"/>
      <c r="S38" s="1"/>
    </row>
    <row r="39" spans="1:19" x14ac:dyDescent="0.2">
      <c r="A39" s="115"/>
      <c r="B39" s="89" t="s">
        <v>38</v>
      </c>
      <c r="C39" s="90" t="str">
        <f t="shared" ref="C39:O39" si="1">C30</f>
        <v>Jun-25</v>
      </c>
      <c r="D39" s="90" t="str">
        <f t="shared" si="1"/>
        <v>Jul-25</v>
      </c>
      <c r="E39" s="90" t="str">
        <f t="shared" si="1"/>
        <v>Aug-25</v>
      </c>
      <c r="F39" s="90" t="str">
        <f t="shared" si="1"/>
        <v>Sep-25</v>
      </c>
      <c r="G39" s="90" t="str">
        <f t="shared" si="1"/>
        <v>Oct-25</v>
      </c>
      <c r="H39" s="90" t="str">
        <f t="shared" si="1"/>
        <v>Nov-25</v>
      </c>
      <c r="I39" s="90" t="str">
        <f t="shared" si="1"/>
        <v>Dec-25</v>
      </c>
      <c r="J39" s="90" t="str">
        <f t="shared" si="1"/>
        <v>Jan-26</v>
      </c>
      <c r="K39" s="90" t="str">
        <f t="shared" si="1"/>
        <v>Feb-26</v>
      </c>
      <c r="L39" s="90" t="str">
        <f t="shared" si="1"/>
        <v>Mar-26</v>
      </c>
      <c r="M39" s="90" t="str">
        <f t="shared" si="1"/>
        <v>Apr-26</v>
      </c>
      <c r="N39" s="90" t="str">
        <f t="shared" si="1"/>
        <v>May-26</v>
      </c>
      <c r="O39" s="90" t="str">
        <f t="shared" si="1"/>
        <v>Jun-26</v>
      </c>
      <c r="P39" s="115"/>
      <c r="Q39" s="1"/>
      <c r="R39" s="1"/>
      <c r="S39" s="1"/>
    </row>
    <row r="40" spans="1:19" x14ac:dyDescent="0.2">
      <c r="A40" s="115"/>
      <c r="B40" s="88" t="s">
        <v>39</v>
      </c>
      <c r="C40" s="1"/>
      <c r="D40" s="1"/>
      <c r="E40" s="1"/>
      <c r="F40" s="1"/>
      <c r="G40" s="1"/>
      <c r="H40" s="1"/>
      <c r="I40" s="1"/>
      <c r="J40" s="1"/>
      <c r="K40" s="1"/>
      <c r="L40" s="1"/>
      <c r="M40" s="1"/>
      <c r="N40" s="1"/>
      <c r="O40" s="1"/>
      <c r="P40" s="115"/>
      <c r="Q40" s="1"/>
      <c r="R40" s="1"/>
      <c r="S40" s="1"/>
    </row>
    <row r="41" spans="1:19" x14ac:dyDescent="0.2">
      <c r="A41" s="115"/>
      <c r="B41" s="94" t="s">
        <v>40</v>
      </c>
      <c r="C41" s="91">
        <v>239708</v>
      </c>
      <c r="D41" s="91">
        <v>252840</v>
      </c>
      <c r="E41" s="91">
        <v>260680</v>
      </c>
      <c r="F41" s="91">
        <v>268520</v>
      </c>
      <c r="G41" s="91">
        <v>273812</v>
      </c>
      <c r="H41" s="91">
        <v>279104</v>
      </c>
      <c r="I41" s="91">
        <v>214032</v>
      </c>
      <c r="J41" s="91">
        <v>276164</v>
      </c>
      <c r="K41" s="91">
        <v>284004</v>
      </c>
      <c r="L41" s="91">
        <v>307524</v>
      </c>
      <c r="M41" s="91">
        <v>286748</v>
      </c>
      <c r="N41" s="91">
        <v>294588</v>
      </c>
      <c r="O41" s="91">
        <v>302624</v>
      </c>
      <c r="P41" s="115"/>
      <c r="Q41" s="1"/>
      <c r="R41" s="1"/>
      <c r="S41" s="1"/>
    </row>
    <row r="42" spans="1:19" x14ac:dyDescent="0.2">
      <c r="A42" s="115"/>
      <c r="B42" s="10" t="s">
        <v>41</v>
      </c>
      <c r="C42" s="91">
        <v>244412</v>
      </c>
      <c r="D42" s="91">
        <v>257740</v>
      </c>
      <c r="E42" s="91">
        <v>265776</v>
      </c>
      <c r="F42" s="91">
        <v>273812</v>
      </c>
      <c r="G42" s="91">
        <v>279300</v>
      </c>
      <c r="H42" s="91">
        <v>284592</v>
      </c>
      <c r="I42" s="91">
        <v>218344</v>
      </c>
      <c r="J42" s="91">
        <v>281652</v>
      </c>
      <c r="K42" s="91">
        <v>289688</v>
      </c>
      <c r="L42" s="91">
        <v>313796</v>
      </c>
      <c r="M42" s="91">
        <v>292432</v>
      </c>
      <c r="N42" s="91">
        <v>300468</v>
      </c>
      <c r="O42" s="91">
        <v>308700</v>
      </c>
      <c r="P42" s="115"/>
      <c r="Q42" s="1"/>
      <c r="R42" s="1"/>
      <c r="S42" s="1"/>
    </row>
    <row r="43" spans="1:19" x14ac:dyDescent="0.2">
      <c r="A43" s="115"/>
      <c r="B43" s="10" t="s">
        <v>42</v>
      </c>
      <c r="C43" s="91">
        <v>210892</v>
      </c>
      <c r="D43" s="91">
        <v>222436</v>
      </c>
      <c r="E43" s="91">
        <v>229361</v>
      </c>
      <c r="F43" s="91">
        <v>236285</v>
      </c>
      <c r="G43" s="91">
        <v>240921</v>
      </c>
      <c r="H43" s="91">
        <v>245601</v>
      </c>
      <c r="I43" s="91">
        <v>188330</v>
      </c>
      <c r="J43" s="91">
        <v>243038</v>
      </c>
      <c r="K43" s="91">
        <v>249962</v>
      </c>
      <c r="L43" s="91">
        <v>270658</v>
      </c>
      <c r="M43" s="91">
        <v>252371</v>
      </c>
      <c r="N43" s="91">
        <v>259296</v>
      </c>
      <c r="O43" s="91">
        <v>266263</v>
      </c>
      <c r="P43" s="115"/>
      <c r="Q43" s="1"/>
      <c r="R43" s="1"/>
      <c r="S43" s="1"/>
    </row>
    <row r="44" spans="1:19" x14ac:dyDescent="0.2">
      <c r="A44" s="115"/>
      <c r="B44" s="94" t="s">
        <v>43</v>
      </c>
      <c r="C44" s="91">
        <v>134232</v>
      </c>
      <c r="D44" s="91">
        <v>141624</v>
      </c>
      <c r="E44" s="91">
        <v>145992</v>
      </c>
      <c r="F44" s="91">
        <v>150360</v>
      </c>
      <c r="G44" s="91">
        <v>153384</v>
      </c>
      <c r="H44" s="91">
        <v>156240</v>
      </c>
      <c r="I44" s="91">
        <v>119784</v>
      </c>
      <c r="J44" s="91">
        <v>154728</v>
      </c>
      <c r="K44" s="91">
        <v>159096</v>
      </c>
      <c r="L44" s="91">
        <v>172200</v>
      </c>
      <c r="M44" s="91">
        <v>160608</v>
      </c>
      <c r="N44" s="91">
        <v>164976</v>
      </c>
      <c r="O44" s="91">
        <v>169512</v>
      </c>
      <c r="P44" s="115"/>
      <c r="Q44" s="1"/>
      <c r="R44" s="1"/>
      <c r="S44" s="1"/>
    </row>
    <row r="45" spans="1:19" x14ac:dyDescent="0.2">
      <c r="A45" s="115"/>
      <c r="B45" s="10" t="s">
        <v>41</v>
      </c>
      <c r="C45" s="91">
        <v>136920</v>
      </c>
      <c r="D45" s="91">
        <v>144312</v>
      </c>
      <c r="E45" s="91">
        <v>148848</v>
      </c>
      <c r="F45" s="91">
        <v>153384</v>
      </c>
      <c r="G45" s="91">
        <v>156408</v>
      </c>
      <c r="H45" s="91">
        <v>159432</v>
      </c>
      <c r="I45" s="91">
        <v>122304</v>
      </c>
      <c r="J45" s="91">
        <v>157752</v>
      </c>
      <c r="K45" s="91">
        <v>162288</v>
      </c>
      <c r="L45" s="91">
        <v>175728</v>
      </c>
      <c r="M45" s="91">
        <v>163800</v>
      </c>
      <c r="N45" s="91">
        <v>168336</v>
      </c>
      <c r="O45" s="91">
        <v>172872</v>
      </c>
      <c r="P45" s="115"/>
      <c r="Q45" s="1"/>
      <c r="R45" s="1"/>
      <c r="S45" s="1"/>
    </row>
    <row r="46" spans="1:19" x14ac:dyDescent="0.2">
      <c r="A46" s="115"/>
      <c r="B46" s="10" t="s">
        <v>42</v>
      </c>
      <c r="C46" s="91">
        <v>118100</v>
      </c>
      <c r="D46" s="91">
        <v>124564</v>
      </c>
      <c r="E46" s="91">
        <v>128442</v>
      </c>
      <c r="F46" s="91">
        <v>132319</v>
      </c>
      <c r="G46" s="91">
        <v>134915</v>
      </c>
      <c r="H46" s="91">
        <v>137537</v>
      </c>
      <c r="I46" s="91">
        <v>105464</v>
      </c>
      <c r="J46" s="91">
        <v>136102</v>
      </c>
      <c r="K46" s="91">
        <v>139979</v>
      </c>
      <c r="L46" s="91">
        <v>151569</v>
      </c>
      <c r="M46" s="91">
        <v>141328</v>
      </c>
      <c r="N46" s="91">
        <v>145205</v>
      </c>
      <c r="O46" s="91">
        <v>149107</v>
      </c>
      <c r="P46" s="115"/>
      <c r="Q46" s="1"/>
      <c r="R46" s="1"/>
      <c r="S46" s="1"/>
    </row>
    <row r="47" spans="1:19" x14ac:dyDescent="0.2">
      <c r="A47" s="115"/>
      <c r="B47" s="94" t="s">
        <v>44</v>
      </c>
      <c r="C47" s="91">
        <v>57536</v>
      </c>
      <c r="D47" s="91">
        <v>60552</v>
      </c>
      <c r="E47" s="91">
        <v>62640</v>
      </c>
      <c r="F47" s="91">
        <v>64496</v>
      </c>
      <c r="G47" s="91">
        <v>65656</v>
      </c>
      <c r="H47" s="91">
        <v>67048</v>
      </c>
      <c r="I47" s="91">
        <v>51272</v>
      </c>
      <c r="J47" s="91">
        <v>66352</v>
      </c>
      <c r="K47" s="91">
        <v>68208</v>
      </c>
      <c r="L47" s="91">
        <v>73776</v>
      </c>
      <c r="M47" s="91">
        <v>68904</v>
      </c>
      <c r="N47" s="91">
        <v>70760</v>
      </c>
      <c r="O47" s="91">
        <v>72616</v>
      </c>
      <c r="P47" s="115"/>
      <c r="Q47" s="1"/>
      <c r="R47" s="1"/>
      <c r="S47" s="1"/>
    </row>
    <row r="48" spans="1:19" x14ac:dyDescent="0.2">
      <c r="A48" s="115"/>
      <c r="B48" s="10" t="s">
        <v>41</v>
      </c>
      <c r="C48" s="91">
        <v>58696</v>
      </c>
      <c r="D48" s="91">
        <v>61944</v>
      </c>
      <c r="E48" s="91">
        <v>63800</v>
      </c>
      <c r="F48" s="91">
        <v>65656</v>
      </c>
      <c r="G48" s="91">
        <v>67048</v>
      </c>
      <c r="H48" s="91">
        <v>68208</v>
      </c>
      <c r="I48" s="91">
        <v>52432</v>
      </c>
      <c r="J48" s="91">
        <v>67512</v>
      </c>
      <c r="K48" s="91">
        <v>69600</v>
      </c>
      <c r="L48" s="91">
        <v>75400</v>
      </c>
      <c r="M48" s="91">
        <v>70296</v>
      </c>
      <c r="N48" s="91">
        <v>72152</v>
      </c>
      <c r="O48" s="91">
        <v>74008</v>
      </c>
      <c r="P48" s="115"/>
      <c r="Q48" s="1"/>
      <c r="R48" s="1"/>
      <c r="S48" s="1"/>
    </row>
    <row r="49" spans="1:19" x14ac:dyDescent="0.2">
      <c r="A49" s="115"/>
      <c r="B49" s="10" t="s">
        <v>42</v>
      </c>
      <c r="C49" s="91">
        <v>50614</v>
      </c>
      <c r="D49" s="91">
        <v>53384</v>
      </c>
      <c r="E49" s="91">
        <v>55047</v>
      </c>
      <c r="F49" s="91">
        <v>56708</v>
      </c>
      <c r="G49" s="91">
        <v>57821</v>
      </c>
      <c r="H49" s="91">
        <v>58944</v>
      </c>
      <c r="I49" s="91">
        <v>45199</v>
      </c>
      <c r="J49" s="91">
        <v>58329</v>
      </c>
      <c r="K49" s="91">
        <v>59991</v>
      </c>
      <c r="L49" s="91">
        <v>64958</v>
      </c>
      <c r="M49" s="91">
        <v>60569</v>
      </c>
      <c r="N49" s="91">
        <v>62231</v>
      </c>
      <c r="O49" s="91">
        <v>63903</v>
      </c>
      <c r="P49" s="115"/>
      <c r="Q49" s="1"/>
      <c r="R49" s="1"/>
      <c r="S49" s="1"/>
    </row>
    <row r="50" spans="1:19" x14ac:dyDescent="0.2">
      <c r="A50" s="115"/>
      <c r="B50" s="94" t="s">
        <v>45</v>
      </c>
      <c r="C50" s="91">
        <v>33551</v>
      </c>
      <c r="D50" s="91">
        <v>35388</v>
      </c>
      <c r="E50" s="91">
        <v>36489</v>
      </c>
      <c r="F50" s="91">
        <v>37591</v>
      </c>
      <c r="G50" s="91">
        <v>38328</v>
      </c>
      <c r="H50" s="91">
        <v>39073</v>
      </c>
      <c r="I50" s="91">
        <v>29962</v>
      </c>
      <c r="J50" s="91">
        <v>38665</v>
      </c>
      <c r="K50" s="91">
        <v>39767</v>
      </c>
      <c r="L50" s="91">
        <v>43059</v>
      </c>
      <c r="M50" s="91">
        <v>40150</v>
      </c>
      <c r="N50" s="91">
        <v>41251</v>
      </c>
      <c r="O50" s="91">
        <v>42360</v>
      </c>
      <c r="P50" s="115"/>
      <c r="Q50" s="1"/>
      <c r="R50" s="1"/>
      <c r="S50" s="1"/>
    </row>
    <row r="51" spans="1:19" x14ac:dyDescent="0.2">
      <c r="A51" s="115"/>
      <c r="B51" s="10" t="s">
        <v>41</v>
      </c>
      <c r="C51" s="91">
        <v>34222</v>
      </c>
      <c r="D51" s="91">
        <v>36096</v>
      </c>
      <c r="E51" s="91">
        <v>37219</v>
      </c>
      <c r="F51" s="91">
        <v>38343</v>
      </c>
      <c r="G51" s="91">
        <v>39095</v>
      </c>
      <c r="H51" s="91">
        <v>39854</v>
      </c>
      <c r="I51" s="91">
        <v>30561</v>
      </c>
      <c r="J51" s="91">
        <v>39438</v>
      </c>
      <c r="K51" s="91">
        <v>40562</v>
      </c>
      <c r="L51" s="91">
        <v>43920</v>
      </c>
      <c r="M51" s="91">
        <v>40953</v>
      </c>
      <c r="N51" s="91">
        <v>42076</v>
      </c>
      <c r="O51" s="91">
        <v>43207</v>
      </c>
      <c r="P51" s="115"/>
      <c r="Q51" s="1"/>
      <c r="R51" s="1"/>
      <c r="S51" s="1"/>
    </row>
    <row r="52" spans="1:19" x14ac:dyDescent="0.2">
      <c r="A52" s="115"/>
      <c r="B52" s="10" t="s">
        <v>42</v>
      </c>
      <c r="C52" s="91">
        <v>29525</v>
      </c>
      <c r="D52" s="91">
        <v>31141</v>
      </c>
      <c r="E52" s="91">
        <v>32110</v>
      </c>
      <c r="F52" s="91">
        <v>33080</v>
      </c>
      <c r="G52" s="91">
        <v>33729</v>
      </c>
      <c r="H52" s="91">
        <v>34384</v>
      </c>
      <c r="I52" s="91">
        <v>26367</v>
      </c>
      <c r="J52" s="91">
        <v>34025</v>
      </c>
      <c r="K52" s="91">
        <v>34995</v>
      </c>
      <c r="L52" s="91">
        <v>37892</v>
      </c>
      <c r="M52" s="91">
        <v>35332</v>
      </c>
      <c r="N52" s="91">
        <v>36301</v>
      </c>
      <c r="O52" s="91">
        <v>37277</v>
      </c>
      <c r="P52" s="115"/>
      <c r="Q52" s="1"/>
      <c r="R52" s="1"/>
      <c r="S52" s="1"/>
    </row>
    <row r="53" spans="1:19" x14ac:dyDescent="0.2">
      <c r="A53" s="115"/>
      <c r="B53" s="94" t="s">
        <v>46</v>
      </c>
      <c r="C53" s="91">
        <v>14379</v>
      </c>
      <c r="D53" s="91">
        <v>15166</v>
      </c>
      <c r="E53" s="91">
        <v>15638</v>
      </c>
      <c r="F53" s="91">
        <v>16110</v>
      </c>
      <c r="G53" s="91">
        <v>16426</v>
      </c>
      <c r="H53" s="91">
        <v>16746</v>
      </c>
      <c r="I53" s="91">
        <v>12841</v>
      </c>
      <c r="J53" s="91">
        <v>16571</v>
      </c>
      <c r="K53" s="91">
        <v>17043</v>
      </c>
      <c r="L53" s="91">
        <v>18454</v>
      </c>
      <c r="M53" s="91">
        <v>17207</v>
      </c>
      <c r="N53" s="91">
        <v>17679</v>
      </c>
      <c r="O53" s="91">
        <v>18154</v>
      </c>
      <c r="P53" s="115"/>
      <c r="Q53" s="1"/>
      <c r="R53" s="1"/>
      <c r="S53" s="1"/>
    </row>
    <row r="54" spans="1:19" x14ac:dyDescent="0.2">
      <c r="A54" s="115"/>
      <c r="B54" s="10" t="s">
        <v>41</v>
      </c>
      <c r="C54" s="91">
        <v>14667</v>
      </c>
      <c r="D54" s="91">
        <v>15469</v>
      </c>
      <c r="E54" s="91">
        <v>15951</v>
      </c>
      <c r="F54" s="91">
        <v>16432</v>
      </c>
      <c r="G54" s="91">
        <v>16755</v>
      </c>
      <c r="H54" s="91">
        <v>17081</v>
      </c>
      <c r="I54" s="91">
        <v>13098</v>
      </c>
      <c r="J54" s="91">
        <v>16902</v>
      </c>
      <c r="K54" s="91">
        <v>17384</v>
      </c>
      <c r="L54" s="91">
        <v>18823</v>
      </c>
      <c r="M54" s="91">
        <v>17551</v>
      </c>
      <c r="N54" s="91">
        <v>18033</v>
      </c>
      <c r="O54" s="91">
        <v>18517</v>
      </c>
      <c r="P54" s="115"/>
      <c r="Q54" s="1"/>
      <c r="R54" s="1"/>
      <c r="S54" s="1"/>
    </row>
    <row r="55" spans="1:19" x14ac:dyDescent="0.2">
      <c r="A55" s="115"/>
      <c r="B55" s="10" t="s">
        <v>42</v>
      </c>
      <c r="C55" s="91">
        <v>12654</v>
      </c>
      <c r="D55" s="91">
        <v>13346</v>
      </c>
      <c r="E55" s="91">
        <v>13761</v>
      </c>
      <c r="F55" s="91">
        <v>14177</v>
      </c>
      <c r="G55" s="91">
        <v>14455</v>
      </c>
      <c r="H55" s="91">
        <v>14736</v>
      </c>
      <c r="I55" s="91">
        <v>11300</v>
      </c>
      <c r="J55" s="91">
        <v>14582</v>
      </c>
      <c r="K55" s="91">
        <v>14998</v>
      </c>
      <c r="L55" s="91">
        <v>16240</v>
      </c>
      <c r="M55" s="91">
        <v>15142</v>
      </c>
      <c r="N55" s="91">
        <v>15558</v>
      </c>
      <c r="O55" s="91">
        <v>15976</v>
      </c>
      <c r="P55" s="115"/>
      <c r="Q55" s="1"/>
      <c r="R55" s="1"/>
      <c r="S55" s="1"/>
    </row>
    <row r="56" spans="1:19" x14ac:dyDescent="0.2">
      <c r="A56" s="115"/>
      <c r="B56" s="94" t="s">
        <v>47</v>
      </c>
      <c r="C56" s="92">
        <v>1223</v>
      </c>
      <c r="D56" s="92">
        <v>1290</v>
      </c>
      <c r="E56" s="92">
        <v>1330</v>
      </c>
      <c r="F56" s="92">
        <v>1370</v>
      </c>
      <c r="G56" s="92">
        <v>1397</v>
      </c>
      <c r="H56" s="92">
        <v>1424</v>
      </c>
      <c r="I56" s="92">
        <v>1092</v>
      </c>
      <c r="J56" s="92">
        <v>1409</v>
      </c>
      <c r="K56" s="92">
        <v>1449</v>
      </c>
      <c r="L56" s="92">
        <v>1569</v>
      </c>
      <c r="M56" s="92">
        <v>1463</v>
      </c>
      <c r="N56" s="92">
        <v>1503</v>
      </c>
      <c r="O56" s="92">
        <v>1544</v>
      </c>
      <c r="P56" s="115"/>
      <c r="Q56" s="1"/>
      <c r="R56" s="1"/>
      <c r="S56" s="1"/>
    </row>
    <row r="57" spans="1:19" x14ac:dyDescent="0.2">
      <c r="A57" s="115"/>
      <c r="B57" s="10" t="s">
        <v>41</v>
      </c>
      <c r="C57" s="92">
        <v>1247</v>
      </c>
      <c r="D57" s="92">
        <v>1315</v>
      </c>
      <c r="E57" s="92">
        <v>1356</v>
      </c>
      <c r="F57" s="92">
        <v>1397</v>
      </c>
      <c r="G57" s="92">
        <v>1425</v>
      </c>
      <c r="H57" s="92">
        <v>1452</v>
      </c>
      <c r="I57" s="92">
        <v>1114</v>
      </c>
      <c r="J57" s="92">
        <v>1437</v>
      </c>
      <c r="K57" s="92">
        <v>1478</v>
      </c>
      <c r="L57" s="92">
        <v>1601</v>
      </c>
      <c r="M57" s="92">
        <v>1492</v>
      </c>
      <c r="N57" s="92">
        <v>1533</v>
      </c>
      <c r="O57" s="92">
        <v>1575</v>
      </c>
      <c r="P57" s="115"/>
      <c r="Q57" s="1"/>
      <c r="R57" s="1"/>
      <c r="S57" s="1"/>
    </row>
    <row r="58" spans="1:19" x14ac:dyDescent="0.2">
      <c r="A58" s="115"/>
      <c r="B58" s="10" t="s">
        <v>42</v>
      </c>
      <c r="C58" s="92">
        <v>1101</v>
      </c>
      <c r="D58" s="92">
        <v>1161</v>
      </c>
      <c r="E58" s="92">
        <v>1197</v>
      </c>
      <c r="F58" s="92">
        <v>1233</v>
      </c>
      <c r="G58" s="92">
        <v>1257</v>
      </c>
      <c r="H58" s="92">
        <v>1282</v>
      </c>
      <c r="I58" s="92">
        <v>983</v>
      </c>
      <c r="J58" s="92">
        <v>1268</v>
      </c>
      <c r="K58" s="92">
        <v>1304</v>
      </c>
      <c r="L58" s="92">
        <v>1412</v>
      </c>
      <c r="M58" s="92">
        <v>1317</v>
      </c>
      <c r="N58" s="92">
        <v>1353</v>
      </c>
      <c r="O58" s="92">
        <v>1390</v>
      </c>
      <c r="P58" s="115"/>
      <c r="Q58" s="1"/>
      <c r="R58" s="1"/>
      <c r="S58" s="1"/>
    </row>
    <row r="59" spans="1:19" x14ac:dyDescent="0.2">
      <c r="A59" s="115"/>
      <c r="B59" s="94" t="s">
        <v>48</v>
      </c>
      <c r="C59" s="92">
        <v>799</v>
      </c>
      <c r="D59" s="92">
        <v>843</v>
      </c>
      <c r="E59" s="92">
        <v>869</v>
      </c>
      <c r="F59" s="92">
        <v>895</v>
      </c>
      <c r="G59" s="92">
        <v>913</v>
      </c>
      <c r="H59" s="92">
        <v>930</v>
      </c>
      <c r="I59" s="92">
        <v>713</v>
      </c>
      <c r="J59" s="92">
        <v>921</v>
      </c>
      <c r="K59" s="92">
        <v>947</v>
      </c>
      <c r="L59" s="92">
        <v>1025</v>
      </c>
      <c r="M59" s="92">
        <v>956</v>
      </c>
      <c r="N59" s="92">
        <v>982</v>
      </c>
      <c r="O59" s="92">
        <v>1009</v>
      </c>
      <c r="P59" s="115"/>
      <c r="Q59" s="1"/>
      <c r="R59" s="1"/>
      <c r="S59" s="1"/>
    </row>
    <row r="60" spans="1:19" x14ac:dyDescent="0.2">
      <c r="A60" s="115"/>
      <c r="B60" s="10" t="s">
        <v>41</v>
      </c>
      <c r="C60" s="92">
        <v>815</v>
      </c>
      <c r="D60" s="92">
        <v>859</v>
      </c>
      <c r="E60" s="92">
        <v>886</v>
      </c>
      <c r="F60" s="92">
        <v>913</v>
      </c>
      <c r="G60" s="92">
        <v>931</v>
      </c>
      <c r="H60" s="92">
        <v>949</v>
      </c>
      <c r="I60" s="92">
        <v>728</v>
      </c>
      <c r="J60" s="92">
        <v>939</v>
      </c>
      <c r="K60" s="92">
        <v>966</v>
      </c>
      <c r="L60" s="92">
        <v>1046</v>
      </c>
      <c r="M60" s="92">
        <v>975</v>
      </c>
      <c r="N60" s="92">
        <v>1002</v>
      </c>
      <c r="O60" s="92">
        <v>1029</v>
      </c>
      <c r="P60" s="115"/>
      <c r="Q60" s="1"/>
      <c r="R60" s="1"/>
      <c r="S60" s="1"/>
    </row>
    <row r="61" spans="1:19" x14ac:dyDescent="0.2">
      <c r="A61" s="115"/>
      <c r="B61" s="10" t="s">
        <v>42</v>
      </c>
      <c r="C61" s="92">
        <v>719</v>
      </c>
      <c r="D61" s="92">
        <v>759</v>
      </c>
      <c r="E61" s="92">
        <v>782</v>
      </c>
      <c r="F61" s="92">
        <v>806</v>
      </c>
      <c r="G61" s="92">
        <v>822</v>
      </c>
      <c r="H61" s="92">
        <v>837</v>
      </c>
      <c r="I61" s="92">
        <v>642</v>
      </c>
      <c r="J61" s="92">
        <v>829</v>
      </c>
      <c r="K61" s="92">
        <v>852</v>
      </c>
      <c r="L61" s="92">
        <v>922</v>
      </c>
      <c r="M61" s="92">
        <v>860</v>
      </c>
      <c r="N61" s="92">
        <v>884</v>
      </c>
      <c r="O61" s="92">
        <v>908</v>
      </c>
      <c r="P61" s="115"/>
      <c r="Q61" s="1"/>
      <c r="R61" s="1"/>
      <c r="S61" s="1"/>
    </row>
    <row r="62" spans="1:19" x14ac:dyDescent="0.2">
      <c r="A62" s="115"/>
      <c r="B62" s="94" t="s">
        <v>49</v>
      </c>
      <c r="C62" s="92">
        <v>248</v>
      </c>
      <c r="D62" s="92">
        <v>261</v>
      </c>
      <c r="E62" s="92">
        <v>270</v>
      </c>
      <c r="F62" s="92">
        <v>278</v>
      </c>
      <c r="G62" s="92">
        <v>283</v>
      </c>
      <c r="H62" s="92">
        <v>289</v>
      </c>
      <c r="I62" s="92">
        <v>221</v>
      </c>
      <c r="J62" s="92">
        <v>286</v>
      </c>
      <c r="K62" s="92">
        <v>294</v>
      </c>
      <c r="L62" s="92">
        <v>318</v>
      </c>
      <c r="M62" s="92">
        <v>297</v>
      </c>
      <c r="N62" s="92">
        <v>305</v>
      </c>
      <c r="O62" s="92">
        <v>313</v>
      </c>
      <c r="P62" s="115"/>
      <c r="Q62" s="1"/>
      <c r="R62" s="1"/>
      <c r="S62" s="1"/>
    </row>
    <row r="63" spans="1:19" x14ac:dyDescent="0.2">
      <c r="A63" s="115"/>
      <c r="B63" s="10" t="s">
        <v>41</v>
      </c>
      <c r="C63" s="92">
        <v>253</v>
      </c>
      <c r="D63" s="92">
        <v>267</v>
      </c>
      <c r="E63" s="92">
        <v>275</v>
      </c>
      <c r="F63" s="92">
        <v>283</v>
      </c>
      <c r="G63" s="92">
        <v>289</v>
      </c>
      <c r="H63" s="92">
        <v>294</v>
      </c>
      <c r="I63" s="92">
        <v>226</v>
      </c>
      <c r="J63" s="92">
        <v>291</v>
      </c>
      <c r="K63" s="92">
        <v>300</v>
      </c>
      <c r="L63" s="92">
        <v>325</v>
      </c>
      <c r="M63" s="92">
        <v>303</v>
      </c>
      <c r="N63" s="92">
        <v>311</v>
      </c>
      <c r="O63" s="92">
        <v>319</v>
      </c>
      <c r="P63" s="115"/>
      <c r="Q63" s="1"/>
      <c r="R63" s="1"/>
      <c r="S63" s="1"/>
    </row>
    <row r="64" spans="1:19" x14ac:dyDescent="0.2">
      <c r="A64" s="115"/>
      <c r="B64" s="10" t="s">
        <v>42</v>
      </c>
      <c r="C64" s="92">
        <v>223</v>
      </c>
      <c r="D64" s="92">
        <v>235</v>
      </c>
      <c r="E64" s="92">
        <v>243</v>
      </c>
      <c r="F64" s="92">
        <v>250</v>
      </c>
      <c r="G64" s="92">
        <v>255</v>
      </c>
      <c r="H64" s="92">
        <v>260</v>
      </c>
      <c r="I64" s="92">
        <v>199</v>
      </c>
      <c r="J64" s="92">
        <v>257</v>
      </c>
      <c r="K64" s="92">
        <v>265</v>
      </c>
      <c r="L64" s="92">
        <v>286</v>
      </c>
      <c r="M64" s="92">
        <v>267</v>
      </c>
      <c r="N64" s="92">
        <v>274</v>
      </c>
      <c r="O64" s="92">
        <v>282</v>
      </c>
      <c r="P64" s="115"/>
      <c r="Q64" s="1"/>
      <c r="R64" s="1"/>
      <c r="S64" s="1"/>
    </row>
    <row r="65" spans="1:19" x14ac:dyDescent="0.2">
      <c r="A65" s="115"/>
      <c r="B65" s="94" t="s">
        <v>50</v>
      </c>
      <c r="C65" s="92">
        <v>0</v>
      </c>
      <c r="D65" s="92">
        <v>0</v>
      </c>
      <c r="E65" s="92">
        <v>0</v>
      </c>
      <c r="F65" s="92">
        <v>0</v>
      </c>
      <c r="G65" s="92">
        <v>0</v>
      </c>
      <c r="H65" s="92">
        <v>0</v>
      </c>
      <c r="I65" s="92">
        <v>0</v>
      </c>
      <c r="J65" s="92">
        <v>0</v>
      </c>
      <c r="K65" s="92">
        <v>0</v>
      </c>
      <c r="L65" s="92">
        <v>0</v>
      </c>
      <c r="M65" s="92">
        <v>0</v>
      </c>
      <c r="N65" s="92">
        <v>0</v>
      </c>
      <c r="O65" s="92">
        <v>0</v>
      </c>
      <c r="P65" s="115"/>
      <c r="Q65" s="1"/>
      <c r="R65" s="1"/>
      <c r="S65" s="1"/>
    </row>
    <row r="66" spans="1:19" x14ac:dyDescent="0.2">
      <c r="A66" s="115"/>
      <c r="B66" s="10" t="s">
        <v>41</v>
      </c>
      <c r="C66" s="92">
        <v>0</v>
      </c>
      <c r="D66" s="92">
        <v>0</v>
      </c>
      <c r="E66" s="92">
        <v>0</v>
      </c>
      <c r="F66" s="92">
        <v>0</v>
      </c>
      <c r="G66" s="92">
        <v>0</v>
      </c>
      <c r="H66" s="92">
        <v>0</v>
      </c>
      <c r="I66" s="92">
        <v>0</v>
      </c>
      <c r="J66" s="92">
        <v>0</v>
      </c>
      <c r="K66" s="92">
        <v>0</v>
      </c>
      <c r="L66" s="92">
        <v>0</v>
      </c>
      <c r="M66" s="92">
        <v>0</v>
      </c>
      <c r="N66" s="92">
        <v>0</v>
      </c>
      <c r="O66" s="92">
        <v>0</v>
      </c>
      <c r="P66" s="115"/>
      <c r="Q66" s="1"/>
      <c r="R66" s="1"/>
      <c r="S66" s="1"/>
    </row>
    <row r="67" spans="1:19" x14ac:dyDescent="0.2">
      <c r="A67" s="115"/>
      <c r="B67" s="10" t="s">
        <v>42</v>
      </c>
      <c r="C67" s="92">
        <v>0</v>
      </c>
      <c r="D67" s="92">
        <v>0</v>
      </c>
      <c r="E67" s="92">
        <v>0</v>
      </c>
      <c r="F67" s="92">
        <v>0</v>
      </c>
      <c r="G67" s="92">
        <v>0</v>
      </c>
      <c r="H67" s="92">
        <v>0</v>
      </c>
      <c r="I67" s="92">
        <v>0</v>
      </c>
      <c r="J67" s="92">
        <v>0</v>
      </c>
      <c r="K67" s="92">
        <v>0</v>
      </c>
      <c r="L67" s="92">
        <v>0</v>
      </c>
      <c r="M67" s="92">
        <v>0</v>
      </c>
      <c r="N67" s="92">
        <v>0</v>
      </c>
      <c r="O67" s="92">
        <v>0</v>
      </c>
      <c r="P67" s="115"/>
      <c r="Q67" s="1"/>
      <c r="R67" s="1"/>
      <c r="S67" s="1"/>
    </row>
    <row r="68" spans="1:19" x14ac:dyDescent="0.2">
      <c r="A68" s="115"/>
      <c r="B68" s="94" t="s">
        <v>51</v>
      </c>
      <c r="C68" s="92">
        <v>0</v>
      </c>
      <c r="D68" s="92">
        <v>0</v>
      </c>
      <c r="E68" s="92">
        <v>0</v>
      </c>
      <c r="F68" s="92">
        <v>0</v>
      </c>
      <c r="G68" s="92">
        <v>0</v>
      </c>
      <c r="H68" s="92">
        <v>0</v>
      </c>
      <c r="I68" s="92">
        <v>0</v>
      </c>
      <c r="J68" s="92">
        <v>0</v>
      </c>
      <c r="K68" s="92">
        <v>0</v>
      </c>
      <c r="L68" s="92">
        <v>0</v>
      </c>
      <c r="M68" s="92">
        <v>0</v>
      </c>
      <c r="N68" s="92">
        <v>0</v>
      </c>
      <c r="O68" s="92">
        <v>0</v>
      </c>
      <c r="P68" s="115"/>
      <c r="Q68" s="1"/>
      <c r="R68" s="1"/>
      <c r="S68" s="1"/>
    </row>
    <row r="69" spans="1:19" x14ac:dyDescent="0.2">
      <c r="A69" s="115"/>
      <c r="B69" s="10" t="s">
        <v>41</v>
      </c>
      <c r="C69" s="92">
        <v>0</v>
      </c>
      <c r="D69" s="92">
        <v>0</v>
      </c>
      <c r="E69" s="92">
        <v>0</v>
      </c>
      <c r="F69" s="92">
        <v>0</v>
      </c>
      <c r="G69" s="92">
        <v>0</v>
      </c>
      <c r="H69" s="92">
        <v>0</v>
      </c>
      <c r="I69" s="92">
        <v>0</v>
      </c>
      <c r="J69" s="92">
        <v>0</v>
      </c>
      <c r="K69" s="92">
        <v>0</v>
      </c>
      <c r="L69" s="92">
        <v>0</v>
      </c>
      <c r="M69" s="92">
        <v>0</v>
      </c>
      <c r="N69" s="92">
        <v>0</v>
      </c>
      <c r="O69" s="92">
        <v>0</v>
      </c>
      <c r="P69" s="115"/>
      <c r="Q69" s="1"/>
      <c r="R69" s="1"/>
      <c r="S69" s="1"/>
    </row>
    <row r="70" spans="1:19" x14ac:dyDescent="0.2">
      <c r="A70" s="115"/>
      <c r="B70" s="10" t="s">
        <v>42</v>
      </c>
      <c r="C70" s="92">
        <v>0</v>
      </c>
      <c r="D70" s="92">
        <v>0</v>
      </c>
      <c r="E70" s="92">
        <v>0</v>
      </c>
      <c r="F70" s="92">
        <v>0</v>
      </c>
      <c r="G70" s="92">
        <v>0</v>
      </c>
      <c r="H70" s="92">
        <v>0</v>
      </c>
      <c r="I70" s="92">
        <v>0</v>
      </c>
      <c r="J70" s="92">
        <v>0</v>
      </c>
      <c r="K70" s="92">
        <v>0</v>
      </c>
      <c r="L70" s="92">
        <v>0</v>
      </c>
      <c r="M70" s="92">
        <v>0</v>
      </c>
      <c r="N70" s="92">
        <v>0</v>
      </c>
      <c r="O70" s="92">
        <v>0</v>
      </c>
      <c r="P70" s="115"/>
      <c r="Q70" s="1"/>
      <c r="R70" s="1"/>
      <c r="S70" s="1"/>
    </row>
    <row r="71" spans="1:19" x14ac:dyDescent="0.2">
      <c r="A71" s="115"/>
      <c r="B71" s="95" t="s">
        <v>52</v>
      </c>
      <c r="C71" s="98">
        <f t="shared" ref="C71:O73" si="2">C41+C44+C47+C50+C53</f>
        <v>479406</v>
      </c>
      <c r="D71" s="98">
        <f t="shared" si="2"/>
        <v>505570</v>
      </c>
      <c r="E71" s="98">
        <f t="shared" si="2"/>
        <v>521439</v>
      </c>
      <c r="F71" s="98">
        <f t="shared" si="2"/>
        <v>537077</v>
      </c>
      <c r="G71" s="98">
        <f t="shared" si="2"/>
        <v>547606</v>
      </c>
      <c r="H71" s="98">
        <f t="shared" si="2"/>
        <v>558211</v>
      </c>
      <c r="I71" s="98">
        <f t="shared" si="2"/>
        <v>427891</v>
      </c>
      <c r="J71" s="98">
        <f t="shared" si="2"/>
        <v>552480</v>
      </c>
      <c r="K71" s="98">
        <f t="shared" si="2"/>
        <v>568118</v>
      </c>
      <c r="L71" s="98">
        <f t="shared" si="2"/>
        <v>615013</v>
      </c>
      <c r="M71" s="98">
        <f t="shared" si="2"/>
        <v>573617</v>
      </c>
      <c r="N71" s="98">
        <f t="shared" si="2"/>
        <v>589254</v>
      </c>
      <c r="O71" s="98">
        <f>O41+O44+O47+O50+O53</f>
        <v>605266</v>
      </c>
      <c r="P71" s="115"/>
      <c r="Q71" s="1"/>
      <c r="R71" s="1"/>
      <c r="S71" s="1"/>
    </row>
    <row r="72" spans="1:19" x14ac:dyDescent="0.2">
      <c r="A72" s="115"/>
      <c r="B72" s="10" t="s">
        <v>53</v>
      </c>
      <c r="C72" s="98">
        <f t="shared" si="2"/>
        <v>488917</v>
      </c>
      <c r="D72" s="98">
        <f t="shared" si="2"/>
        <v>515561</v>
      </c>
      <c r="E72" s="98">
        <f t="shared" si="2"/>
        <v>531594</v>
      </c>
      <c r="F72" s="98">
        <f t="shared" si="2"/>
        <v>547627</v>
      </c>
      <c r="G72" s="98">
        <f t="shared" si="2"/>
        <v>558606</v>
      </c>
      <c r="H72" s="98">
        <f t="shared" si="2"/>
        <v>569167</v>
      </c>
      <c r="I72" s="98">
        <f t="shared" si="2"/>
        <v>436739</v>
      </c>
      <c r="J72" s="98">
        <f t="shared" si="2"/>
        <v>563256</v>
      </c>
      <c r="K72" s="98">
        <f t="shared" si="2"/>
        <v>579522</v>
      </c>
      <c r="L72" s="98">
        <f t="shared" si="2"/>
        <v>627667</v>
      </c>
      <c r="M72" s="98">
        <f t="shared" si="2"/>
        <v>585032</v>
      </c>
      <c r="N72" s="98">
        <f t="shared" si="2"/>
        <v>601065</v>
      </c>
      <c r="O72" s="98">
        <f t="shared" si="2"/>
        <v>617304</v>
      </c>
      <c r="P72" s="115"/>
      <c r="Q72" s="1"/>
      <c r="R72" s="1"/>
      <c r="S72" s="1"/>
    </row>
    <row r="73" spans="1:19" x14ac:dyDescent="0.2">
      <c r="A73" s="115"/>
      <c r="B73" s="10" t="s">
        <v>54</v>
      </c>
      <c r="C73" s="98">
        <f t="shared" si="2"/>
        <v>421785</v>
      </c>
      <c r="D73" s="98">
        <f t="shared" si="2"/>
        <v>444871</v>
      </c>
      <c r="E73" s="98">
        <f t="shared" si="2"/>
        <v>458721</v>
      </c>
      <c r="F73" s="98">
        <f t="shared" si="2"/>
        <v>472569</v>
      </c>
      <c r="G73" s="98">
        <f t="shared" si="2"/>
        <v>481841</v>
      </c>
      <c r="H73" s="98">
        <f t="shared" si="2"/>
        <v>491202</v>
      </c>
      <c r="I73" s="98">
        <f t="shared" si="2"/>
        <v>376660</v>
      </c>
      <c r="J73" s="98">
        <f t="shared" si="2"/>
        <v>486076</v>
      </c>
      <c r="K73" s="98">
        <f t="shared" si="2"/>
        <v>499925</v>
      </c>
      <c r="L73" s="98">
        <f t="shared" si="2"/>
        <v>541317</v>
      </c>
      <c r="M73" s="98">
        <f t="shared" si="2"/>
        <v>504742</v>
      </c>
      <c r="N73" s="98">
        <f t="shared" si="2"/>
        <v>518591</v>
      </c>
      <c r="O73" s="98">
        <f t="shared" si="2"/>
        <v>532526</v>
      </c>
      <c r="P73" s="115"/>
      <c r="Q73" s="1"/>
      <c r="R73" s="1"/>
      <c r="S73" s="1"/>
    </row>
    <row r="74" spans="1:19" x14ac:dyDescent="0.2">
      <c r="A74" s="115"/>
      <c r="B74" s="96" t="s">
        <v>55</v>
      </c>
      <c r="C74" s="99"/>
      <c r="D74" s="99"/>
      <c r="E74" s="99"/>
      <c r="F74" s="99"/>
      <c r="G74" s="99"/>
      <c r="H74" s="99"/>
      <c r="I74" s="99"/>
      <c r="J74" s="99"/>
      <c r="K74" s="99"/>
      <c r="L74" s="99"/>
      <c r="M74" s="99"/>
      <c r="N74" s="99"/>
      <c r="O74" s="99"/>
      <c r="P74" s="115"/>
      <c r="Q74" s="1"/>
      <c r="R74" s="1"/>
      <c r="S74" s="1"/>
    </row>
    <row r="75" spans="1:19" x14ac:dyDescent="0.2">
      <c r="A75" s="115"/>
      <c r="B75" s="94" t="s">
        <v>56</v>
      </c>
      <c r="C75" s="91">
        <v>143822</v>
      </c>
      <c r="D75" s="91">
        <v>151724</v>
      </c>
      <c r="E75" s="91">
        <v>156538</v>
      </c>
      <c r="F75" s="91">
        <v>161282</v>
      </c>
      <c r="G75" s="91">
        <v>164294</v>
      </c>
      <c r="H75" s="91">
        <v>167528</v>
      </c>
      <c r="I75" s="91">
        <v>128485</v>
      </c>
      <c r="J75" s="91">
        <v>165915</v>
      </c>
      <c r="K75" s="91">
        <v>170459</v>
      </c>
      <c r="L75" s="91">
        <v>184581</v>
      </c>
      <c r="M75" s="91">
        <v>172215</v>
      </c>
      <c r="N75" s="91">
        <v>176959</v>
      </c>
      <c r="O75" s="91">
        <v>181616</v>
      </c>
      <c r="P75" s="115"/>
      <c r="Q75" s="1"/>
      <c r="R75" s="1"/>
      <c r="S75" s="1"/>
    </row>
    <row r="76" spans="1:19" x14ac:dyDescent="0.2">
      <c r="A76" s="115"/>
      <c r="B76" s="10" t="s">
        <v>41</v>
      </c>
      <c r="C76" s="91">
        <v>140946</v>
      </c>
      <c r="D76" s="91">
        <v>148690</v>
      </c>
      <c r="E76" s="91">
        <v>153407</v>
      </c>
      <c r="F76" s="91">
        <v>158056</v>
      </c>
      <c r="G76" s="91">
        <v>161008</v>
      </c>
      <c r="H76" s="91">
        <v>164177</v>
      </c>
      <c r="I76" s="91">
        <v>125915</v>
      </c>
      <c r="J76" s="91">
        <v>162597</v>
      </c>
      <c r="K76" s="91">
        <v>167050</v>
      </c>
      <c r="L76" s="91">
        <v>180889</v>
      </c>
      <c r="M76" s="91">
        <v>168771</v>
      </c>
      <c r="N76" s="91">
        <v>173420</v>
      </c>
      <c r="O76" s="91">
        <v>177984</v>
      </c>
      <c r="P76" s="115"/>
      <c r="Q76" s="1"/>
      <c r="R76" s="1"/>
      <c r="S76" s="1"/>
    </row>
    <row r="77" spans="1:19" x14ac:dyDescent="0.2">
      <c r="A77" s="115"/>
      <c r="B77" s="10" t="s">
        <v>42</v>
      </c>
      <c r="C77" s="91">
        <v>151013</v>
      </c>
      <c r="D77" s="91">
        <v>159310</v>
      </c>
      <c r="E77" s="91">
        <v>164365</v>
      </c>
      <c r="F77" s="91">
        <v>169346</v>
      </c>
      <c r="G77" s="91">
        <v>172509</v>
      </c>
      <c r="H77" s="91">
        <v>175904</v>
      </c>
      <c r="I77" s="91">
        <v>134909</v>
      </c>
      <c r="J77" s="91">
        <v>174211</v>
      </c>
      <c r="K77" s="91">
        <v>178982</v>
      </c>
      <c r="L77" s="91">
        <v>193810</v>
      </c>
      <c r="M77" s="91">
        <v>180826</v>
      </c>
      <c r="N77" s="91">
        <v>185807</v>
      </c>
      <c r="O77" s="91">
        <v>190697</v>
      </c>
      <c r="P77" s="115"/>
      <c r="Q77" s="1"/>
      <c r="R77" s="1"/>
      <c r="S77" s="1"/>
    </row>
    <row r="78" spans="1:19" x14ac:dyDescent="0.2">
      <c r="A78" s="115"/>
      <c r="B78" s="94" t="s">
        <v>57</v>
      </c>
      <c r="C78" s="91">
        <v>33558</v>
      </c>
      <c r="D78" s="91">
        <v>35443</v>
      </c>
      <c r="E78" s="91">
        <v>36607</v>
      </c>
      <c r="F78" s="91">
        <v>37754</v>
      </c>
      <c r="G78" s="91">
        <v>38344</v>
      </c>
      <c r="H78" s="91">
        <v>39140</v>
      </c>
      <c r="I78" s="91">
        <v>30070</v>
      </c>
      <c r="J78" s="91">
        <v>38845</v>
      </c>
      <c r="K78" s="91">
        <v>39792</v>
      </c>
      <c r="L78" s="91">
        <v>43128</v>
      </c>
      <c r="M78" s="91">
        <v>40283</v>
      </c>
      <c r="N78" s="91">
        <v>41431</v>
      </c>
      <c r="O78" s="91">
        <v>42405</v>
      </c>
      <c r="P78" s="115"/>
      <c r="Q78" s="1"/>
      <c r="R78" s="1"/>
      <c r="S78" s="1"/>
    </row>
    <row r="79" spans="1:19" x14ac:dyDescent="0.2">
      <c r="A79" s="115"/>
      <c r="B79" s="10" t="s">
        <v>41</v>
      </c>
      <c r="C79" s="91">
        <v>32887</v>
      </c>
      <c r="D79" s="91">
        <v>34734</v>
      </c>
      <c r="E79" s="91">
        <v>35875</v>
      </c>
      <c r="F79" s="91">
        <v>36999</v>
      </c>
      <c r="G79" s="91">
        <v>37577</v>
      </c>
      <c r="H79" s="91">
        <v>38357</v>
      </c>
      <c r="I79" s="91">
        <v>29469</v>
      </c>
      <c r="J79" s="91">
        <v>38068</v>
      </c>
      <c r="K79" s="91">
        <v>38996</v>
      </c>
      <c r="L79" s="91">
        <v>42265</v>
      </c>
      <c r="M79" s="91">
        <v>39477</v>
      </c>
      <c r="N79" s="91">
        <v>40602</v>
      </c>
      <c r="O79" s="91">
        <v>41557</v>
      </c>
      <c r="P79" s="115"/>
      <c r="Q79" s="1"/>
      <c r="R79" s="1"/>
      <c r="S79" s="1"/>
    </row>
    <row r="80" spans="1:19" x14ac:dyDescent="0.2">
      <c r="A80" s="115"/>
      <c r="B80" s="10" t="s">
        <v>42</v>
      </c>
      <c r="C80" s="91">
        <v>35236</v>
      </c>
      <c r="D80" s="91">
        <v>37215</v>
      </c>
      <c r="E80" s="91">
        <v>38437</v>
      </c>
      <c r="F80" s="91">
        <v>39642</v>
      </c>
      <c r="G80" s="91">
        <v>40261</v>
      </c>
      <c r="H80" s="91">
        <v>41097</v>
      </c>
      <c r="I80" s="91">
        <v>31574</v>
      </c>
      <c r="J80" s="91">
        <v>40787</v>
      </c>
      <c r="K80" s="91">
        <v>41782</v>
      </c>
      <c r="L80" s="91">
        <v>45284</v>
      </c>
      <c r="M80" s="91">
        <v>42297</v>
      </c>
      <c r="N80" s="91">
        <v>43503</v>
      </c>
      <c r="O80" s="91">
        <v>44525</v>
      </c>
      <c r="P80" s="115"/>
      <c r="Q80" s="1"/>
      <c r="R80" s="1"/>
      <c r="S80" s="1"/>
    </row>
    <row r="81" spans="1:19" x14ac:dyDescent="0.2">
      <c r="A81" s="115"/>
      <c r="B81" s="94" t="s">
        <v>58</v>
      </c>
      <c r="C81" s="91">
        <v>14382</v>
      </c>
      <c r="D81" s="91">
        <v>15220</v>
      </c>
      <c r="E81" s="91">
        <v>15749</v>
      </c>
      <c r="F81" s="91">
        <v>16271</v>
      </c>
      <c r="G81" s="91">
        <v>16440</v>
      </c>
      <c r="H81" s="91">
        <v>16811</v>
      </c>
      <c r="I81" s="91">
        <v>12955</v>
      </c>
      <c r="J81" s="91">
        <v>16745</v>
      </c>
      <c r="K81" s="91">
        <v>17068</v>
      </c>
      <c r="L81" s="91">
        <v>18527</v>
      </c>
      <c r="M81" s="91">
        <v>17339</v>
      </c>
      <c r="N81" s="91">
        <v>17861</v>
      </c>
      <c r="O81" s="91">
        <v>18194</v>
      </c>
      <c r="P81" s="115"/>
      <c r="Q81" s="1"/>
      <c r="R81" s="1"/>
      <c r="S81" s="1"/>
    </row>
    <row r="82" spans="1:19" x14ac:dyDescent="0.2">
      <c r="A82" s="115"/>
      <c r="B82" s="10" t="s">
        <v>41</v>
      </c>
      <c r="C82" s="91">
        <v>14094</v>
      </c>
      <c r="D82" s="91">
        <v>14916</v>
      </c>
      <c r="E82" s="91">
        <v>15434</v>
      </c>
      <c r="F82" s="91">
        <v>15946</v>
      </c>
      <c r="G82" s="91">
        <v>16111</v>
      </c>
      <c r="H82" s="91">
        <v>16475</v>
      </c>
      <c r="I82" s="91">
        <v>12696</v>
      </c>
      <c r="J82" s="91">
        <v>16410</v>
      </c>
      <c r="K82" s="91">
        <v>16727</v>
      </c>
      <c r="L82" s="91">
        <v>18156</v>
      </c>
      <c r="M82" s="91">
        <v>16992</v>
      </c>
      <c r="N82" s="91">
        <v>17504</v>
      </c>
      <c r="O82" s="91">
        <v>17830</v>
      </c>
      <c r="P82" s="115"/>
      <c r="Q82" s="1"/>
      <c r="R82" s="1"/>
      <c r="S82" s="1"/>
    </row>
    <row r="83" spans="1:19" x14ac:dyDescent="0.2">
      <c r="A83" s="115"/>
      <c r="B83" s="10" t="s">
        <v>42</v>
      </c>
      <c r="C83" s="91">
        <v>15101</v>
      </c>
      <c r="D83" s="91">
        <v>15981</v>
      </c>
      <c r="E83" s="91">
        <v>16536</v>
      </c>
      <c r="F83" s="91">
        <v>17085</v>
      </c>
      <c r="G83" s="91">
        <v>17262</v>
      </c>
      <c r="H83" s="91">
        <v>17652</v>
      </c>
      <c r="I83" s="91">
        <v>13603</v>
      </c>
      <c r="J83" s="91">
        <v>17582</v>
      </c>
      <c r="K83" s="91">
        <v>17921</v>
      </c>
      <c r="L83" s="91">
        <v>19453</v>
      </c>
      <c r="M83" s="91">
        <v>18206</v>
      </c>
      <c r="N83" s="91">
        <v>18754</v>
      </c>
      <c r="O83" s="91">
        <v>19104</v>
      </c>
      <c r="P83" s="115"/>
      <c r="Q83" s="1"/>
      <c r="R83" s="1"/>
      <c r="S83" s="1"/>
    </row>
    <row r="84" spans="1:19" x14ac:dyDescent="0.2">
      <c r="A84" s="115"/>
      <c r="B84" s="94" t="s">
        <v>59</v>
      </c>
      <c r="C84" s="91">
        <v>21573</v>
      </c>
      <c r="D84" s="91">
        <v>22804</v>
      </c>
      <c r="E84" s="91">
        <v>23571</v>
      </c>
      <c r="F84" s="91">
        <v>24327</v>
      </c>
      <c r="G84" s="91">
        <v>24654</v>
      </c>
      <c r="H84" s="91">
        <v>25184</v>
      </c>
      <c r="I84" s="91">
        <v>19373</v>
      </c>
      <c r="J84" s="91">
        <v>25033</v>
      </c>
      <c r="K84" s="91">
        <v>25589</v>
      </c>
      <c r="L84" s="91">
        <v>27753</v>
      </c>
      <c r="M84" s="91">
        <v>25943</v>
      </c>
      <c r="N84" s="91">
        <v>26699</v>
      </c>
      <c r="O84" s="91">
        <v>27273</v>
      </c>
      <c r="P84" s="115"/>
      <c r="Q84" s="1"/>
      <c r="R84" s="1"/>
      <c r="S84" s="1"/>
    </row>
    <row r="85" spans="1:19" x14ac:dyDescent="0.2">
      <c r="A85" s="115"/>
      <c r="B85" s="10" t="s">
        <v>41</v>
      </c>
      <c r="C85" s="91">
        <v>21142</v>
      </c>
      <c r="D85" s="91">
        <v>22348</v>
      </c>
      <c r="E85" s="91">
        <v>23100</v>
      </c>
      <c r="F85" s="91">
        <v>23840</v>
      </c>
      <c r="G85" s="91">
        <v>24161</v>
      </c>
      <c r="H85" s="91">
        <v>24680</v>
      </c>
      <c r="I85" s="91">
        <v>18986</v>
      </c>
      <c r="J85" s="91">
        <v>24532</v>
      </c>
      <c r="K85" s="91">
        <v>25077</v>
      </c>
      <c r="L85" s="91">
        <v>27198</v>
      </c>
      <c r="M85" s="91">
        <v>25424</v>
      </c>
      <c r="N85" s="91">
        <v>26165</v>
      </c>
      <c r="O85" s="91">
        <v>26728</v>
      </c>
      <c r="P85" s="115"/>
      <c r="Q85" s="1"/>
      <c r="R85" s="1"/>
      <c r="S85" s="1"/>
    </row>
    <row r="86" spans="1:19" x14ac:dyDescent="0.2">
      <c r="A86" s="115"/>
      <c r="B86" s="10" t="s">
        <v>42</v>
      </c>
      <c r="C86" s="91">
        <v>22652</v>
      </c>
      <c r="D86" s="91">
        <v>23944</v>
      </c>
      <c r="E86" s="91">
        <v>24750</v>
      </c>
      <c r="F86" s="91">
        <v>25543</v>
      </c>
      <c r="G86" s="91">
        <v>25887</v>
      </c>
      <c r="H86" s="91">
        <v>26443</v>
      </c>
      <c r="I86" s="91">
        <v>20342</v>
      </c>
      <c r="J86" s="91">
        <v>26285</v>
      </c>
      <c r="K86" s="91">
        <v>26868</v>
      </c>
      <c r="L86" s="91">
        <v>29141</v>
      </c>
      <c r="M86" s="91">
        <v>27240</v>
      </c>
      <c r="N86" s="91">
        <v>28034</v>
      </c>
      <c r="O86" s="91">
        <v>28637</v>
      </c>
      <c r="P86" s="115"/>
      <c r="Q86" s="1"/>
      <c r="R86" s="1"/>
      <c r="S86" s="1"/>
    </row>
    <row r="87" spans="1:19" x14ac:dyDescent="0.2">
      <c r="A87" s="115"/>
      <c r="B87" s="94" t="s">
        <v>60</v>
      </c>
      <c r="C87" s="91">
        <v>7191</v>
      </c>
      <c r="D87" s="91">
        <v>7637</v>
      </c>
      <c r="E87" s="91">
        <v>7928</v>
      </c>
      <c r="F87" s="91">
        <v>8215</v>
      </c>
      <c r="G87" s="91">
        <v>8226</v>
      </c>
      <c r="H87" s="91">
        <v>8438</v>
      </c>
      <c r="I87" s="91">
        <v>6536</v>
      </c>
      <c r="J87" s="91">
        <v>8458</v>
      </c>
      <c r="K87" s="91">
        <v>8546</v>
      </c>
      <c r="L87" s="91">
        <v>9302</v>
      </c>
      <c r="M87" s="91">
        <v>8734</v>
      </c>
      <c r="N87" s="91">
        <v>9022</v>
      </c>
      <c r="O87" s="91">
        <v>9115</v>
      </c>
      <c r="P87" s="115"/>
      <c r="Q87" s="1"/>
      <c r="R87" s="1"/>
      <c r="S87" s="1"/>
    </row>
    <row r="88" spans="1:19" x14ac:dyDescent="0.2">
      <c r="A88" s="115"/>
      <c r="B88" s="10" t="s">
        <v>41</v>
      </c>
      <c r="C88" s="91">
        <v>7047</v>
      </c>
      <c r="D88" s="91">
        <v>7484</v>
      </c>
      <c r="E88" s="91">
        <v>7769</v>
      </c>
      <c r="F88" s="91">
        <v>8051</v>
      </c>
      <c r="G88" s="91">
        <v>8061</v>
      </c>
      <c r="H88" s="91">
        <v>8269</v>
      </c>
      <c r="I88" s="91">
        <v>6405</v>
      </c>
      <c r="J88" s="91">
        <v>8289</v>
      </c>
      <c r="K88" s="91">
        <v>8375</v>
      </c>
      <c r="L88" s="91">
        <v>9116</v>
      </c>
      <c r="M88" s="91">
        <v>8559</v>
      </c>
      <c r="N88" s="91">
        <v>8842</v>
      </c>
      <c r="O88" s="91">
        <v>8933</v>
      </c>
      <c r="P88" s="115"/>
      <c r="Q88" s="1"/>
      <c r="R88" s="1"/>
      <c r="S88" s="1"/>
    </row>
    <row r="89" spans="1:19" x14ac:dyDescent="0.2">
      <c r="A89" s="115"/>
      <c r="B89" s="10" t="s">
        <v>42</v>
      </c>
      <c r="C89" s="91">
        <v>7551</v>
      </c>
      <c r="D89" s="91">
        <v>8019</v>
      </c>
      <c r="E89" s="91">
        <v>8324</v>
      </c>
      <c r="F89" s="91">
        <v>8626</v>
      </c>
      <c r="G89" s="91">
        <v>8637</v>
      </c>
      <c r="H89" s="91">
        <v>8860</v>
      </c>
      <c r="I89" s="91">
        <v>6863</v>
      </c>
      <c r="J89" s="91">
        <v>8881</v>
      </c>
      <c r="K89" s="91">
        <v>8973</v>
      </c>
      <c r="L89" s="91">
        <v>9767</v>
      </c>
      <c r="M89" s="91">
        <v>9171</v>
      </c>
      <c r="N89" s="91">
        <v>9473</v>
      </c>
      <c r="O89" s="91">
        <v>9571</v>
      </c>
      <c r="P89" s="115"/>
      <c r="Q89" s="1"/>
      <c r="R89" s="1"/>
      <c r="S89" s="1"/>
    </row>
    <row r="90" spans="1:19" x14ac:dyDescent="0.2">
      <c r="A90" s="115"/>
      <c r="B90" s="97" t="s">
        <v>61</v>
      </c>
      <c r="C90" s="98">
        <f t="shared" ref="C90:O92" si="3">C75+C78+C81+C84+C87</f>
        <v>220526</v>
      </c>
      <c r="D90" s="98">
        <f t="shared" si="3"/>
        <v>232828</v>
      </c>
      <c r="E90" s="98">
        <f t="shared" si="3"/>
        <v>240393</v>
      </c>
      <c r="F90" s="98">
        <f t="shared" si="3"/>
        <v>247849</v>
      </c>
      <c r="G90" s="98">
        <f t="shared" si="3"/>
        <v>251958</v>
      </c>
      <c r="H90" s="98">
        <f t="shared" si="3"/>
        <v>257101</v>
      </c>
      <c r="I90" s="98">
        <f t="shared" si="3"/>
        <v>197419</v>
      </c>
      <c r="J90" s="98">
        <f t="shared" si="3"/>
        <v>254996</v>
      </c>
      <c r="K90" s="98">
        <f t="shared" si="3"/>
        <v>261454</v>
      </c>
      <c r="L90" s="98">
        <f t="shared" si="3"/>
        <v>283291</v>
      </c>
      <c r="M90" s="98">
        <f t="shared" si="3"/>
        <v>264514</v>
      </c>
      <c r="N90" s="98">
        <f t="shared" si="3"/>
        <v>271972</v>
      </c>
      <c r="O90" s="98">
        <f t="shared" si="3"/>
        <v>278603</v>
      </c>
      <c r="P90" s="115"/>
      <c r="Q90" s="1"/>
      <c r="R90" s="1"/>
      <c r="S90" s="1"/>
    </row>
    <row r="91" spans="1:19" x14ac:dyDescent="0.2">
      <c r="A91" s="115"/>
      <c r="B91" s="10" t="s">
        <v>53</v>
      </c>
      <c r="C91" s="98">
        <f t="shared" si="3"/>
        <v>216116</v>
      </c>
      <c r="D91" s="98">
        <f t="shared" si="3"/>
        <v>228172</v>
      </c>
      <c r="E91" s="98">
        <f t="shared" si="3"/>
        <v>235585</v>
      </c>
      <c r="F91" s="98">
        <f t="shared" si="3"/>
        <v>242892</v>
      </c>
      <c r="G91" s="98">
        <f t="shared" si="3"/>
        <v>246918</v>
      </c>
      <c r="H91" s="98">
        <f t="shared" si="3"/>
        <v>251958</v>
      </c>
      <c r="I91" s="98">
        <f t="shared" si="3"/>
        <v>193471</v>
      </c>
      <c r="J91" s="98">
        <f t="shared" si="3"/>
        <v>249896</v>
      </c>
      <c r="K91" s="98">
        <f t="shared" si="3"/>
        <v>256225</v>
      </c>
      <c r="L91" s="98">
        <f t="shared" si="3"/>
        <v>277624</v>
      </c>
      <c r="M91" s="98">
        <f t="shared" si="3"/>
        <v>259223</v>
      </c>
      <c r="N91" s="98">
        <f t="shared" si="3"/>
        <v>266533</v>
      </c>
      <c r="O91" s="98">
        <f t="shared" si="3"/>
        <v>273032</v>
      </c>
      <c r="P91" s="115"/>
      <c r="Q91" s="1"/>
      <c r="R91" s="1"/>
      <c r="S91" s="1"/>
    </row>
    <row r="92" spans="1:19" x14ac:dyDescent="0.2">
      <c r="A92" s="115"/>
      <c r="B92" s="10" t="s">
        <v>54</v>
      </c>
      <c r="C92" s="98">
        <f t="shared" si="3"/>
        <v>231553</v>
      </c>
      <c r="D92" s="98">
        <f t="shared" si="3"/>
        <v>244469</v>
      </c>
      <c r="E92" s="98">
        <f t="shared" si="3"/>
        <v>252412</v>
      </c>
      <c r="F92" s="98">
        <f t="shared" si="3"/>
        <v>260242</v>
      </c>
      <c r="G92" s="98">
        <f t="shared" si="3"/>
        <v>264556</v>
      </c>
      <c r="H92" s="98">
        <f t="shared" si="3"/>
        <v>269956</v>
      </c>
      <c r="I92" s="98">
        <f t="shared" si="3"/>
        <v>207291</v>
      </c>
      <c r="J92" s="98">
        <f t="shared" si="3"/>
        <v>267746</v>
      </c>
      <c r="K92" s="98">
        <f t="shared" si="3"/>
        <v>274526</v>
      </c>
      <c r="L92" s="98">
        <f t="shared" si="3"/>
        <v>297455</v>
      </c>
      <c r="M92" s="98">
        <f t="shared" si="3"/>
        <v>277740</v>
      </c>
      <c r="N92" s="98">
        <f t="shared" si="3"/>
        <v>285571</v>
      </c>
      <c r="O92" s="98">
        <f t="shared" si="3"/>
        <v>292534</v>
      </c>
      <c r="P92" s="115"/>
      <c r="Q92" s="1"/>
      <c r="R92" s="1"/>
      <c r="S92" s="1"/>
    </row>
    <row r="93" spans="1:19" x14ac:dyDescent="0.2">
      <c r="A93" s="115"/>
      <c r="B93" s="95" t="s">
        <v>62</v>
      </c>
      <c r="C93" s="98">
        <f t="shared" ref="C93:O95" si="4">C71-C90</f>
        <v>258880</v>
      </c>
      <c r="D93" s="98">
        <f t="shared" si="4"/>
        <v>272742</v>
      </c>
      <c r="E93" s="98">
        <f t="shared" si="4"/>
        <v>281046</v>
      </c>
      <c r="F93" s="98">
        <f t="shared" si="4"/>
        <v>289228</v>
      </c>
      <c r="G93" s="98">
        <f t="shared" si="4"/>
        <v>295648</v>
      </c>
      <c r="H93" s="98">
        <f t="shared" si="4"/>
        <v>301110</v>
      </c>
      <c r="I93" s="98">
        <f t="shared" si="4"/>
        <v>230472</v>
      </c>
      <c r="J93" s="98">
        <f t="shared" si="4"/>
        <v>297484</v>
      </c>
      <c r="K93" s="98">
        <f t="shared" si="4"/>
        <v>306664</v>
      </c>
      <c r="L93" s="98">
        <f t="shared" si="4"/>
        <v>331722</v>
      </c>
      <c r="M93" s="98">
        <f t="shared" si="4"/>
        <v>309103</v>
      </c>
      <c r="N93" s="98">
        <f t="shared" si="4"/>
        <v>317282</v>
      </c>
      <c r="O93" s="98">
        <f t="shared" si="4"/>
        <v>326663</v>
      </c>
      <c r="P93" s="115"/>
      <c r="Q93" s="1"/>
      <c r="R93" s="1"/>
      <c r="S93" s="1"/>
    </row>
    <row r="94" spans="1:19" x14ac:dyDescent="0.2">
      <c r="A94" s="115"/>
      <c r="B94" s="10" t="s">
        <v>53</v>
      </c>
      <c r="C94" s="98">
        <f t="shared" si="4"/>
        <v>272801</v>
      </c>
      <c r="D94" s="98">
        <f t="shared" si="4"/>
        <v>287389</v>
      </c>
      <c r="E94" s="98">
        <f t="shared" si="4"/>
        <v>296009</v>
      </c>
      <c r="F94" s="98">
        <f t="shared" si="4"/>
        <v>304735</v>
      </c>
      <c r="G94" s="98">
        <f t="shared" si="4"/>
        <v>311688</v>
      </c>
      <c r="H94" s="98">
        <f t="shared" si="4"/>
        <v>317209</v>
      </c>
      <c r="I94" s="98">
        <f t="shared" si="4"/>
        <v>243268</v>
      </c>
      <c r="J94" s="98">
        <f t="shared" si="4"/>
        <v>313360</v>
      </c>
      <c r="K94" s="98">
        <f t="shared" si="4"/>
        <v>323297</v>
      </c>
      <c r="L94" s="98">
        <f t="shared" si="4"/>
        <v>350043</v>
      </c>
      <c r="M94" s="98">
        <f t="shared" si="4"/>
        <v>325809</v>
      </c>
      <c r="N94" s="98">
        <f t="shared" si="4"/>
        <v>334532</v>
      </c>
      <c r="O94" s="98">
        <f t="shared" si="4"/>
        <v>344272</v>
      </c>
      <c r="P94" s="115"/>
      <c r="Q94" s="1"/>
      <c r="R94" s="1"/>
      <c r="S94" s="1"/>
    </row>
    <row r="95" spans="1:19" x14ac:dyDescent="0.2">
      <c r="A95" s="115"/>
      <c r="B95" s="10" t="s">
        <v>54</v>
      </c>
      <c r="C95" s="98">
        <f t="shared" si="4"/>
        <v>190232</v>
      </c>
      <c r="D95" s="98">
        <f t="shared" si="4"/>
        <v>200402</v>
      </c>
      <c r="E95" s="98">
        <f t="shared" si="4"/>
        <v>206309</v>
      </c>
      <c r="F95" s="98">
        <f t="shared" si="4"/>
        <v>212327</v>
      </c>
      <c r="G95" s="98">
        <f t="shared" si="4"/>
        <v>217285</v>
      </c>
      <c r="H95" s="98">
        <f t="shared" si="4"/>
        <v>221246</v>
      </c>
      <c r="I95" s="98">
        <f t="shared" si="4"/>
        <v>169369</v>
      </c>
      <c r="J95" s="98">
        <f t="shared" si="4"/>
        <v>218330</v>
      </c>
      <c r="K95" s="98">
        <f t="shared" si="4"/>
        <v>225399</v>
      </c>
      <c r="L95" s="98">
        <f t="shared" si="4"/>
        <v>243862</v>
      </c>
      <c r="M95" s="98">
        <f t="shared" si="4"/>
        <v>227002</v>
      </c>
      <c r="N95" s="98">
        <f t="shared" si="4"/>
        <v>233020</v>
      </c>
      <c r="O95" s="98">
        <f t="shared" si="4"/>
        <v>239992</v>
      </c>
      <c r="P95" s="115"/>
      <c r="Q95" s="1"/>
      <c r="R95" s="1"/>
      <c r="S95" s="1"/>
    </row>
    <row r="96" spans="1:19" x14ac:dyDescent="0.2">
      <c r="A96" s="115"/>
      <c r="B96" s="96" t="s">
        <v>63</v>
      </c>
      <c r="C96" s="99"/>
      <c r="D96" s="99"/>
      <c r="E96" s="99"/>
      <c r="F96" s="99"/>
      <c r="G96" s="99"/>
      <c r="H96" s="99"/>
      <c r="I96" s="99"/>
      <c r="J96" s="99"/>
      <c r="K96" s="99"/>
      <c r="L96" s="99"/>
      <c r="M96" s="99"/>
      <c r="N96" s="99"/>
      <c r="O96" s="99"/>
      <c r="P96" s="115"/>
      <c r="Q96" s="1"/>
      <c r="R96" s="1"/>
      <c r="S96" s="1"/>
    </row>
    <row r="97" spans="1:19" x14ac:dyDescent="0.2">
      <c r="A97" s="115"/>
      <c r="B97" s="94" t="s">
        <v>64</v>
      </c>
      <c r="C97" s="91">
        <v>27911</v>
      </c>
      <c r="D97" s="91">
        <v>27942</v>
      </c>
      <c r="E97" s="91">
        <v>27973</v>
      </c>
      <c r="F97" s="91">
        <v>28004</v>
      </c>
      <c r="G97" s="91">
        <v>28035</v>
      </c>
      <c r="H97" s="91">
        <v>27916</v>
      </c>
      <c r="I97" s="91">
        <v>27947</v>
      </c>
      <c r="J97" s="91">
        <v>27978</v>
      </c>
      <c r="K97" s="91">
        <v>28009</v>
      </c>
      <c r="L97" s="91">
        <v>28040</v>
      </c>
      <c r="M97" s="91">
        <v>27921</v>
      </c>
      <c r="N97" s="91">
        <v>27952</v>
      </c>
      <c r="O97" s="91">
        <v>27983</v>
      </c>
      <c r="P97" s="115"/>
      <c r="Q97" s="1"/>
      <c r="R97" s="1"/>
      <c r="S97" s="1"/>
    </row>
    <row r="98" spans="1:19" x14ac:dyDescent="0.2">
      <c r="A98" s="115"/>
      <c r="B98" s="10" t="s">
        <v>41</v>
      </c>
      <c r="C98" s="91">
        <v>27911</v>
      </c>
      <c r="D98" s="91">
        <v>27942</v>
      </c>
      <c r="E98" s="91">
        <v>27973</v>
      </c>
      <c r="F98" s="91">
        <v>28004</v>
      </c>
      <c r="G98" s="91">
        <v>28035</v>
      </c>
      <c r="H98" s="91">
        <v>27916</v>
      </c>
      <c r="I98" s="91">
        <v>27947</v>
      </c>
      <c r="J98" s="91">
        <v>27978</v>
      </c>
      <c r="K98" s="91">
        <v>28009</v>
      </c>
      <c r="L98" s="91">
        <v>28040</v>
      </c>
      <c r="M98" s="91">
        <v>27921</v>
      </c>
      <c r="N98" s="91">
        <v>27952</v>
      </c>
      <c r="O98" s="91">
        <v>27983</v>
      </c>
      <c r="P98" s="115"/>
      <c r="Q98" s="1"/>
      <c r="R98" s="1"/>
      <c r="S98" s="1"/>
    </row>
    <row r="99" spans="1:19" x14ac:dyDescent="0.2">
      <c r="A99" s="115"/>
      <c r="B99" s="10" t="s">
        <v>42</v>
      </c>
      <c r="C99" s="91">
        <v>28469</v>
      </c>
      <c r="D99" s="91">
        <v>28501</v>
      </c>
      <c r="E99" s="91">
        <v>28532</v>
      </c>
      <c r="F99" s="91">
        <v>28564</v>
      </c>
      <c r="G99" s="91">
        <v>28596</v>
      </c>
      <c r="H99" s="91">
        <v>28474</v>
      </c>
      <c r="I99" s="91">
        <v>28506</v>
      </c>
      <c r="J99" s="91">
        <v>28538</v>
      </c>
      <c r="K99" s="91">
        <v>28569</v>
      </c>
      <c r="L99" s="91">
        <v>28601</v>
      </c>
      <c r="M99" s="91">
        <v>28479</v>
      </c>
      <c r="N99" s="91">
        <v>28511</v>
      </c>
      <c r="O99" s="91">
        <v>28543</v>
      </c>
      <c r="P99" s="115"/>
      <c r="Q99" s="1"/>
      <c r="R99" s="1"/>
      <c r="S99" s="1"/>
    </row>
    <row r="100" spans="1:19" x14ac:dyDescent="0.2">
      <c r="A100" s="115"/>
      <c r="B100" s="94" t="s">
        <v>65</v>
      </c>
      <c r="C100" s="91">
        <v>22328</v>
      </c>
      <c r="D100" s="91">
        <v>22359</v>
      </c>
      <c r="E100" s="91">
        <v>22390</v>
      </c>
      <c r="F100" s="91">
        <v>22421</v>
      </c>
      <c r="G100" s="91">
        <v>22452</v>
      </c>
      <c r="H100" s="91">
        <v>22333</v>
      </c>
      <c r="I100" s="91">
        <v>22364</v>
      </c>
      <c r="J100" s="91">
        <v>22395</v>
      </c>
      <c r="K100" s="91">
        <v>22426</v>
      </c>
      <c r="L100" s="91">
        <v>22457</v>
      </c>
      <c r="M100" s="91">
        <v>22338</v>
      </c>
      <c r="N100" s="91">
        <v>22369</v>
      </c>
      <c r="O100" s="91">
        <v>22400</v>
      </c>
      <c r="P100" s="115"/>
      <c r="Q100" s="1"/>
      <c r="R100" s="1"/>
      <c r="S100" s="1"/>
    </row>
    <row r="101" spans="1:19" x14ac:dyDescent="0.2">
      <c r="A101" s="115"/>
      <c r="B101" s="10" t="s">
        <v>41</v>
      </c>
      <c r="C101" s="91">
        <v>22328</v>
      </c>
      <c r="D101" s="91">
        <v>22359</v>
      </c>
      <c r="E101" s="91">
        <v>22390</v>
      </c>
      <c r="F101" s="91">
        <v>22421</v>
      </c>
      <c r="G101" s="91">
        <v>22452</v>
      </c>
      <c r="H101" s="91">
        <v>22333</v>
      </c>
      <c r="I101" s="91">
        <v>22364</v>
      </c>
      <c r="J101" s="91">
        <v>22395</v>
      </c>
      <c r="K101" s="91">
        <v>22426</v>
      </c>
      <c r="L101" s="91">
        <v>22457</v>
      </c>
      <c r="M101" s="91">
        <v>22338</v>
      </c>
      <c r="N101" s="91">
        <v>22369</v>
      </c>
      <c r="O101" s="91">
        <v>22400</v>
      </c>
      <c r="P101" s="115"/>
      <c r="Q101" s="1"/>
      <c r="R101" s="1"/>
      <c r="S101" s="1"/>
    </row>
    <row r="102" spans="1:19" x14ac:dyDescent="0.2">
      <c r="A102" s="115"/>
      <c r="B102" s="10" t="s">
        <v>42</v>
      </c>
      <c r="C102" s="91">
        <v>22775</v>
      </c>
      <c r="D102" s="91">
        <v>22806</v>
      </c>
      <c r="E102" s="91">
        <v>22838</v>
      </c>
      <c r="F102" s="91">
        <v>22869</v>
      </c>
      <c r="G102" s="91">
        <v>22901</v>
      </c>
      <c r="H102" s="91">
        <v>22780</v>
      </c>
      <c r="I102" s="91">
        <v>22811</v>
      </c>
      <c r="J102" s="91">
        <v>22843</v>
      </c>
      <c r="K102" s="91">
        <v>22875</v>
      </c>
      <c r="L102" s="91">
        <v>22906</v>
      </c>
      <c r="M102" s="91">
        <v>22785</v>
      </c>
      <c r="N102" s="91">
        <v>22816</v>
      </c>
      <c r="O102" s="91">
        <v>22848</v>
      </c>
      <c r="P102" s="115"/>
      <c r="Q102" s="1"/>
      <c r="R102" s="1"/>
      <c r="S102" s="1"/>
    </row>
    <row r="103" spans="1:19" x14ac:dyDescent="0.2">
      <c r="A103" s="115"/>
      <c r="B103" s="94" t="s">
        <v>66</v>
      </c>
      <c r="C103" s="91">
        <v>33493</v>
      </c>
      <c r="D103" s="91">
        <v>33524</v>
      </c>
      <c r="E103" s="91">
        <v>33555</v>
      </c>
      <c r="F103" s="91">
        <v>33586</v>
      </c>
      <c r="G103" s="91">
        <v>33617</v>
      </c>
      <c r="H103" s="91">
        <v>33498</v>
      </c>
      <c r="I103" s="91">
        <v>33529</v>
      </c>
      <c r="J103" s="91">
        <v>33560</v>
      </c>
      <c r="K103" s="91">
        <v>33591</v>
      </c>
      <c r="L103" s="91">
        <v>33622</v>
      </c>
      <c r="M103" s="91">
        <v>33503</v>
      </c>
      <c r="N103" s="91">
        <v>33534</v>
      </c>
      <c r="O103" s="91">
        <v>33565</v>
      </c>
      <c r="P103" s="115"/>
      <c r="Q103" s="1"/>
      <c r="R103" s="1"/>
      <c r="S103" s="1"/>
    </row>
    <row r="104" spans="1:19" x14ac:dyDescent="0.2">
      <c r="A104" s="115"/>
      <c r="B104" s="10" t="s">
        <v>41</v>
      </c>
      <c r="C104" s="91">
        <v>33493</v>
      </c>
      <c r="D104" s="91">
        <v>33524</v>
      </c>
      <c r="E104" s="91">
        <v>33555</v>
      </c>
      <c r="F104" s="91">
        <v>33586</v>
      </c>
      <c r="G104" s="91">
        <v>33617</v>
      </c>
      <c r="H104" s="91">
        <v>33498</v>
      </c>
      <c r="I104" s="91">
        <v>33529</v>
      </c>
      <c r="J104" s="91">
        <v>33560</v>
      </c>
      <c r="K104" s="91">
        <v>33591</v>
      </c>
      <c r="L104" s="91">
        <v>33622</v>
      </c>
      <c r="M104" s="91">
        <v>33503</v>
      </c>
      <c r="N104" s="91">
        <v>33534</v>
      </c>
      <c r="O104" s="91">
        <v>33565</v>
      </c>
      <c r="P104" s="115"/>
      <c r="Q104" s="1"/>
      <c r="R104" s="1"/>
      <c r="S104" s="1"/>
    </row>
    <row r="105" spans="1:19" x14ac:dyDescent="0.2">
      <c r="A105" s="115"/>
      <c r="B105" s="10" t="s">
        <v>42</v>
      </c>
      <c r="C105" s="91">
        <v>34163</v>
      </c>
      <c r="D105" s="91">
        <v>34194</v>
      </c>
      <c r="E105" s="91">
        <v>34226</v>
      </c>
      <c r="F105" s="91">
        <v>34258</v>
      </c>
      <c r="G105" s="91">
        <v>34289</v>
      </c>
      <c r="H105" s="91">
        <v>34168</v>
      </c>
      <c r="I105" s="91">
        <v>34200</v>
      </c>
      <c r="J105" s="91">
        <v>34231</v>
      </c>
      <c r="K105" s="91">
        <v>34263</v>
      </c>
      <c r="L105" s="91">
        <v>34294</v>
      </c>
      <c r="M105" s="91">
        <v>34173</v>
      </c>
      <c r="N105" s="91">
        <v>34205</v>
      </c>
      <c r="O105" s="91">
        <v>34236</v>
      </c>
      <c r="P105" s="115"/>
      <c r="Q105" s="1"/>
      <c r="R105" s="1"/>
      <c r="S105" s="1"/>
    </row>
    <row r="106" spans="1:19" x14ac:dyDescent="0.2">
      <c r="A106" s="115"/>
      <c r="B106" s="94" t="s">
        <v>67</v>
      </c>
      <c r="C106" s="91">
        <v>13955</v>
      </c>
      <c r="D106" s="91">
        <v>13986</v>
      </c>
      <c r="E106" s="91">
        <v>14017</v>
      </c>
      <c r="F106" s="91">
        <v>14048</v>
      </c>
      <c r="G106" s="91">
        <v>14079</v>
      </c>
      <c r="H106" s="91">
        <v>13960</v>
      </c>
      <c r="I106" s="91">
        <v>13991</v>
      </c>
      <c r="J106" s="91">
        <v>14022</v>
      </c>
      <c r="K106" s="91">
        <v>14053</v>
      </c>
      <c r="L106" s="91">
        <v>14084</v>
      </c>
      <c r="M106" s="91">
        <v>13965</v>
      </c>
      <c r="N106" s="91">
        <v>13996</v>
      </c>
      <c r="O106" s="91">
        <v>14027</v>
      </c>
      <c r="P106" s="115"/>
      <c r="Q106" s="1"/>
      <c r="R106" s="1"/>
      <c r="S106" s="1"/>
    </row>
    <row r="107" spans="1:19" x14ac:dyDescent="0.2">
      <c r="A107" s="115"/>
      <c r="B107" s="10" t="s">
        <v>41</v>
      </c>
      <c r="C107" s="91">
        <v>13955</v>
      </c>
      <c r="D107" s="91">
        <v>13986</v>
      </c>
      <c r="E107" s="91">
        <v>14017</v>
      </c>
      <c r="F107" s="91">
        <v>14048</v>
      </c>
      <c r="G107" s="91">
        <v>14079</v>
      </c>
      <c r="H107" s="91">
        <v>13960</v>
      </c>
      <c r="I107" s="91">
        <v>13991</v>
      </c>
      <c r="J107" s="91">
        <v>14022</v>
      </c>
      <c r="K107" s="91">
        <v>14053</v>
      </c>
      <c r="L107" s="91">
        <v>14084</v>
      </c>
      <c r="M107" s="91">
        <v>13965</v>
      </c>
      <c r="N107" s="91">
        <v>13996</v>
      </c>
      <c r="O107" s="91">
        <v>14027</v>
      </c>
      <c r="P107" s="115"/>
      <c r="Q107" s="1"/>
      <c r="R107" s="1"/>
      <c r="S107" s="1"/>
    </row>
    <row r="108" spans="1:19" x14ac:dyDescent="0.2">
      <c r="A108" s="115"/>
      <c r="B108" s="10" t="s">
        <v>42</v>
      </c>
      <c r="C108" s="91">
        <v>14234</v>
      </c>
      <c r="D108" s="91">
        <v>14266</v>
      </c>
      <c r="E108" s="91">
        <v>14297</v>
      </c>
      <c r="F108" s="91">
        <v>14329</v>
      </c>
      <c r="G108" s="91">
        <v>14361</v>
      </c>
      <c r="H108" s="91">
        <v>14239</v>
      </c>
      <c r="I108" s="91">
        <v>14271</v>
      </c>
      <c r="J108" s="91">
        <v>14302</v>
      </c>
      <c r="K108" s="91">
        <v>14334</v>
      </c>
      <c r="L108" s="91">
        <v>14366</v>
      </c>
      <c r="M108" s="91">
        <v>14244</v>
      </c>
      <c r="N108" s="91">
        <v>14276</v>
      </c>
      <c r="O108" s="91">
        <v>14308</v>
      </c>
      <c r="P108" s="115"/>
      <c r="Q108" s="1"/>
      <c r="R108" s="1"/>
      <c r="S108" s="1"/>
    </row>
    <row r="109" spans="1:19" x14ac:dyDescent="0.2">
      <c r="A109" s="115"/>
      <c r="B109" s="94" t="s">
        <v>68</v>
      </c>
      <c r="C109" s="91">
        <v>8373</v>
      </c>
      <c r="D109" s="91">
        <v>8404</v>
      </c>
      <c r="E109" s="91">
        <v>8435</v>
      </c>
      <c r="F109" s="91">
        <v>8466</v>
      </c>
      <c r="G109" s="91">
        <v>8497</v>
      </c>
      <c r="H109" s="91">
        <v>8378</v>
      </c>
      <c r="I109" s="91">
        <v>8409</v>
      </c>
      <c r="J109" s="91">
        <v>8440</v>
      </c>
      <c r="K109" s="91">
        <v>8471</v>
      </c>
      <c r="L109" s="91">
        <v>8502</v>
      </c>
      <c r="M109" s="91">
        <v>8383</v>
      </c>
      <c r="N109" s="91">
        <v>8414</v>
      </c>
      <c r="O109" s="91">
        <v>8445</v>
      </c>
      <c r="P109" s="115"/>
      <c r="Q109" s="1"/>
      <c r="R109" s="1"/>
      <c r="S109" s="1"/>
    </row>
    <row r="110" spans="1:19" x14ac:dyDescent="0.2">
      <c r="A110" s="115"/>
      <c r="B110" s="10" t="s">
        <v>41</v>
      </c>
      <c r="C110" s="91">
        <v>8373</v>
      </c>
      <c r="D110" s="91">
        <v>8404</v>
      </c>
      <c r="E110" s="91">
        <v>8435</v>
      </c>
      <c r="F110" s="91">
        <v>8466</v>
      </c>
      <c r="G110" s="91">
        <v>8497</v>
      </c>
      <c r="H110" s="91">
        <v>8378</v>
      </c>
      <c r="I110" s="91">
        <v>8409</v>
      </c>
      <c r="J110" s="91">
        <v>8440</v>
      </c>
      <c r="K110" s="91">
        <v>8471</v>
      </c>
      <c r="L110" s="91">
        <v>8502</v>
      </c>
      <c r="M110" s="91">
        <v>8383</v>
      </c>
      <c r="N110" s="91">
        <v>8414</v>
      </c>
      <c r="O110" s="91">
        <v>8445</v>
      </c>
      <c r="P110" s="115"/>
      <c r="Q110" s="1"/>
      <c r="R110" s="1"/>
      <c r="S110" s="1"/>
    </row>
    <row r="111" spans="1:19" x14ac:dyDescent="0.2">
      <c r="A111" s="115"/>
      <c r="B111" s="10" t="s">
        <v>42</v>
      </c>
      <c r="C111" s="91">
        <v>8540</v>
      </c>
      <c r="D111" s="91">
        <v>8572</v>
      </c>
      <c r="E111" s="91">
        <v>8604</v>
      </c>
      <c r="F111" s="91">
        <v>8635</v>
      </c>
      <c r="G111" s="91">
        <v>8667</v>
      </c>
      <c r="H111" s="91">
        <v>8546</v>
      </c>
      <c r="I111" s="91">
        <v>8577</v>
      </c>
      <c r="J111" s="91">
        <v>8609</v>
      </c>
      <c r="K111" s="91">
        <v>8640</v>
      </c>
      <c r="L111" s="91">
        <v>8672</v>
      </c>
      <c r="M111" s="91">
        <v>8551</v>
      </c>
      <c r="N111" s="91">
        <v>8582</v>
      </c>
      <c r="O111" s="91">
        <v>8614</v>
      </c>
      <c r="P111" s="115"/>
      <c r="Q111" s="1"/>
      <c r="R111" s="1"/>
      <c r="S111" s="1"/>
    </row>
    <row r="112" spans="1:19" x14ac:dyDescent="0.2">
      <c r="A112" s="115"/>
      <c r="B112" s="94" t="s">
        <v>69</v>
      </c>
      <c r="C112" s="91">
        <v>16746</v>
      </c>
      <c r="D112" s="91">
        <v>16777</v>
      </c>
      <c r="E112" s="91">
        <v>16808</v>
      </c>
      <c r="F112" s="91">
        <v>16839</v>
      </c>
      <c r="G112" s="91">
        <v>16870</v>
      </c>
      <c r="H112" s="91">
        <v>16751</v>
      </c>
      <c r="I112" s="91">
        <v>16782</v>
      </c>
      <c r="J112" s="91">
        <v>16813</v>
      </c>
      <c r="K112" s="91">
        <v>16844</v>
      </c>
      <c r="L112" s="91">
        <v>16875</v>
      </c>
      <c r="M112" s="91">
        <v>16756</v>
      </c>
      <c r="N112" s="91">
        <v>16787</v>
      </c>
      <c r="O112" s="91">
        <v>16818</v>
      </c>
      <c r="P112" s="115"/>
      <c r="Q112" s="1"/>
      <c r="R112" s="1"/>
      <c r="S112" s="1"/>
    </row>
    <row r="113" spans="1:19" x14ac:dyDescent="0.2">
      <c r="A113" s="115"/>
      <c r="B113" s="10" t="s">
        <v>41</v>
      </c>
      <c r="C113" s="91">
        <v>16746</v>
      </c>
      <c r="D113" s="91">
        <v>16777</v>
      </c>
      <c r="E113" s="91">
        <v>16808</v>
      </c>
      <c r="F113" s="91">
        <v>16839</v>
      </c>
      <c r="G113" s="91">
        <v>16870</v>
      </c>
      <c r="H113" s="91">
        <v>16751</v>
      </c>
      <c r="I113" s="91">
        <v>16782</v>
      </c>
      <c r="J113" s="91">
        <v>16813</v>
      </c>
      <c r="K113" s="91">
        <v>16844</v>
      </c>
      <c r="L113" s="91">
        <v>16875</v>
      </c>
      <c r="M113" s="91">
        <v>16756</v>
      </c>
      <c r="N113" s="91">
        <v>16787</v>
      </c>
      <c r="O113" s="91">
        <v>16818</v>
      </c>
      <c r="P113" s="115"/>
      <c r="Q113" s="1"/>
      <c r="R113" s="1"/>
      <c r="S113" s="1"/>
    </row>
    <row r="114" spans="1:19" x14ac:dyDescent="0.2">
      <c r="A114" s="115"/>
      <c r="B114" s="10" t="s">
        <v>42</v>
      </c>
      <c r="C114" s="91">
        <v>17081</v>
      </c>
      <c r="D114" s="91">
        <v>17113</v>
      </c>
      <c r="E114" s="91">
        <v>17144</v>
      </c>
      <c r="F114" s="91">
        <v>17176</v>
      </c>
      <c r="G114" s="91">
        <v>17207</v>
      </c>
      <c r="H114" s="91">
        <v>17086</v>
      </c>
      <c r="I114" s="91">
        <v>17118</v>
      </c>
      <c r="J114" s="91">
        <v>17149</v>
      </c>
      <c r="K114" s="91">
        <v>17181</v>
      </c>
      <c r="L114" s="91">
        <v>17212</v>
      </c>
      <c r="M114" s="91">
        <v>17091</v>
      </c>
      <c r="N114" s="91">
        <v>17123</v>
      </c>
      <c r="O114" s="91">
        <v>17154</v>
      </c>
      <c r="P114" s="115"/>
      <c r="Q114" s="1"/>
      <c r="R114" s="1"/>
      <c r="S114" s="1"/>
    </row>
    <row r="115" spans="1:19" x14ac:dyDescent="0.2">
      <c r="A115" s="115"/>
      <c r="B115" s="97" t="s">
        <v>70</v>
      </c>
      <c r="C115" s="98">
        <f t="shared" ref="C115:O117" si="5">C97+C100+C103+C106+C109+C112</f>
        <v>122806</v>
      </c>
      <c r="D115" s="98">
        <f t="shared" si="5"/>
        <v>122992</v>
      </c>
      <c r="E115" s="98">
        <f t="shared" si="5"/>
        <v>123178</v>
      </c>
      <c r="F115" s="98">
        <f t="shared" si="5"/>
        <v>123364</v>
      </c>
      <c r="G115" s="98">
        <f t="shared" si="5"/>
        <v>123550</v>
      </c>
      <c r="H115" s="98">
        <f t="shared" si="5"/>
        <v>122836</v>
      </c>
      <c r="I115" s="98">
        <f t="shared" si="5"/>
        <v>123022</v>
      </c>
      <c r="J115" s="98">
        <f t="shared" si="5"/>
        <v>123208</v>
      </c>
      <c r="K115" s="98">
        <f t="shared" si="5"/>
        <v>123394</v>
      </c>
      <c r="L115" s="98">
        <f t="shared" si="5"/>
        <v>123580</v>
      </c>
      <c r="M115" s="98">
        <f t="shared" si="5"/>
        <v>122866</v>
      </c>
      <c r="N115" s="98">
        <f t="shared" si="5"/>
        <v>123052</v>
      </c>
      <c r="O115" s="98">
        <f t="shared" si="5"/>
        <v>123238</v>
      </c>
      <c r="P115" s="115"/>
      <c r="Q115" s="1"/>
      <c r="R115" s="1"/>
      <c r="S115" s="1"/>
    </row>
    <row r="116" spans="1:19" x14ac:dyDescent="0.2">
      <c r="A116" s="115"/>
      <c r="B116" s="10" t="s">
        <v>53</v>
      </c>
      <c r="C116" s="98">
        <f t="shared" si="5"/>
        <v>122806</v>
      </c>
      <c r="D116" s="98">
        <f t="shared" si="5"/>
        <v>122992</v>
      </c>
      <c r="E116" s="98">
        <f t="shared" si="5"/>
        <v>123178</v>
      </c>
      <c r="F116" s="98">
        <f t="shared" si="5"/>
        <v>123364</v>
      </c>
      <c r="G116" s="98">
        <f t="shared" si="5"/>
        <v>123550</v>
      </c>
      <c r="H116" s="98">
        <f t="shared" si="5"/>
        <v>122836</v>
      </c>
      <c r="I116" s="98">
        <f t="shared" si="5"/>
        <v>123022</v>
      </c>
      <c r="J116" s="98">
        <f t="shared" si="5"/>
        <v>123208</v>
      </c>
      <c r="K116" s="98">
        <f t="shared" si="5"/>
        <v>123394</v>
      </c>
      <c r="L116" s="98">
        <f t="shared" si="5"/>
        <v>123580</v>
      </c>
      <c r="M116" s="98">
        <f t="shared" si="5"/>
        <v>122866</v>
      </c>
      <c r="N116" s="98">
        <f t="shared" si="5"/>
        <v>123052</v>
      </c>
      <c r="O116" s="98">
        <f t="shared" si="5"/>
        <v>123238</v>
      </c>
      <c r="P116" s="115"/>
      <c r="Q116" s="1"/>
      <c r="R116" s="1"/>
      <c r="S116" s="1"/>
    </row>
    <row r="117" spans="1:19" x14ac:dyDescent="0.2">
      <c r="A117" s="115"/>
      <c r="B117" s="10" t="s">
        <v>54</v>
      </c>
      <c r="C117" s="98">
        <f t="shared" si="5"/>
        <v>125262</v>
      </c>
      <c r="D117" s="98">
        <f t="shared" si="5"/>
        <v>125452</v>
      </c>
      <c r="E117" s="98">
        <f t="shared" si="5"/>
        <v>125641</v>
      </c>
      <c r="F117" s="98">
        <f t="shared" si="5"/>
        <v>125831</v>
      </c>
      <c r="G117" s="98">
        <f t="shared" si="5"/>
        <v>126021</v>
      </c>
      <c r="H117" s="98">
        <f t="shared" si="5"/>
        <v>125293</v>
      </c>
      <c r="I117" s="98">
        <f t="shared" si="5"/>
        <v>125483</v>
      </c>
      <c r="J117" s="98">
        <f t="shared" si="5"/>
        <v>125672</v>
      </c>
      <c r="K117" s="98">
        <f t="shared" si="5"/>
        <v>125862</v>
      </c>
      <c r="L117" s="98">
        <f t="shared" si="5"/>
        <v>126051</v>
      </c>
      <c r="M117" s="98">
        <f t="shared" si="5"/>
        <v>125323</v>
      </c>
      <c r="N117" s="98">
        <f t="shared" si="5"/>
        <v>125513</v>
      </c>
      <c r="O117" s="98">
        <f t="shared" si="5"/>
        <v>125703</v>
      </c>
      <c r="P117" s="115"/>
      <c r="Q117" s="1"/>
      <c r="R117" s="1"/>
      <c r="S117" s="1"/>
    </row>
    <row r="118" spans="1:19" x14ac:dyDescent="0.2">
      <c r="A118" s="115"/>
      <c r="B118" s="95" t="s">
        <v>71</v>
      </c>
      <c r="C118" s="98">
        <f t="shared" ref="C118:O120" si="6">C93-C115</f>
        <v>136074</v>
      </c>
      <c r="D118" s="98">
        <f t="shared" si="6"/>
        <v>149750</v>
      </c>
      <c r="E118" s="98">
        <f t="shared" si="6"/>
        <v>157868</v>
      </c>
      <c r="F118" s="98">
        <f t="shared" si="6"/>
        <v>165864</v>
      </c>
      <c r="G118" s="98">
        <f t="shared" si="6"/>
        <v>172098</v>
      </c>
      <c r="H118" s="98">
        <f t="shared" si="6"/>
        <v>178274</v>
      </c>
      <c r="I118" s="98">
        <f t="shared" si="6"/>
        <v>107450</v>
      </c>
      <c r="J118" s="98">
        <f t="shared" si="6"/>
        <v>174276</v>
      </c>
      <c r="K118" s="98">
        <f t="shared" si="6"/>
        <v>183270</v>
      </c>
      <c r="L118" s="98">
        <f t="shared" si="6"/>
        <v>208142</v>
      </c>
      <c r="M118" s="98">
        <f t="shared" si="6"/>
        <v>186237</v>
      </c>
      <c r="N118" s="98">
        <f t="shared" si="6"/>
        <v>194230</v>
      </c>
      <c r="O118" s="98">
        <f t="shared" si="6"/>
        <v>203425</v>
      </c>
      <c r="P118" s="115"/>
      <c r="Q118" s="1"/>
      <c r="R118" s="1"/>
      <c r="S118" s="1"/>
    </row>
    <row r="119" spans="1:19" x14ac:dyDescent="0.2">
      <c r="A119" s="115"/>
      <c r="B119" s="10" t="s">
        <v>53</v>
      </c>
      <c r="C119" s="98">
        <f t="shared" si="6"/>
        <v>149995</v>
      </c>
      <c r="D119" s="98">
        <f t="shared" si="6"/>
        <v>164397</v>
      </c>
      <c r="E119" s="98">
        <f t="shared" si="6"/>
        <v>172831</v>
      </c>
      <c r="F119" s="98">
        <f t="shared" si="6"/>
        <v>181371</v>
      </c>
      <c r="G119" s="98">
        <f t="shared" si="6"/>
        <v>188138</v>
      </c>
      <c r="H119" s="98">
        <f t="shared" si="6"/>
        <v>194373</v>
      </c>
      <c r="I119" s="98">
        <f t="shared" si="6"/>
        <v>120246</v>
      </c>
      <c r="J119" s="98">
        <f t="shared" si="6"/>
        <v>190152</v>
      </c>
      <c r="K119" s="98">
        <f t="shared" si="6"/>
        <v>199903</v>
      </c>
      <c r="L119" s="98">
        <f t="shared" si="6"/>
        <v>226463</v>
      </c>
      <c r="M119" s="98">
        <f t="shared" si="6"/>
        <v>202943</v>
      </c>
      <c r="N119" s="98">
        <f t="shared" si="6"/>
        <v>211480</v>
      </c>
      <c r="O119" s="98">
        <f t="shared" si="6"/>
        <v>221034</v>
      </c>
      <c r="P119" s="115"/>
      <c r="Q119" s="1"/>
      <c r="R119" s="1"/>
      <c r="S119" s="1"/>
    </row>
    <row r="120" spans="1:19" x14ac:dyDescent="0.2">
      <c r="A120" s="115"/>
      <c r="B120" s="10" t="s">
        <v>54</v>
      </c>
      <c r="C120" s="98">
        <f t="shared" si="6"/>
        <v>64970</v>
      </c>
      <c r="D120" s="98">
        <f t="shared" si="6"/>
        <v>74950</v>
      </c>
      <c r="E120" s="98">
        <f t="shared" si="6"/>
        <v>80668</v>
      </c>
      <c r="F120" s="98">
        <f t="shared" si="6"/>
        <v>86496</v>
      </c>
      <c r="G120" s="98">
        <f t="shared" si="6"/>
        <v>91264</v>
      </c>
      <c r="H120" s="98">
        <f t="shared" si="6"/>
        <v>95953</v>
      </c>
      <c r="I120" s="98">
        <f t="shared" si="6"/>
        <v>43886</v>
      </c>
      <c r="J120" s="98">
        <f t="shared" si="6"/>
        <v>92658</v>
      </c>
      <c r="K120" s="98">
        <f t="shared" si="6"/>
        <v>99537</v>
      </c>
      <c r="L120" s="98">
        <f t="shared" si="6"/>
        <v>117811</v>
      </c>
      <c r="M120" s="98">
        <f t="shared" si="6"/>
        <v>101679</v>
      </c>
      <c r="N120" s="98">
        <f t="shared" si="6"/>
        <v>107507</v>
      </c>
      <c r="O120" s="98">
        <f t="shared" si="6"/>
        <v>114289</v>
      </c>
      <c r="P120" s="115"/>
      <c r="Q120" s="1"/>
      <c r="R120" s="1"/>
      <c r="S120" s="1"/>
    </row>
    <row r="121" spans="1:19" x14ac:dyDescent="0.2">
      <c r="A121" s="115"/>
      <c r="B121" s="96" t="s">
        <v>72</v>
      </c>
      <c r="C121" s="99"/>
      <c r="D121" s="99"/>
      <c r="E121" s="99"/>
      <c r="F121" s="99"/>
      <c r="G121" s="99"/>
      <c r="H121" s="99"/>
      <c r="I121" s="99"/>
      <c r="J121" s="99"/>
      <c r="K121" s="99"/>
      <c r="L121" s="99"/>
      <c r="M121" s="99"/>
      <c r="N121" s="99"/>
      <c r="O121" s="99"/>
      <c r="P121" s="115"/>
      <c r="Q121" s="1"/>
      <c r="R121" s="1"/>
      <c r="S121" s="1"/>
    </row>
    <row r="122" spans="1:19" x14ac:dyDescent="0.2">
      <c r="A122" s="115"/>
      <c r="B122" s="94" t="s">
        <v>73</v>
      </c>
      <c r="C122" s="91">
        <v>8200</v>
      </c>
      <c r="D122" s="91">
        <v>8260</v>
      </c>
      <c r="E122" s="91">
        <v>8320</v>
      </c>
      <c r="F122" s="91">
        <v>8380</v>
      </c>
      <c r="G122" s="91">
        <v>8440</v>
      </c>
      <c r="H122" s="91">
        <v>8500</v>
      </c>
      <c r="I122" s="91">
        <v>8560</v>
      </c>
      <c r="J122" s="91">
        <v>8620</v>
      </c>
      <c r="K122" s="91">
        <v>8680</v>
      </c>
      <c r="L122" s="91">
        <v>8740</v>
      </c>
      <c r="M122" s="91">
        <v>8800</v>
      </c>
      <c r="N122" s="91">
        <v>8860</v>
      </c>
      <c r="O122" s="91">
        <v>8920</v>
      </c>
      <c r="P122" s="115"/>
      <c r="Q122" s="1"/>
      <c r="R122" s="1"/>
      <c r="S122" s="1"/>
    </row>
    <row r="123" spans="1:19" x14ac:dyDescent="0.2">
      <c r="A123" s="115"/>
      <c r="B123" s="10" t="s">
        <v>41</v>
      </c>
      <c r="C123" s="91">
        <v>8300</v>
      </c>
      <c r="D123" s="91">
        <v>8300</v>
      </c>
      <c r="E123" s="91">
        <v>8300</v>
      </c>
      <c r="F123" s="91">
        <v>8300</v>
      </c>
      <c r="G123" s="91">
        <v>8300</v>
      </c>
      <c r="H123" s="91">
        <v>8300</v>
      </c>
      <c r="I123" s="91">
        <v>8300</v>
      </c>
      <c r="J123" s="91">
        <v>8300</v>
      </c>
      <c r="K123" s="91">
        <v>8300</v>
      </c>
      <c r="L123" s="91">
        <v>8300</v>
      </c>
      <c r="M123" s="91">
        <v>8300</v>
      </c>
      <c r="N123" s="91">
        <v>8300</v>
      </c>
      <c r="O123" s="91">
        <v>8300</v>
      </c>
      <c r="P123" s="115"/>
      <c r="Q123" s="1"/>
      <c r="R123" s="1"/>
      <c r="S123" s="1"/>
    </row>
    <row r="124" spans="1:19" x14ac:dyDescent="0.2">
      <c r="A124" s="115"/>
      <c r="B124" s="10" t="s">
        <v>42</v>
      </c>
      <c r="C124" s="91">
        <v>7600</v>
      </c>
      <c r="D124" s="91">
        <v>7600</v>
      </c>
      <c r="E124" s="91">
        <v>7600</v>
      </c>
      <c r="F124" s="91">
        <v>7600</v>
      </c>
      <c r="G124" s="91">
        <v>7600</v>
      </c>
      <c r="H124" s="91">
        <v>7600</v>
      </c>
      <c r="I124" s="91">
        <v>7600</v>
      </c>
      <c r="J124" s="91">
        <v>7600</v>
      </c>
      <c r="K124" s="91">
        <v>7600</v>
      </c>
      <c r="L124" s="91">
        <v>7600</v>
      </c>
      <c r="M124" s="91">
        <v>7600</v>
      </c>
      <c r="N124" s="91">
        <v>7600</v>
      </c>
      <c r="O124" s="91">
        <v>7600</v>
      </c>
      <c r="P124" s="115"/>
      <c r="Q124" s="1"/>
      <c r="R124" s="1"/>
      <c r="S124" s="1"/>
    </row>
    <row r="125" spans="1:19" x14ac:dyDescent="0.2">
      <c r="A125" s="115"/>
      <c r="B125" s="94" t="s">
        <v>74</v>
      </c>
      <c r="C125" s="91">
        <v>2100</v>
      </c>
      <c r="D125" s="91">
        <v>2117</v>
      </c>
      <c r="E125" s="91">
        <v>2134</v>
      </c>
      <c r="F125" s="91">
        <v>2151</v>
      </c>
      <c r="G125" s="91">
        <v>2168</v>
      </c>
      <c r="H125" s="91">
        <v>2185</v>
      </c>
      <c r="I125" s="91">
        <v>2202</v>
      </c>
      <c r="J125" s="91">
        <v>2219</v>
      </c>
      <c r="K125" s="91">
        <v>2236</v>
      </c>
      <c r="L125" s="91">
        <v>2253</v>
      </c>
      <c r="M125" s="91">
        <v>2270</v>
      </c>
      <c r="N125" s="91">
        <v>2287</v>
      </c>
      <c r="O125" s="91">
        <v>2304</v>
      </c>
      <c r="P125" s="115"/>
      <c r="Q125" s="1"/>
      <c r="R125" s="1"/>
      <c r="S125" s="1"/>
    </row>
    <row r="126" spans="1:19" x14ac:dyDescent="0.2">
      <c r="A126" s="115"/>
      <c r="B126" s="10" t="s">
        <v>41</v>
      </c>
      <c r="C126" s="91">
        <v>2000</v>
      </c>
      <c r="D126" s="91">
        <v>2000</v>
      </c>
      <c r="E126" s="91">
        <v>2000</v>
      </c>
      <c r="F126" s="91">
        <v>2000</v>
      </c>
      <c r="G126" s="91">
        <v>2000</v>
      </c>
      <c r="H126" s="91">
        <v>2000</v>
      </c>
      <c r="I126" s="91">
        <v>2000</v>
      </c>
      <c r="J126" s="91">
        <v>2000</v>
      </c>
      <c r="K126" s="91">
        <v>2000</v>
      </c>
      <c r="L126" s="91">
        <v>2000</v>
      </c>
      <c r="M126" s="91">
        <v>2000</v>
      </c>
      <c r="N126" s="91">
        <v>2000</v>
      </c>
      <c r="O126" s="91">
        <v>2000</v>
      </c>
      <c r="P126" s="115"/>
      <c r="Q126" s="1"/>
      <c r="R126" s="1"/>
      <c r="S126" s="1"/>
    </row>
    <row r="127" spans="1:19" x14ac:dyDescent="0.2">
      <c r="A127" s="115"/>
      <c r="B127" s="10" t="s">
        <v>42</v>
      </c>
      <c r="C127" s="91">
        <v>2400</v>
      </c>
      <c r="D127" s="91">
        <v>2400</v>
      </c>
      <c r="E127" s="91">
        <v>2400</v>
      </c>
      <c r="F127" s="91">
        <v>2400</v>
      </c>
      <c r="G127" s="91">
        <v>2400</v>
      </c>
      <c r="H127" s="91">
        <v>2400</v>
      </c>
      <c r="I127" s="91">
        <v>2400</v>
      </c>
      <c r="J127" s="91">
        <v>2400</v>
      </c>
      <c r="K127" s="91">
        <v>2400</v>
      </c>
      <c r="L127" s="91">
        <v>2400</v>
      </c>
      <c r="M127" s="91">
        <v>2400</v>
      </c>
      <c r="N127" s="91">
        <v>2400</v>
      </c>
      <c r="O127" s="91">
        <v>2400</v>
      </c>
      <c r="P127" s="115"/>
      <c r="Q127" s="1"/>
      <c r="R127" s="1"/>
      <c r="S127" s="1"/>
    </row>
    <row r="128" spans="1:19" x14ac:dyDescent="0.2">
      <c r="A128" s="115"/>
      <c r="B128" s="94" t="s">
        <v>75</v>
      </c>
      <c r="C128" s="91">
        <v>21195</v>
      </c>
      <c r="D128" s="91">
        <v>22504</v>
      </c>
      <c r="E128" s="91">
        <v>23297</v>
      </c>
      <c r="F128" s="91">
        <v>24079</v>
      </c>
      <c r="G128" s="91">
        <v>24605</v>
      </c>
      <c r="H128" s="91">
        <v>25136</v>
      </c>
      <c r="I128" s="91">
        <v>18620</v>
      </c>
      <c r="J128" s="91">
        <v>24849</v>
      </c>
      <c r="K128" s="91">
        <v>25631</v>
      </c>
      <c r="L128" s="91">
        <v>27976</v>
      </c>
      <c r="M128" s="91">
        <v>25906</v>
      </c>
      <c r="N128" s="91">
        <v>26688</v>
      </c>
      <c r="O128" s="91">
        <v>27488</v>
      </c>
      <c r="P128" s="115"/>
      <c r="Q128" s="1"/>
      <c r="R128" s="1"/>
      <c r="S128" s="1"/>
    </row>
    <row r="129" spans="1:19" x14ac:dyDescent="0.2">
      <c r="A129" s="115"/>
      <c r="B129" s="10" t="s">
        <v>41</v>
      </c>
      <c r="C129" s="91">
        <v>21573</v>
      </c>
      <c r="D129" s="91">
        <v>22751</v>
      </c>
      <c r="E129" s="91">
        <v>23465</v>
      </c>
      <c r="F129" s="91">
        <v>24168</v>
      </c>
      <c r="G129" s="91">
        <v>24642</v>
      </c>
      <c r="H129" s="91">
        <v>25119</v>
      </c>
      <c r="I129" s="91">
        <v>19255</v>
      </c>
      <c r="J129" s="91">
        <v>24862</v>
      </c>
      <c r="K129" s="91">
        <v>25565</v>
      </c>
      <c r="L129" s="91">
        <v>27676</v>
      </c>
      <c r="M129" s="91">
        <v>25813</v>
      </c>
      <c r="N129" s="91">
        <v>26516</v>
      </c>
      <c r="O129" s="91">
        <v>27237</v>
      </c>
      <c r="P129" s="115"/>
      <c r="Q129" s="1"/>
      <c r="R129" s="1"/>
      <c r="S129" s="1"/>
    </row>
    <row r="130" spans="1:19" x14ac:dyDescent="0.2">
      <c r="A130" s="115"/>
      <c r="B130" s="10" t="s">
        <v>42</v>
      </c>
      <c r="C130" s="91">
        <v>19176</v>
      </c>
      <c r="D130" s="91">
        <v>20223</v>
      </c>
      <c r="E130" s="91">
        <v>20858</v>
      </c>
      <c r="F130" s="91">
        <v>21483</v>
      </c>
      <c r="G130" s="91">
        <v>21904</v>
      </c>
      <c r="H130" s="91">
        <v>22328</v>
      </c>
      <c r="I130" s="91">
        <v>17116</v>
      </c>
      <c r="J130" s="91">
        <v>22099</v>
      </c>
      <c r="K130" s="91">
        <v>22725</v>
      </c>
      <c r="L130" s="91">
        <v>24601</v>
      </c>
      <c r="M130" s="91">
        <v>22945</v>
      </c>
      <c r="N130" s="91">
        <v>23570</v>
      </c>
      <c r="O130" s="91">
        <v>24211</v>
      </c>
      <c r="P130" s="115"/>
      <c r="Q130" s="1"/>
      <c r="R130" s="1"/>
      <c r="S130" s="1"/>
    </row>
    <row r="131" spans="1:19" x14ac:dyDescent="0.2">
      <c r="A131" s="115"/>
      <c r="B131" s="95" t="s">
        <v>76</v>
      </c>
      <c r="C131" s="98">
        <f t="shared" ref="C131:O133" si="7">C118-C122-C125-C128</f>
        <v>104579</v>
      </c>
      <c r="D131" s="98">
        <f t="shared" si="7"/>
        <v>116869</v>
      </c>
      <c r="E131" s="98">
        <f t="shared" si="7"/>
        <v>124117</v>
      </c>
      <c r="F131" s="98">
        <f t="shared" si="7"/>
        <v>131254</v>
      </c>
      <c r="G131" s="98">
        <f t="shared" si="7"/>
        <v>136885</v>
      </c>
      <c r="H131" s="98">
        <f t="shared" si="7"/>
        <v>142453</v>
      </c>
      <c r="I131" s="98">
        <f t="shared" si="7"/>
        <v>78068</v>
      </c>
      <c r="J131" s="98">
        <f t="shared" si="7"/>
        <v>138588</v>
      </c>
      <c r="K131" s="98">
        <f t="shared" si="7"/>
        <v>146723</v>
      </c>
      <c r="L131" s="98">
        <f t="shared" si="7"/>
        <v>169173</v>
      </c>
      <c r="M131" s="98">
        <f t="shared" si="7"/>
        <v>149261</v>
      </c>
      <c r="N131" s="98">
        <f t="shared" si="7"/>
        <v>156395</v>
      </c>
      <c r="O131" s="98">
        <f t="shared" si="7"/>
        <v>164713</v>
      </c>
      <c r="P131" s="115"/>
      <c r="Q131" s="1"/>
      <c r="R131" s="1"/>
      <c r="S131" s="1"/>
    </row>
    <row r="132" spans="1:19" x14ac:dyDescent="0.2">
      <c r="A132" s="115"/>
      <c r="B132" s="10" t="s">
        <v>53</v>
      </c>
      <c r="C132" s="98">
        <f t="shared" si="7"/>
        <v>118122</v>
      </c>
      <c r="D132" s="98">
        <f t="shared" si="7"/>
        <v>131346</v>
      </c>
      <c r="E132" s="98">
        <f t="shared" si="7"/>
        <v>139066</v>
      </c>
      <c r="F132" s="98">
        <f t="shared" si="7"/>
        <v>146903</v>
      </c>
      <c r="G132" s="98">
        <f t="shared" si="7"/>
        <v>153196</v>
      </c>
      <c r="H132" s="98">
        <f t="shared" si="7"/>
        <v>158954</v>
      </c>
      <c r="I132" s="98">
        <f t="shared" si="7"/>
        <v>90691</v>
      </c>
      <c r="J132" s="98">
        <f t="shared" si="7"/>
        <v>154990</v>
      </c>
      <c r="K132" s="98">
        <f t="shared" si="7"/>
        <v>164038</v>
      </c>
      <c r="L132" s="98">
        <f t="shared" si="7"/>
        <v>188487</v>
      </c>
      <c r="M132" s="98">
        <f t="shared" si="7"/>
        <v>166830</v>
      </c>
      <c r="N132" s="98">
        <f t="shared" si="7"/>
        <v>174664</v>
      </c>
      <c r="O132" s="98">
        <f t="shared" si="7"/>
        <v>183497</v>
      </c>
      <c r="P132" s="115"/>
      <c r="Q132" s="1"/>
      <c r="R132" s="1"/>
      <c r="S132" s="1"/>
    </row>
    <row r="133" spans="1:19" x14ac:dyDescent="0.2">
      <c r="A133" s="115"/>
      <c r="B133" s="10" t="s">
        <v>54</v>
      </c>
      <c r="C133" s="98">
        <f t="shared" si="7"/>
        <v>35794</v>
      </c>
      <c r="D133" s="98">
        <f t="shared" si="7"/>
        <v>44727</v>
      </c>
      <c r="E133" s="98">
        <f t="shared" si="7"/>
        <v>49810</v>
      </c>
      <c r="F133" s="98">
        <f t="shared" si="7"/>
        <v>55013</v>
      </c>
      <c r="G133" s="98">
        <f t="shared" si="7"/>
        <v>59360</v>
      </c>
      <c r="H133" s="98">
        <f t="shared" si="7"/>
        <v>63625</v>
      </c>
      <c r="I133" s="98">
        <f t="shared" si="7"/>
        <v>16770</v>
      </c>
      <c r="J133" s="98">
        <f t="shared" si="7"/>
        <v>60559</v>
      </c>
      <c r="K133" s="98">
        <f t="shared" si="7"/>
        <v>66812</v>
      </c>
      <c r="L133" s="98">
        <f t="shared" si="7"/>
        <v>83210</v>
      </c>
      <c r="M133" s="98">
        <f t="shared" si="7"/>
        <v>68734</v>
      </c>
      <c r="N133" s="98">
        <f t="shared" si="7"/>
        <v>73937</v>
      </c>
      <c r="O133" s="98">
        <f t="shared" si="7"/>
        <v>80078</v>
      </c>
      <c r="P133" s="115"/>
      <c r="Q133" s="1"/>
      <c r="R133" s="1"/>
      <c r="S133" s="1"/>
    </row>
    <row r="134" spans="1:19" x14ac:dyDescent="0.2">
      <c r="A134" s="115"/>
      <c r="B134" s="96" t="s">
        <v>77</v>
      </c>
      <c r="C134" s="99"/>
      <c r="D134" s="99"/>
      <c r="E134" s="99"/>
      <c r="F134" s="99"/>
      <c r="G134" s="99"/>
      <c r="H134" s="99"/>
      <c r="I134" s="99"/>
      <c r="J134" s="99"/>
      <c r="K134" s="99"/>
      <c r="L134" s="99"/>
      <c r="M134" s="99"/>
      <c r="N134" s="99"/>
      <c r="O134" s="99"/>
      <c r="P134" s="115"/>
      <c r="Q134" s="1"/>
      <c r="R134" s="1"/>
      <c r="S134" s="1"/>
    </row>
    <row r="135" spans="1:19" x14ac:dyDescent="0.2">
      <c r="A135" s="115"/>
      <c r="B135" s="94" t="s">
        <v>78</v>
      </c>
      <c r="C135" s="91">
        <v>445558</v>
      </c>
      <c r="D135" s="91">
        <v>481159</v>
      </c>
      <c r="E135" s="91">
        <v>518082</v>
      </c>
      <c r="F135" s="91">
        <v>536310</v>
      </c>
      <c r="G135" s="91">
        <v>575486</v>
      </c>
      <c r="H135" s="91">
        <v>614716</v>
      </c>
      <c r="I135" s="91">
        <v>645034</v>
      </c>
      <c r="J135" s="91">
        <v>684285</v>
      </c>
      <c r="K135" s="91">
        <v>724841</v>
      </c>
      <c r="L135" s="91">
        <v>747991</v>
      </c>
      <c r="M135" s="91">
        <v>788454</v>
      </c>
      <c r="N135" s="91">
        <v>830223</v>
      </c>
      <c r="O135" s="91">
        <v>873324</v>
      </c>
      <c r="P135" s="115"/>
      <c r="Q135" s="1"/>
      <c r="R135" s="1"/>
      <c r="S135" s="1"/>
    </row>
    <row r="136" spans="1:19" x14ac:dyDescent="0.2">
      <c r="A136" s="115"/>
      <c r="B136" s="10" t="s">
        <v>41</v>
      </c>
      <c r="C136" s="91">
        <v>445558</v>
      </c>
      <c r="D136" s="91">
        <v>481159</v>
      </c>
      <c r="E136" s="91">
        <v>518082</v>
      </c>
      <c r="F136" s="91">
        <v>536310</v>
      </c>
      <c r="G136" s="91">
        <v>575486</v>
      </c>
      <c r="H136" s="91">
        <v>614716</v>
      </c>
      <c r="I136" s="91">
        <v>645034</v>
      </c>
      <c r="J136" s="91">
        <v>684285</v>
      </c>
      <c r="K136" s="91">
        <v>724841</v>
      </c>
      <c r="L136" s="91">
        <v>747991</v>
      </c>
      <c r="M136" s="91">
        <v>788454</v>
      </c>
      <c r="N136" s="91">
        <v>830223</v>
      </c>
      <c r="O136" s="91">
        <v>873324</v>
      </c>
      <c r="P136" s="115"/>
      <c r="Q136" s="1"/>
      <c r="R136" s="1"/>
      <c r="S136" s="1"/>
    </row>
    <row r="137" spans="1:19" x14ac:dyDescent="0.2">
      <c r="A137" s="115"/>
      <c r="B137" s="10" t="s">
        <v>42</v>
      </c>
      <c r="C137" s="91">
        <v>378724</v>
      </c>
      <c r="D137" s="91">
        <v>408985</v>
      </c>
      <c r="E137" s="91">
        <v>440370</v>
      </c>
      <c r="F137" s="91">
        <v>455864</v>
      </c>
      <c r="G137" s="91">
        <v>489163</v>
      </c>
      <c r="H137" s="91">
        <v>522509</v>
      </c>
      <c r="I137" s="91">
        <v>548279</v>
      </c>
      <c r="J137" s="91">
        <v>581642</v>
      </c>
      <c r="K137" s="91">
        <v>616115</v>
      </c>
      <c r="L137" s="91">
        <v>635792</v>
      </c>
      <c r="M137" s="91">
        <v>670186</v>
      </c>
      <c r="N137" s="91">
        <v>705690</v>
      </c>
      <c r="O137" s="91">
        <v>742325</v>
      </c>
      <c r="P137" s="115"/>
      <c r="Q137" s="1"/>
      <c r="R137" s="1"/>
      <c r="S137" s="1"/>
    </row>
    <row r="138" spans="1:19" x14ac:dyDescent="0.2">
      <c r="A138" s="115"/>
      <c r="B138" s="94" t="s">
        <v>79</v>
      </c>
      <c r="C138" s="91">
        <v>599258</v>
      </c>
      <c r="D138" s="91">
        <v>631962</v>
      </c>
      <c r="E138" s="91">
        <v>651799</v>
      </c>
      <c r="F138" s="91">
        <v>671346</v>
      </c>
      <c r="G138" s="91">
        <v>684508</v>
      </c>
      <c r="H138" s="91">
        <v>697764</v>
      </c>
      <c r="I138" s="91">
        <v>534864</v>
      </c>
      <c r="J138" s="91">
        <v>690600</v>
      </c>
      <c r="K138" s="91">
        <v>710148</v>
      </c>
      <c r="L138" s="91">
        <v>768766</v>
      </c>
      <c r="M138" s="91">
        <v>717021</v>
      </c>
      <c r="N138" s="91">
        <v>736568</v>
      </c>
      <c r="O138" s="91">
        <v>756582</v>
      </c>
      <c r="P138" s="115"/>
      <c r="Q138" s="1"/>
      <c r="R138" s="1"/>
      <c r="S138" s="1"/>
    </row>
    <row r="139" spans="1:19" x14ac:dyDescent="0.2">
      <c r="A139" s="115"/>
      <c r="B139" s="10" t="s">
        <v>41</v>
      </c>
      <c r="C139" s="91">
        <v>599258</v>
      </c>
      <c r="D139" s="91">
        <v>631962</v>
      </c>
      <c r="E139" s="91">
        <v>651799</v>
      </c>
      <c r="F139" s="91">
        <v>671346</v>
      </c>
      <c r="G139" s="91">
        <v>684508</v>
      </c>
      <c r="H139" s="91">
        <v>697764</v>
      </c>
      <c r="I139" s="91">
        <v>534864</v>
      </c>
      <c r="J139" s="91">
        <v>690600</v>
      </c>
      <c r="K139" s="91">
        <v>710148</v>
      </c>
      <c r="L139" s="91">
        <v>768766</v>
      </c>
      <c r="M139" s="91">
        <v>717021</v>
      </c>
      <c r="N139" s="91">
        <v>736568</v>
      </c>
      <c r="O139" s="91">
        <v>756582</v>
      </c>
      <c r="P139" s="115"/>
      <c r="Q139" s="1"/>
      <c r="R139" s="1"/>
      <c r="S139" s="1"/>
    </row>
    <row r="140" spans="1:19" x14ac:dyDescent="0.2">
      <c r="A140" s="115"/>
      <c r="B140" s="10" t="s">
        <v>42</v>
      </c>
      <c r="C140" s="91">
        <v>539332</v>
      </c>
      <c r="D140" s="91">
        <v>568766</v>
      </c>
      <c r="E140" s="91">
        <v>586619</v>
      </c>
      <c r="F140" s="91">
        <v>604211</v>
      </c>
      <c r="G140" s="91">
        <v>616057</v>
      </c>
      <c r="H140" s="91">
        <v>627988</v>
      </c>
      <c r="I140" s="91">
        <v>481378</v>
      </c>
      <c r="J140" s="91">
        <v>621540</v>
      </c>
      <c r="K140" s="91">
        <v>639133</v>
      </c>
      <c r="L140" s="91">
        <v>691889</v>
      </c>
      <c r="M140" s="91">
        <v>645319</v>
      </c>
      <c r="N140" s="91">
        <v>662911</v>
      </c>
      <c r="O140" s="91">
        <v>680924</v>
      </c>
      <c r="P140" s="115"/>
      <c r="Q140" s="1"/>
      <c r="R140" s="1"/>
      <c r="S140" s="1"/>
    </row>
    <row r="141" spans="1:19" x14ac:dyDescent="0.2">
      <c r="A141" s="115"/>
      <c r="B141" s="94" t="s">
        <v>80</v>
      </c>
      <c r="C141" s="91">
        <v>269666</v>
      </c>
      <c r="D141" s="91">
        <v>284383</v>
      </c>
      <c r="E141" s="91">
        <v>293310</v>
      </c>
      <c r="F141" s="91">
        <v>302106</v>
      </c>
      <c r="G141" s="91">
        <v>308029</v>
      </c>
      <c r="H141" s="91">
        <v>313994</v>
      </c>
      <c r="I141" s="91">
        <v>240689</v>
      </c>
      <c r="J141" s="91">
        <v>310770</v>
      </c>
      <c r="K141" s="91">
        <v>319567</v>
      </c>
      <c r="L141" s="91">
        <v>345945</v>
      </c>
      <c r="M141" s="91">
        <v>322659</v>
      </c>
      <c r="N141" s="91">
        <v>331456</v>
      </c>
      <c r="O141" s="91">
        <v>340462</v>
      </c>
      <c r="P141" s="115"/>
      <c r="Q141" s="1"/>
      <c r="R141" s="1"/>
      <c r="S141" s="1"/>
    </row>
    <row r="142" spans="1:19" x14ac:dyDescent="0.2">
      <c r="A142" s="115"/>
      <c r="B142" s="10" t="s">
        <v>41</v>
      </c>
      <c r="C142" s="91">
        <v>269666</v>
      </c>
      <c r="D142" s="91">
        <v>284383</v>
      </c>
      <c r="E142" s="91">
        <v>293310</v>
      </c>
      <c r="F142" s="91">
        <v>302106</v>
      </c>
      <c r="G142" s="91">
        <v>308029</v>
      </c>
      <c r="H142" s="91">
        <v>313994</v>
      </c>
      <c r="I142" s="91">
        <v>240689</v>
      </c>
      <c r="J142" s="91">
        <v>310770</v>
      </c>
      <c r="K142" s="91">
        <v>319567</v>
      </c>
      <c r="L142" s="91">
        <v>345945</v>
      </c>
      <c r="M142" s="91">
        <v>322659</v>
      </c>
      <c r="N142" s="91">
        <v>331456</v>
      </c>
      <c r="O142" s="91">
        <v>340462</v>
      </c>
      <c r="P142" s="115"/>
      <c r="Q142" s="1"/>
      <c r="R142" s="1"/>
      <c r="S142" s="1"/>
    </row>
    <row r="143" spans="1:19" x14ac:dyDescent="0.2">
      <c r="A143" s="115"/>
      <c r="B143" s="10" t="s">
        <v>42</v>
      </c>
      <c r="C143" s="91">
        <v>251688</v>
      </c>
      <c r="D143" s="91">
        <v>265424</v>
      </c>
      <c r="E143" s="91">
        <v>273756</v>
      </c>
      <c r="F143" s="91">
        <v>281965</v>
      </c>
      <c r="G143" s="91">
        <v>287493</v>
      </c>
      <c r="H143" s="91">
        <v>293061</v>
      </c>
      <c r="I143" s="91">
        <v>224643</v>
      </c>
      <c r="J143" s="91">
        <v>290052</v>
      </c>
      <c r="K143" s="91">
        <v>298262</v>
      </c>
      <c r="L143" s="91">
        <v>322882</v>
      </c>
      <c r="M143" s="91">
        <v>301149</v>
      </c>
      <c r="N143" s="91">
        <v>309359</v>
      </c>
      <c r="O143" s="91">
        <v>317764</v>
      </c>
      <c r="P143" s="115"/>
      <c r="Q143" s="1"/>
      <c r="R143" s="1"/>
      <c r="S143" s="1"/>
    </row>
    <row r="144" spans="1:19" x14ac:dyDescent="0.2">
      <c r="A144" s="115"/>
      <c r="B144" s="94" t="s">
        <v>81</v>
      </c>
      <c r="C144" s="91">
        <v>33558</v>
      </c>
      <c r="D144" s="91">
        <v>35601</v>
      </c>
      <c r="E144" s="91">
        <v>36923</v>
      </c>
      <c r="F144" s="91">
        <v>18228</v>
      </c>
      <c r="G144" s="91">
        <v>39176</v>
      </c>
      <c r="H144" s="91">
        <v>39230</v>
      </c>
      <c r="I144" s="91">
        <v>30318</v>
      </c>
      <c r="J144" s="91">
        <v>39251</v>
      </c>
      <c r="K144" s="91">
        <v>40556</v>
      </c>
      <c r="L144" s="91">
        <v>23150</v>
      </c>
      <c r="M144" s="91">
        <v>40463</v>
      </c>
      <c r="N144" s="91">
        <v>41769</v>
      </c>
      <c r="O144" s="91">
        <v>43101</v>
      </c>
      <c r="P144" s="115"/>
      <c r="Q144" s="1"/>
      <c r="R144" s="1"/>
      <c r="S144" s="1"/>
    </row>
    <row r="145" spans="1:19" x14ac:dyDescent="0.2">
      <c r="A145" s="115"/>
      <c r="B145" s="10" t="s">
        <v>41</v>
      </c>
      <c r="C145" s="91">
        <v>33558</v>
      </c>
      <c r="D145" s="91">
        <v>35601</v>
      </c>
      <c r="E145" s="91">
        <v>36923</v>
      </c>
      <c r="F145" s="91">
        <v>18228</v>
      </c>
      <c r="G145" s="91">
        <v>39176</v>
      </c>
      <c r="H145" s="91">
        <v>39230</v>
      </c>
      <c r="I145" s="91">
        <v>30318</v>
      </c>
      <c r="J145" s="91">
        <v>39251</v>
      </c>
      <c r="K145" s="91">
        <v>40556</v>
      </c>
      <c r="L145" s="91">
        <v>23150</v>
      </c>
      <c r="M145" s="91">
        <v>40463</v>
      </c>
      <c r="N145" s="91">
        <v>41769</v>
      </c>
      <c r="O145" s="91">
        <v>43101</v>
      </c>
      <c r="P145" s="115"/>
      <c r="Q145" s="1"/>
      <c r="R145" s="1"/>
      <c r="S145" s="1"/>
    </row>
    <row r="146" spans="1:19" x14ac:dyDescent="0.2">
      <c r="A146" s="115"/>
      <c r="B146" s="10" t="s">
        <v>42</v>
      </c>
      <c r="C146" s="91">
        <v>33558</v>
      </c>
      <c r="D146" s="91">
        <v>35601</v>
      </c>
      <c r="E146" s="91">
        <v>36923</v>
      </c>
      <c r="F146" s="91">
        <v>18228</v>
      </c>
      <c r="G146" s="91">
        <v>39176</v>
      </c>
      <c r="H146" s="91">
        <v>39230</v>
      </c>
      <c r="I146" s="91">
        <v>30318</v>
      </c>
      <c r="J146" s="91">
        <v>39251</v>
      </c>
      <c r="K146" s="91">
        <v>40556</v>
      </c>
      <c r="L146" s="91">
        <v>23150</v>
      </c>
      <c r="M146" s="91">
        <v>40463</v>
      </c>
      <c r="N146" s="91">
        <v>41769</v>
      </c>
      <c r="O146" s="91">
        <v>43101</v>
      </c>
      <c r="P146" s="115"/>
      <c r="Q146" s="1"/>
      <c r="R146" s="1"/>
      <c r="S146" s="1"/>
    </row>
    <row r="147" spans="1:19" x14ac:dyDescent="0.2">
      <c r="A147" s="115"/>
      <c r="B147" s="96" t="s">
        <v>82</v>
      </c>
      <c r="C147" s="99"/>
      <c r="D147" s="99"/>
      <c r="E147" s="99"/>
      <c r="F147" s="99"/>
      <c r="G147" s="99"/>
      <c r="H147" s="99"/>
      <c r="I147" s="99"/>
      <c r="J147" s="99"/>
      <c r="K147" s="99"/>
      <c r="L147" s="99"/>
      <c r="M147" s="99"/>
      <c r="N147" s="99"/>
      <c r="O147" s="99"/>
      <c r="P147" s="115"/>
      <c r="Q147" s="1"/>
      <c r="R147" s="1"/>
      <c r="S147" s="1"/>
    </row>
    <row r="148" spans="1:19" x14ac:dyDescent="0.2">
      <c r="A148" s="115"/>
      <c r="B148" s="94" t="s">
        <v>83</v>
      </c>
      <c r="C148" s="91">
        <v>371540</v>
      </c>
      <c r="D148" s="91">
        <v>391816</v>
      </c>
      <c r="E148" s="91">
        <v>404115</v>
      </c>
      <c r="F148" s="91">
        <v>416235</v>
      </c>
      <c r="G148" s="91">
        <v>424395</v>
      </c>
      <c r="H148" s="91">
        <v>432614</v>
      </c>
      <c r="I148" s="91">
        <v>331616</v>
      </c>
      <c r="J148" s="91">
        <v>428172</v>
      </c>
      <c r="K148" s="91">
        <v>440292</v>
      </c>
      <c r="L148" s="91">
        <v>476635</v>
      </c>
      <c r="M148" s="91">
        <v>444553</v>
      </c>
      <c r="N148" s="91">
        <v>456672</v>
      </c>
      <c r="O148" s="91">
        <v>469081</v>
      </c>
      <c r="P148" s="115"/>
      <c r="Q148" s="1"/>
      <c r="R148" s="1"/>
      <c r="S148" s="1"/>
    </row>
    <row r="149" spans="1:19" x14ac:dyDescent="0.2">
      <c r="A149" s="115"/>
      <c r="B149" s="10" t="s">
        <v>41</v>
      </c>
      <c r="C149" s="91">
        <v>371540</v>
      </c>
      <c r="D149" s="91">
        <v>391816</v>
      </c>
      <c r="E149" s="91">
        <v>404115</v>
      </c>
      <c r="F149" s="91">
        <v>416235</v>
      </c>
      <c r="G149" s="91">
        <v>424395</v>
      </c>
      <c r="H149" s="91">
        <v>432614</v>
      </c>
      <c r="I149" s="91">
        <v>331616</v>
      </c>
      <c r="J149" s="91">
        <v>428172</v>
      </c>
      <c r="K149" s="91">
        <v>440292</v>
      </c>
      <c r="L149" s="91">
        <v>476635</v>
      </c>
      <c r="M149" s="91">
        <v>444553</v>
      </c>
      <c r="N149" s="91">
        <v>456672</v>
      </c>
      <c r="O149" s="91">
        <v>469081</v>
      </c>
      <c r="P149" s="115"/>
      <c r="Q149" s="1"/>
      <c r="R149" s="1"/>
      <c r="S149" s="1"/>
    </row>
    <row r="150" spans="1:19" x14ac:dyDescent="0.2">
      <c r="A150" s="115"/>
      <c r="B150" s="10" t="s">
        <v>42</v>
      </c>
      <c r="C150" s="91">
        <v>371540</v>
      </c>
      <c r="D150" s="91">
        <v>391816</v>
      </c>
      <c r="E150" s="91">
        <v>404115</v>
      </c>
      <c r="F150" s="91">
        <v>416235</v>
      </c>
      <c r="G150" s="91">
        <v>424395</v>
      </c>
      <c r="H150" s="91">
        <v>432614</v>
      </c>
      <c r="I150" s="91">
        <v>331616</v>
      </c>
      <c r="J150" s="91">
        <v>428172</v>
      </c>
      <c r="K150" s="91">
        <v>440292</v>
      </c>
      <c r="L150" s="91">
        <v>476635</v>
      </c>
      <c r="M150" s="91">
        <v>444553</v>
      </c>
      <c r="N150" s="91">
        <v>456672</v>
      </c>
      <c r="O150" s="91">
        <v>469081</v>
      </c>
      <c r="P150" s="115"/>
      <c r="Q150" s="1"/>
      <c r="R150" s="1"/>
      <c r="S150" s="1"/>
    </row>
    <row r="151" spans="1:19" x14ac:dyDescent="0.2">
      <c r="A151" s="115"/>
      <c r="B151" s="94" t="s">
        <v>84</v>
      </c>
      <c r="C151" s="91">
        <v>143822</v>
      </c>
      <c r="D151" s="91">
        <v>151671</v>
      </c>
      <c r="E151" s="91">
        <v>156432</v>
      </c>
      <c r="F151" s="91">
        <v>161123</v>
      </c>
      <c r="G151" s="91">
        <v>164282</v>
      </c>
      <c r="H151" s="91">
        <v>167463</v>
      </c>
      <c r="I151" s="91">
        <v>128367</v>
      </c>
      <c r="J151" s="91">
        <v>165744</v>
      </c>
      <c r="K151" s="91">
        <v>170436</v>
      </c>
      <c r="L151" s="91">
        <v>184504</v>
      </c>
      <c r="M151" s="91">
        <v>172085</v>
      </c>
      <c r="N151" s="91">
        <v>176776</v>
      </c>
      <c r="O151" s="91">
        <v>181580</v>
      </c>
      <c r="P151" s="115"/>
      <c r="Q151" s="1"/>
      <c r="R151" s="1"/>
      <c r="S151" s="1"/>
    </row>
    <row r="152" spans="1:19" x14ac:dyDescent="0.2">
      <c r="A152" s="115"/>
      <c r="B152" s="10" t="s">
        <v>41</v>
      </c>
      <c r="C152" s="91">
        <v>143822</v>
      </c>
      <c r="D152" s="91">
        <v>151671</v>
      </c>
      <c r="E152" s="91">
        <v>156432</v>
      </c>
      <c r="F152" s="91">
        <v>161123</v>
      </c>
      <c r="G152" s="91">
        <v>164282</v>
      </c>
      <c r="H152" s="91">
        <v>167463</v>
      </c>
      <c r="I152" s="91">
        <v>128367</v>
      </c>
      <c r="J152" s="91">
        <v>165744</v>
      </c>
      <c r="K152" s="91">
        <v>170436</v>
      </c>
      <c r="L152" s="91">
        <v>184504</v>
      </c>
      <c r="M152" s="91">
        <v>172085</v>
      </c>
      <c r="N152" s="91">
        <v>176776</v>
      </c>
      <c r="O152" s="91">
        <v>181580</v>
      </c>
      <c r="P152" s="115"/>
      <c r="Q152" s="1"/>
      <c r="R152" s="1"/>
      <c r="S152" s="1"/>
    </row>
    <row r="153" spans="1:19" x14ac:dyDescent="0.2">
      <c r="A153" s="115"/>
      <c r="B153" s="10" t="s">
        <v>42</v>
      </c>
      <c r="C153" s="91">
        <v>143822</v>
      </c>
      <c r="D153" s="91">
        <v>151671</v>
      </c>
      <c r="E153" s="91">
        <v>156432</v>
      </c>
      <c r="F153" s="91">
        <v>161123</v>
      </c>
      <c r="G153" s="91">
        <v>164282</v>
      </c>
      <c r="H153" s="91">
        <v>167463</v>
      </c>
      <c r="I153" s="91">
        <v>128367</v>
      </c>
      <c r="J153" s="91">
        <v>165744</v>
      </c>
      <c r="K153" s="91">
        <v>170436</v>
      </c>
      <c r="L153" s="91">
        <v>184504</v>
      </c>
      <c r="M153" s="91">
        <v>172085</v>
      </c>
      <c r="N153" s="91">
        <v>176776</v>
      </c>
      <c r="O153" s="91">
        <v>181580</v>
      </c>
      <c r="P153" s="115"/>
      <c r="Q153" s="1"/>
      <c r="R153" s="1"/>
      <c r="S153" s="1"/>
    </row>
    <row r="154" spans="1:19" x14ac:dyDescent="0.2">
      <c r="A154" s="115"/>
      <c r="B154" s="94" t="s">
        <v>85</v>
      </c>
      <c r="C154" s="91">
        <v>59926</v>
      </c>
      <c r="D154" s="91">
        <v>63196</v>
      </c>
      <c r="E154" s="91">
        <v>65180</v>
      </c>
      <c r="F154" s="91">
        <v>67135</v>
      </c>
      <c r="G154" s="91">
        <v>68451</v>
      </c>
      <c r="H154" s="91">
        <v>69776</v>
      </c>
      <c r="I154" s="91">
        <v>53486</v>
      </c>
      <c r="J154" s="91">
        <v>69060</v>
      </c>
      <c r="K154" s="91">
        <v>71015</v>
      </c>
      <c r="L154" s="91">
        <v>76877</v>
      </c>
      <c r="M154" s="91">
        <v>71702</v>
      </c>
      <c r="N154" s="91">
        <v>73657</v>
      </c>
      <c r="O154" s="91">
        <v>75658</v>
      </c>
      <c r="P154" s="115"/>
      <c r="Q154" s="1"/>
      <c r="R154" s="1"/>
      <c r="S154" s="1"/>
    </row>
    <row r="155" spans="1:19" x14ac:dyDescent="0.2">
      <c r="A155" s="115"/>
      <c r="B155" s="10" t="s">
        <v>41</v>
      </c>
      <c r="C155" s="91">
        <v>59926</v>
      </c>
      <c r="D155" s="91">
        <v>63196</v>
      </c>
      <c r="E155" s="91">
        <v>65180</v>
      </c>
      <c r="F155" s="91">
        <v>67135</v>
      </c>
      <c r="G155" s="91">
        <v>68451</v>
      </c>
      <c r="H155" s="91">
        <v>69776</v>
      </c>
      <c r="I155" s="91">
        <v>53486</v>
      </c>
      <c r="J155" s="91">
        <v>69060</v>
      </c>
      <c r="K155" s="91">
        <v>71015</v>
      </c>
      <c r="L155" s="91">
        <v>76877</v>
      </c>
      <c r="M155" s="91">
        <v>71702</v>
      </c>
      <c r="N155" s="91">
        <v>73657</v>
      </c>
      <c r="O155" s="91">
        <v>75658</v>
      </c>
      <c r="P155" s="115"/>
      <c r="Q155" s="1"/>
      <c r="R155" s="1"/>
      <c r="S155" s="1"/>
    </row>
    <row r="156" spans="1:19" x14ac:dyDescent="0.2">
      <c r="A156" s="115"/>
      <c r="B156" s="10" t="s">
        <v>42</v>
      </c>
      <c r="C156" s="91">
        <v>59926</v>
      </c>
      <c r="D156" s="91">
        <v>63196</v>
      </c>
      <c r="E156" s="91">
        <v>65180</v>
      </c>
      <c r="F156" s="91">
        <v>67135</v>
      </c>
      <c r="G156" s="91">
        <v>68451</v>
      </c>
      <c r="H156" s="91">
        <v>69776</v>
      </c>
      <c r="I156" s="91">
        <v>53486</v>
      </c>
      <c r="J156" s="91">
        <v>69060</v>
      </c>
      <c r="K156" s="91">
        <v>71015</v>
      </c>
      <c r="L156" s="91">
        <v>76877</v>
      </c>
      <c r="M156" s="91">
        <v>71702</v>
      </c>
      <c r="N156" s="91">
        <v>73657</v>
      </c>
      <c r="O156" s="91">
        <v>75658</v>
      </c>
      <c r="P156" s="115"/>
      <c r="Q156" s="1"/>
      <c r="R156" s="1"/>
      <c r="S156" s="1"/>
    </row>
    <row r="157" spans="1:19" x14ac:dyDescent="0.2">
      <c r="A157" s="115"/>
      <c r="B157" s="94" t="s">
        <v>86</v>
      </c>
      <c r="C157" s="91">
        <v>23970</v>
      </c>
      <c r="D157" s="91">
        <v>25279</v>
      </c>
      <c r="E157" s="91">
        <v>26072</v>
      </c>
      <c r="F157" s="91">
        <v>26853</v>
      </c>
      <c r="G157" s="91">
        <v>27380</v>
      </c>
      <c r="H157" s="91">
        <v>27911</v>
      </c>
      <c r="I157" s="91">
        <v>21395</v>
      </c>
      <c r="J157" s="91">
        <v>27624</v>
      </c>
      <c r="K157" s="91">
        <v>28405</v>
      </c>
      <c r="L157" s="91">
        <v>30750</v>
      </c>
      <c r="M157" s="91">
        <v>28681</v>
      </c>
      <c r="N157" s="91">
        <v>29463</v>
      </c>
      <c r="O157" s="91">
        <v>30263</v>
      </c>
      <c r="P157" s="115"/>
      <c r="Q157" s="1"/>
      <c r="R157" s="1"/>
      <c r="S157" s="1"/>
    </row>
    <row r="158" spans="1:19" x14ac:dyDescent="0.2">
      <c r="A158" s="115"/>
      <c r="B158" s="10" t="s">
        <v>41</v>
      </c>
      <c r="C158" s="91">
        <v>23970</v>
      </c>
      <c r="D158" s="91">
        <v>25279</v>
      </c>
      <c r="E158" s="91">
        <v>26072</v>
      </c>
      <c r="F158" s="91">
        <v>26853</v>
      </c>
      <c r="G158" s="91">
        <v>27380</v>
      </c>
      <c r="H158" s="91">
        <v>27911</v>
      </c>
      <c r="I158" s="91">
        <v>21395</v>
      </c>
      <c r="J158" s="91">
        <v>27624</v>
      </c>
      <c r="K158" s="91">
        <v>28405</v>
      </c>
      <c r="L158" s="91">
        <v>30750</v>
      </c>
      <c r="M158" s="91">
        <v>28681</v>
      </c>
      <c r="N158" s="91">
        <v>29463</v>
      </c>
      <c r="O158" s="91">
        <v>30263</v>
      </c>
      <c r="P158" s="115"/>
      <c r="Q158" s="1"/>
      <c r="R158" s="1"/>
      <c r="S158" s="1"/>
    </row>
    <row r="159" spans="1:19" x14ac:dyDescent="0.2">
      <c r="A159" s="115"/>
      <c r="B159" s="10" t="s">
        <v>42</v>
      </c>
      <c r="C159" s="91">
        <v>23970</v>
      </c>
      <c r="D159" s="91">
        <v>25279</v>
      </c>
      <c r="E159" s="91">
        <v>26072</v>
      </c>
      <c r="F159" s="91">
        <v>26853</v>
      </c>
      <c r="G159" s="91">
        <v>27380</v>
      </c>
      <c r="H159" s="91">
        <v>27911</v>
      </c>
      <c r="I159" s="91">
        <v>21395</v>
      </c>
      <c r="J159" s="91">
        <v>27624</v>
      </c>
      <c r="K159" s="91">
        <v>28405</v>
      </c>
      <c r="L159" s="91">
        <v>30750</v>
      </c>
      <c r="M159" s="91">
        <v>28681</v>
      </c>
      <c r="N159" s="91">
        <v>29463</v>
      </c>
      <c r="O159" s="91">
        <v>30263</v>
      </c>
      <c r="P159" s="115"/>
      <c r="Q159" s="1"/>
      <c r="R159" s="1"/>
      <c r="S159" s="1"/>
    </row>
    <row r="160" spans="1:19" x14ac:dyDescent="0.2">
      <c r="A160" s="115"/>
      <c r="B160" s="94" t="s">
        <v>87</v>
      </c>
      <c r="C160" s="98">
        <f t="shared" ref="C160:O162" si="8">C148+C151+C154+C157</f>
        <v>599258</v>
      </c>
      <c r="D160" s="98">
        <f t="shared" si="8"/>
        <v>631962</v>
      </c>
      <c r="E160" s="98">
        <f t="shared" si="8"/>
        <v>651799</v>
      </c>
      <c r="F160" s="98">
        <f t="shared" si="8"/>
        <v>671346</v>
      </c>
      <c r="G160" s="98">
        <f t="shared" si="8"/>
        <v>684508</v>
      </c>
      <c r="H160" s="98">
        <f t="shared" si="8"/>
        <v>697764</v>
      </c>
      <c r="I160" s="98">
        <f t="shared" si="8"/>
        <v>534864</v>
      </c>
      <c r="J160" s="98">
        <f t="shared" si="8"/>
        <v>690600</v>
      </c>
      <c r="K160" s="98">
        <f t="shared" si="8"/>
        <v>710148</v>
      </c>
      <c r="L160" s="98">
        <f t="shared" si="8"/>
        <v>768766</v>
      </c>
      <c r="M160" s="98">
        <f t="shared" si="8"/>
        <v>717021</v>
      </c>
      <c r="N160" s="98">
        <f t="shared" si="8"/>
        <v>736568</v>
      </c>
      <c r="O160" s="98">
        <f t="shared" si="8"/>
        <v>756582</v>
      </c>
      <c r="P160" s="115"/>
      <c r="Q160" s="1"/>
      <c r="R160" s="1"/>
      <c r="S160" s="1"/>
    </row>
    <row r="161" spans="1:19" x14ac:dyDescent="0.2">
      <c r="A161" s="115"/>
      <c r="B161" s="10" t="s">
        <v>41</v>
      </c>
      <c r="C161" s="98">
        <f t="shared" si="8"/>
        <v>599258</v>
      </c>
      <c r="D161" s="98">
        <f t="shared" si="8"/>
        <v>631962</v>
      </c>
      <c r="E161" s="98">
        <f t="shared" si="8"/>
        <v>651799</v>
      </c>
      <c r="F161" s="98">
        <f t="shared" si="8"/>
        <v>671346</v>
      </c>
      <c r="G161" s="98">
        <f t="shared" si="8"/>
        <v>684508</v>
      </c>
      <c r="H161" s="98">
        <f t="shared" si="8"/>
        <v>697764</v>
      </c>
      <c r="I161" s="98">
        <f t="shared" si="8"/>
        <v>534864</v>
      </c>
      <c r="J161" s="98">
        <f t="shared" si="8"/>
        <v>690600</v>
      </c>
      <c r="K161" s="98">
        <f t="shared" si="8"/>
        <v>710148</v>
      </c>
      <c r="L161" s="98">
        <f t="shared" si="8"/>
        <v>768766</v>
      </c>
      <c r="M161" s="98">
        <f t="shared" si="8"/>
        <v>717021</v>
      </c>
      <c r="N161" s="98">
        <f t="shared" si="8"/>
        <v>736568</v>
      </c>
      <c r="O161" s="98">
        <f t="shared" si="8"/>
        <v>756582</v>
      </c>
      <c r="P161" s="115"/>
      <c r="Q161" s="1"/>
      <c r="R161" s="1"/>
      <c r="S161" s="1"/>
    </row>
    <row r="162" spans="1:19" x14ac:dyDescent="0.2">
      <c r="A162" s="115"/>
      <c r="B162" s="10" t="s">
        <v>42</v>
      </c>
      <c r="C162" s="98">
        <f t="shared" si="8"/>
        <v>599258</v>
      </c>
      <c r="D162" s="98">
        <f t="shared" si="8"/>
        <v>631962</v>
      </c>
      <c r="E162" s="98">
        <f t="shared" si="8"/>
        <v>651799</v>
      </c>
      <c r="F162" s="98">
        <f t="shared" si="8"/>
        <v>671346</v>
      </c>
      <c r="G162" s="98">
        <f t="shared" si="8"/>
        <v>684508</v>
      </c>
      <c r="H162" s="98">
        <f t="shared" si="8"/>
        <v>697764</v>
      </c>
      <c r="I162" s="98">
        <f t="shared" si="8"/>
        <v>534864</v>
      </c>
      <c r="J162" s="98">
        <f t="shared" si="8"/>
        <v>690600</v>
      </c>
      <c r="K162" s="98">
        <f t="shared" si="8"/>
        <v>710148</v>
      </c>
      <c r="L162" s="98">
        <f t="shared" si="8"/>
        <v>768766</v>
      </c>
      <c r="M162" s="98">
        <f t="shared" si="8"/>
        <v>717021</v>
      </c>
      <c r="N162" s="98">
        <f t="shared" si="8"/>
        <v>736568</v>
      </c>
      <c r="O162" s="98">
        <f t="shared" si="8"/>
        <v>756582</v>
      </c>
      <c r="P162" s="115"/>
      <c r="Q162" s="1"/>
      <c r="R162" s="1"/>
      <c r="S162" s="1"/>
    </row>
    <row r="163" spans="1:19" x14ac:dyDescent="0.2">
      <c r="A163" s="115"/>
      <c r="B163" s="96" t="s">
        <v>88</v>
      </c>
      <c r="C163" s="99"/>
      <c r="D163" s="99"/>
      <c r="E163" s="99"/>
      <c r="F163" s="99"/>
      <c r="G163" s="99"/>
      <c r="H163" s="99"/>
      <c r="I163" s="99"/>
      <c r="J163" s="99"/>
      <c r="K163" s="99"/>
      <c r="L163" s="99"/>
      <c r="M163" s="99"/>
      <c r="N163" s="99"/>
      <c r="O163" s="99"/>
      <c r="P163" s="115"/>
      <c r="Q163" s="1"/>
      <c r="R163" s="1"/>
      <c r="S163" s="1"/>
    </row>
    <row r="164" spans="1:19" x14ac:dyDescent="0.2">
      <c r="A164" s="115"/>
      <c r="B164" s="94" t="s">
        <v>89</v>
      </c>
      <c r="C164" s="92">
        <v>2270</v>
      </c>
      <c r="D164" s="92">
        <v>2394</v>
      </c>
      <c r="E164" s="92">
        <v>2469</v>
      </c>
      <c r="F164" s="92">
        <v>2543</v>
      </c>
      <c r="G164" s="92">
        <v>2593</v>
      </c>
      <c r="H164" s="92">
        <v>2643</v>
      </c>
      <c r="I164" s="92">
        <v>2026</v>
      </c>
      <c r="J164" s="92">
        <v>2616</v>
      </c>
      <c r="K164" s="92">
        <v>2690</v>
      </c>
      <c r="L164" s="92">
        <v>2912</v>
      </c>
      <c r="M164" s="92">
        <v>2716</v>
      </c>
      <c r="N164" s="92">
        <v>2790</v>
      </c>
      <c r="O164" s="92">
        <v>2866</v>
      </c>
      <c r="P164" s="115"/>
      <c r="Q164" s="1"/>
      <c r="R164" s="1"/>
      <c r="S164" s="1"/>
    </row>
    <row r="165" spans="1:19" x14ac:dyDescent="0.2">
      <c r="A165" s="115"/>
      <c r="B165" s="10" t="s">
        <v>41</v>
      </c>
      <c r="C165" s="92">
        <v>2384</v>
      </c>
      <c r="D165" s="92">
        <v>2514</v>
      </c>
      <c r="E165" s="92">
        <v>2592</v>
      </c>
      <c r="F165" s="92">
        <v>2670</v>
      </c>
      <c r="G165" s="92">
        <v>2723</v>
      </c>
      <c r="H165" s="92">
        <v>2775</v>
      </c>
      <c r="I165" s="92">
        <v>2127</v>
      </c>
      <c r="J165" s="92">
        <v>2747</v>
      </c>
      <c r="K165" s="92">
        <v>2824</v>
      </c>
      <c r="L165" s="92">
        <v>3058</v>
      </c>
      <c r="M165" s="92">
        <v>2852</v>
      </c>
      <c r="N165" s="92">
        <v>2930</v>
      </c>
      <c r="O165" s="92">
        <v>3009</v>
      </c>
      <c r="P165" s="115"/>
      <c r="Q165" s="1"/>
      <c r="R165" s="1"/>
      <c r="S165" s="1"/>
    </row>
    <row r="166" spans="1:19" x14ac:dyDescent="0.2">
      <c r="A166" s="115"/>
      <c r="B166" s="10" t="s">
        <v>42</v>
      </c>
      <c r="C166" s="92">
        <v>2156</v>
      </c>
      <c r="D166" s="92">
        <v>2274</v>
      </c>
      <c r="E166" s="92">
        <v>2346</v>
      </c>
      <c r="F166" s="92">
        <v>2416</v>
      </c>
      <c r="G166" s="92">
        <v>2463</v>
      </c>
      <c r="H166" s="92">
        <v>2511</v>
      </c>
      <c r="I166" s="92">
        <v>1925</v>
      </c>
      <c r="J166" s="92">
        <v>2485</v>
      </c>
      <c r="K166" s="92">
        <v>2556</v>
      </c>
      <c r="L166" s="92">
        <v>2766</v>
      </c>
      <c r="M166" s="92">
        <v>2580</v>
      </c>
      <c r="N166" s="92">
        <v>2650</v>
      </c>
      <c r="O166" s="92">
        <v>2723</v>
      </c>
      <c r="P166" s="115"/>
      <c r="Q166" s="1"/>
      <c r="R166" s="1"/>
      <c r="S166" s="1"/>
    </row>
    <row r="167" spans="1:19" x14ac:dyDescent="0.2">
      <c r="A167" s="115"/>
      <c r="B167" s="94" t="s">
        <v>90</v>
      </c>
      <c r="C167" s="92">
        <v>3338</v>
      </c>
      <c r="D167" s="92">
        <v>3521</v>
      </c>
      <c r="E167" s="92">
        <v>3631</v>
      </c>
      <c r="F167" s="92">
        <v>3740</v>
      </c>
      <c r="G167" s="92">
        <v>3813</v>
      </c>
      <c r="H167" s="92">
        <v>3887</v>
      </c>
      <c r="I167" s="92">
        <v>2979</v>
      </c>
      <c r="J167" s="92">
        <v>3847</v>
      </c>
      <c r="K167" s="92">
        <v>3956</v>
      </c>
      <c r="L167" s="92">
        <v>4282</v>
      </c>
      <c r="M167" s="92">
        <v>3994</v>
      </c>
      <c r="N167" s="92">
        <v>4103</v>
      </c>
      <c r="O167" s="92">
        <v>4215</v>
      </c>
      <c r="P167" s="115"/>
      <c r="Q167" s="1"/>
      <c r="R167" s="1"/>
      <c r="S167" s="1"/>
    </row>
    <row r="168" spans="1:19" x14ac:dyDescent="0.2">
      <c r="A168" s="115"/>
      <c r="B168" s="10" t="s">
        <v>41</v>
      </c>
      <c r="C168" s="92">
        <v>3338</v>
      </c>
      <c r="D168" s="92">
        <v>3521</v>
      </c>
      <c r="E168" s="92">
        <v>3631</v>
      </c>
      <c r="F168" s="92">
        <v>3740</v>
      </c>
      <c r="G168" s="92">
        <v>3813</v>
      </c>
      <c r="H168" s="92">
        <v>3887</v>
      </c>
      <c r="I168" s="92">
        <v>2979</v>
      </c>
      <c r="J168" s="92">
        <v>3847</v>
      </c>
      <c r="K168" s="92">
        <v>3956</v>
      </c>
      <c r="L168" s="92">
        <v>4282</v>
      </c>
      <c r="M168" s="92">
        <v>3994</v>
      </c>
      <c r="N168" s="92">
        <v>4103</v>
      </c>
      <c r="O168" s="92">
        <v>4215</v>
      </c>
      <c r="P168" s="115"/>
      <c r="Q168" s="1"/>
      <c r="R168" s="1"/>
      <c r="S168" s="1"/>
    </row>
    <row r="169" spans="1:19" x14ac:dyDescent="0.2">
      <c r="A169" s="115"/>
      <c r="B169" s="10" t="s">
        <v>42</v>
      </c>
      <c r="C169" s="92">
        <v>3243</v>
      </c>
      <c r="D169" s="92">
        <v>3420</v>
      </c>
      <c r="E169" s="92">
        <v>3527</v>
      </c>
      <c r="F169" s="92">
        <v>3633</v>
      </c>
      <c r="G169" s="92">
        <v>3704</v>
      </c>
      <c r="H169" s="92">
        <v>3776</v>
      </c>
      <c r="I169" s="92">
        <v>2894</v>
      </c>
      <c r="J169" s="92">
        <v>3737</v>
      </c>
      <c r="K169" s="92">
        <v>3843</v>
      </c>
      <c r="L169" s="92">
        <v>4160</v>
      </c>
      <c r="M169" s="92">
        <v>3880</v>
      </c>
      <c r="N169" s="92">
        <v>3986</v>
      </c>
      <c r="O169" s="92">
        <v>4094</v>
      </c>
      <c r="P169" s="115"/>
      <c r="Q169" s="1"/>
      <c r="R169" s="1"/>
      <c r="S169" s="1"/>
    </row>
    <row r="170" spans="1:19" x14ac:dyDescent="0.2">
      <c r="A170" s="115"/>
      <c r="B170" s="94" t="s">
        <v>91</v>
      </c>
      <c r="C170" s="93">
        <v>14</v>
      </c>
      <c r="D170" s="93">
        <v>14</v>
      </c>
      <c r="E170" s="93">
        <v>14</v>
      </c>
      <c r="F170" s="93">
        <v>14</v>
      </c>
      <c r="G170" s="93">
        <v>14</v>
      </c>
      <c r="H170" s="93">
        <v>15</v>
      </c>
      <c r="I170" s="93">
        <v>15</v>
      </c>
      <c r="J170" s="93">
        <v>15</v>
      </c>
      <c r="K170" s="93">
        <v>15</v>
      </c>
      <c r="L170" s="93">
        <v>15</v>
      </c>
      <c r="M170" s="93">
        <v>16</v>
      </c>
      <c r="N170" s="93">
        <v>16</v>
      </c>
      <c r="O170" s="93">
        <v>16</v>
      </c>
      <c r="P170" s="115"/>
      <c r="Q170" s="1"/>
      <c r="R170" s="1"/>
      <c r="S170" s="1"/>
    </row>
    <row r="171" spans="1:19" x14ac:dyDescent="0.2">
      <c r="A171" s="115"/>
      <c r="B171" s="10" t="s">
        <v>41</v>
      </c>
      <c r="C171" s="93">
        <v>14</v>
      </c>
      <c r="D171" s="93">
        <v>14</v>
      </c>
      <c r="E171" s="93">
        <v>14</v>
      </c>
      <c r="F171" s="93">
        <v>14</v>
      </c>
      <c r="G171" s="93">
        <v>14</v>
      </c>
      <c r="H171" s="93">
        <v>14</v>
      </c>
      <c r="I171" s="93">
        <v>14</v>
      </c>
      <c r="J171" s="93">
        <v>14</v>
      </c>
      <c r="K171" s="93">
        <v>14</v>
      </c>
      <c r="L171" s="93">
        <v>14</v>
      </c>
      <c r="M171" s="93">
        <v>14</v>
      </c>
      <c r="N171" s="93">
        <v>14</v>
      </c>
      <c r="O171" s="93">
        <v>14</v>
      </c>
      <c r="P171" s="115"/>
      <c r="Q171" s="1"/>
      <c r="R171" s="1"/>
      <c r="S171" s="1"/>
    </row>
    <row r="172" spans="1:19" x14ac:dyDescent="0.2">
      <c r="A172" s="115"/>
      <c r="B172" s="10" t="s">
        <v>42</v>
      </c>
      <c r="C172" s="93">
        <v>12</v>
      </c>
      <c r="D172" s="93">
        <v>12</v>
      </c>
      <c r="E172" s="93">
        <v>12</v>
      </c>
      <c r="F172" s="93">
        <v>12</v>
      </c>
      <c r="G172" s="93">
        <v>12</v>
      </c>
      <c r="H172" s="93">
        <v>12</v>
      </c>
      <c r="I172" s="93">
        <v>12</v>
      </c>
      <c r="J172" s="93">
        <v>12</v>
      </c>
      <c r="K172" s="93">
        <v>12</v>
      </c>
      <c r="L172" s="93">
        <v>12</v>
      </c>
      <c r="M172" s="93">
        <v>12</v>
      </c>
      <c r="N172" s="93">
        <v>12</v>
      </c>
      <c r="O172" s="93">
        <v>12</v>
      </c>
      <c r="P172" s="115"/>
      <c r="Q172" s="1"/>
      <c r="R172" s="1"/>
      <c r="S172" s="1"/>
    </row>
    <row r="173" spans="1:19" x14ac:dyDescent="0.2">
      <c r="A173" s="115"/>
      <c r="B173" s="94" t="s">
        <v>92</v>
      </c>
      <c r="C173" s="93">
        <v>5</v>
      </c>
      <c r="D173" s="93">
        <v>5</v>
      </c>
      <c r="E173" s="93">
        <v>5</v>
      </c>
      <c r="F173" s="93">
        <v>5</v>
      </c>
      <c r="G173" s="93">
        <v>5</v>
      </c>
      <c r="H173" s="93">
        <v>5</v>
      </c>
      <c r="I173" s="93">
        <v>5</v>
      </c>
      <c r="J173" s="93">
        <v>5</v>
      </c>
      <c r="K173" s="93">
        <v>5</v>
      </c>
      <c r="L173" s="93">
        <v>5</v>
      </c>
      <c r="M173" s="93">
        <v>5</v>
      </c>
      <c r="N173" s="93">
        <v>5</v>
      </c>
      <c r="O173" s="93">
        <v>5</v>
      </c>
      <c r="P173" s="115"/>
      <c r="Q173" s="1"/>
      <c r="R173" s="1"/>
      <c r="S173" s="1"/>
    </row>
    <row r="174" spans="1:19" x14ac:dyDescent="0.2">
      <c r="A174" s="115"/>
      <c r="B174" s="10" t="s">
        <v>41</v>
      </c>
      <c r="C174" s="93">
        <v>5</v>
      </c>
      <c r="D174" s="93">
        <v>5</v>
      </c>
      <c r="E174" s="93">
        <v>5</v>
      </c>
      <c r="F174" s="93">
        <v>5</v>
      </c>
      <c r="G174" s="93">
        <v>5</v>
      </c>
      <c r="H174" s="93">
        <v>5</v>
      </c>
      <c r="I174" s="93">
        <v>5</v>
      </c>
      <c r="J174" s="93">
        <v>5</v>
      </c>
      <c r="K174" s="93">
        <v>5</v>
      </c>
      <c r="L174" s="93">
        <v>5</v>
      </c>
      <c r="M174" s="93">
        <v>5</v>
      </c>
      <c r="N174" s="93">
        <v>5</v>
      </c>
      <c r="O174" s="93">
        <v>5</v>
      </c>
      <c r="P174" s="115"/>
      <c r="Q174" s="1"/>
      <c r="R174" s="1"/>
      <c r="S174" s="1"/>
    </row>
    <row r="175" spans="1:19" x14ac:dyDescent="0.2">
      <c r="A175" s="115"/>
      <c r="B175" s="10" t="s">
        <v>42</v>
      </c>
      <c r="C175" s="93">
        <v>5</v>
      </c>
      <c r="D175" s="93">
        <v>5</v>
      </c>
      <c r="E175" s="93">
        <v>5</v>
      </c>
      <c r="F175" s="93">
        <v>5</v>
      </c>
      <c r="G175" s="93">
        <v>5</v>
      </c>
      <c r="H175" s="93">
        <v>5</v>
      </c>
      <c r="I175" s="93">
        <v>5</v>
      </c>
      <c r="J175" s="93">
        <v>5</v>
      </c>
      <c r="K175" s="93">
        <v>5</v>
      </c>
      <c r="L175" s="93">
        <v>5</v>
      </c>
      <c r="M175" s="93">
        <v>5</v>
      </c>
      <c r="N175" s="93">
        <v>5</v>
      </c>
      <c r="O175" s="93">
        <v>5</v>
      </c>
      <c r="P175" s="115"/>
      <c r="Q175" s="1"/>
      <c r="R175" s="1"/>
      <c r="S175" s="1"/>
    </row>
    <row r="176" spans="1:19" x14ac:dyDescent="0.2">
      <c r="A176" s="115"/>
      <c r="B176" s="94" t="s">
        <v>93</v>
      </c>
      <c r="C176" s="91">
        <v>225</v>
      </c>
      <c r="D176" s="91">
        <v>225</v>
      </c>
      <c r="E176" s="91">
        <v>225</v>
      </c>
      <c r="F176" s="91">
        <v>225</v>
      </c>
      <c r="G176" s="91">
        <v>225</v>
      </c>
      <c r="H176" s="91">
        <v>225</v>
      </c>
      <c r="I176" s="91">
        <v>225</v>
      </c>
      <c r="J176" s="91">
        <v>225</v>
      </c>
      <c r="K176" s="91">
        <v>225</v>
      </c>
      <c r="L176" s="91">
        <v>225</v>
      </c>
      <c r="M176" s="91">
        <v>225</v>
      </c>
      <c r="N176" s="91">
        <v>225</v>
      </c>
      <c r="O176" s="91">
        <v>225</v>
      </c>
      <c r="P176" s="115"/>
      <c r="Q176" s="1"/>
      <c r="R176" s="1"/>
      <c r="S176" s="1"/>
    </row>
    <row r="177" spans="1:19" x14ac:dyDescent="0.2">
      <c r="A177" s="115"/>
      <c r="B177" s="10" t="s">
        <v>41</v>
      </c>
      <c r="C177" s="91">
        <v>225</v>
      </c>
      <c r="D177" s="91">
        <v>225</v>
      </c>
      <c r="E177" s="91">
        <v>225</v>
      </c>
      <c r="F177" s="91">
        <v>225</v>
      </c>
      <c r="G177" s="91">
        <v>225</v>
      </c>
      <c r="H177" s="91">
        <v>225</v>
      </c>
      <c r="I177" s="91">
        <v>225</v>
      </c>
      <c r="J177" s="91">
        <v>225</v>
      </c>
      <c r="K177" s="91">
        <v>225</v>
      </c>
      <c r="L177" s="91">
        <v>225</v>
      </c>
      <c r="M177" s="91">
        <v>225</v>
      </c>
      <c r="N177" s="91">
        <v>225</v>
      </c>
      <c r="O177" s="91">
        <v>225</v>
      </c>
      <c r="P177" s="115"/>
      <c r="Q177" s="1"/>
      <c r="R177" s="1"/>
      <c r="S177" s="1"/>
    </row>
    <row r="178" spans="1:19" x14ac:dyDescent="0.2">
      <c r="A178" s="115"/>
      <c r="B178" s="10" t="s">
        <v>42</v>
      </c>
      <c r="C178" s="91">
        <v>210</v>
      </c>
      <c r="D178" s="91">
        <v>210</v>
      </c>
      <c r="E178" s="91">
        <v>210</v>
      </c>
      <c r="F178" s="91">
        <v>210</v>
      </c>
      <c r="G178" s="91">
        <v>210</v>
      </c>
      <c r="H178" s="91">
        <v>210</v>
      </c>
      <c r="I178" s="91">
        <v>210</v>
      </c>
      <c r="J178" s="91">
        <v>210</v>
      </c>
      <c r="K178" s="91">
        <v>210</v>
      </c>
      <c r="L178" s="91">
        <v>210</v>
      </c>
      <c r="M178" s="91">
        <v>210</v>
      </c>
      <c r="N178" s="91">
        <v>210</v>
      </c>
      <c r="O178" s="91">
        <v>210</v>
      </c>
      <c r="P178" s="115"/>
      <c r="Q178" s="1"/>
      <c r="R178" s="1"/>
      <c r="S178" s="1"/>
    </row>
    <row r="179" spans="1:19" x14ac:dyDescent="0.2">
      <c r="A179" s="115"/>
      <c r="B179" s="94" t="s">
        <v>94</v>
      </c>
      <c r="C179" s="91">
        <v>22000</v>
      </c>
      <c r="D179" s="91">
        <v>22000</v>
      </c>
      <c r="E179" s="91">
        <v>22000</v>
      </c>
      <c r="F179" s="91">
        <v>22000</v>
      </c>
      <c r="G179" s="91">
        <v>22000</v>
      </c>
      <c r="H179" s="91">
        <v>22000</v>
      </c>
      <c r="I179" s="91">
        <v>22000</v>
      </c>
      <c r="J179" s="91">
        <v>22000</v>
      </c>
      <c r="K179" s="91">
        <v>22000</v>
      </c>
      <c r="L179" s="91">
        <v>22000</v>
      </c>
      <c r="M179" s="91">
        <v>22000</v>
      </c>
      <c r="N179" s="91">
        <v>22000</v>
      </c>
      <c r="O179" s="91">
        <v>22000</v>
      </c>
      <c r="P179" s="115"/>
      <c r="Q179" s="1"/>
      <c r="R179" s="1"/>
      <c r="S179" s="1"/>
    </row>
    <row r="180" spans="1:19" x14ac:dyDescent="0.2">
      <c r="A180" s="115"/>
      <c r="B180" s="10" t="s">
        <v>41</v>
      </c>
      <c r="C180" s="91">
        <v>22000</v>
      </c>
      <c r="D180" s="91">
        <v>22000</v>
      </c>
      <c r="E180" s="91">
        <v>22000</v>
      </c>
      <c r="F180" s="91">
        <v>22000</v>
      </c>
      <c r="G180" s="91">
        <v>22000</v>
      </c>
      <c r="H180" s="91">
        <v>22000</v>
      </c>
      <c r="I180" s="91">
        <v>22000</v>
      </c>
      <c r="J180" s="91">
        <v>22000</v>
      </c>
      <c r="K180" s="91">
        <v>22000</v>
      </c>
      <c r="L180" s="91">
        <v>22000</v>
      </c>
      <c r="M180" s="91">
        <v>22000</v>
      </c>
      <c r="N180" s="91">
        <v>22000</v>
      </c>
      <c r="O180" s="91">
        <v>22000</v>
      </c>
      <c r="P180" s="115"/>
      <c r="Q180" s="1"/>
      <c r="R180" s="1"/>
      <c r="S180" s="1"/>
    </row>
    <row r="181" spans="1:19" x14ac:dyDescent="0.2">
      <c r="A181" s="115"/>
      <c r="B181" s="10" t="s">
        <v>42</v>
      </c>
      <c r="C181" s="91">
        <v>20000</v>
      </c>
      <c r="D181" s="91">
        <v>20000</v>
      </c>
      <c r="E181" s="91">
        <v>20000</v>
      </c>
      <c r="F181" s="91">
        <v>20000</v>
      </c>
      <c r="G181" s="91">
        <v>20000</v>
      </c>
      <c r="H181" s="91">
        <v>20000</v>
      </c>
      <c r="I181" s="91">
        <v>20000</v>
      </c>
      <c r="J181" s="91">
        <v>20000</v>
      </c>
      <c r="K181" s="91">
        <v>20000</v>
      </c>
      <c r="L181" s="91">
        <v>20000</v>
      </c>
      <c r="M181" s="91">
        <v>20000</v>
      </c>
      <c r="N181" s="91">
        <v>20000</v>
      </c>
      <c r="O181" s="91">
        <v>20000</v>
      </c>
      <c r="P181" s="115"/>
      <c r="Q181" s="1"/>
      <c r="R181" s="1"/>
      <c r="S181" s="1"/>
    </row>
    <row r="182" spans="1:19" x14ac:dyDescent="0.2">
      <c r="A182" s="115"/>
      <c r="B182" s="94" t="s">
        <v>95</v>
      </c>
      <c r="C182" s="91">
        <v>7000</v>
      </c>
      <c r="D182" s="91">
        <v>7000</v>
      </c>
      <c r="E182" s="91">
        <v>7000</v>
      </c>
      <c r="F182" s="91">
        <v>7000</v>
      </c>
      <c r="G182" s="91">
        <v>7000</v>
      </c>
      <c r="H182" s="91">
        <v>7000</v>
      </c>
      <c r="I182" s="91">
        <v>7000</v>
      </c>
      <c r="J182" s="91">
        <v>7000</v>
      </c>
      <c r="K182" s="91">
        <v>7000</v>
      </c>
      <c r="L182" s="91">
        <v>7000</v>
      </c>
      <c r="M182" s="91">
        <v>7000</v>
      </c>
      <c r="N182" s="91">
        <v>7000</v>
      </c>
      <c r="O182" s="91">
        <v>7000</v>
      </c>
      <c r="P182" s="115"/>
      <c r="Q182" s="1"/>
      <c r="R182" s="1"/>
      <c r="S182" s="1"/>
    </row>
    <row r="183" spans="1:19" x14ac:dyDescent="0.2">
      <c r="A183" s="115"/>
      <c r="B183" s="10" t="s">
        <v>41</v>
      </c>
      <c r="C183" s="91">
        <v>7000</v>
      </c>
      <c r="D183" s="91">
        <v>7000</v>
      </c>
      <c r="E183" s="91">
        <v>7000</v>
      </c>
      <c r="F183" s="91">
        <v>7000</v>
      </c>
      <c r="G183" s="91">
        <v>7000</v>
      </c>
      <c r="H183" s="91">
        <v>7000</v>
      </c>
      <c r="I183" s="91">
        <v>7000</v>
      </c>
      <c r="J183" s="91">
        <v>7000</v>
      </c>
      <c r="K183" s="91">
        <v>7000</v>
      </c>
      <c r="L183" s="91">
        <v>7000</v>
      </c>
      <c r="M183" s="91">
        <v>7000</v>
      </c>
      <c r="N183" s="91">
        <v>7000</v>
      </c>
      <c r="O183" s="91">
        <v>7000</v>
      </c>
      <c r="P183" s="115"/>
      <c r="Q183" s="1"/>
      <c r="R183" s="1"/>
      <c r="S183" s="1"/>
    </row>
    <row r="184" spans="1:19" x14ac:dyDescent="0.2">
      <c r="A184" s="115"/>
      <c r="B184" s="10" t="s">
        <v>42</v>
      </c>
      <c r="C184" s="91">
        <v>6000</v>
      </c>
      <c r="D184" s="91">
        <v>6000</v>
      </c>
      <c r="E184" s="91">
        <v>6000</v>
      </c>
      <c r="F184" s="91">
        <v>6000</v>
      </c>
      <c r="G184" s="91">
        <v>6000</v>
      </c>
      <c r="H184" s="91">
        <v>6000</v>
      </c>
      <c r="I184" s="91">
        <v>6000</v>
      </c>
      <c r="J184" s="91">
        <v>6000</v>
      </c>
      <c r="K184" s="91">
        <v>6000</v>
      </c>
      <c r="L184" s="91">
        <v>6000</v>
      </c>
      <c r="M184" s="91">
        <v>6000</v>
      </c>
      <c r="N184" s="91">
        <v>6000</v>
      </c>
      <c r="O184" s="91">
        <v>6000</v>
      </c>
      <c r="P184" s="115"/>
      <c r="Q184" s="1"/>
      <c r="R184" s="1"/>
      <c r="S184" s="1"/>
    </row>
    <row r="185" spans="1:19" x14ac:dyDescent="0.2">
      <c r="A185" s="115"/>
      <c r="B185" s="96" t="s">
        <v>96</v>
      </c>
      <c r="C185" s="99"/>
      <c r="D185" s="99"/>
      <c r="E185" s="99"/>
      <c r="F185" s="99"/>
      <c r="G185" s="99"/>
      <c r="H185" s="99"/>
      <c r="I185" s="99"/>
      <c r="J185" s="99"/>
      <c r="K185" s="99"/>
      <c r="L185" s="99"/>
      <c r="M185" s="99"/>
      <c r="N185" s="99"/>
      <c r="O185" s="99"/>
      <c r="P185" s="115"/>
      <c r="Q185" s="1"/>
      <c r="R185" s="1"/>
      <c r="S185" s="1"/>
    </row>
    <row r="186" spans="1:19" x14ac:dyDescent="0.2">
      <c r="A186" s="115"/>
      <c r="B186" s="94" t="s">
        <v>97</v>
      </c>
      <c r="C186" s="91">
        <v>86293</v>
      </c>
      <c r="D186" s="91">
        <v>91003</v>
      </c>
      <c r="E186" s="91">
        <v>93859</v>
      </c>
      <c r="F186" s="91">
        <v>96674</v>
      </c>
      <c r="G186" s="91">
        <v>98569</v>
      </c>
      <c r="H186" s="91">
        <v>100478</v>
      </c>
      <c r="I186" s="91">
        <v>77020</v>
      </c>
      <c r="J186" s="91">
        <v>99446</v>
      </c>
      <c r="K186" s="91">
        <v>102261</v>
      </c>
      <c r="L186" s="91">
        <v>110702</v>
      </c>
      <c r="M186" s="91">
        <v>103251</v>
      </c>
      <c r="N186" s="91">
        <v>106066</v>
      </c>
      <c r="O186" s="91">
        <v>108948</v>
      </c>
      <c r="P186" s="115"/>
      <c r="Q186" s="1"/>
      <c r="R186" s="1"/>
      <c r="S186" s="1"/>
    </row>
    <row r="187" spans="1:19" x14ac:dyDescent="0.2">
      <c r="A187" s="115"/>
      <c r="B187" s="10" t="s">
        <v>41</v>
      </c>
      <c r="C187" s="91">
        <v>86293</v>
      </c>
      <c r="D187" s="91">
        <v>91003</v>
      </c>
      <c r="E187" s="91">
        <v>93859</v>
      </c>
      <c r="F187" s="91">
        <v>96674</v>
      </c>
      <c r="G187" s="91">
        <v>98569</v>
      </c>
      <c r="H187" s="91">
        <v>100478</v>
      </c>
      <c r="I187" s="91">
        <v>77020</v>
      </c>
      <c r="J187" s="91">
        <v>99446</v>
      </c>
      <c r="K187" s="91">
        <v>102261</v>
      </c>
      <c r="L187" s="91">
        <v>110702</v>
      </c>
      <c r="M187" s="91">
        <v>103251</v>
      </c>
      <c r="N187" s="91">
        <v>106066</v>
      </c>
      <c r="O187" s="91">
        <v>108948</v>
      </c>
      <c r="P187" s="115"/>
      <c r="Q187" s="1"/>
      <c r="R187" s="1"/>
      <c r="S187" s="1"/>
    </row>
    <row r="188" spans="1:19" x14ac:dyDescent="0.2">
      <c r="A188" s="115"/>
      <c r="B188" s="10" t="s">
        <v>42</v>
      </c>
      <c r="C188" s="91">
        <v>77664</v>
      </c>
      <c r="D188" s="91">
        <v>81903</v>
      </c>
      <c r="E188" s="91">
        <v>84473</v>
      </c>
      <c r="F188" s="91">
        <v>87007</v>
      </c>
      <c r="G188" s="91">
        <v>88712</v>
      </c>
      <c r="H188" s="91">
        <v>90430</v>
      </c>
      <c r="I188" s="91">
        <v>69318</v>
      </c>
      <c r="J188" s="91">
        <v>89501</v>
      </c>
      <c r="K188" s="91">
        <v>92035</v>
      </c>
      <c r="L188" s="91">
        <v>99632</v>
      </c>
      <c r="M188" s="91">
        <v>92926</v>
      </c>
      <c r="N188" s="91">
        <v>95459</v>
      </c>
      <c r="O188" s="91">
        <v>98053</v>
      </c>
      <c r="P188" s="115"/>
      <c r="Q188" s="1"/>
      <c r="R188" s="1"/>
      <c r="S188" s="1"/>
    </row>
    <row r="189" spans="1:19" x14ac:dyDescent="0.2">
      <c r="A189" s="115"/>
      <c r="B189" s="94" t="s">
        <v>98</v>
      </c>
      <c r="C189" s="91">
        <v>67117</v>
      </c>
      <c r="D189" s="91">
        <v>70780</v>
      </c>
      <c r="E189" s="91">
        <v>73001</v>
      </c>
      <c r="F189" s="91">
        <v>75191</v>
      </c>
      <c r="G189" s="91">
        <v>76665</v>
      </c>
      <c r="H189" s="91">
        <v>78150</v>
      </c>
      <c r="I189" s="91">
        <v>59905</v>
      </c>
      <c r="J189" s="91">
        <v>77347</v>
      </c>
      <c r="K189" s="91">
        <v>79537</v>
      </c>
      <c r="L189" s="91">
        <v>86102</v>
      </c>
      <c r="M189" s="91">
        <v>80306</v>
      </c>
      <c r="N189" s="91">
        <v>82496</v>
      </c>
      <c r="O189" s="91">
        <v>84737</v>
      </c>
      <c r="P189" s="115"/>
      <c r="Q189" s="1"/>
      <c r="R189" s="1"/>
      <c r="S189" s="1"/>
    </row>
    <row r="190" spans="1:19" x14ac:dyDescent="0.2">
      <c r="A190" s="115"/>
      <c r="B190" s="10" t="s">
        <v>41</v>
      </c>
      <c r="C190" s="91">
        <v>67117</v>
      </c>
      <c r="D190" s="91">
        <v>70780</v>
      </c>
      <c r="E190" s="91">
        <v>73001</v>
      </c>
      <c r="F190" s="91">
        <v>75191</v>
      </c>
      <c r="G190" s="91">
        <v>76665</v>
      </c>
      <c r="H190" s="91">
        <v>78150</v>
      </c>
      <c r="I190" s="91">
        <v>59905</v>
      </c>
      <c r="J190" s="91">
        <v>77347</v>
      </c>
      <c r="K190" s="91">
        <v>79537</v>
      </c>
      <c r="L190" s="91">
        <v>86102</v>
      </c>
      <c r="M190" s="91">
        <v>80306</v>
      </c>
      <c r="N190" s="91">
        <v>82496</v>
      </c>
      <c r="O190" s="91">
        <v>84737</v>
      </c>
      <c r="P190" s="115"/>
      <c r="Q190" s="1"/>
      <c r="R190" s="1"/>
      <c r="S190" s="1"/>
    </row>
    <row r="191" spans="1:19" x14ac:dyDescent="0.2">
      <c r="A191" s="115"/>
      <c r="B191" s="10" t="s">
        <v>42</v>
      </c>
      <c r="C191" s="91">
        <v>60405</v>
      </c>
      <c r="D191" s="91">
        <v>63702</v>
      </c>
      <c r="E191" s="91">
        <v>65701</v>
      </c>
      <c r="F191" s="91">
        <v>67672</v>
      </c>
      <c r="G191" s="91">
        <v>68998</v>
      </c>
      <c r="H191" s="91">
        <v>70335</v>
      </c>
      <c r="I191" s="91">
        <v>53914</v>
      </c>
      <c r="J191" s="91">
        <v>69612</v>
      </c>
      <c r="K191" s="91">
        <v>71583</v>
      </c>
      <c r="L191" s="91">
        <v>77492</v>
      </c>
      <c r="M191" s="91">
        <v>72275</v>
      </c>
      <c r="N191" s="91">
        <v>74246</v>
      </c>
      <c r="O191" s="91">
        <v>76263</v>
      </c>
      <c r="P191" s="115"/>
      <c r="Q191" s="1"/>
      <c r="R191" s="1"/>
      <c r="S191" s="1"/>
    </row>
    <row r="192" spans="1:19" x14ac:dyDescent="0.2">
      <c r="A192" s="115"/>
      <c r="B192" s="94" t="s">
        <v>99</v>
      </c>
      <c r="C192" s="91">
        <v>52735</v>
      </c>
      <c r="D192" s="91">
        <v>55613</v>
      </c>
      <c r="E192" s="91">
        <v>57358</v>
      </c>
      <c r="F192" s="91">
        <v>59078</v>
      </c>
      <c r="G192" s="91">
        <v>60237</v>
      </c>
      <c r="H192" s="91">
        <v>61403</v>
      </c>
      <c r="I192" s="91">
        <v>47068</v>
      </c>
      <c r="J192" s="91">
        <v>60773</v>
      </c>
      <c r="K192" s="91">
        <v>62493</v>
      </c>
      <c r="L192" s="91">
        <v>67651</v>
      </c>
      <c r="M192" s="91">
        <v>63098</v>
      </c>
      <c r="N192" s="91">
        <v>64818</v>
      </c>
      <c r="O192" s="91">
        <v>66579</v>
      </c>
      <c r="P192" s="115"/>
      <c r="Q192" s="1"/>
      <c r="R192" s="1"/>
      <c r="S192" s="1"/>
    </row>
    <row r="193" spans="1:19" x14ac:dyDescent="0.2">
      <c r="A193" s="115"/>
      <c r="B193" s="10" t="s">
        <v>41</v>
      </c>
      <c r="C193" s="91">
        <v>52735</v>
      </c>
      <c r="D193" s="91">
        <v>55613</v>
      </c>
      <c r="E193" s="91">
        <v>57358</v>
      </c>
      <c r="F193" s="91">
        <v>59078</v>
      </c>
      <c r="G193" s="91">
        <v>60237</v>
      </c>
      <c r="H193" s="91">
        <v>61403</v>
      </c>
      <c r="I193" s="91">
        <v>47068</v>
      </c>
      <c r="J193" s="91">
        <v>60773</v>
      </c>
      <c r="K193" s="91">
        <v>62493</v>
      </c>
      <c r="L193" s="91">
        <v>67651</v>
      </c>
      <c r="M193" s="91">
        <v>63098</v>
      </c>
      <c r="N193" s="91">
        <v>64818</v>
      </c>
      <c r="O193" s="91">
        <v>66579</v>
      </c>
      <c r="P193" s="115"/>
      <c r="Q193" s="1"/>
      <c r="R193" s="1"/>
      <c r="S193" s="1"/>
    </row>
    <row r="194" spans="1:19" x14ac:dyDescent="0.2">
      <c r="A194" s="115"/>
      <c r="B194" s="10" t="s">
        <v>42</v>
      </c>
      <c r="C194" s="91">
        <v>47462</v>
      </c>
      <c r="D194" s="91">
        <v>50052</v>
      </c>
      <c r="E194" s="91">
        <v>51622</v>
      </c>
      <c r="F194" s="91">
        <v>53170</v>
      </c>
      <c r="G194" s="91">
        <v>54213</v>
      </c>
      <c r="H194" s="91">
        <v>55263</v>
      </c>
      <c r="I194" s="91">
        <v>42361</v>
      </c>
      <c r="J194" s="91">
        <v>54696</v>
      </c>
      <c r="K194" s="91">
        <v>56244</v>
      </c>
      <c r="L194" s="91">
        <v>60886</v>
      </c>
      <c r="M194" s="91">
        <v>56788</v>
      </c>
      <c r="N194" s="91">
        <v>58336</v>
      </c>
      <c r="O194" s="91">
        <v>59921</v>
      </c>
      <c r="P194" s="115"/>
      <c r="Q194" s="1"/>
      <c r="R194" s="1"/>
      <c r="S194" s="1"/>
    </row>
    <row r="195" spans="1:19" x14ac:dyDescent="0.2">
      <c r="A195" s="115"/>
      <c r="B195" s="94" t="s">
        <v>100</v>
      </c>
      <c r="C195" s="91">
        <v>38352</v>
      </c>
      <c r="D195" s="91">
        <v>40446</v>
      </c>
      <c r="E195" s="91">
        <v>41715</v>
      </c>
      <c r="F195" s="91">
        <v>42966</v>
      </c>
      <c r="G195" s="91">
        <v>43808</v>
      </c>
      <c r="H195" s="91">
        <v>44657</v>
      </c>
      <c r="I195" s="91">
        <v>34231</v>
      </c>
      <c r="J195" s="91">
        <v>44198</v>
      </c>
      <c r="K195" s="91">
        <v>45449</v>
      </c>
      <c r="L195" s="91">
        <v>49201</v>
      </c>
      <c r="M195" s="91">
        <v>45889</v>
      </c>
      <c r="N195" s="91">
        <v>47140</v>
      </c>
      <c r="O195" s="91">
        <v>48421</v>
      </c>
      <c r="P195" s="115"/>
      <c r="Q195" s="1"/>
      <c r="R195" s="1"/>
      <c r="S195" s="1"/>
    </row>
    <row r="196" spans="1:19" x14ac:dyDescent="0.2">
      <c r="A196" s="115"/>
      <c r="B196" s="10" t="s">
        <v>41</v>
      </c>
      <c r="C196" s="91">
        <v>38352</v>
      </c>
      <c r="D196" s="91">
        <v>40446</v>
      </c>
      <c r="E196" s="91">
        <v>41715</v>
      </c>
      <c r="F196" s="91">
        <v>42966</v>
      </c>
      <c r="G196" s="91">
        <v>43808</v>
      </c>
      <c r="H196" s="91">
        <v>44657</v>
      </c>
      <c r="I196" s="91">
        <v>34231</v>
      </c>
      <c r="J196" s="91">
        <v>44198</v>
      </c>
      <c r="K196" s="91">
        <v>45449</v>
      </c>
      <c r="L196" s="91">
        <v>49201</v>
      </c>
      <c r="M196" s="91">
        <v>45889</v>
      </c>
      <c r="N196" s="91">
        <v>47140</v>
      </c>
      <c r="O196" s="91">
        <v>48421</v>
      </c>
      <c r="P196" s="115"/>
      <c r="Q196" s="1"/>
      <c r="R196" s="1"/>
      <c r="S196" s="1"/>
    </row>
    <row r="197" spans="1:19" x14ac:dyDescent="0.2">
      <c r="A197" s="115"/>
      <c r="B197" s="10" t="s">
        <v>42</v>
      </c>
      <c r="C197" s="91">
        <v>34517</v>
      </c>
      <c r="D197" s="91">
        <v>36401</v>
      </c>
      <c r="E197" s="91">
        <v>37544</v>
      </c>
      <c r="F197" s="91">
        <v>38669</v>
      </c>
      <c r="G197" s="91">
        <v>39427</v>
      </c>
      <c r="H197" s="91">
        <v>40191</v>
      </c>
      <c r="I197" s="91">
        <v>30808</v>
      </c>
      <c r="J197" s="91">
        <v>39778</v>
      </c>
      <c r="K197" s="91">
        <v>40904</v>
      </c>
      <c r="L197" s="91">
        <v>44281</v>
      </c>
      <c r="M197" s="91">
        <v>41300</v>
      </c>
      <c r="N197" s="91">
        <v>42426</v>
      </c>
      <c r="O197" s="91">
        <v>43579</v>
      </c>
      <c r="P197" s="115"/>
      <c r="Q197" s="1"/>
      <c r="R197" s="1"/>
      <c r="S197" s="1"/>
    </row>
    <row r="198" spans="1:19" x14ac:dyDescent="0.2">
      <c r="A198" s="115"/>
      <c r="B198" s="94" t="s">
        <v>101</v>
      </c>
      <c r="C198" s="91">
        <v>28764</v>
      </c>
      <c r="D198" s="91">
        <v>30334</v>
      </c>
      <c r="E198" s="91">
        <v>31286</v>
      </c>
      <c r="F198" s="91">
        <v>32225</v>
      </c>
      <c r="G198" s="91">
        <v>32856</v>
      </c>
      <c r="H198" s="91">
        <v>33493</v>
      </c>
      <c r="I198" s="91">
        <v>25673</v>
      </c>
      <c r="J198" s="91">
        <v>33149</v>
      </c>
      <c r="K198" s="91">
        <v>34087</v>
      </c>
      <c r="L198" s="91">
        <v>36901</v>
      </c>
      <c r="M198" s="91">
        <v>34417</v>
      </c>
      <c r="N198" s="91">
        <v>35355</v>
      </c>
      <c r="O198" s="91">
        <v>36316</v>
      </c>
      <c r="P198" s="115"/>
      <c r="Q198" s="1"/>
      <c r="R198" s="1"/>
      <c r="S198" s="1"/>
    </row>
    <row r="199" spans="1:19" x14ac:dyDescent="0.2">
      <c r="A199" s="115"/>
      <c r="B199" s="10" t="s">
        <v>41</v>
      </c>
      <c r="C199" s="91">
        <v>28764</v>
      </c>
      <c r="D199" s="91">
        <v>30334</v>
      </c>
      <c r="E199" s="91">
        <v>31286</v>
      </c>
      <c r="F199" s="91">
        <v>32225</v>
      </c>
      <c r="G199" s="91">
        <v>32856</v>
      </c>
      <c r="H199" s="91">
        <v>33493</v>
      </c>
      <c r="I199" s="91">
        <v>25673</v>
      </c>
      <c r="J199" s="91">
        <v>33149</v>
      </c>
      <c r="K199" s="91">
        <v>34087</v>
      </c>
      <c r="L199" s="91">
        <v>36901</v>
      </c>
      <c r="M199" s="91">
        <v>34417</v>
      </c>
      <c r="N199" s="91">
        <v>35355</v>
      </c>
      <c r="O199" s="91">
        <v>36316</v>
      </c>
      <c r="P199" s="115"/>
      <c r="Q199" s="1"/>
      <c r="R199" s="1"/>
      <c r="S199" s="1"/>
    </row>
    <row r="200" spans="1:19" x14ac:dyDescent="0.2">
      <c r="A200" s="115"/>
      <c r="B200" s="10" t="s">
        <v>42</v>
      </c>
      <c r="C200" s="91">
        <v>25888</v>
      </c>
      <c r="D200" s="91">
        <v>27301</v>
      </c>
      <c r="E200" s="91">
        <v>28157</v>
      </c>
      <c r="F200" s="91">
        <v>29002</v>
      </c>
      <c r="G200" s="91">
        <v>29570</v>
      </c>
      <c r="H200" s="91">
        <v>30144</v>
      </c>
      <c r="I200" s="91">
        <v>23106</v>
      </c>
      <c r="J200" s="91">
        <v>29834</v>
      </c>
      <c r="K200" s="91">
        <v>30678</v>
      </c>
      <c r="L200" s="91">
        <v>33211</v>
      </c>
      <c r="M200" s="91">
        <v>30975</v>
      </c>
      <c r="N200" s="91">
        <v>31820</v>
      </c>
      <c r="O200" s="91">
        <v>32684</v>
      </c>
      <c r="P200" s="115"/>
      <c r="Q200" s="1"/>
      <c r="R200" s="1"/>
      <c r="S200" s="1"/>
    </row>
    <row r="201" spans="1:19" x14ac:dyDescent="0.2">
      <c r="A201" s="115"/>
      <c r="B201" s="88" t="s">
        <v>102</v>
      </c>
      <c r="C201" s="1"/>
      <c r="D201" s="1"/>
      <c r="E201" s="1"/>
      <c r="F201" s="1"/>
      <c r="G201" s="1"/>
      <c r="H201" s="1"/>
      <c r="I201" s="1"/>
      <c r="J201" s="1"/>
      <c r="K201" s="1"/>
      <c r="L201" s="1"/>
      <c r="M201" s="1"/>
      <c r="N201" s="1"/>
      <c r="O201" s="1"/>
      <c r="P201" s="115"/>
      <c r="Q201" s="1"/>
      <c r="R201" s="1"/>
      <c r="S201" s="1"/>
    </row>
    <row r="202" spans="1:19" x14ac:dyDescent="0.2">
      <c r="A202" s="115"/>
      <c r="B202" s="94" t="s">
        <v>103</v>
      </c>
      <c r="C202" s="91">
        <v>1246456</v>
      </c>
      <c r="D202" s="91">
        <v>1314482</v>
      </c>
      <c r="E202" s="91">
        <v>1355741</v>
      </c>
      <c r="F202" s="91">
        <v>1396400</v>
      </c>
      <c r="G202" s="91">
        <v>1423776</v>
      </c>
      <c r="H202" s="91">
        <v>1451349</v>
      </c>
      <c r="I202" s="91">
        <v>1112517</v>
      </c>
      <c r="J202" s="91">
        <v>1436448</v>
      </c>
      <c r="K202" s="91">
        <v>1477107</v>
      </c>
      <c r="L202" s="91">
        <v>1599034</v>
      </c>
      <c r="M202" s="91">
        <v>1491404</v>
      </c>
      <c r="N202" s="91">
        <v>1532060</v>
      </c>
      <c r="O202" s="91">
        <v>1573692</v>
      </c>
      <c r="P202" s="115"/>
      <c r="Q202" s="1"/>
      <c r="R202" s="1"/>
      <c r="S202" s="1"/>
    </row>
    <row r="203" spans="1:19" x14ac:dyDescent="0.2">
      <c r="A203" s="115"/>
      <c r="B203" s="10" t="s">
        <v>41</v>
      </c>
      <c r="C203" s="91">
        <v>0</v>
      </c>
      <c r="D203" s="91">
        <v>0</v>
      </c>
      <c r="E203" s="91">
        <v>0</v>
      </c>
      <c r="F203" s="91">
        <v>0</v>
      </c>
      <c r="G203" s="91">
        <v>0</v>
      </c>
      <c r="H203" s="91">
        <v>0</v>
      </c>
      <c r="I203" s="91">
        <v>0</v>
      </c>
      <c r="J203" s="91">
        <v>0</v>
      </c>
      <c r="K203" s="91">
        <v>0</v>
      </c>
      <c r="L203" s="91">
        <v>0</v>
      </c>
      <c r="M203" s="91">
        <v>0</v>
      </c>
      <c r="N203" s="91">
        <v>0</v>
      </c>
      <c r="O203" s="91">
        <v>0</v>
      </c>
      <c r="P203" s="115"/>
      <c r="Q203" s="1"/>
      <c r="R203" s="1"/>
      <c r="S203" s="1"/>
    </row>
    <row r="204" spans="1:19" x14ac:dyDescent="0.2">
      <c r="A204" s="115"/>
      <c r="B204" s="10" t="s">
        <v>42</v>
      </c>
      <c r="C204" s="91">
        <v>0</v>
      </c>
      <c r="D204" s="91">
        <v>0</v>
      </c>
      <c r="E204" s="91">
        <v>0</v>
      </c>
      <c r="F204" s="91">
        <v>0</v>
      </c>
      <c r="G204" s="91">
        <v>0</v>
      </c>
      <c r="H204" s="91">
        <v>0</v>
      </c>
      <c r="I204" s="91">
        <v>0</v>
      </c>
      <c r="J204" s="91">
        <v>0</v>
      </c>
      <c r="K204" s="91">
        <v>0</v>
      </c>
      <c r="L204" s="91">
        <v>0</v>
      </c>
      <c r="M204" s="91">
        <v>0</v>
      </c>
      <c r="N204" s="91">
        <v>0</v>
      </c>
      <c r="O204" s="91">
        <v>0</v>
      </c>
      <c r="P204" s="115"/>
      <c r="Q204" s="1"/>
      <c r="R204" s="1"/>
      <c r="S204" s="1"/>
    </row>
    <row r="205" spans="1:19" x14ac:dyDescent="0.2">
      <c r="A205" s="115"/>
      <c r="B205" s="94" t="s">
        <v>104</v>
      </c>
      <c r="C205" s="91">
        <v>1150574</v>
      </c>
      <c r="D205" s="91">
        <v>1213368</v>
      </c>
      <c r="E205" s="91">
        <v>1251454</v>
      </c>
      <c r="F205" s="91">
        <v>1288985</v>
      </c>
      <c r="G205" s="91">
        <v>1314254</v>
      </c>
      <c r="H205" s="91">
        <v>1339706</v>
      </c>
      <c r="I205" s="91">
        <v>1026938</v>
      </c>
      <c r="J205" s="91">
        <v>1325952</v>
      </c>
      <c r="K205" s="91">
        <v>1363483</v>
      </c>
      <c r="L205" s="91">
        <v>1476031</v>
      </c>
      <c r="M205" s="91">
        <v>1376681</v>
      </c>
      <c r="N205" s="91">
        <v>1414210</v>
      </c>
      <c r="O205" s="91">
        <v>1452638</v>
      </c>
      <c r="P205" s="115"/>
      <c r="Q205" s="1"/>
      <c r="R205" s="1"/>
      <c r="S205" s="1"/>
    </row>
    <row r="206" spans="1:19" x14ac:dyDescent="0.2">
      <c r="A206" s="115"/>
      <c r="B206" s="10" t="s">
        <v>41</v>
      </c>
      <c r="C206" s="91">
        <v>0</v>
      </c>
      <c r="D206" s="91">
        <v>0</v>
      </c>
      <c r="E206" s="91">
        <v>0</v>
      </c>
      <c r="F206" s="91">
        <v>0</v>
      </c>
      <c r="G206" s="91">
        <v>0</v>
      </c>
      <c r="H206" s="91">
        <v>0</v>
      </c>
      <c r="I206" s="91">
        <v>0</v>
      </c>
      <c r="J206" s="91">
        <v>0</v>
      </c>
      <c r="K206" s="91">
        <v>0</v>
      </c>
      <c r="L206" s="91">
        <v>0</v>
      </c>
      <c r="M206" s="91">
        <v>0</v>
      </c>
      <c r="N206" s="91">
        <v>0</v>
      </c>
      <c r="O206" s="91">
        <v>0</v>
      </c>
      <c r="P206" s="115"/>
      <c r="Q206" s="1"/>
      <c r="R206" s="1"/>
      <c r="S206" s="1"/>
    </row>
    <row r="207" spans="1:19" x14ac:dyDescent="0.2">
      <c r="A207" s="115"/>
      <c r="B207" s="10" t="s">
        <v>42</v>
      </c>
      <c r="C207" s="91">
        <v>0</v>
      </c>
      <c r="D207" s="91">
        <v>0</v>
      </c>
      <c r="E207" s="91">
        <v>0</v>
      </c>
      <c r="F207" s="91">
        <v>0</v>
      </c>
      <c r="G207" s="91">
        <v>0</v>
      </c>
      <c r="H207" s="91">
        <v>0</v>
      </c>
      <c r="I207" s="91">
        <v>0</v>
      </c>
      <c r="J207" s="91">
        <v>0</v>
      </c>
      <c r="K207" s="91">
        <v>0</v>
      </c>
      <c r="L207" s="91">
        <v>0</v>
      </c>
      <c r="M207" s="91">
        <v>0</v>
      </c>
      <c r="N207" s="91">
        <v>0</v>
      </c>
      <c r="O207" s="91">
        <v>0</v>
      </c>
      <c r="P207" s="115"/>
      <c r="Q207" s="1"/>
      <c r="R207" s="1"/>
      <c r="S207" s="1"/>
    </row>
    <row r="208" spans="1:19" x14ac:dyDescent="0.2">
      <c r="A208" s="115"/>
      <c r="B208" s="1"/>
      <c r="C208" s="99"/>
      <c r="D208" s="99"/>
      <c r="E208" s="99"/>
      <c r="F208" s="99"/>
      <c r="G208" s="99"/>
      <c r="H208" s="99"/>
      <c r="I208" s="99"/>
      <c r="J208" s="99"/>
      <c r="K208" s="99"/>
      <c r="L208" s="99"/>
      <c r="M208" s="99"/>
      <c r="N208" s="99"/>
      <c r="O208" s="99"/>
      <c r="P208" s="115"/>
      <c r="Q208" s="1"/>
      <c r="R208" s="1"/>
      <c r="S208" s="1"/>
    </row>
    <row r="209" spans="1:19" x14ac:dyDescent="0.2">
      <c r="A209" s="115"/>
      <c r="B209" s="2" t="s">
        <v>105</v>
      </c>
      <c r="C209" s="99"/>
      <c r="D209" s="99"/>
      <c r="E209" s="99"/>
      <c r="F209" s="99"/>
      <c r="G209" s="99"/>
      <c r="H209" s="99"/>
      <c r="I209" s="99"/>
      <c r="J209" s="99"/>
      <c r="K209" s="99"/>
      <c r="L209" s="99"/>
      <c r="M209" s="99"/>
      <c r="N209" s="99"/>
      <c r="O209" s="99"/>
      <c r="P209" s="115"/>
      <c r="Q209" s="1"/>
      <c r="R209" s="1"/>
      <c r="S209" s="1"/>
    </row>
    <row r="210" spans="1:19" x14ac:dyDescent="0.2">
      <c r="A210" s="115"/>
      <c r="B210" s="8" t="s">
        <v>83</v>
      </c>
      <c r="C210" s="119">
        <v>0.98</v>
      </c>
      <c r="D210" s="99"/>
      <c r="E210" s="99"/>
      <c r="F210" s="99"/>
      <c r="G210" s="99"/>
      <c r="H210" s="99"/>
      <c r="I210" s="99"/>
      <c r="J210" s="99"/>
      <c r="K210" s="99"/>
      <c r="L210" s="99"/>
      <c r="M210" s="99"/>
      <c r="N210" s="99"/>
      <c r="O210" s="99"/>
      <c r="P210" s="115"/>
      <c r="Q210" s="1"/>
      <c r="R210" s="1"/>
      <c r="S210" s="1"/>
    </row>
    <row r="211" spans="1:19" x14ac:dyDescent="0.2">
      <c r="A211" s="115"/>
      <c r="B211" s="8" t="s">
        <v>84</v>
      </c>
      <c r="C211" s="119">
        <v>0.9</v>
      </c>
      <c r="D211" s="99"/>
      <c r="E211" s="99"/>
      <c r="F211" s="99"/>
      <c r="G211" s="99"/>
      <c r="H211" s="99"/>
      <c r="I211" s="99"/>
      <c r="J211" s="99"/>
      <c r="K211" s="99"/>
      <c r="L211" s="99"/>
      <c r="M211" s="99"/>
      <c r="N211" s="99"/>
      <c r="O211" s="99"/>
      <c r="P211" s="115"/>
      <c r="Q211" s="1"/>
      <c r="R211" s="1"/>
      <c r="S211" s="1"/>
    </row>
    <row r="212" spans="1:19" x14ac:dyDescent="0.2">
      <c r="A212" s="115"/>
      <c r="B212" s="8" t="s">
        <v>85</v>
      </c>
      <c r="C212" s="119">
        <v>0.65</v>
      </c>
      <c r="D212" s="99"/>
      <c r="E212" s="99"/>
      <c r="F212" s="99"/>
      <c r="G212" s="99"/>
      <c r="H212" s="99"/>
      <c r="I212" s="99"/>
      <c r="J212" s="99"/>
      <c r="K212" s="99"/>
      <c r="L212" s="99"/>
      <c r="M212" s="99"/>
      <c r="N212" s="99"/>
      <c r="O212" s="99"/>
      <c r="P212" s="115"/>
      <c r="Q212" s="1"/>
      <c r="R212" s="1"/>
      <c r="S212" s="1"/>
    </row>
    <row r="213" spans="1:19" x14ac:dyDescent="0.2">
      <c r="A213" s="115"/>
      <c r="B213" s="8" t="s">
        <v>86</v>
      </c>
      <c r="C213" s="119">
        <v>0.3</v>
      </c>
      <c r="D213" s="99"/>
      <c r="E213" s="99"/>
      <c r="F213" s="99"/>
      <c r="G213" s="99"/>
      <c r="H213" s="99"/>
      <c r="I213" s="99"/>
      <c r="J213" s="99"/>
      <c r="K213" s="99"/>
      <c r="L213" s="99"/>
      <c r="M213" s="99"/>
      <c r="N213" s="99"/>
      <c r="O213" s="99"/>
      <c r="P213" s="115"/>
      <c r="Q213" s="1"/>
      <c r="R213" s="1"/>
      <c r="S213" s="1"/>
    </row>
    <row r="214" spans="1:19" x14ac:dyDescent="0.2">
      <c r="A214" s="115"/>
      <c r="B214" s="1"/>
      <c r="C214" s="1"/>
      <c r="D214" s="1"/>
      <c r="E214" s="1"/>
      <c r="F214" s="1"/>
      <c r="G214" s="1"/>
      <c r="H214" s="1"/>
      <c r="I214" s="1"/>
      <c r="J214" s="1"/>
      <c r="K214" s="1"/>
      <c r="L214" s="1"/>
      <c r="M214" s="1"/>
      <c r="N214" s="1"/>
      <c r="O214" s="1"/>
      <c r="P214" s="115"/>
      <c r="Q214" s="1"/>
      <c r="R214" s="1"/>
      <c r="S214" s="1"/>
    </row>
    <row r="215" spans="1:19" x14ac:dyDescent="0.2">
      <c r="A215" s="115"/>
      <c r="B215" s="2" t="s">
        <v>106</v>
      </c>
      <c r="C215" s="109"/>
      <c r="D215" s="109"/>
      <c r="E215" s="109"/>
      <c r="F215" s="109"/>
      <c r="G215" s="109"/>
      <c r="H215" s="109"/>
      <c r="I215" s="109"/>
      <c r="J215" s="109"/>
      <c r="K215" s="109"/>
      <c r="L215" s="109"/>
      <c r="M215" s="109"/>
      <c r="N215" s="109"/>
      <c r="O215" s="109"/>
      <c r="P215" s="115"/>
      <c r="Q215" s="1"/>
      <c r="R215" s="1"/>
      <c r="S215" s="1"/>
    </row>
    <row r="216" spans="1:19" x14ac:dyDescent="0.2">
      <c r="A216" s="115"/>
      <c r="B216" s="5" t="s">
        <v>107</v>
      </c>
      <c r="C216" s="110" t="str">
        <f t="shared" ref="C216:O216" si="9">C30</f>
        <v>Jun-25</v>
      </c>
      <c r="D216" s="110" t="str">
        <f t="shared" si="9"/>
        <v>Jul-25</v>
      </c>
      <c r="E216" s="110" t="str">
        <f t="shared" si="9"/>
        <v>Aug-25</v>
      </c>
      <c r="F216" s="110" t="str">
        <f t="shared" si="9"/>
        <v>Sep-25</v>
      </c>
      <c r="G216" s="110" t="str">
        <f t="shared" si="9"/>
        <v>Oct-25</v>
      </c>
      <c r="H216" s="110" t="str">
        <f t="shared" si="9"/>
        <v>Nov-25</v>
      </c>
      <c r="I216" s="110" t="str">
        <f t="shared" si="9"/>
        <v>Dec-25</v>
      </c>
      <c r="J216" s="110" t="str">
        <f t="shared" si="9"/>
        <v>Jan-26</v>
      </c>
      <c r="K216" s="110" t="str">
        <f t="shared" si="9"/>
        <v>Feb-26</v>
      </c>
      <c r="L216" s="110" t="str">
        <f t="shared" si="9"/>
        <v>Mar-26</v>
      </c>
      <c r="M216" s="110" t="str">
        <f t="shared" si="9"/>
        <v>Apr-26</v>
      </c>
      <c r="N216" s="110" t="str">
        <f t="shared" si="9"/>
        <v>May-26</v>
      </c>
      <c r="O216" s="110" t="str">
        <f t="shared" si="9"/>
        <v>Jun-26</v>
      </c>
      <c r="P216" s="115"/>
      <c r="Q216" s="1"/>
      <c r="R216" s="1"/>
      <c r="S216" s="1"/>
    </row>
    <row r="217" spans="1:19" ht="30" customHeight="1" x14ac:dyDescent="0.2">
      <c r="A217" s="115"/>
      <c r="B217" s="15" t="s">
        <v>108</v>
      </c>
      <c r="C217" s="106"/>
      <c r="D217" s="106"/>
      <c r="E217" s="106"/>
      <c r="F217" s="106"/>
      <c r="G217" s="106"/>
      <c r="H217" s="106" t="s">
        <v>170</v>
      </c>
      <c r="I217" s="106" t="s">
        <v>171</v>
      </c>
      <c r="J217" s="106" t="s">
        <v>172</v>
      </c>
      <c r="K217" s="106" t="s">
        <v>173</v>
      </c>
      <c r="L217" s="106" t="s">
        <v>174</v>
      </c>
      <c r="M217" s="106" t="s">
        <v>175</v>
      </c>
      <c r="N217" s="106" t="s">
        <v>176</v>
      </c>
      <c r="O217" s="106" t="s">
        <v>177</v>
      </c>
      <c r="P217" s="115"/>
      <c r="Q217" s="1"/>
      <c r="R217" s="1"/>
      <c r="S217" s="1"/>
    </row>
    <row r="218" spans="1:19" ht="30" customHeight="1" x14ac:dyDescent="0.2">
      <c r="A218" s="115"/>
      <c r="B218" s="15" t="s">
        <v>109</v>
      </c>
      <c r="C218" s="106"/>
      <c r="D218" s="106"/>
      <c r="E218" s="106"/>
      <c r="F218" s="106"/>
      <c r="G218" s="106"/>
      <c r="H218" s="106"/>
      <c r="I218" s="106" t="s">
        <v>178</v>
      </c>
      <c r="J218" s="106"/>
      <c r="K218" s="106"/>
      <c r="L218" s="106" t="s">
        <v>179</v>
      </c>
      <c r="M218" s="106"/>
      <c r="N218" s="106"/>
      <c r="O218" s="106" t="s">
        <v>180</v>
      </c>
      <c r="P218" s="115"/>
      <c r="Q218" s="1"/>
      <c r="R218" s="1"/>
      <c r="S218" s="1"/>
    </row>
    <row r="219" spans="1:19" ht="30" customHeight="1" x14ac:dyDescent="0.2">
      <c r="A219" s="115"/>
      <c r="B219" s="15" t="s">
        <v>110</v>
      </c>
      <c r="C219" s="106"/>
      <c r="D219" s="106"/>
      <c r="E219" s="106"/>
      <c r="F219" s="106"/>
      <c r="G219" s="106"/>
      <c r="H219" s="106"/>
      <c r="I219" s="106" t="s">
        <v>181</v>
      </c>
      <c r="J219" s="106"/>
      <c r="K219" s="106"/>
      <c r="L219" s="106" t="s">
        <v>182</v>
      </c>
      <c r="M219" s="106"/>
      <c r="N219" s="106"/>
      <c r="O219" s="106" t="s">
        <v>183</v>
      </c>
      <c r="P219" s="115"/>
      <c r="Q219" s="1"/>
      <c r="R219" s="1"/>
      <c r="S219" s="1"/>
    </row>
    <row r="220" spans="1:19" ht="30" customHeight="1" x14ac:dyDescent="0.2">
      <c r="A220" s="115"/>
      <c r="B220" s="15" t="s">
        <v>111</v>
      </c>
      <c r="C220" s="106"/>
      <c r="D220" s="106"/>
      <c r="E220" s="106"/>
      <c r="F220" s="106"/>
      <c r="G220" s="106"/>
      <c r="H220" s="106"/>
      <c r="I220" s="106"/>
      <c r="J220" s="106"/>
      <c r="K220" s="106"/>
      <c r="L220" s="106" t="s">
        <v>184</v>
      </c>
      <c r="M220" s="106"/>
      <c r="N220" s="106"/>
      <c r="O220" s="106" t="s">
        <v>185</v>
      </c>
      <c r="P220" s="115"/>
      <c r="Q220" s="1"/>
      <c r="R220" s="1"/>
      <c r="S220" s="1"/>
    </row>
    <row r="221" spans="1:19" ht="30" customHeight="1" x14ac:dyDescent="0.2">
      <c r="A221" s="115"/>
      <c r="B221" s="15" t="s">
        <v>112</v>
      </c>
      <c r="C221" s="106"/>
      <c r="D221" s="106"/>
      <c r="E221" s="106"/>
      <c r="F221" s="106"/>
      <c r="G221" s="106"/>
      <c r="H221" s="106"/>
      <c r="I221" s="106" t="s">
        <v>186</v>
      </c>
      <c r="J221" s="106"/>
      <c r="K221" s="106"/>
      <c r="L221" s="106" t="s">
        <v>187</v>
      </c>
      <c r="M221" s="106"/>
      <c r="N221" s="106"/>
      <c r="O221" s="106" t="s">
        <v>188</v>
      </c>
      <c r="P221" s="115"/>
      <c r="Q221" s="1"/>
      <c r="R221" s="1"/>
      <c r="S221" s="1"/>
    </row>
    <row r="222" spans="1:19" x14ac:dyDescent="0.2">
      <c r="A222" s="17"/>
      <c r="C222" s="109"/>
      <c r="D222" s="109"/>
      <c r="E222" s="109"/>
      <c r="F222" s="109"/>
      <c r="G222" s="109"/>
      <c r="H222" s="109"/>
      <c r="I222" s="109"/>
      <c r="J222" s="109"/>
      <c r="K222" s="109"/>
      <c r="L222" s="109"/>
      <c r="M222" s="109"/>
      <c r="N222" s="109"/>
      <c r="O222" s="109"/>
      <c r="P222" s="17"/>
    </row>
    <row r="223" spans="1:19" x14ac:dyDescent="0.2">
      <c r="A223" s="17"/>
      <c r="B223" s="113" t="s">
        <v>113</v>
      </c>
      <c r="C223" s="109"/>
      <c r="D223" s="109"/>
      <c r="E223" s="109"/>
      <c r="F223" s="109"/>
      <c r="G223" s="109"/>
      <c r="H223" s="109"/>
      <c r="I223" s="109"/>
      <c r="J223" s="109"/>
      <c r="K223" s="109"/>
      <c r="L223" s="109"/>
      <c r="M223" s="109"/>
      <c r="N223" s="109"/>
      <c r="O223" s="109"/>
      <c r="P223" s="17"/>
    </row>
    <row r="224" spans="1:19" x14ac:dyDescent="0.2">
      <c r="A224" s="17"/>
      <c r="B224" s="114" t="s">
        <v>114</v>
      </c>
      <c r="C224" s="111" t="s">
        <v>115</v>
      </c>
      <c r="D224" s="111" t="s">
        <v>116</v>
      </c>
      <c r="E224" s="111" t="s">
        <v>117</v>
      </c>
      <c r="F224" s="111" t="s">
        <v>118</v>
      </c>
      <c r="G224" s="112" t="s">
        <v>119</v>
      </c>
      <c r="N224" s="109"/>
      <c r="O224" s="109"/>
      <c r="P224" s="17"/>
    </row>
    <row r="225" spans="1:19" x14ac:dyDescent="0.2">
      <c r="A225" s="17"/>
      <c r="B225" s="108" t="s">
        <v>189</v>
      </c>
      <c r="C225" s="126" t="s">
        <v>190</v>
      </c>
      <c r="D225" s="108" t="s">
        <v>191</v>
      </c>
      <c r="E225" s="107" t="s">
        <v>192</v>
      </c>
      <c r="F225" s="126" t="s">
        <v>193</v>
      </c>
      <c r="G225" s="108" t="s">
        <v>194</v>
      </c>
      <c r="N225" s="109"/>
      <c r="O225" s="109"/>
      <c r="P225" s="17"/>
      <c r="Q225" s="20">
        <f t="shared" ref="Q225:Q234" si="10">IFERROR(MATCH(C225,calc_labels,0),0)</f>
        <v>3</v>
      </c>
      <c r="R225" s="20">
        <f t="shared" ref="R225:R234" si="11">IFERROR(MATCH(F225,calc_labels,0),99)</f>
        <v>5</v>
      </c>
      <c r="S225" s="20">
        <f t="shared" ref="S225:S234" si="12">IF(AND(B225&lt;&gt;"",Q225&gt;0,Q225&lt;=calc_sel_idx,OR(E225&lt;&gt;"Closed",R225&gt;calc_sel_idx)),1,0)</f>
        <v>0</v>
      </c>
    </row>
    <row r="226" spans="1:19" x14ac:dyDescent="0.2">
      <c r="A226" s="17"/>
      <c r="B226" s="108" t="s">
        <v>195</v>
      </c>
      <c r="C226" s="126" t="s">
        <v>196</v>
      </c>
      <c r="D226" s="108" t="s">
        <v>191</v>
      </c>
      <c r="E226" s="107" t="s">
        <v>192</v>
      </c>
      <c r="F226" s="126" t="s">
        <v>197</v>
      </c>
      <c r="G226" s="108" t="s">
        <v>198</v>
      </c>
      <c r="N226" s="109"/>
      <c r="O226" s="109"/>
      <c r="P226" s="17"/>
      <c r="Q226" s="20">
        <f t="shared" si="10"/>
        <v>4</v>
      </c>
      <c r="R226" s="20">
        <f t="shared" si="11"/>
        <v>8</v>
      </c>
      <c r="S226" s="20">
        <f t="shared" si="12"/>
        <v>0</v>
      </c>
    </row>
    <row r="227" spans="1:19" x14ac:dyDescent="0.2">
      <c r="A227" s="17"/>
      <c r="B227" s="108" t="s">
        <v>199</v>
      </c>
      <c r="C227" s="126" t="s">
        <v>200</v>
      </c>
      <c r="D227" s="108" t="s">
        <v>191</v>
      </c>
      <c r="E227" s="107" t="s">
        <v>201</v>
      </c>
      <c r="F227" s="126"/>
      <c r="G227" s="108" t="s">
        <v>202</v>
      </c>
      <c r="N227" s="109"/>
      <c r="O227" s="109"/>
      <c r="P227" s="17"/>
      <c r="Q227" s="20">
        <f t="shared" si="10"/>
        <v>6</v>
      </c>
      <c r="R227" s="20">
        <f t="shared" si="11"/>
        <v>99</v>
      </c>
      <c r="S227" s="20">
        <f t="shared" si="12"/>
        <v>1</v>
      </c>
    </row>
    <row r="228" spans="1:19" x14ac:dyDescent="0.2">
      <c r="A228" s="17"/>
      <c r="B228" s="108" t="s">
        <v>203</v>
      </c>
      <c r="C228" s="126" t="s">
        <v>197</v>
      </c>
      <c r="D228" s="108" t="s">
        <v>204</v>
      </c>
      <c r="E228" s="107" t="s">
        <v>192</v>
      </c>
      <c r="F228" s="126" t="s">
        <v>205</v>
      </c>
      <c r="G228" s="108" t="s">
        <v>206</v>
      </c>
      <c r="N228" s="109"/>
      <c r="O228" s="109"/>
      <c r="P228" s="17"/>
      <c r="Q228" s="20">
        <f t="shared" si="10"/>
        <v>8</v>
      </c>
      <c r="R228" s="20">
        <f t="shared" si="11"/>
        <v>10</v>
      </c>
      <c r="S228" s="20">
        <f t="shared" si="12"/>
        <v>0</v>
      </c>
    </row>
    <row r="229" spans="1:19" x14ac:dyDescent="0.2">
      <c r="A229" s="17"/>
      <c r="B229" s="108" t="s">
        <v>207</v>
      </c>
      <c r="C229" s="126" t="s">
        <v>208</v>
      </c>
      <c r="D229" s="108" t="s">
        <v>191</v>
      </c>
      <c r="E229" s="107" t="s">
        <v>201</v>
      </c>
      <c r="F229" s="126"/>
      <c r="G229" s="108" t="s">
        <v>209</v>
      </c>
      <c r="N229" s="109"/>
      <c r="O229" s="109"/>
      <c r="P229" s="17"/>
      <c r="Q229" s="20">
        <f t="shared" si="10"/>
        <v>9</v>
      </c>
      <c r="R229" s="20">
        <f t="shared" si="11"/>
        <v>99</v>
      </c>
      <c r="S229" s="20">
        <f t="shared" si="12"/>
        <v>1</v>
      </c>
    </row>
    <row r="230" spans="1:19" x14ac:dyDescent="0.2">
      <c r="A230" s="17"/>
      <c r="B230" s="108" t="s">
        <v>210</v>
      </c>
      <c r="C230" s="126" t="s">
        <v>211</v>
      </c>
      <c r="D230" s="108" t="s">
        <v>212</v>
      </c>
      <c r="E230" s="107" t="s">
        <v>213</v>
      </c>
      <c r="F230" s="126"/>
      <c r="G230" s="108" t="s">
        <v>214</v>
      </c>
      <c r="N230" s="109"/>
      <c r="O230" s="109"/>
      <c r="P230" s="17"/>
      <c r="Q230" s="20">
        <f t="shared" si="10"/>
        <v>11</v>
      </c>
      <c r="R230" s="20">
        <f t="shared" si="11"/>
        <v>99</v>
      </c>
      <c r="S230" s="20">
        <f t="shared" si="12"/>
        <v>1</v>
      </c>
    </row>
    <row r="231" spans="1:19" x14ac:dyDescent="0.2">
      <c r="A231" s="17"/>
      <c r="B231" s="108"/>
      <c r="C231" s="107"/>
      <c r="D231" s="108"/>
      <c r="E231" s="107"/>
      <c r="F231" s="107"/>
      <c r="G231" s="108"/>
      <c r="N231" s="109"/>
      <c r="O231" s="109"/>
      <c r="P231" s="17"/>
      <c r="Q231" s="20">
        <f t="shared" si="10"/>
        <v>0</v>
      </c>
      <c r="R231" s="20">
        <f t="shared" si="11"/>
        <v>99</v>
      </c>
      <c r="S231" s="20">
        <f t="shared" si="12"/>
        <v>0</v>
      </c>
    </row>
    <row r="232" spans="1:19" x14ac:dyDescent="0.2">
      <c r="A232" s="17"/>
      <c r="B232" s="108"/>
      <c r="C232" s="107"/>
      <c r="D232" s="108"/>
      <c r="E232" s="107"/>
      <c r="F232" s="107"/>
      <c r="G232" s="108"/>
      <c r="N232" s="109"/>
      <c r="O232" s="109"/>
      <c r="P232" s="17"/>
      <c r="Q232" s="20">
        <f t="shared" si="10"/>
        <v>0</v>
      </c>
      <c r="R232" s="20">
        <f t="shared" si="11"/>
        <v>99</v>
      </c>
      <c r="S232" s="20">
        <f t="shared" si="12"/>
        <v>0</v>
      </c>
    </row>
    <row r="233" spans="1:19" x14ac:dyDescent="0.2">
      <c r="A233" s="17"/>
      <c r="B233" s="108"/>
      <c r="C233" s="107"/>
      <c r="D233" s="108"/>
      <c r="E233" s="107"/>
      <c r="F233" s="107"/>
      <c r="G233" s="108"/>
      <c r="N233" s="109"/>
      <c r="O233" s="109"/>
      <c r="P233" s="17"/>
      <c r="Q233" s="20">
        <f t="shared" si="10"/>
        <v>0</v>
      </c>
      <c r="R233" s="20">
        <f t="shared" si="11"/>
        <v>99</v>
      </c>
      <c r="S233" s="20">
        <f t="shared" si="12"/>
        <v>0</v>
      </c>
    </row>
    <row r="234" spans="1:19" x14ac:dyDescent="0.2">
      <c r="A234" s="17"/>
      <c r="B234" s="108"/>
      <c r="C234" s="107"/>
      <c r="D234" s="108"/>
      <c r="E234" s="107"/>
      <c r="F234" s="107"/>
      <c r="G234" s="108"/>
      <c r="N234" s="109"/>
      <c r="O234" s="109"/>
      <c r="P234" s="17"/>
      <c r="Q234" s="20">
        <f t="shared" si="10"/>
        <v>0</v>
      </c>
      <c r="R234" s="20">
        <f t="shared" si="11"/>
        <v>99</v>
      </c>
      <c r="S234" s="20">
        <f t="shared" si="12"/>
        <v>0</v>
      </c>
    </row>
    <row r="235" spans="1:19" x14ac:dyDescent="0.2">
      <c r="A235" s="17"/>
      <c r="C235" s="109"/>
      <c r="D235" s="109"/>
      <c r="E235" s="109"/>
      <c r="F235" s="109"/>
      <c r="G235" s="109"/>
      <c r="N235" s="109"/>
      <c r="O235" s="109"/>
      <c r="P235" s="17"/>
    </row>
    <row r="236" spans="1:19" x14ac:dyDescent="0.2">
      <c r="A236" s="17"/>
      <c r="B236" s="113" t="s">
        <v>120</v>
      </c>
      <c r="C236" s="109"/>
      <c r="D236" s="109"/>
      <c r="E236" s="109"/>
      <c r="F236" s="109"/>
      <c r="G236" s="109"/>
      <c r="N236" s="109"/>
      <c r="O236" s="109"/>
      <c r="P236" s="17"/>
    </row>
    <row r="237" spans="1:19" x14ac:dyDescent="0.2">
      <c r="A237" s="17"/>
      <c r="B237" s="114" t="s">
        <v>121</v>
      </c>
      <c r="C237" s="111" t="s">
        <v>122</v>
      </c>
      <c r="D237" s="111" t="s">
        <v>116</v>
      </c>
      <c r="E237" s="111" t="s">
        <v>123</v>
      </c>
      <c r="F237" s="111" t="s">
        <v>124</v>
      </c>
      <c r="G237" s="112" t="s">
        <v>125</v>
      </c>
      <c r="N237" s="109"/>
      <c r="O237" s="109"/>
      <c r="P237" s="17"/>
    </row>
    <row r="238" spans="1:19" x14ac:dyDescent="0.2">
      <c r="A238" s="17"/>
      <c r="B238" s="108" t="s">
        <v>215</v>
      </c>
      <c r="C238" s="126" t="s">
        <v>216</v>
      </c>
      <c r="D238" s="108" t="s">
        <v>191</v>
      </c>
      <c r="E238" s="107" t="s">
        <v>217</v>
      </c>
      <c r="F238" s="107" t="s">
        <v>218</v>
      </c>
      <c r="G238" s="108" t="s">
        <v>219</v>
      </c>
      <c r="N238" s="109"/>
      <c r="O238" s="109"/>
      <c r="P238" s="17"/>
      <c r="Q238" s="20">
        <f t="shared" ref="Q238:Q245" si="13">IFERROR(MATCH(C238,calc_labels,0),0)</f>
        <v>2</v>
      </c>
      <c r="R238" s="20">
        <f>IFERROR(MATCH(E238,{"Low","Medium","High","Critical"},0),0)</f>
        <v>3</v>
      </c>
      <c r="S238" s="20">
        <f t="shared" ref="S238:S245" si="14">IF(AND(B238&lt;&gt;"",Q238&gt;0,Q238&lt;=calc_sel_idx),1,0)</f>
        <v>1</v>
      </c>
    </row>
    <row r="239" spans="1:19" x14ac:dyDescent="0.2">
      <c r="A239" s="17"/>
      <c r="B239" s="108" t="s">
        <v>220</v>
      </c>
      <c r="C239" s="126" t="s">
        <v>190</v>
      </c>
      <c r="D239" s="108" t="s">
        <v>191</v>
      </c>
      <c r="E239" s="107" t="s">
        <v>221</v>
      </c>
      <c r="F239" s="107" t="s">
        <v>222</v>
      </c>
      <c r="G239" s="108" t="s">
        <v>223</v>
      </c>
      <c r="N239" s="109"/>
      <c r="O239" s="109"/>
      <c r="P239" s="17"/>
      <c r="Q239" s="20">
        <f t="shared" si="13"/>
        <v>3</v>
      </c>
      <c r="R239" s="20">
        <f>IFERROR(MATCH(E239,{"Low","Medium","High","Critical"},0),0)</f>
        <v>2</v>
      </c>
      <c r="S239" s="20">
        <f t="shared" si="14"/>
        <v>1</v>
      </c>
    </row>
    <row r="240" spans="1:19" x14ac:dyDescent="0.2">
      <c r="A240" s="17"/>
      <c r="B240" s="108" t="s">
        <v>224</v>
      </c>
      <c r="C240" s="126" t="s">
        <v>193</v>
      </c>
      <c r="D240" s="108" t="s">
        <v>204</v>
      </c>
      <c r="E240" s="107" t="s">
        <v>221</v>
      </c>
      <c r="F240" s="107" t="s">
        <v>225</v>
      </c>
      <c r="G240" s="108" t="s">
        <v>226</v>
      </c>
      <c r="N240" s="109"/>
      <c r="O240" s="109"/>
      <c r="P240" s="17"/>
      <c r="Q240" s="20">
        <f t="shared" si="13"/>
        <v>5</v>
      </c>
      <c r="R240" s="20">
        <f>IFERROR(MATCH(E240,{"Low","Medium","High","Critical"},0),0)</f>
        <v>2</v>
      </c>
      <c r="S240" s="20">
        <f t="shared" si="14"/>
        <v>1</v>
      </c>
    </row>
    <row r="241" spans="1:19" x14ac:dyDescent="0.2">
      <c r="A241" s="17"/>
      <c r="B241" s="108" t="s">
        <v>227</v>
      </c>
      <c r="C241" s="126" t="s">
        <v>200</v>
      </c>
      <c r="D241" s="108" t="s">
        <v>212</v>
      </c>
      <c r="E241" s="107" t="s">
        <v>221</v>
      </c>
      <c r="F241" s="107" t="s">
        <v>228</v>
      </c>
      <c r="G241" s="108" t="s">
        <v>219</v>
      </c>
      <c r="N241" s="109"/>
      <c r="O241" s="109"/>
      <c r="P241" s="17"/>
      <c r="Q241" s="20">
        <f t="shared" si="13"/>
        <v>6</v>
      </c>
      <c r="R241" s="20">
        <f>IFERROR(MATCH(E241,{"Low","Medium","High","Critical"},0),0)</f>
        <v>2</v>
      </c>
      <c r="S241" s="20">
        <f t="shared" si="14"/>
        <v>1</v>
      </c>
    </row>
    <row r="242" spans="1:19" x14ac:dyDescent="0.2">
      <c r="A242" s="17"/>
      <c r="B242" s="108" t="s">
        <v>229</v>
      </c>
      <c r="C242" s="126" t="s">
        <v>230</v>
      </c>
      <c r="D242" s="108" t="s">
        <v>191</v>
      </c>
      <c r="E242" s="107" t="s">
        <v>231</v>
      </c>
      <c r="F242" s="107" t="s">
        <v>232</v>
      </c>
      <c r="G242" s="108" t="s">
        <v>233</v>
      </c>
      <c r="N242" s="109"/>
      <c r="O242" s="109"/>
      <c r="P242" s="17"/>
      <c r="Q242" s="20">
        <f t="shared" si="13"/>
        <v>7</v>
      </c>
      <c r="R242" s="20">
        <f>IFERROR(MATCH(E242,{"Low","Medium","High","Critical"},0),0)</f>
        <v>1</v>
      </c>
      <c r="S242" s="20">
        <f t="shared" si="14"/>
        <v>1</v>
      </c>
    </row>
    <row r="243" spans="1:19" x14ac:dyDescent="0.2">
      <c r="A243" s="17"/>
      <c r="B243" s="108" t="s">
        <v>234</v>
      </c>
      <c r="C243" s="126" t="s">
        <v>205</v>
      </c>
      <c r="D243" s="108" t="s">
        <v>212</v>
      </c>
      <c r="E243" s="107" t="s">
        <v>221</v>
      </c>
      <c r="F243" s="107" t="s">
        <v>235</v>
      </c>
      <c r="G243" s="108" t="s">
        <v>236</v>
      </c>
      <c r="H243" s="120"/>
      <c r="I243" s="109"/>
      <c r="J243" s="109"/>
      <c r="K243" s="109"/>
      <c r="L243" s="109"/>
      <c r="M243" s="109"/>
      <c r="N243" s="109"/>
      <c r="O243" s="109"/>
      <c r="P243" s="17"/>
      <c r="Q243" s="20">
        <f t="shared" si="13"/>
        <v>10</v>
      </c>
      <c r="R243" s="20">
        <f>IFERROR(MATCH(E243,{"Low","Medium","High","Critical"},0),0)</f>
        <v>2</v>
      </c>
      <c r="S243" s="20">
        <f t="shared" si="14"/>
        <v>1</v>
      </c>
    </row>
    <row r="244" spans="1:19" x14ac:dyDescent="0.2">
      <c r="A244" s="17"/>
      <c r="B244" s="108"/>
      <c r="C244" s="107"/>
      <c r="D244" s="108"/>
      <c r="E244" s="107"/>
      <c r="F244" s="107"/>
      <c r="G244" s="108"/>
      <c r="H244" s="120"/>
      <c r="I244" s="109"/>
      <c r="J244" s="109"/>
      <c r="K244" s="109"/>
      <c r="L244" s="109"/>
      <c r="M244" s="109"/>
      <c r="N244" s="109"/>
      <c r="O244" s="109"/>
      <c r="P244" s="17"/>
      <c r="Q244" s="20">
        <f t="shared" si="13"/>
        <v>0</v>
      </c>
      <c r="R244" s="20">
        <f>IFERROR(MATCH(E244,{"Low","Medium","High","Critical"},0),0)</f>
        <v>0</v>
      </c>
      <c r="S244" s="20">
        <f t="shared" si="14"/>
        <v>0</v>
      </c>
    </row>
    <row r="245" spans="1:19" x14ac:dyDescent="0.2">
      <c r="A245" s="17"/>
      <c r="B245" s="108"/>
      <c r="C245" s="107"/>
      <c r="D245" s="108"/>
      <c r="E245" s="107"/>
      <c r="F245" s="107"/>
      <c r="G245" s="108"/>
      <c r="H245" s="120"/>
      <c r="I245" s="109"/>
      <c r="J245" s="109"/>
      <c r="K245" s="109"/>
      <c r="L245" s="109"/>
      <c r="M245" s="109"/>
      <c r="N245" s="109"/>
      <c r="O245" s="109"/>
      <c r="P245" s="17"/>
      <c r="Q245" s="20">
        <f t="shared" si="13"/>
        <v>0</v>
      </c>
      <c r="R245" s="20">
        <f>IFERROR(MATCH(E245,{"Low","Medium","High","Critical"},0),0)</f>
        <v>0</v>
      </c>
      <c r="S245" s="20">
        <f t="shared" si="14"/>
        <v>0</v>
      </c>
    </row>
    <row r="246" spans="1:19" x14ac:dyDescent="0.2">
      <c r="A246" s="17"/>
      <c r="C246" s="109"/>
      <c r="D246" s="109"/>
      <c r="E246" s="109"/>
      <c r="F246" s="109"/>
      <c r="G246" s="109"/>
      <c r="H246" s="109"/>
      <c r="I246" s="109"/>
      <c r="J246" s="109"/>
      <c r="K246" s="109"/>
      <c r="L246" s="109"/>
      <c r="M246" s="109"/>
      <c r="N246" s="109"/>
      <c r="O246" s="109"/>
      <c r="P246" s="17"/>
    </row>
    <row r="247" spans="1:19" x14ac:dyDescent="0.2">
      <c r="A247" s="17"/>
      <c r="C247" s="109"/>
      <c r="D247" s="109"/>
      <c r="E247" s="109"/>
      <c r="F247" s="109"/>
      <c r="G247" s="109"/>
      <c r="H247" s="109"/>
      <c r="I247" s="109"/>
      <c r="J247" s="109"/>
      <c r="K247" s="109"/>
      <c r="L247" s="109"/>
      <c r="M247" s="109"/>
      <c r="N247" s="109"/>
      <c r="O247" s="109"/>
      <c r="P247" s="17"/>
    </row>
    <row r="248" spans="1:19" ht="16" x14ac:dyDescent="0.2">
      <c r="A248" s="17"/>
      <c r="B248" s="121" t="s">
        <v>133</v>
      </c>
      <c r="C248" s="109"/>
      <c r="D248" s="109"/>
      <c r="E248" s="109"/>
      <c r="F248" s="109"/>
      <c r="G248" s="109"/>
      <c r="H248" s="109"/>
      <c r="I248" s="109"/>
      <c r="J248" s="123" t="s">
        <v>134</v>
      </c>
      <c r="K248" s="109"/>
      <c r="L248" s="125" t="str">
        <f>IF(COUNTIF(M250:M274,"FAIL")=0,"PASS","FAIL ("&amp;COUNTIF(M250:M274,"FAIL")&amp;")")</f>
        <v>PASS</v>
      </c>
      <c r="M248" s="109"/>
      <c r="N248" s="109"/>
      <c r="O248" s="109"/>
      <c r="P248" s="17"/>
    </row>
    <row r="249" spans="1:19" x14ac:dyDescent="0.2">
      <c r="A249" s="17"/>
      <c r="B249" s="122" t="s">
        <v>135</v>
      </c>
      <c r="C249" s="109"/>
      <c r="D249" s="109"/>
      <c r="E249" s="109"/>
      <c r="F249" s="109"/>
      <c r="G249" s="109"/>
      <c r="H249" s="123" t="s">
        <v>136</v>
      </c>
      <c r="I249" s="109"/>
      <c r="J249" s="123" t="s">
        <v>131</v>
      </c>
      <c r="K249" s="109"/>
      <c r="L249" s="123" t="s">
        <v>137</v>
      </c>
      <c r="M249" s="123" t="s">
        <v>117</v>
      </c>
      <c r="N249" s="109"/>
      <c r="O249" s="109"/>
      <c r="P249" s="17"/>
    </row>
    <row r="250" spans="1:19" x14ac:dyDescent="0.2">
      <c r="A250" s="17"/>
      <c r="B250" s="18" t="s">
        <v>138</v>
      </c>
      <c r="C250" s="109"/>
      <c r="D250" s="109"/>
      <c r="E250" s="109"/>
      <c r="F250" s="109"/>
      <c r="G250" s="109"/>
      <c r="H250" s="124" cm="1">
        <f t="array" ref="H250">INDEX($C$41:$O$41,scalc_sel_idx)+INDEX($C$44:$O$44,scalc_sel_idx)+INDEX($C$47:$O$47,scalc_sel_idx)+INDEX($C$50:$O$50,scalc_sel_idx)+INDEX($C$53:$O$53,scalc_sel_idx)</f>
        <v>605266</v>
      </c>
      <c r="I250" s="109"/>
      <c r="J250" s="124" cm="1">
        <f t="array" ref="J250">INDEX($C$71:$O$71,scalc_sel_idx)</f>
        <v>605266</v>
      </c>
      <c r="K250" s="109"/>
      <c r="L250" s="124">
        <f t="shared" ref="L250:L274" si="15">J250-H250</f>
        <v>0</v>
      </c>
      <c r="M250" s="19" t="str">
        <f t="shared" ref="M250:M274" si="16">IF(ABS(J250-H250)&lt;0.005,"PASS","FAIL")</f>
        <v>PASS</v>
      </c>
      <c r="N250" s="109"/>
      <c r="O250" s="109"/>
      <c r="P250" s="17"/>
    </row>
    <row r="251" spans="1:19" x14ac:dyDescent="0.2">
      <c r="A251" s="17"/>
      <c r="B251" s="18" t="s">
        <v>139</v>
      </c>
      <c r="C251" s="109"/>
      <c r="D251" s="109"/>
      <c r="E251" s="109"/>
      <c r="F251" s="109"/>
      <c r="G251" s="109"/>
      <c r="H251" s="124" cm="1">
        <f t="array" ref="H251">INDEX($C$75:$O$75,scalc_sel_idx)+INDEX($C$78:$O$78,scalc_sel_idx)+INDEX($C$81:$O$81,scalc_sel_idx)+INDEX($C$84:$O$84,scalc_sel_idx)+INDEX($C$87:$O$87,scalc_sel_idx)</f>
        <v>278603</v>
      </c>
      <c r="I251" s="109"/>
      <c r="J251" s="124" cm="1">
        <f t="array" ref="J251">INDEX($C$90:$O$90,scalc_sel_idx)</f>
        <v>278603</v>
      </c>
      <c r="K251" s="109"/>
      <c r="L251" s="124">
        <f t="shared" si="15"/>
        <v>0</v>
      </c>
      <c r="M251" s="19" t="str">
        <f t="shared" si="16"/>
        <v>PASS</v>
      </c>
      <c r="N251" s="109"/>
      <c r="O251" s="109"/>
      <c r="P251" s="17"/>
    </row>
    <row r="252" spans="1:19" x14ac:dyDescent="0.2">
      <c r="A252" s="17"/>
      <c r="B252" s="18" t="s">
        <v>140</v>
      </c>
      <c r="C252" s="109"/>
      <c r="D252" s="109"/>
      <c r="E252" s="109"/>
      <c r="F252" s="109"/>
      <c r="G252" s="109"/>
      <c r="H252" s="124" cm="1">
        <f t="array" ref="H252">INDEX($C$97:$O$97,scalc_sel_idx)+INDEX($C$100:$O$100,scalc_sel_idx)+INDEX($C$103:$O$103,scalc_sel_idx)+INDEX($C$106:$O$106,scalc_sel_idx)+INDEX($C$109:$O$109,scalc_sel_idx)+INDEX($C$112:$O$112,scalc_sel_idx)</f>
        <v>123238</v>
      </c>
      <c r="I252" s="109"/>
      <c r="J252" s="124" cm="1">
        <f t="array" ref="J252">INDEX($C$115:$O$115,scalc_sel_idx)</f>
        <v>123238</v>
      </c>
      <c r="K252" s="109"/>
      <c r="L252" s="124">
        <f t="shared" si="15"/>
        <v>0</v>
      </c>
      <c r="M252" s="19" t="str">
        <f t="shared" si="16"/>
        <v>PASS</v>
      </c>
      <c r="N252" s="109"/>
      <c r="O252" s="109"/>
      <c r="P252" s="17"/>
    </row>
    <row r="253" spans="1:19" x14ac:dyDescent="0.2">
      <c r="A253" s="17"/>
      <c r="B253" s="18" t="s">
        <v>141</v>
      </c>
      <c r="H253" s="124" cm="1">
        <f t="array" ref="H253">INDEX($C$71:$O$71,scalc_sel_idx)-INDEX($C$90:$O$90,scalc_sel_idx)</f>
        <v>326663</v>
      </c>
      <c r="J253" s="124" cm="1">
        <f t="array" ref="J253">INDEX($C$93:$O$93,scalc_sel_idx)</f>
        <v>326663</v>
      </c>
      <c r="L253" s="124">
        <f t="shared" si="15"/>
        <v>0</v>
      </c>
      <c r="M253" s="19" t="str">
        <f t="shared" si="16"/>
        <v>PASS</v>
      </c>
      <c r="P253" s="17"/>
    </row>
    <row r="254" spans="1:19" x14ac:dyDescent="0.2">
      <c r="A254" s="17"/>
      <c r="B254" s="18" t="s">
        <v>142</v>
      </c>
      <c r="H254" s="124" cm="1">
        <f t="array" ref="H254">INDEX($C$93:$O$93,scalc_sel_idx)-INDEX($C$115:$O$115,scalc_sel_idx)</f>
        <v>203425</v>
      </c>
      <c r="J254" s="124" cm="1">
        <f t="array" ref="J254">INDEX($C$118:$O$118,scalc_sel_idx)</f>
        <v>203425</v>
      </c>
      <c r="L254" s="124">
        <f t="shared" si="15"/>
        <v>0</v>
      </c>
      <c r="M254" s="19" t="str">
        <f t="shared" si="16"/>
        <v>PASS</v>
      </c>
      <c r="P254" s="17"/>
    </row>
    <row r="255" spans="1:19" x14ac:dyDescent="0.2">
      <c r="A255" s="17"/>
      <c r="B255" s="18" t="s">
        <v>143</v>
      </c>
      <c r="H255" s="124" cm="1">
        <f t="array" ref="H255">INDEX($C$118:$O$118,scalc_sel_idx)-INDEX($C$122:$O$122,scalc_sel_idx)-INDEX($C$125:$O$125,scalc_sel_idx)-INDEX($C$128:$O$128,scalc_sel_idx)</f>
        <v>164713</v>
      </c>
      <c r="J255" s="124" cm="1">
        <f t="array" ref="J255">INDEX($C$131:$O$131,scalc_sel_idx)</f>
        <v>164713</v>
      </c>
      <c r="L255" s="124">
        <f t="shared" si="15"/>
        <v>0</v>
      </c>
      <c r="M255" s="19" t="str">
        <f t="shared" si="16"/>
        <v>PASS</v>
      </c>
      <c r="P255" s="17"/>
    </row>
    <row r="256" spans="1:19" x14ac:dyDescent="0.2">
      <c r="A256" s="17"/>
      <c r="B256" s="18" t="s">
        <v>144</v>
      </c>
      <c r="H256" s="124" cm="1">
        <f t="array" ref="H256">INDEX($C$148:$O$148,scalc_sel_idx)+INDEX($C$151:$O$151,scalc_sel_idx)+INDEX($C$154:$O$154,scalc_sel_idx)+INDEX($C$157:$O$157,scalc_sel_idx)</f>
        <v>756582</v>
      </c>
      <c r="J256" s="124" cm="1">
        <f t="array" ref="J256">INDEX($C$138:$O$138,scalc_sel_idx)</f>
        <v>756582</v>
      </c>
      <c r="L256" s="124">
        <f t="shared" si="15"/>
        <v>0</v>
      </c>
      <c r="M256" s="19" t="str">
        <f t="shared" si="16"/>
        <v>PASS</v>
      </c>
      <c r="P256" s="17"/>
    </row>
    <row r="257" spans="1:16" x14ac:dyDescent="0.2">
      <c r="A257" s="17"/>
      <c r="B257" s="18" t="s">
        <v>145</v>
      </c>
      <c r="H257" s="124" cm="1">
        <f t="array" ref="H257">INDEX($C$75:$O$75,scalc_sel_idx)+INDEX($C$78:$O$78,scalc_sel_idx)+INDEX($C$81:$O$81,scalc_sel_idx)+INDEX($C$84:$O$84,scalc_sel_idx)+INDEX($C$87:$O$87,scalc_sel_idx)+INDEX($C$93:$O$93,scalc_sel_idx)</f>
        <v>605266</v>
      </c>
      <c r="J257" s="124" cm="1">
        <f t="array" ref="J257">INDEX($C$71:$O$71,scalc_sel_idx)</f>
        <v>605266</v>
      </c>
      <c r="L257" s="124">
        <f t="shared" si="15"/>
        <v>0</v>
      </c>
      <c r="M257" s="19" t="str">
        <f t="shared" si="16"/>
        <v>PASS</v>
      </c>
      <c r="P257" s="17"/>
    </row>
    <row r="258" spans="1:16" x14ac:dyDescent="0.2">
      <c r="A258" s="17"/>
      <c r="B258" s="18" t="s">
        <v>146</v>
      </c>
      <c r="H258" s="124" cm="1">
        <f t="array" ref="H258">INDEX($C$97:$O$97,scalc_sel_idx)+INDEX($C$100:$O$100,scalc_sel_idx)+INDEX($C$103:$O$103,scalc_sel_idx)+INDEX($C$106:$O$106,scalc_sel_idx)+INDEX($C$109:$O$109,scalc_sel_idx)+INDEX($C$112:$O$112,scalc_sel_idx)+INDEX($C$118:$O$118,scalc_sel_idx)</f>
        <v>326663</v>
      </c>
      <c r="J258" s="124" cm="1">
        <f t="array" ref="J258">INDEX($C$93:$O$93,scalc_sel_idx)</f>
        <v>326663</v>
      </c>
      <c r="L258" s="124">
        <f t="shared" si="15"/>
        <v>0</v>
      </c>
      <c r="M258" s="19" t="str">
        <f t="shared" si="16"/>
        <v>PASS</v>
      </c>
      <c r="P258" s="17"/>
    </row>
    <row r="259" spans="1:16" x14ac:dyDescent="0.2">
      <c r="A259" s="17"/>
      <c r="B259" s="18" t="s">
        <v>147</v>
      </c>
      <c r="H259" s="124" cm="1">
        <f t="array" ref="H259">INDEX($C$42:$O$42,scalc_sel_idx)+INDEX($C$45:$O$45,scalc_sel_idx)+INDEX($C$48:$O$48,scalc_sel_idx)+INDEX($C$51:$O$51,scalc_sel_idx)+INDEX($C$54:$O$54,scalc_sel_idx)</f>
        <v>617304</v>
      </c>
      <c r="J259" s="124" cm="1">
        <f t="array" ref="J259">INDEX($C$72:$O$72,scalc_sel_idx)</f>
        <v>617304</v>
      </c>
      <c r="L259" s="124">
        <f t="shared" si="15"/>
        <v>0</v>
      </c>
      <c r="M259" s="19" t="str">
        <f t="shared" si="16"/>
        <v>PASS</v>
      </c>
      <c r="P259" s="17"/>
    </row>
    <row r="260" spans="1:16" x14ac:dyDescent="0.2">
      <c r="A260" s="17"/>
      <c r="B260" s="18" t="s">
        <v>148</v>
      </c>
      <c r="H260" s="124" cm="1">
        <f t="array" ref="H260">INDEX($C$76:$O$76,scalc_sel_idx)+INDEX($C$79:$O$79,scalc_sel_idx)+INDEX($C$82:$O$82,scalc_sel_idx)+INDEX($C$85:$O$85,scalc_sel_idx)+INDEX($C$88:$O$88,scalc_sel_idx)</f>
        <v>273032</v>
      </c>
      <c r="J260" s="124" cm="1">
        <f t="array" ref="J260">INDEX($C$91:$O$91,scalc_sel_idx)</f>
        <v>273032</v>
      </c>
      <c r="L260" s="124">
        <f t="shared" si="15"/>
        <v>0</v>
      </c>
      <c r="M260" s="19" t="str">
        <f t="shared" si="16"/>
        <v>PASS</v>
      </c>
      <c r="P260" s="17"/>
    </row>
    <row r="261" spans="1:16" x14ac:dyDescent="0.2">
      <c r="A261" s="17"/>
      <c r="B261" s="18" t="s">
        <v>149</v>
      </c>
      <c r="H261" s="124" cm="1">
        <f t="array" ref="H261">INDEX($C$98:$O$98,scalc_sel_idx)+INDEX($C$101:$O$101,scalc_sel_idx)+INDEX($C$104:$O$104,scalc_sel_idx)+INDEX($C$107:$O$107,scalc_sel_idx)+INDEX($C$110:$O$110,scalc_sel_idx)+INDEX($C$113:$O$113,scalc_sel_idx)</f>
        <v>123238</v>
      </c>
      <c r="J261" s="124" cm="1">
        <f t="array" ref="J261">INDEX($C$116:$O$116,scalc_sel_idx)</f>
        <v>123238</v>
      </c>
      <c r="L261" s="124">
        <f t="shared" si="15"/>
        <v>0</v>
      </c>
      <c r="M261" s="19" t="str">
        <f t="shared" si="16"/>
        <v>PASS</v>
      </c>
      <c r="P261" s="17"/>
    </row>
    <row r="262" spans="1:16" x14ac:dyDescent="0.2">
      <c r="A262" s="17"/>
      <c r="B262" s="18" t="s">
        <v>150</v>
      </c>
      <c r="H262" s="124" cm="1">
        <f t="array" ref="H262">INDEX($C$72:$O$72,scalc_sel_idx)-INDEX($C$91:$O$91,scalc_sel_idx)</f>
        <v>344272</v>
      </c>
      <c r="J262" s="124" cm="1">
        <f t="array" ref="J262">INDEX($C$94:$O$94,scalc_sel_idx)</f>
        <v>344272</v>
      </c>
      <c r="L262" s="124">
        <f t="shared" si="15"/>
        <v>0</v>
      </c>
      <c r="M262" s="19" t="str">
        <f t="shared" si="16"/>
        <v>PASS</v>
      </c>
      <c r="P262" s="17"/>
    </row>
    <row r="263" spans="1:16" x14ac:dyDescent="0.2">
      <c r="A263" s="17"/>
      <c r="B263" s="18" t="s">
        <v>151</v>
      </c>
      <c r="H263" s="124" cm="1">
        <f t="array" ref="H263">INDEX($C$94:$O$94,scalc_sel_idx)-INDEX($C$116:$O$116,scalc_sel_idx)</f>
        <v>221034</v>
      </c>
      <c r="J263" s="124" cm="1">
        <f t="array" ref="J263">INDEX($C$119:$O$119,scalc_sel_idx)</f>
        <v>221034</v>
      </c>
      <c r="L263" s="124">
        <f t="shared" si="15"/>
        <v>0</v>
      </c>
      <c r="M263" s="19" t="str">
        <f t="shared" si="16"/>
        <v>PASS</v>
      </c>
      <c r="P263" s="17"/>
    </row>
    <row r="264" spans="1:16" x14ac:dyDescent="0.2">
      <c r="A264" s="17"/>
      <c r="B264" s="18" t="s">
        <v>152</v>
      </c>
      <c r="H264" s="124" cm="1">
        <f t="array" ref="H264">INDEX($C$119:$O$119,scalc_sel_idx)-INDEX($C$123:$O$123,scalc_sel_idx)-INDEX($C$126:$O$126,scalc_sel_idx)-INDEX($C$129:$O$129,scalc_sel_idx)</f>
        <v>183497</v>
      </c>
      <c r="J264" s="124" cm="1">
        <f t="array" ref="J264">INDEX($C$132:$O$132,scalc_sel_idx)</f>
        <v>183497</v>
      </c>
      <c r="L264" s="124">
        <f t="shared" si="15"/>
        <v>0</v>
      </c>
      <c r="M264" s="19" t="str">
        <f t="shared" si="16"/>
        <v>PASS</v>
      </c>
      <c r="P264" s="17"/>
    </row>
    <row r="265" spans="1:16" x14ac:dyDescent="0.2">
      <c r="A265" s="17"/>
      <c r="B265" s="18" t="s">
        <v>153</v>
      </c>
      <c r="H265" s="124" cm="1">
        <f t="array" ref="H265">INDEX($C$149:$O$149,scalc_sel_idx)+INDEX($C$152:$O$152,scalc_sel_idx)+INDEX($C$155:$O$155,scalc_sel_idx)+INDEX($C$158:$O$158,scalc_sel_idx)</f>
        <v>756582</v>
      </c>
      <c r="J265" s="124" cm="1">
        <f t="array" ref="J265">INDEX($C$139:$O$139,scalc_sel_idx)</f>
        <v>756582</v>
      </c>
      <c r="L265" s="124">
        <f t="shared" si="15"/>
        <v>0</v>
      </c>
      <c r="M265" s="19" t="str">
        <f t="shared" si="16"/>
        <v>PASS</v>
      </c>
      <c r="P265" s="17"/>
    </row>
    <row r="266" spans="1:16" x14ac:dyDescent="0.2">
      <c r="A266" s="17"/>
      <c r="B266" s="18" t="s">
        <v>154</v>
      </c>
      <c r="H266" s="124" cm="1">
        <f t="array" ref="H266">INDEX($C$43:$O$43,scalc_sel_idx)+INDEX($C$46:$O$46,scalc_sel_idx)+INDEX($C$49:$O$49,scalc_sel_idx)+INDEX($C$52:$O$52,scalc_sel_idx)+INDEX($C$55:$O$55,scalc_sel_idx)</f>
        <v>532526</v>
      </c>
      <c r="J266" s="124" cm="1">
        <f t="array" ref="J266">INDEX($C$73:$O$73,scalc_sel_idx)</f>
        <v>532526</v>
      </c>
      <c r="L266" s="124">
        <f t="shared" si="15"/>
        <v>0</v>
      </c>
      <c r="M266" s="19" t="str">
        <f t="shared" si="16"/>
        <v>PASS</v>
      </c>
      <c r="P266" s="17"/>
    </row>
    <row r="267" spans="1:16" x14ac:dyDescent="0.2">
      <c r="A267" s="17"/>
      <c r="B267" s="18" t="s">
        <v>155</v>
      </c>
      <c r="H267" s="124" cm="1">
        <f t="array" ref="H267">INDEX($C$77:$O$77,scalc_sel_idx)+INDEX($C$80:$O$80,scalc_sel_idx)+INDEX($C$83:$O$83,scalc_sel_idx)+INDEX($C$86:$O$86,scalc_sel_idx)+INDEX($C$89:$O$89,scalc_sel_idx)</f>
        <v>292534</v>
      </c>
      <c r="J267" s="124" cm="1">
        <f t="array" ref="J267">INDEX($C$92:$O$92,scalc_sel_idx)</f>
        <v>292534</v>
      </c>
      <c r="L267" s="124">
        <f t="shared" si="15"/>
        <v>0</v>
      </c>
      <c r="M267" s="19" t="str">
        <f t="shared" si="16"/>
        <v>PASS</v>
      </c>
      <c r="P267" s="17"/>
    </row>
    <row r="268" spans="1:16" x14ac:dyDescent="0.2">
      <c r="A268" s="17"/>
      <c r="B268" s="18" t="s">
        <v>156</v>
      </c>
      <c r="H268" s="124" cm="1">
        <f t="array" ref="H268">INDEX($C$99:$O$99,scalc_sel_idx)+INDEX($C$102:$O$102,scalc_sel_idx)+INDEX($C$105:$O$105,scalc_sel_idx)+INDEX($C$108:$O$108,scalc_sel_idx)+INDEX($C$111:$O$111,scalc_sel_idx)+INDEX($C$114:$O$114,scalc_sel_idx)</f>
        <v>125703</v>
      </c>
      <c r="J268" s="124" cm="1">
        <f t="array" ref="J268">INDEX($C$117:$O$117,scalc_sel_idx)</f>
        <v>125703</v>
      </c>
      <c r="L268" s="124">
        <f t="shared" si="15"/>
        <v>0</v>
      </c>
      <c r="M268" s="19" t="str">
        <f t="shared" si="16"/>
        <v>PASS</v>
      </c>
      <c r="P268" s="17"/>
    </row>
    <row r="269" spans="1:16" x14ac:dyDescent="0.2">
      <c r="A269" s="17"/>
      <c r="B269" s="18" t="s">
        <v>157</v>
      </c>
      <c r="H269" s="124" cm="1">
        <f t="array" ref="H269">INDEX($C$73:$O$73,scalc_sel_idx)-INDEX($C$92:$O$92,scalc_sel_idx)</f>
        <v>239992</v>
      </c>
      <c r="J269" s="124" cm="1">
        <f t="array" ref="J269">INDEX($C$95:$O$95,scalc_sel_idx)</f>
        <v>239992</v>
      </c>
      <c r="L269" s="124">
        <f t="shared" si="15"/>
        <v>0</v>
      </c>
      <c r="M269" s="19" t="str">
        <f t="shared" si="16"/>
        <v>PASS</v>
      </c>
      <c r="P269" s="17"/>
    </row>
    <row r="270" spans="1:16" x14ac:dyDescent="0.2">
      <c r="A270" s="17"/>
      <c r="B270" s="18" t="s">
        <v>158</v>
      </c>
      <c r="H270" s="124" cm="1">
        <f t="array" ref="H270">INDEX($C$95:$O$95,scalc_sel_idx)-INDEX($C$117:$O$117,scalc_sel_idx)</f>
        <v>114289</v>
      </c>
      <c r="J270" s="124" cm="1">
        <f t="array" ref="J270">INDEX($C$120:$O$120,scalc_sel_idx)</f>
        <v>114289</v>
      </c>
      <c r="L270" s="124">
        <f t="shared" si="15"/>
        <v>0</v>
      </c>
      <c r="M270" s="19" t="str">
        <f t="shared" si="16"/>
        <v>PASS</v>
      </c>
      <c r="P270" s="17"/>
    </row>
    <row r="271" spans="1:16" x14ac:dyDescent="0.2">
      <c r="A271" s="17"/>
      <c r="B271" s="18" t="s">
        <v>159</v>
      </c>
      <c r="H271" s="124" cm="1">
        <f t="array" ref="H271">INDEX($C$120:$O$120,scalc_sel_idx)-INDEX($C$124:$O$124,scalc_sel_idx)-INDEX($C$127:$O$127,scalc_sel_idx)-INDEX($C$130:$O$130,scalc_sel_idx)</f>
        <v>80078</v>
      </c>
      <c r="J271" s="124" cm="1">
        <f t="array" ref="J271">INDEX($C$133:$O$133,scalc_sel_idx)</f>
        <v>80078</v>
      </c>
      <c r="L271" s="124">
        <f t="shared" si="15"/>
        <v>0</v>
      </c>
      <c r="M271" s="19" t="str">
        <f t="shared" si="16"/>
        <v>PASS</v>
      </c>
      <c r="P271" s="17"/>
    </row>
    <row r="272" spans="1:16" x14ac:dyDescent="0.2">
      <c r="A272" s="17"/>
      <c r="B272" s="18" t="s">
        <v>160</v>
      </c>
      <c r="H272" s="124" cm="1">
        <f t="array" ref="H272">IF(INDEX($C$56:$O$56,scalc_sel_idx)&gt;0,INDEX($C$41:$O$41,scalc_sel_idx),0)+IF(INDEX($C$59:$O$59,scalc_sel_idx)&gt;0,INDEX($C$44:$O$44,scalc_sel_idx),0)+IF(INDEX($C$62:$O$62,scalc_sel_idx)&gt;0,INDEX($C$47:$O$47,scalc_sel_idx),0)+IF(INDEX($C$65:$O$65,scalc_sel_idx)&gt;0,INDEX($C$50:$O$50,scalc_sel_idx),0)+IF(INDEX($C$68:$O$68,scalc_sel_idx)&gt;0,INDEX($C$53:$O$53,scalc_sel_idx),0)</f>
        <v>544752</v>
      </c>
      <c r="J272" s="124" cm="1">
        <f t="array" ref="J272">INDEX($C$56:$O$56,scalc_sel_idx)*IFERROR(INDEX($C$41:$O$41,scalc_sel_idx)/INDEX($C$56:$O$56,scalc_sel_idx),0)+INDEX($C$59:$O$59,scalc_sel_idx)*IFERROR(INDEX($C$44:$O$44,scalc_sel_idx)/INDEX($C$59:$O$59,scalc_sel_idx),0)+INDEX($C$62:$O$62,scalc_sel_idx)*IFERROR(INDEX($C$47:$O$47,scalc_sel_idx)/INDEX($C$62:$O$62,scalc_sel_idx),0)+INDEX($C$65:$O$65,scalc_sel_idx)*IFERROR(INDEX($C$50:$O$50,scalc_sel_idx)/INDEX($C$65:$O$65,scalc_sel_idx),0)+INDEX($C$68:$O$68,scalc_sel_idx)*IFERROR(INDEX($C$53:$O$53,scalc_sel_idx)/INDEX($C$68:$O$68,scalc_sel_idx),0)</f>
        <v>544752</v>
      </c>
      <c r="L272" s="124">
        <f t="shared" si="15"/>
        <v>0</v>
      </c>
      <c r="M272" s="19" t="str">
        <f t="shared" si="16"/>
        <v>PASS</v>
      </c>
      <c r="P272" s="17"/>
    </row>
    <row r="273" spans="1:16" x14ac:dyDescent="0.2">
      <c r="A273" s="17"/>
      <c r="B273" s="18" t="s">
        <v>161</v>
      </c>
      <c r="H273" s="124" cm="1">
        <f t="array" ref="H273">INDEX($C$56:$O$56,scalc_sel_idx)+INDEX($C$59:$O$59,scalc_sel_idx)+INDEX($C$62:$O$62,scalc_sel_idx)+INDEX($C$65:$O$65,scalc_sel_idx)+INDEX($C$68:$O$68,scalc_sel_idx)</f>
        <v>2866</v>
      </c>
      <c r="J273" s="124" cm="1">
        <f t="array" ref="J273">INDEX($C$164:$O$164,scalc_sel_idx)</f>
        <v>2866</v>
      </c>
      <c r="L273" s="124">
        <f t="shared" si="15"/>
        <v>0</v>
      </c>
      <c r="M273" s="19" t="str">
        <f t="shared" si="16"/>
        <v>PASS</v>
      </c>
      <c r="P273" s="17"/>
    </row>
    <row r="274" spans="1:16" x14ac:dyDescent="0.2">
      <c r="A274" s="17"/>
      <c r="B274" s="18" t="s">
        <v>162</v>
      </c>
      <c r="H274" s="124" cm="1">
        <f t="array" ref="H274">INDEX($C$135:$O$135,scalc_sel_idx)-INDEX($C$135:$O$135,MAX(scalc_sel_idx-1,1))</f>
        <v>43101</v>
      </c>
      <c r="J274" s="124" cm="1">
        <f t="array" ref="J274">IF(scalc_sel_idx=1,INDEX($C$135:$O$135,scalc_sel_idx)-INDEX($C$135:$O$135,scalc_sel_idx),INDEX($C$144:$O$144,scalc_sel_idx))</f>
        <v>43101</v>
      </c>
      <c r="L274" s="124">
        <f t="shared" si="15"/>
        <v>0</v>
      </c>
      <c r="M274" s="19" t="str">
        <f t="shared" si="16"/>
        <v>PASS</v>
      </c>
      <c r="P274" s="17"/>
    </row>
    <row r="275" spans="1:16" x14ac:dyDescent="0.2">
      <c r="A275" s="17"/>
      <c r="P275" s="17"/>
    </row>
    <row r="276" spans="1:16" x14ac:dyDescent="0.2">
      <c r="A276" s="17"/>
      <c r="P276" s="17"/>
    </row>
    <row r="277" spans="1:16" ht="16" x14ac:dyDescent="0.2">
      <c r="A277" s="17"/>
      <c r="B277" s="121" t="s">
        <v>133</v>
      </c>
      <c r="J277" s="123" t="s">
        <v>134</v>
      </c>
      <c r="L277" s="125" t="str">
        <f>IF(COUNTIF(M279:M306,"FAIL")=0,"PASS","FAIL ("&amp;COUNTIF(M279:M306,"FAIL")&amp;")")</f>
        <v>PASS</v>
      </c>
      <c r="P277" s="17"/>
    </row>
    <row r="278" spans="1:16" x14ac:dyDescent="0.2">
      <c r="A278" s="17"/>
      <c r="B278" s="122" t="s">
        <v>135</v>
      </c>
      <c r="H278" s="123" t="s">
        <v>136</v>
      </c>
      <c r="J278" s="123" t="s">
        <v>131</v>
      </c>
      <c r="L278" s="123" t="s">
        <v>137</v>
      </c>
      <c r="M278" s="123" t="s">
        <v>117</v>
      </c>
      <c r="P278" s="17"/>
    </row>
    <row r="279" spans="1:16" x14ac:dyDescent="0.2">
      <c r="A279" s="17"/>
      <c r="B279" s="18" t="s">
        <v>138</v>
      </c>
      <c r="H279" s="124" cm="1">
        <f t="array" ref="H279">INDEX($C$41:$O$41,scalc_sel_idx)+INDEX($C$44:$O$44,scalc_sel_idx)+INDEX($C$47:$O$47,scalc_sel_idx)+INDEX($C$50:$O$50,scalc_sel_idx)+INDEX($C$53:$O$53,scalc_sel_idx)</f>
        <v>605266</v>
      </c>
      <c r="J279" s="124" cm="1">
        <f t="array" ref="J279">INDEX($C$71:$O$71,scalc_sel_idx)</f>
        <v>605266</v>
      </c>
      <c r="L279" s="124">
        <f t="shared" ref="L279:L306" si="17">J279-H279</f>
        <v>0</v>
      </c>
      <c r="M279" s="19" t="str">
        <f t="shared" ref="M279:M306" si="18">IF(ABS(J279-H279)&lt;0.005,"PASS","FAIL")</f>
        <v>PASS</v>
      </c>
      <c r="P279" s="17"/>
    </row>
    <row r="280" spans="1:16" x14ac:dyDescent="0.2">
      <c r="A280" s="17"/>
      <c r="B280" s="18" t="s">
        <v>139</v>
      </c>
      <c r="H280" s="124" cm="1">
        <f t="array" ref="H280">INDEX($C$75:$O$75,scalc_sel_idx)+INDEX($C$78:$O$78,scalc_sel_idx)+INDEX($C$81:$O$81,scalc_sel_idx)+INDEX($C$84:$O$84,scalc_sel_idx)+INDEX($C$87:$O$87,scalc_sel_idx)</f>
        <v>278603</v>
      </c>
      <c r="J280" s="124" cm="1">
        <f t="array" ref="J280">INDEX($C$90:$O$90,scalc_sel_idx)</f>
        <v>278603</v>
      </c>
      <c r="L280" s="124">
        <f t="shared" si="17"/>
        <v>0</v>
      </c>
      <c r="M280" s="19" t="str">
        <f t="shared" si="18"/>
        <v>PASS</v>
      </c>
      <c r="P280" s="17"/>
    </row>
    <row r="281" spans="1:16" x14ac:dyDescent="0.2">
      <c r="A281" s="17"/>
      <c r="B281" s="18" t="s">
        <v>140</v>
      </c>
      <c r="H281" s="124" cm="1">
        <f t="array" ref="H281">INDEX($C$97:$O$97,scalc_sel_idx)+INDEX($C$100:$O$100,scalc_sel_idx)+INDEX($C$103:$O$103,scalc_sel_idx)+INDEX($C$106:$O$106,scalc_sel_idx)+INDEX($C$109:$O$109,scalc_sel_idx)+INDEX($C$112:$O$112,scalc_sel_idx)</f>
        <v>123238</v>
      </c>
      <c r="J281" s="124" cm="1">
        <f t="array" ref="J281">INDEX($C$115:$O$115,scalc_sel_idx)</f>
        <v>123238</v>
      </c>
      <c r="L281" s="124">
        <f t="shared" si="17"/>
        <v>0</v>
      </c>
      <c r="M281" s="19" t="str">
        <f t="shared" si="18"/>
        <v>PASS</v>
      </c>
      <c r="P281" s="17"/>
    </row>
    <row r="282" spans="1:16" x14ac:dyDescent="0.2">
      <c r="A282" s="17"/>
      <c r="B282" s="18" t="s">
        <v>141</v>
      </c>
      <c r="H282" s="124" cm="1">
        <f t="array" ref="H282">INDEX($C$71:$O$71,scalc_sel_idx)-INDEX($C$90:$O$90,scalc_sel_idx)</f>
        <v>326663</v>
      </c>
      <c r="J282" s="124" cm="1">
        <f t="array" ref="J282">INDEX($C$93:$O$93,scalc_sel_idx)</f>
        <v>326663</v>
      </c>
      <c r="L282" s="124">
        <f t="shared" si="17"/>
        <v>0</v>
      </c>
      <c r="M282" s="19" t="str">
        <f t="shared" si="18"/>
        <v>PASS</v>
      </c>
      <c r="P282" s="17"/>
    </row>
    <row r="283" spans="1:16" x14ac:dyDescent="0.2">
      <c r="A283" s="17"/>
      <c r="B283" s="18" t="s">
        <v>142</v>
      </c>
      <c r="H283" s="124" cm="1">
        <f t="array" ref="H283">INDEX($C$93:$O$93,scalc_sel_idx)-INDEX($C$115:$O$115,scalc_sel_idx)</f>
        <v>203425</v>
      </c>
      <c r="J283" s="124" cm="1">
        <f t="array" ref="J283">INDEX($C$118:$O$118,scalc_sel_idx)</f>
        <v>203425</v>
      </c>
      <c r="L283" s="124">
        <f t="shared" si="17"/>
        <v>0</v>
      </c>
      <c r="M283" s="19" t="str">
        <f t="shared" si="18"/>
        <v>PASS</v>
      </c>
      <c r="P283" s="17"/>
    </row>
    <row r="284" spans="1:16" x14ac:dyDescent="0.2">
      <c r="A284" s="17"/>
      <c r="B284" s="18" t="s">
        <v>143</v>
      </c>
      <c r="H284" s="124" cm="1">
        <f t="array" ref="H284">INDEX($C$118:$O$118,scalc_sel_idx)-INDEX($C$122:$O$122,scalc_sel_idx)-INDEX($C$125:$O$125,scalc_sel_idx)-INDEX($C$128:$O$128,scalc_sel_idx)</f>
        <v>164713</v>
      </c>
      <c r="J284" s="124" cm="1">
        <f t="array" ref="J284">INDEX($C$131:$O$131,scalc_sel_idx)</f>
        <v>164713</v>
      </c>
      <c r="L284" s="124">
        <f t="shared" si="17"/>
        <v>0</v>
      </c>
      <c r="M284" s="19" t="str">
        <f t="shared" si="18"/>
        <v>PASS</v>
      </c>
      <c r="P284" s="17"/>
    </row>
    <row r="285" spans="1:16" x14ac:dyDescent="0.2">
      <c r="A285" s="17"/>
      <c r="B285" s="18" t="s">
        <v>144</v>
      </c>
      <c r="H285" s="124" cm="1">
        <f t="array" ref="H285">INDEX($C$148:$O$148,scalc_sel_idx)+INDEX($C$151:$O$151,scalc_sel_idx)+INDEX($C$154:$O$154,scalc_sel_idx)+INDEX($C$157:$O$157,scalc_sel_idx)</f>
        <v>756582</v>
      </c>
      <c r="J285" s="124" cm="1">
        <f t="array" ref="J285">INDEX($C$138:$O$138,scalc_sel_idx)</f>
        <v>756582</v>
      </c>
      <c r="L285" s="124">
        <f t="shared" si="17"/>
        <v>0</v>
      </c>
      <c r="M285" s="19" t="str">
        <f t="shared" si="18"/>
        <v>PASS</v>
      </c>
      <c r="P285" s="17"/>
    </row>
    <row r="286" spans="1:16" x14ac:dyDescent="0.2">
      <c r="A286" s="17"/>
      <c r="B286" s="18" t="s">
        <v>145</v>
      </c>
      <c r="H286" s="124" cm="1">
        <f t="array" ref="H286">INDEX($C$75:$O$75,scalc_sel_idx)+INDEX($C$78:$O$78,scalc_sel_idx)+INDEX($C$81:$O$81,scalc_sel_idx)+INDEX($C$84:$O$84,scalc_sel_idx)+INDEX($C$87:$O$87,scalc_sel_idx)+INDEX($C$93:$O$93,scalc_sel_idx)</f>
        <v>605266</v>
      </c>
      <c r="J286" s="124" cm="1">
        <f t="array" ref="J286">INDEX($C$71:$O$71,scalc_sel_idx)</f>
        <v>605266</v>
      </c>
      <c r="L286" s="124">
        <f t="shared" si="17"/>
        <v>0</v>
      </c>
      <c r="M286" s="19" t="str">
        <f t="shared" si="18"/>
        <v>PASS</v>
      </c>
      <c r="P286" s="17"/>
    </row>
    <row r="287" spans="1:16" x14ac:dyDescent="0.2">
      <c r="A287" s="17"/>
      <c r="B287" s="18" t="s">
        <v>146</v>
      </c>
      <c r="H287" s="124" cm="1">
        <f t="array" ref="H287">INDEX($C$97:$O$97,scalc_sel_idx)+INDEX($C$100:$O$100,scalc_sel_idx)+INDEX($C$103:$O$103,scalc_sel_idx)+INDEX($C$106:$O$106,scalc_sel_idx)+INDEX($C$109:$O$109,scalc_sel_idx)+INDEX($C$112:$O$112,scalc_sel_idx)+INDEX($C$118:$O$118,scalc_sel_idx)</f>
        <v>326663</v>
      </c>
      <c r="J287" s="124" cm="1">
        <f t="array" ref="J287">INDEX($C$93:$O$93,scalc_sel_idx)</f>
        <v>326663</v>
      </c>
      <c r="L287" s="124">
        <f t="shared" si="17"/>
        <v>0</v>
      </c>
      <c r="M287" s="19" t="str">
        <f t="shared" si="18"/>
        <v>PASS</v>
      </c>
      <c r="P287" s="17"/>
    </row>
    <row r="288" spans="1:16" x14ac:dyDescent="0.2">
      <c r="A288" s="17"/>
      <c r="B288" s="18" t="s">
        <v>147</v>
      </c>
      <c r="H288" s="124" cm="1">
        <f t="array" ref="H288">INDEX($C$42:$O$42,scalc_sel_idx)+INDEX($C$45:$O$45,scalc_sel_idx)+INDEX($C$48:$O$48,scalc_sel_idx)+INDEX($C$51:$O$51,scalc_sel_idx)+INDEX($C$54:$O$54,scalc_sel_idx)</f>
        <v>617304</v>
      </c>
      <c r="J288" s="124" cm="1">
        <f t="array" ref="J288">INDEX($C$72:$O$72,scalc_sel_idx)</f>
        <v>617304</v>
      </c>
      <c r="L288" s="124">
        <f t="shared" si="17"/>
        <v>0</v>
      </c>
      <c r="M288" s="19" t="str">
        <f t="shared" si="18"/>
        <v>PASS</v>
      </c>
      <c r="P288" s="17"/>
    </row>
    <row r="289" spans="1:16" x14ac:dyDescent="0.2">
      <c r="A289" s="17"/>
      <c r="B289" s="18" t="s">
        <v>148</v>
      </c>
      <c r="H289" s="124" cm="1">
        <f t="array" ref="H289">INDEX($C$76:$O$76,scalc_sel_idx)+INDEX($C$79:$O$79,scalc_sel_idx)+INDEX($C$82:$O$82,scalc_sel_idx)+INDEX($C$85:$O$85,scalc_sel_idx)+INDEX($C$88:$O$88,scalc_sel_idx)</f>
        <v>273032</v>
      </c>
      <c r="J289" s="124" cm="1">
        <f t="array" ref="J289">INDEX($C$91:$O$91,scalc_sel_idx)</f>
        <v>273032</v>
      </c>
      <c r="L289" s="124">
        <f t="shared" si="17"/>
        <v>0</v>
      </c>
      <c r="M289" s="19" t="str">
        <f t="shared" si="18"/>
        <v>PASS</v>
      </c>
      <c r="P289" s="17"/>
    </row>
    <row r="290" spans="1:16" x14ac:dyDescent="0.2">
      <c r="A290" s="17"/>
      <c r="B290" s="18" t="s">
        <v>149</v>
      </c>
      <c r="H290" s="124" cm="1">
        <f t="array" ref="H290">INDEX($C$98:$O$98,scalc_sel_idx)+INDEX($C$101:$O$101,scalc_sel_idx)+INDEX($C$104:$O$104,scalc_sel_idx)+INDEX($C$107:$O$107,scalc_sel_idx)+INDEX($C$110:$O$110,scalc_sel_idx)+INDEX($C$113:$O$113,scalc_sel_idx)</f>
        <v>123238</v>
      </c>
      <c r="J290" s="124" cm="1">
        <f t="array" ref="J290">INDEX($C$116:$O$116,scalc_sel_idx)</f>
        <v>123238</v>
      </c>
      <c r="L290" s="124">
        <f t="shared" si="17"/>
        <v>0</v>
      </c>
      <c r="M290" s="19" t="str">
        <f t="shared" si="18"/>
        <v>PASS</v>
      </c>
      <c r="P290" s="17"/>
    </row>
    <row r="291" spans="1:16" x14ac:dyDescent="0.2">
      <c r="A291" s="17"/>
      <c r="B291" s="18" t="s">
        <v>150</v>
      </c>
      <c r="H291" s="124" cm="1">
        <f t="array" ref="H291">INDEX($C$72:$O$72,scalc_sel_idx)-INDEX($C$91:$O$91,scalc_sel_idx)</f>
        <v>344272</v>
      </c>
      <c r="J291" s="124" cm="1">
        <f t="array" ref="J291">INDEX($C$94:$O$94,scalc_sel_idx)</f>
        <v>344272</v>
      </c>
      <c r="L291" s="124">
        <f t="shared" si="17"/>
        <v>0</v>
      </c>
      <c r="M291" s="19" t="str">
        <f t="shared" si="18"/>
        <v>PASS</v>
      </c>
      <c r="P291" s="17"/>
    </row>
    <row r="292" spans="1:16" x14ac:dyDescent="0.2">
      <c r="A292" s="17"/>
      <c r="B292" s="18" t="s">
        <v>151</v>
      </c>
      <c r="H292" s="124" cm="1">
        <f t="array" ref="H292">INDEX($C$94:$O$94,scalc_sel_idx)-INDEX($C$116:$O$116,scalc_sel_idx)</f>
        <v>221034</v>
      </c>
      <c r="J292" s="124" cm="1">
        <f t="array" ref="J292">INDEX($C$119:$O$119,scalc_sel_idx)</f>
        <v>221034</v>
      </c>
      <c r="L292" s="124">
        <f t="shared" si="17"/>
        <v>0</v>
      </c>
      <c r="M292" s="19" t="str">
        <f t="shared" si="18"/>
        <v>PASS</v>
      </c>
      <c r="P292" s="17"/>
    </row>
    <row r="293" spans="1:16" x14ac:dyDescent="0.2">
      <c r="A293" s="17"/>
      <c r="B293" s="18" t="s">
        <v>152</v>
      </c>
      <c r="H293" s="124" cm="1">
        <f t="array" ref="H293">INDEX($C$119:$O$119,scalc_sel_idx)-INDEX($C$123:$O$123,scalc_sel_idx)-INDEX($C$126:$O$126,scalc_sel_idx)-INDEX($C$129:$O$129,scalc_sel_idx)</f>
        <v>183497</v>
      </c>
      <c r="J293" s="124" cm="1">
        <f t="array" ref="J293">INDEX($C$132:$O$132,scalc_sel_idx)</f>
        <v>183497</v>
      </c>
      <c r="L293" s="124">
        <f t="shared" si="17"/>
        <v>0</v>
      </c>
      <c r="M293" s="19" t="str">
        <f t="shared" si="18"/>
        <v>PASS</v>
      </c>
      <c r="P293" s="17"/>
    </row>
    <row r="294" spans="1:16" x14ac:dyDescent="0.2">
      <c r="A294" s="17"/>
      <c r="B294" s="18" t="s">
        <v>153</v>
      </c>
      <c r="H294" s="124" cm="1">
        <f t="array" ref="H294">INDEX($C$149:$O$149,scalc_sel_idx)+INDEX($C$152:$O$152,scalc_sel_idx)+INDEX($C$155:$O$155,scalc_sel_idx)+INDEX($C$158:$O$158,scalc_sel_idx)</f>
        <v>756582</v>
      </c>
      <c r="J294" s="124" cm="1">
        <f t="array" ref="J294">INDEX($C$139:$O$139,scalc_sel_idx)</f>
        <v>756582</v>
      </c>
      <c r="L294" s="124">
        <f t="shared" si="17"/>
        <v>0</v>
      </c>
      <c r="M294" s="19" t="str">
        <f t="shared" si="18"/>
        <v>PASS</v>
      </c>
      <c r="P294" s="17"/>
    </row>
    <row r="295" spans="1:16" x14ac:dyDescent="0.2">
      <c r="A295" s="17"/>
      <c r="B295" s="18" t="s">
        <v>154</v>
      </c>
      <c r="H295" s="124" cm="1">
        <f t="array" ref="H295">INDEX($C$43:$O$43,scalc_sel_idx)+INDEX($C$46:$O$46,scalc_sel_idx)+INDEX($C$49:$O$49,scalc_sel_idx)+INDEX($C$52:$O$52,scalc_sel_idx)+INDEX($C$55:$O$55,scalc_sel_idx)</f>
        <v>532526</v>
      </c>
      <c r="J295" s="124" cm="1">
        <f t="array" ref="J295">INDEX($C$73:$O$73,scalc_sel_idx)</f>
        <v>532526</v>
      </c>
      <c r="L295" s="124">
        <f t="shared" si="17"/>
        <v>0</v>
      </c>
      <c r="M295" s="19" t="str">
        <f t="shared" si="18"/>
        <v>PASS</v>
      </c>
      <c r="P295" s="17"/>
    </row>
    <row r="296" spans="1:16" x14ac:dyDescent="0.2">
      <c r="A296" s="17"/>
      <c r="B296" s="18" t="s">
        <v>155</v>
      </c>
      <c r="H296" s="124" cm="1">
        <f t="array" ref="H296">INDEX($C$77:$O$77,scalc_sel_idx)+INDEX($C$80:$O$80,scalc_sel_idx)+INDEX($C$83:$O$83,scalc_sel_idx)+INDEX($C$86:$O$86,scalc_sel_idx)+INDEX($C$89:$O$89,scalc_sel_idx)</f>
        <v>292534</v>
      </c>
      <c r="J296" s="124" cm="1">
        <f t="array" ref="J296">INDEX($C$92:$O$92,scalc_sel_idx)</f>
        <v>292534</v>
      </c>
      <c r="L296" s="124">
        <f t="shared" si="17"/>
        <v>0</v>
      </c>
      <c r="M296" s="19" t="str">
        <f t="shared" si="18"/>
        <v>PASS</v>
      </c>
      <c r="P296" s="17"/>
    </row>
    <row r="297" spans="1:16" x14ac:dyDescent="0.2">
      <c r="A297" s="17"/>
      <c r="B297" s="18" t="s">
        <v>156</v>
      </c>
      <c r="H297" s="124" cm="1">
        <f t="array" ref="H297">INDEX($C$99:$O$99,scalc_sel_idx)+INDEX($C$102:$O$102,scalc_sel_idx)+INDEX($C$105:$O$105,scalc_sel_idx)+INDEX($C$108:$O$108,scalc_sel_idx)+INDEX($C$111:$O$111,scalc_sel_idx)+INDEX($C$114:$O$114,scalc_sel_idx)</f>
        <v>125703</v>
      </c>
      <c r="J297" s="124" cm="1">
        <f t="array" ref="J297">INDEX($C$117:$O$117,scalc_sel_idx)</f>
        <v>125703</v>
      </c>
      <c r="L297" s="124">
        <f t="shared" si="17"/>
        <v>0</v>
      </c>
      <c r="M297" s="19" t="str">
        <f t="shared" si="18"/>
        <v>PASS</v>
      </c>
      <c r="P297" s="17"/>
    </row>
    <row r="298" spans="1:16" x14ac:dyDescent="0.2">
      <c r="A298" s="17"/>
      <c r="B298" s="18" t="s">
        <v>157</v>
      </c>
      <c r="H298" s="124" cm="1">
        <f t="array" ref="H298">INDEX($C$73:$O$73,scalc_sel_idx)-INDEX($C$92:$O$92,scalc_sel_idx)</f>
        <v>239992</v>
      </c>
      <c r="J298" s="124" cm="1">
        <f t="array" ref="J298">INDEX($C$95:$O$95,scalc_sel_idx)</f>
        <v>239992</v>
      </c>
      <c r="L298" s="124">
        <f t="shared" si="17"/>
        <v>0</v>
      </c>
      <c r="M298" s="19" t="str">
        <f t="shared" si="18"/>
        <v>PASS</v>
      </c>
      <c r="P298" s="17"/>
    </row>
    <row r="299" spans="1:16" x14ac:dyDescent="0.2">
      <c r="A299" s="17"/>
      <c r="B299" s="18" t="s">
        <v>158</v>
      </c>
      <c r="H299" s="124" cm="1">
        <f t="array" ref="H299">INDEX($C$95:$O$95,scalc_sel_idx)-INDEX($C$117:$O$117,scalc_sel_idx)</f>
        <v>114289</v>
      </c>
      <c r="J299" s="124" cm="1">
        <f t="array" ref="J299">INDEX($C$120:$O$120,scalc_sel_idx)</f>
        <v>114289</v>
      </c>
      <c r="L299" s="124">
        <f t="shared" si="17"/>
        <v>0</v>
      </c>
      <c r="M299" s="19" t="str">
        <f t="shared" si="18"/>
        <v>PASS</v>
      </c>
      <c r="P299" s="17"/>
    </row>
    <row r="300" spans="1:16" x14ac:dyDescent="0.2">
      <c r="A300" s="17"/>
      <c r="B300" s="18" t="s">
        <v>159</v>
      </c>
      <c r="H300" s="124" cm="1">
        <f t="array" ref="H300">INDEX($C$120:$O$120,scalc_sel_idx)-INDEX($C$124:$O$124,scalc_sel_idx)-INDEX($C$127:$O$127,scalc_sel_idx)-INDEX($C$130:$O$130,scalc_sel_idx)</f>
        <v>80078</v>
      </c>
      <c r="J300" s="124" cm="1">
        <f t="array" ref="J300">INDEX($C$133:$O$133,scalc_sel_idx)</f>
        <v>80078</v>
      </c>
      <c r="L300" s="124">
        <f t="shared" si="17"/>
        <v>0</v>
      </c>
      <c r="M300" s="19" t="str">
        <f t="shared" si="18"/>
        <v>PASS</v>
      </c>
      <c r="P300" s="17"/>
    </row>
    <row r="301" spans="1:16" x14ac:dyDescent="0.2">
      <c r="A301" s="17"/>
      <c r="B301" s="18" t="s">
        <v>160</v>
      </c>
      <c r="H301" s="124" cm="1">
        <f t="array" ref="H301">IF(INDEX($C$56:$O$56,scalc_sel_idx)&gt;0,INDEX($C$41:$O$41,scalc_sel_idx),0)+IF(INDEX($C$59:$O$59,scalc_sel_idx)&gt;0,INDEX($C$44:$O$44,scalc_sel_idx),0)+IF(INDEX($C$62:$O$62,scalc_sel_idx)&gt;0,INDEX($C$47:$O$47,scalc_sel_idx),0)+IF(INDEX($C$65:$O$65,scalc_sel_idx)&gt;0,INDEX($C$50:$O$50,scalc_sel_idx),0)+IF(INDEX($C$68:$O$68,scalc_sel_idx)&gt;0,INDEX($C$53:$O$53,scalc_sel_idx),0)</f>
        <v>544752</v>
      </c>
      <c r="J301" s="124" cm="1">
        <f t="array" ref="J301">INDEX($C$56:$O$56,scalc_sel_idx)*IFERROR(INDEX($C$41:$O$41,scalc_sel_idx)/INDEX($C$56:$O$56,scalc_sel_idx),0)+INDEX($C$59:$O$59,scalc_sel_idx)*IFERROR(INDEX($C$44:$O$44,scalc_sel_idx)/INDEX($C$59:$O$59,scalc_sel_idx),0)+INDEX($C$62:$O$62,scalc_sel_idx)*IFERROR(INDEX($C$47:$O$47,scalc_sel_idx)/INDEX($C$62:$O$62,scalc_sel_idx),0)+INDEX($C$65:$O$65,scalc_sel_idx)*IFERROR(INDEX($C$50:$O$50,scalc_sel_idx)/INDEX($C$65:$O$65,scalc_sel_idx),0)+INDEX($C$68:$O$68,scalc_sel_idx)*IFERROR(INDEX($C$53:$O$53,scalc_sel_idx)/INDEX($C$68:$O$68,scalc_sel_idx),0)</f>
        <v>544752</v>
      </c>
      <c r="L301" s="124">
        <f t="shared" si="17"/>
        <v>0</v>
      </c>
      <c r="M301" s="19" t="str">
        <f t="shared" si="18"/>
        <v>PASS</v>
      </c>
      <c r="P301" s="17"/>
    </row>
    <row r="302" spans="1:16" x14ac:dyDescent="0.2">
      <c r="A302" s="17"/>
      <c r="B302" s="18" t="s">
        <v>161</v>
      </c>
      <c r="H302" s="124" cm="1">
        <f t="array" ref="H302">INDEX($C$56:$O$56,scalc_sel_idx)+INDEX($C$59:$O$59,scalc_sel_idx)+INDEX($C$62:$O$62,scalc_sel_idx)+INDEX($C$65:$O$65,scalc_sel_idx)+INDEX($C$68:$O$68,scalc_sel_idx)</f>
        <v>2866</v>
      </c>
      <c r="J302" s="124" cm="1">
        <f t="array" ref="J302">INDEX($C$164:$O$164,scalc_sel_idx)</f>
        <v>2866</v>
      </c>
      <c r="L302" s="124">
        <f t="shared" si="17"/>
        <v>0</v>
      </c>
      <c r="M302" s="19" t="str">
        <f t="shared" si="18"/>
        <v>PASS</v>
      </c>
      <c r="P302" s="17"/>
    </row>
    <row r="303" spans="1:16" x14ac:dyDescent="0.2">
      <c r="A303" s="17"/>
      <c r="B303" s="18" t="s">
        <v>166</v>
      </c>
      <c r="H303" s="124">
        <f>SUMIFS($C$71:$O$71,scalc_dates,"&gt;="&amp;scalc_fy_start_date,scalc_dates,"&lt;="&amp;scalc_sel_date)</f>
        <v>6601542</v>
      </c>
      <c r="J303" s="124">
        <f>SUMIFS($C$71:$O$71,scalc_dates,"&gt;="&amp;scalc_fy_start_date,scalc_dates,"&lt;="&amp;scalc_sel_date)</f>
        <v>6601542</v>
      </c>
      <c r="L303" s="124">
        <f t="shared" si="17"/>
        <v>0</v>
      </c>
      <c r="M303" s="19" t="str">
        <f t="shared" si="18"/>
        <v>PASS</v>
      </c>
      <c r="P303" s="17"/>
    </row>
    <row r="304" spans="1:16" x14ac:dyDescent="0.2">
      <c r="A304" s="17"/>
      <c r="B304" s="18" t="s">
        <v>167</v>
      </c>
      <c r="H304" s="124">
        <f>SUMIFS($C$118:$O$118,scalc_dates,"&gt;="&amp;scalc_fy_start_date,scalc_dates,"&lt;="&amp;scalc_sel_date)</f>
        <v>2080884</v>
      </c>
      <c r="J304" s="124">
        <f>SUMIFS($C$118:$O$118,scalc_dates,"&gt;="&amp;scalc_fy_start_date,scalc_dates,"&lt;="&amp;scalc_sel_date)</f>
        <v>2080884</v>
      </c>
      <c r="L304" s="124">
        <f t="shared" si="17"/>
        <v>0</v>
      </c>
      <c r="M304" s="19" t="str">
        <f t="shared" si="18"/>
        <v>PASS</v>
      </c>
      <c r="P304" s="17"/>
    </row>
    <row r="305" spans="1:16" x14ac:dyDescent="0.2">
      <c r="A305" s="17"/>
      <c r="B305" s="18" t="s">
        <v>168</v>
      </c>
      <c r="H305" s="124">
        <f>SUMIFS($C$131:$O$131,scalc_dates,"&gt;="&amp;scalc_fy_start_date,scalc_dates,"&lt;="&amp;scalc_sel_date)</f>
        <v>1654499</v>
      </c>
      <c r="J305" s="124">
        <f>SUMIFS($C$131:$O$131,scalc_dates,"&gt;="&amp;scalc_fy_start_date,scalc_dates,"&lt;="&amp;scalc_sel_date)</f>
        <v>1654499</v>
      </c>
      <c r="L305" s="124">
        <f t="shared" si="17"/>
        <v>0</v>
      </c>
      <c r="M305" s="19" t="str">
        <f t="shared" si="18"/>
        <v>PASS</v>
      </c>
      <c r="P305" s="17"/>
    </row>
    <row r="306" spans="1:16" x14ac:dyDescent="0.2">
      <c r="A306" s="17"/>
      <c r="B306" s="18" t="s">
        <v>169</v>
      </c>
      <c r="H306" s="124">
        <f>1</f>
        <v>1</v>
      </c>
      <c r="J306" s="124">
        <f>IF(AND(scalc_sel_date&gt;=scalc_fy_start_date,scalc_sel_date&lt;EDATE(scalc_fy_start_date,12)),1,0)</f>
        <v>1</v>
      </c>
      <c r="L306" s="124">
        <f t="shared" si="17"/>
        <v>0</v>
      </c>
      <c r="M306" s="19" t="str">
        <f t="shared" si="18"/>
        <v>PASS</v>
      </c>
      <c r="P306" s="17"/>
    </row>
    <row r="307" spans="1:16" x14ac:dyDescent="0.2">
      <c r="A307" s="17"/>
      <c r="P307" s="17"/>
    </row>
    <row r="308" spans="1:16" x14ac:dyDescent="0.2">
      <c r="A308" s="17"/>
      <c r="P308" s="17"/>
    </row>
    <row r="309" spans="1:16" x14ac:dyDescent="0.2">
      <c r="A309" s="17"/>
      <c r="B309" s="17"/>
      <c r="C309" s="17"/>
      <c r="D309" s="17"/>
      <c r="E309" s="17"/>
      <c r="F309" s="17"/>
      <c r="G309" s="17"/>
      <c r="H309" s="17"/>
      <c r="I309" s="17"/>
      <c r="J309" s="17"/>
      <c r="K309" s="17"/>
      <c r="L309" s="17"/>
      <c r="M309" s="17"/>
      <c r="N309" s="17"/>
      <c r="O309" s="17"/>
      <c r="P309" s="17"/>
    </row>
  </sheetData>
  <conditionalFormatting sqref="E225:E234">
    <cfRule type="cellIs" dxfId="25" priority="1" operator="equal">
      <formula>"Open"</formula>
    </cfRule>
    <cfRule type="cellIs" dxfId="24" priority="2" operator="equal">
      <formula>"In progress"</formula>
    </cfRule>
    <cfRule type="cellIs" dxfId="23" priority="3" operator="equal">
      <formula>"Closed"</formula>
    </cfRule>
  </conditionalFormatting>
  <conditionalFormatting sqref="E238:E245">
    <cfRule type="cellIs" dxfId="22" priority="4" operator="equal">
      <formula>"Critical"</formula>
    </cfRule>
    <cfRule type="cellIs" dxfId="21" priority="5" operator="equal">
      <formula>"High"</formula>
    </cfRule>
    <cfRule type="cellIs" dxfId="20" priority="6" operator="equal">
      <formula>"Medium"</formula>
    </cfRule>
    <cfRule type="cellIs" dxfId="19" priority="7" operator="equal">
      <formula>"Low"</formula>
    </cfRule>
  </conditionalFormatting>
  <dataValidations count="4">
    <dataValidation type="list" allowBlank="1" sqref="E238:E245" xr:uid="{23CD5682-883D-844D-AF28-ADA0B36A53BA}">
      <formula1>"Low,Medium,High,Critical"</formula1>
    </dataValidation>
    <dataValidation type="list" allowBlank="1" sqref="C225:C234 F225:F234 C238:C245" xr:uid="{5D5E8C86-EB01-D044-8446-3B90CCF8D971}">
      <formula1>$C$30:$O$30</formula1>
    </dataValidation>
    <dataValidation type="list" allowBlank="1" sqref="E225:E234" xr:uid="{4C78B6A7-D90B-AF42-87FB-2865E1DA6AFE}">
      <formula1>"Open,In progress,Closed"</formula1>
    </dataValidation>
    <dataValidation type="list" sqref="C7" xr:uid="{49B2A077-67B1-2444-8932-AAD2F3556C1F}">
      <formula1>"AU,NZ,US"</formula1>
    </dataValidation>
  </dataValidation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D5257-3FC6-9847-9170-0D3622E7A7EF}">
  <sheetPr>
    <tabColor rgb="FF8896B3"/>
    <pageSetUpPr fitToPage="1"/>
  </sheetPr>
  <dimension ref="A1:BW90"/>
  <sheetViews>
    <sheetView showGridLines="0" zoomScale="150" zoomScaleNormal="150" workbookViewId="0">
      <selection activeCell="BM13" sqref="BM13"/>
    </sheetView>
  </sheetViews>
  <sheetFormatPr baseColWidth="10" defaultRowHeight="15" x14ac:dyDescent="0.2"/>
  <cols>
    <col min="1" max="1" width="2.33203125" style="130" customWidth="1"/>
    <col min="2" max="2" width="1.33203125" style="130" customWidth="1"/>
    <col min="3" max="64" width="3.5" style="130" customWidth="1"/>
    <col min="65" max="16384" width="10.83203125" style="130"/>
  </cols>
  <sheetData>
    <row r="1" spans="1:68" ht="15" customHeight="1" x14ac:dyDescent="0.2">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P1" s="131">
        <f>IFERROR(MATCH(AW2,'Sample Data'!$C$30:$O$30,0),13)</f>
        <v>13</v>
      </c>
    </row>
    <row r="2" spans="1:68" ht="14" customHeight="1" x14ac:dyDescent="0.2">
      <c r="A2" s="16"/>
      <c r="B2" s="16"/>
      <c r="C2" s="21" t="s">
        <v>248</v>
      </c>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31" t="s">
        <v>305</v>
      </c>
      <c r="AU2" s="16"/>
      <c r="AV2" s="16"/>
      <c r="AW2" s="75" t="s">
        <v>304</v>
      </c>
      <c r="AX2" s="16"/>
      <c r="AY2" s="16"/>
      <c r="AZ2" s="16"/>
      <c r="BA2" s="16"/>
      <c r="BB2" s="170" t="str">
        <f>UPPER(sinp_region)&amp;"  ·  "&amp;TEXT($BP$2,"mmm-yy")</f>
        <v>AU  ·  Jun-26</v>
      </c>
      <c r="BC2" s="170"/>
      <c r="BD2" s="170"/>
      <c r="BE2" s="170"/>
      <c r="BF2" s="170"/>
      <c r="BG2" s="170"/>
      <c r="BH2" s="170"/>
      <c r="BI2" s="170"/>
      <c r="BJ2" s="170"/>
      <c r="BK2" s="170"/>
      <c r="BL2" s="170"/>
      <c r="BM2" s="16"/>
      <c r="BN2" s="16"/>
      <c r="BP2" s="131" cm="1">
        <f t="array" ref="BP2">INDEX(scalc_dates,$BP$1)</f>
        <v>46174</v>
      </c>
    </row>
    <row r="3" spans="1:68" ht="30" customHeight="1" x14ac:dyDescent="0.4">
      <c r="A3" s="16"/>
      <c r="B3" s="16"/>
      <c r="C3" s="22" t="s">
        <v>249</v>
      </c>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71" t="str">
        <f>TEXT($BP$2,"mmmm yyyy")</f>
        <v>June 2026</v>
      </c>
      <c r="BC3" s="171"/>
      <c r="BD3" s="171"/>
      <c r="BE3" s="171"/>
      <c r="BF3" s="171"/>
      <c r="BG3" s="171"/>
      <c r="BH3" s="171"/>
      <c r="BI3" s="171"/>
      <c r="BJ3" s="171"/>
      <c r="BK3" s="171"/>
      <c r="BL3" s="171"/>
      <c r="BM3" s="16"/>
      <c r="BN3" s="16"/>
    </row>
    <row r="4" spans="1:68" ht="18" customHeight="1" x14ac:dyDescent="0.2">
      <c r="A4" s="16"/>
      <c r="B4" s="16"/>
      <c r="C4" s="24" t="str" cm="1">
        <f t="array" ref="C4">"EBITDA "&amp;TEXT(INDEX('Sample Data'!$C$118:$O$118,$BP$1),"$#,##0")&amp;" · "&amp;TEXT(INDEX('Sample Data'!$C$118:$O$118,$BP$1)-INDEX('Sample Data'!$C$119:$O$119,$BP$1),"+$#,##0;-$#,##0")&amp;" vs plan        Cash "&amp;TEXT(INDEX('Sample Data'!$C$135:$O$135,$BP$1),"$#,##0")&amp;"        Gross margin "&amp;TEXT(INDEX('Sample Data'!$C$93:$O$93,$BP$1)/INDEX('Sample Data'!$C$71:$O$71,$BP$1),"0.0%")</f>
        <v>EBITDA $203,425 · -$17,609 vs plan        Cash $873,324        Gross margin 54.0%</v>
      </c>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72" t="str">
        <f>IF(smst_pass="PASS","● RECONCILED TO LEDGER","● CHECK "&amp;smst_pass)</f>
        <v>● RECONCILED TO LEDGER</v>
      </c>
      <c r="BC4" s="172"/>
      <c r="BD4" s="172"/>
      <c r="BE4" s="172"/>
      <c r="BF4" s="172"/>
      <c r="BG4" s="172"/>
      <c r="BH4" s="172"/>
      <c r="BI4" s="172"/>
      <c r="BJ4" s="172"/>
      <c r="BK4" s="172"/>
      <c r="BL4" s="172"/>
      <c r="BM4" s="16"/>
      <c r="BN4" s="16"/>
    </row>
    <row r="5" spans="1:68" ht="10" customHeight="1" x14ac:dyDescent="0.2">
      <c r="A5" s="16"/>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row>
    <row r="6" spans="1:68" ht="15" customHeight="1" thickBot="1" x14ac:dyDescent="0.25">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row>
    <row r="7" spans="1:68" ht="15" customHeight="1" x14ac:dyDescent="0.2">
      <c r="A7" s="16"/>
      <c r="B7" s="16"/>
      <c r="C7" s="187" t="s">
        <v>127</v>
      </c>
      <c r="D7" s="188"/>
      <c r="E7" s="188"/>
      <c r="F7" s="188"/>
      <c r="G7" s="188"/>
      <c r="H7" s="188"/>
      <c r="I7" s="188"/>
      <c r="J7" s="188"/>
      <c r="K7" s="188"/>
      <c r="L7" s="188"/>
      <c r="M7" s="16"/>
      <c r="N7" s="187" t="s">
        <v>256</v>
      </c>
      <c r="O7" s="188"/>
      <c r="P7" s="188"/>
      <c r="Q7" s="188"/>
      <c r="R7" s="188"/>
      <c r="S7" s="188"/>
      <c r="T7" s="188"/>
      <c r="U7" s="188"/>
      <c r="V7" s="188"/>
      <c r="W7" s="188"/>
      <c r="X7" s="16"/>
      <c r="Y7" s="187" t="s">
        <v>71</v>
      </c>
      <c r="Z7" s="188"/>
      <c r="AA7" s="188"/>
      <c r="AB7" s="188"/>
      <c r="AC7" s="188"/>
      <c r="AD7" s="188"/>
      <c r="AE7" s="188"/>
      <c r="AF7" s="188"/>
      <c r="AG7" s="188"/>
      <c r="AH7" s="188"/>
      <c r="AI7" s="16"/>
      <c r="AJ7" s="187" t="s">
        <v>128</v>
      </c>
      <c r="AK7" s="188"/>
      <c r="AL7" s="188"/>
      <c r="AM7" s="188"/>
      <c r="AN7" s="188"/>
      <c r="AO7" s="188"/>
      <c r="AP7" s="188"/>
      <c r="AQ7" s="188"/>
      <c r="AR7" s="188"/>
      <c r="AS7" s="188"/>
      <c r="AT7" s="16"/>
      <c r="AU7" s="187" t="s">
        <v>129</v>
      </c>
      <c r="AV7" s="188"/>
      <c r="AW7" s="188"/>
      <c r="AX7" s="188"/>
      <c r="AY7" s="188"/>
      <c r="AZ7" s="188"/>
      <c r="BA7" s="188"/>
      <c r="BB7" s="188"/>
      <c r="BC7" s="188"/>
      <c r="BD7" s="188"/>
      <c r="BE7" s="16"/>
      <c r="BF7" s="187" t="s">
        <v>250</v>
      </c>
      <c r="BG7" s="188"/>
      <c r="BH7" s="188"/>
      <c r="BI7" s="188"/>
      <c r="BJ7" s="188"/>
      <c r="BK7" s="188"/>
      <c r="BL7" s="188"/>
      <c r="BM7" s="16"/>
      <c r="BN7" s="16"/>
    </row>
    <row r="8" spans="1:68" ht="26" customHeight="1" x14ac:dyDescent="0.3">
      <c r="A8" s="16"/>
      <c r="B8" s="16"/>
      <c r="C8" s="177" cm="1">
        <f t="array" ref="C8">INDEX('Sample Data'!$C$71:$O$71,$BP$1)</f>
        <v>605266</v>
      </c>
      <c r="D8" s="178"/>
      <c r="E8" s="178"/>
      <c r="F8" s="178"/>
      <c r="G8" s="178"/>
      <c r="H8" s="178"/>
      <c r="I8" s="178"/>
      <c r="J8" s="178"/>
      <c r="K8" s="178"/>
      <c r="L8" s="178"/>
      <c r="M8" s="16"/>
      <c r="N8" s="179" cm="1">
        <f t="array" ref="N8">INDEX('Sample Data'!$C$93:$O$93,$BP$1)/INDEX('Sample Data'!$C$71:$O$71,$BP$1)</f>
        <v>0.53970155270575249</v>
      </c>
      <c r="O8" s="180"/>
      <c r="P8" s="180"/>
      <c r="Q8" s="180"/>
      <c r="R8" s="180"/>
      <c r="S8" s="180"/>
      <c r="T8" s="180"/>
      <c r="U8" s="180"/>
      <c r="V8" s="180"/>
      <c r="W8" s="180"/>
      <c r="X8" s="16"/>
      <c r="Y8" s="177" cm="1">
        <f t="array" ref="Y8">INDEX('Sample Data'!$C$118:$O$118,$BP$1)</f>
        <v>203425</v>
      </c>
      <c r="Z8" s="178"/>
      <c r="AA8" s="178"/>
      <c r="AB8" s="178"/>
      <c r="AC8" s="178"/>
      <c r="AD8" s="178"/>
      <c r="AE8" s="178"/>
      <c r="AF8" s="178"/>
      <c r="AG8" s="178"/>
      <c r="AH8" s="178"/>
      <c r="AI8" s="16"/>
      <c r="AJ8" s="177" cm="1">
        <f t="array" ref="AJ8">INDEX('Sample Data'!$C$131:$O$131,$BP$1)</f>
        <v>164713</v>
      </c>
      <c r="AK8" s="178"/>
      <c r="AL8" s="178"/>
      <c r="AM8" s="178"/>
      <c r="AN8" s="178"/>
      <c r="AO8" s="178"/>
      <c r="AP8" s="178"/>
      <c r="AQ8" s="178"/>
      <c r="AR8" s="178"/>
      <c r="AS8" s="178"/>
      <c r="AT8" s="16"/>
      <c r="AU8" s="177" cm="1">
        <f t="array" ref="AU8">INDEX('Sample Data'!$C$135:$O$135,$BP$1)</f>
        <v>873324</v>
      </c>
      <c r="AV8" s="178"/>
      <c r="AW8" s="178"/>
      <c r="AX8" s="178"/>
      <c r="AY8" s="178"/>
      <c r="AZ8" s="178"/>
      <c r="BA8" s="178"/>
      <c r="BB8" s="178"/>
      <c r="BC8" s="178"/>
      <c r="BD8" s="178"/>
      <c r="BE8" s="16"/>
      <c r="BF8" s="189" cm="1">
        <f t="array" ref="BF8">INDEX('Sample Data'!$C$138:$O$138,$BP$1)/INDEX('Sample Data'!$C$71:$O$71,$BP$1)*30</f>
        <v>37.499975217507675</v>
      </c>
      <c r="BG8" s="181"/>
      <c r="BH8" s="181"/>
      <c r="BI8" s="181"/>
      <c r="BJ8" s="181"/>
      <c r="BK8" s="181"/>
      <c r="BL8" s="181"/>
      <c r="BM8" s="16"/>
      <c r="BN8" s="16"/>
    </row>
    <row r="9" spans="1:68" ht="15" customHeight="1" x14ac:dyDescent="0.2">
      <c r="A9" s="16"/>
      <c r="B9" s="16"/>
      <c r="C9" s="182" t="str" cm="1">
        <f t="array" ref="C9">TEXT(INDEX('Sample Data'!$C$71:$O$71,$BP$1)/INDEX('Sample Data'!$C$72:$O$72,$BP$1)-1,"+0.0%;-0.0%")&amp;" vs plan"</f>
        <v>-2.0% vs plan</v>
      </c>
      <c r="D9" s="183"/>
      <c r="E9" s="183"/>
      <c r="F9" s="183"/>
      <c r="G9" s="183"/>
      <c r="H9" s="183"/>
      <c r="I9" s="183"/>
      <c r="J9" s="183"/>
      <c r="K9" s="183"/>
      <c r="L9" s="183"/>
      <c r="M9" s="16"/>
      <c r="N9" s="182" t="str" cm="1">
        <f t="array" ref="N9">TEXT(INDEX('Sample Data'!$C$93:$O$93,$BP$1)/INDEX('Sample Data'!$C$71:$O$71,$BP$1)-INDEX('Sample Data'!$C$94:$O$94,$BP$1)/INDEX('Sample Data'!$C$72:$O$72,$BP$1),"+0.0pp;-0.0pp")&amp;" vs plan"</f>
        <v>-0.0pp vs plan</v>
      </c>
      <c r="O9" s="183"/>
      <c r="P9" s="183"/>
      <c r="Q9" s="183"/>
      <c r="R9" s="183"/>
      <c r="S9" s="183"/>
      <c r="T9" s="183"/>
      <c r="U9" s="183"/>
      <c r="V9" s="183"/>
      <c r="W9" s="183"/>
      <c r="X9" s="16"/>
      <c r="Y9" s="182" t="str" cm="1">
        <f t="array" ref="Y9">TEXT(INDEX('Sample Data'!$C$118:$O$118,$BP$1)-INDEX('Sample Data'!$C$119:$O$119,$BP$1),"+$#,##0;-$#,##0")&amp;" vs plan"</f>
        <v>-$17,609 vs plan</v>
      </c>
      <c r="Z9" s="183"/>
      <c r="AA9" s="183"/>
      <c r="AB9" s="183"/>
      <c r="AC9" s="183"/>
      <c r="AD9" s="183"/>
      <c r="AE9" s="183"/>
      <c r="AF9" s="183"/>
      <c r="AG9" s="183"/>
      <c r="AH9" s="183"/>
      <c r="AI9" s="16"/>
      <c r="AJ9" s="182" t="str" cm="1">
        <f t="array" ref="AJ9">TEXT(INDEX('Sample Data'!$C$131:$O$131,$BP$1)-INDEX('Sample Data'!$C$132:$O$132,$BP$1),"+$#,##0;-$#,##0")&amp;" vs plan"</f>
        <v>-$18,784 vs plan</v>
      </c>
      <c r="AK9" s="183"/>
      <c r="AL9" s="183"/>
      <c r="AM9" s="183"/>
      <c r="AN9" s="183"/>
      <c r="AO9" s="183"/>
      <c r="AP9" s="183"/>
      <c r="AQ9" s="183"/>
      <c r="AR9" s="183"/>
      <c r="AS9" s="183"/>
      <c r="AT9" s="16"/>
      <c r="AU9" s="184" t="str" cm="1">
        <f t="array" ref="AU9">TEXT(INDEX('Sample Data'!$C$135:$O$135,$BP$1)-INDEX('Sample Data'!$C$135:$O$135,$BP$1-1),"+$#,##0;-$#,##0")&amp;" MoM"</f>
        <v>+$43,101 MoM</v>
      </c>
      <c r="AV9" s="185"/>
      <c r="AW9" s="185"/>
      <c r="AX9" s="185"/>
      <c r="AY9" s="185"/>
      <c r="AZ9" s="185"/>
      <c r="BA9" s="185"/>
      <c r="BB9" s="185"/>
      <c r="BC9" s="185"/>
      <c r="BD9" s="185"/>
      <c r="BE9" s="16"/>
      <c r="BF9" s="175" t="s">
        <v>257</v>
      </c>
      <c r="BG9" s="176"/>
      <c r="BH9" s="176"/>
      <c r="BI9" s="176"/>
      <c r="BJ9" s="176"/>
      <c r="BK9" s="176"/>
      <c r="BL9" s="176"/>
      <c r="BM9" s="16"/>
      <c r="BN9" s="16"/>
    </row>
    <row r="10" spans="1:68" ht="15" customHeight="1" x14ac:dyDescent="0.2">
      <c r="A10" s="16"/>
      <c r="B10" s="16"/>
      <c r="C10" s="27"/>
      <c r="D10" s="27"/>
      <c r="E10" s="27"/>
      <c r="F10" s="27"/>
      <c r="G10" s="27"/>
      <c r="H10" s="27"/>
      <c r="I10" s="27"/>
      <c r="J10" s="27"/>
      <c r="K10" s="27"/>
      <c r="L10" s="27"/>
      <c r="M10" s="16"/>
      <c r="N10" s="27"/>
      <c r="O10" s="27"/>
      <c r="P10" s="27"/>
      <c r="Q10" s="27"/>
      <c r="R10" s="27"/>
      <c r="S10" s="27"/>
      <c r="T10" s="27"/>
      <c r="U10" s="27"/>
      <c r="V10" s="27"/>
      <c r="W10" s="27"/>
      <c r="X10" s="16"/>
      <c r="Y10" s="27"/>
      <c r="Z10" s="27"/>
      <c r="AA10" s="27"/>
      <c r="AB10" s="27"/>
      <c r="AC10" s="27"/>
      <c r="AD10" s="27"/>
      <c r="AE10" s="27"/>
      <c r="AF10" s="27"/>
      <c r="AG10" s="27"/>
      <c r="AH10" s="27"/>
      <c r="AI10" s="16"/>
      <c r="AJ10" s="27"/>
      <c r="AK10" s="27"/>
      <c r="AL10" s="27"/>
      <c r="AM10" s="27"/>
      <c r="AN10" s="27"/>
      <c r="AO10" s="27"/>
      <c r="AP10" s="27"/>
      <c r="AQ10" s="27"/>
      <c r="AR10" s="27"/>
      <c r="AS10" s="27"/>
      <c r="AT10" s="16"/>
      <c r="AU10" s="27"/>
      <c r="AV10" s="27"/>
      <c r="AW10" s="27"/>
      <c r="AX10" s="27"/>
      <c r="AY10" s="27"/>
      <c r="AZ10" s="27"/>
      <c r="BA10" s="27"/>
      <c r="BB10" s="27"/>
      <c r="BC10" s="27"/>
      <c r="BD10" s="27"/>
      <c r="BE10" s="16"/>
      <c r="BF10" s="27"/>
      <c r="BG10" s="27"/>
      <c r="BH10" s="27"/>
      <c r="BI10" s="27"/>
      <c r="BJ10" s="27"/>
      <c r="BK10" s="27"/>
      <c r="BL10" s="27"/>
      <c r="BM10" s="16"/>
      <c r="BN10" s="16"/>
    </row>
    <row r="11" spans="1:68" ht="15" customHeight="1" x14ac:dyDescent="0.2">
      <c r="A11" s="16"/>
      <c r="B11" s="16"/>
      <c r="C11" s="27"/>
      <c r="D11" s="27"/>
      <c r="E11" s="27"/>
      <c r="F11" s="27"/>
      <c r="G11" s="27"/>
      <c r="H11" s="27"/>
      <c r="I11" s="27"/>
      <c r="J11" s="27"/>
      <c r="K11" s="27"/>
      <c r="L11" s="27"/>
      <c r="M11" s="16"/>
      <c r="N11" s="27"/>
      <c r="O11" s="27"/>
      <c r="P11" s="27"/>
      <c r="Q11" s="27"/>
      <c r="R11" s="27"/>
      <c r="S11" s="27"/>
      <c r="T11" s="27"/>
      <c r="U11" s="27"/>
      <c r="V11" s="27"/>
      <c r="W11" s="27"/>
      <c r="X11" s="16"/>
      <c r="Y11" s="27"/>
      <c r="Z11" s="27"/>
      <c r="AA11" s="27"/>
      <c r="AB11" s="27"/>
      <c r="AC11" s="27"/>
      <c r="AD11" s="27"/>
      <c r="AE11" s="27"/>
      <c r="AF11" s="27"/>
      <c r="AG11" s="27"/>
      <c r="AH11" s="27"/>
      <c r="AI11" s="16"/>
      <c r="AJ11" s="27"/>
      <c r="AK11" s="27"/>
      <c r="AL11" s="27"/>
      <c r="AM11" s="27"/>
      <c r="AN11" s="27"/>
      <c r="AO11" s="27"/>
      <c r="AP11" s="27"/>
      <c r="AQ11" s="27"/>
      <c r="AR11" s="27"/>
      <c r="AS11" s="27"/>
      <c r="AT11" s="16"/>
      <c r="AU11" s="27"/>
      <c r="AV11" s="27"/>
      <c r="AW11" s="27"/>
      <c r="AX11" s="27"/>
      <c r="AY11" s="27"/>
      <c r="AZ11" s="27"/>
      <c r="BA11" s="27"/>
      <c r="BB11" s="27"/>
      <c r="BC11" s="27"/>
      <c r="BD11" s="27"/>
      <c r="BE11" s="16"/>
      <c r="BF11" s="27"/>
      <c r="BG11" s="27"/>
      <c r="BH11" s="27"/>
      <c r="BI11" s="27"/>
      <c r="BJ11" s="27"/>
      <c r="BK11" s="27"/>
      <c r="BL11" s="27"/>
      <c r="BM11" s="16"/>
      <c r="BN11" s="16"/>
    </row>
    <row r="12" spans="1:68" ht="15" customHeight="1" x14ac:dyDescent="0.2">
      <c r="A12" s="16"/>
      <c r="B12" s="16"/>
      <c r="C12" s="27"/>
      <c r="D12" s="27"/>
      <c r="E12" s="27"/>
      <c r="F12" s="27"/>
      <c r="G12" s="27"/>
      <c r="H12" s="27"/>
      <c r="I12" s="27"/>
      <c r="J12" s="27"/>
      <c r="K12" s="27"/>
      <c r="L12" s="27"/>
      <c r="M12" s="16"/>
      <c r="N12" s="27"/>
      <c r="O12" s="27"/>
      <c r="P12" s="27"/>
      <c r="Q12" s="27"/>
      <c r="R12" s="27"/>
      <c r="S12" s="27"/>
      <c r="T12" s="27"/>
      <c r="U12" s="27"/>
      <c r="V12" s="27"/>
      <c r="W12" s="27"/>
      <c r="X12" s="16"/>
      <c r="Y12" s="27"/>
      <c r="Z12" s="27"/>
      <c r="AA12" s="27"/>
      <c r="AB12" s="27"/>
      <c r="AC12" s="27"/>
      <c r="AD12" s="27"/>
      <c r="AE12" s="27"/>
      <c r="AF12" s="27"/>
      <c r="AG12" s="27"/>
      <c r="AH12" s="27"/>
      <c r="AI12" s="16"/>
      <c r="AJ12" s="27"/>
      <c r="AK12" s="27"/>
      <c r="AL12" s="27"/>
      <c r="AM12" s="27"/>
      <c r="AN12" s="27"/>
      <c r="AO12" s="27"/>
      <c r="AP12" s="27"/>
      <c r="AQ12" s="27"/>
      <c r="AR12" s="27"/>
      <c r="AS12" s="27"/>
      <c r="AT12" s="16"/>
      <c r="AU12" s="27"/>
      <c r="AV12" s="27"/>
      <c r="AW12" s="27"/>
      <c r="AX12" s="27"/>
      <c r="AY12" s="27"/>
      <c r="AZ12" s="27"/>
      <c r="BA12" s="27"/>
      <c r="BB12" s="27"/>
      <c r="BC12" s="27"/>
      <c r="BD12" s="27"/>
      <c r="BE12" s="16"/>
      <c r="BF12" s="27"/>
      <c r="BG12" s="27"/>
      <c r="BH12" s="27"/>
      <c r="BI12" s="27"/>
      <c r="BJ12" s="27"/>
      <c r="BK12" s="27"/>
      <c r="BL12" s="27"/>
      <c r="BM12" s="16"/>
      <c r="BN12" s="16"/>
    </row>
    <row r="13" spans="1:68" ht="15" customHeight="1" x14ac:dyDescent="0.2">
      <c r="A13" s="16"/>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row>
    <row r="14" spans="1:68" ht="15" customHeight="1" x14ac:dyDescent="0.2">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row>
    <row r="15" spans="1:68" ht="15" customHeight="1" x14ac:dyDescent="0.2">
      <c r="A15" s="16"/>
      <c r="B15" s="16"/>
      <c r="C15" s="51" t="s">
        <v>258</v>
      </c>
      <c r="D15" s="52"/>
      <c r="E15" s="52"/>
      <c r="F15" s="52"/>
      <c r="G15" s="52"/>
      <c r="H15" s="52"/>
      <c r="I15" s="52"/>
      <c r="J15" s="53"/>
      <c r="K15" s="52"/>
      <c r="L15" s="52"/>
      <c r="M15" s="52"/>
      <c r="N15" s="52"/>
      <c r="O15" s="52"/>
      <c r="P15" s="52"/>
      <c r="Q15" s="52"/>
      <c r="R15" s="52"/>
      <c r="S15" s="52"/>
      <c r="T15" s="52"/>
      <c r="U15" s="16"/>
      <c r="V15" s="51" t="s">
        <v>271</v>
      </c>
      <c r="W15" s="52"/>
      <c r="X15" s="52"/>
      <c r="Y15" s="52"/>
      <c r="Z15" s="52"/>
      <c r="AA15" s="52"/>
      <c r="AB15" s="52"/>
      <c r="AC15" s="52"/>
      <c r="AD15" s="52"/>
      <c r="AE15" s="52"/>
      <c r="AF15" s="52"/>
      <c r="AG15" s="52"/>
      <c r="AH15" s="52"/>
      <c r="AI15" s="52"/>
      <c r="AJ15" s="52"/>
      <c r="AK15" s="52"/>
      <c r="AL15" s="52"/>
      <c r="AM15" s="52"/>
      <c r="AN15" s="16"/>
      <c r="AO15" s="51" t="s">
        <v>273</v>
      </c>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16"/>
      <c r="BN15" s="16"/>
    </row>
    <row r="16" spans="1:68" ht="15" customHeight="1" x14ac:dyDescent="0.2">
      <c r="A16" s="16"/>
      <c r="B16" s="16"/>
      <c r="C16" s="33" t="s">
        <v>274</v>
      </c>
      <c r="D16" s="27"/>
      <c r="E16" s="27"/>
      <c r="F16" s="27"/>
      <c r="G16" s="27"/>
      <c r="H16" s="27"/>
      <c r="I16" s="27"/>
      <c r="J16" s="27"/>
      <c r="K16" s="27"/>
      <c r="L16" s="27"/>
      <c r="M16" s="27"/>
      <c r="N16" s="27"/>
      <c r="O16" s="27"/>
      <c r="P16" s="27"/>
      <c r="Q16" s="27"/>
      <c r="R16" s="27"/>
      <c r="S16" s="27"/>
      <c r="T16" s="27"/>
      <c r="U16" s="16"/>
      <c r="V16" s="33" t="s">
        <v>275</v>
      </c>
      <c r="W16" s="27"/>
      <c r="X16" s="27"/>
      <c r="Y16" s="27"/>
      <c r="Z16" s="27"/>
      <c r="AA16" s="27"/>
      <c r="AB16" s="27"/>
      <c r="AC16" s="27"/>
      <c r="AD16" s="27"/>
      <c r="AE16" s="27"/>
      <c r="AF16" s="27"/>
      <c r="AG16" s="27"/>
      <c r="AH16" s="27"/>
      <c r="AI16" s="27"/>
      <c r="AJ16" s="27"/>
      <c r="AK16" s="27"/>
      <c r="AL16" s="27"/>
      <c r="AM16" s="27"/>
      <c r="AN16" s="16"/>
      <c r="AO16" s="33" t="s">
        <v>276</v>
      </c>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16"/>
      <c r="BN16" s="16"/>
    </row>
    <row r="17" spans="1:66" ht="15" customHeight="1" x14ac:dyDescent="0.2">
      <c r="A17" s="16"/>
      <c r="B17" s="16"/>
      <c r="C17" s="34"/>
      <c r="D17" s="27"/>
      <c r="E17" s="27"/>
      <c r="F17" s="27"/>
      <c r="G17" s="27"/>
      <c r="H17" s="35"/>
      <c r="I17" s="27"/>
      <c r="J17" s="27"/>
      <c r="K17" s="27"/>
      <c r="L17" s="27"/>
      <c r="M17" s="27"/>
      <c r="N17" s="27"/>
      <c r="O17" s="27"/>
      <c r="P17" s="27"/>
      <c r="Q17" s="27"/>
      <c r="R17" s="27"/>
      <c r="S17" s="27"/>
      <c r="T17" s="27"/>
      <c r="U17" s="16"/>
      <c r="V17" s="27"/>
      <c r="W17" s="27"/>
      <c r="X17" s="27"/>
      <c r="Y17" s="27"/>
      <c r="Z17" s="27"/>
      <c r="AA17" s="27"/>
      <c r="AB17" s="27"/>
      <c r="AC17" s="157" t="s">
        <v>132</v>
      </c>
      <c r="AD17" s="157"/>
      <c r="AE17" s="157"/>
      <c r="AF17" s="27"/>
      <c r="AG17" s="41" t="s">
        <v>277</v>
      </c>
      <c r="AH17" s="27"/>
      <c r="AI17" s="27"/>
      <c r="AJ17" s="157" t="s">
        <v>136</v>
      </c>
      <c r="AK17" s="157"/>
      <c r="AL17" s="157"/>
      <c r="AM17" s="157"/>
      <c r="AN17" s="16"/>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16"/>
      <c r="BN17" s="16"/>
    </row>
    <row r="18" spans="1:66" ht="15" customHeight="1" x14ac:dyDescent="0.2">
      <c r="A18" s="16"/>
      <c r="B18" s="16"/>
      <c r="C18" s="36"/>
      <c r="D18" s="27"/>
      <c r="E18" s="27"/>
      <c r="F18" s="27"/>
      <c r="G18" s="27"/>
      <c r="H18" s="37"/>
      <c r="I18" s="27"/>
      <c r="J18" s="27"/>
      <c r="K18" s="27"/>
      <c r="L18" s="27"/>
      <c r="M18" s="27"/>
      <c r="N18" s="27"/>
      <c r="O18" s="27"/>
      <c r="P18" s="27"/>
      <c r="Q18" s="27"/>
      <c r="R18" s="27"/>
      <c r="S18" s="27"/>
      <c r="T18" s="27"/>
      <c r="U18" s="16"/>
      <c r="V18" s="36" t="s">
        <v>251</v>
      </c>
      <c r="W18" s="27"/>
      <c r="X18" s="56" t="str">
        <f>REPT("█",ROUND(AC18/$AC$22*18,0))</f>
        <v>███████████</v>
      </c>
      <c r="Y18" s="27"/>
      <c r="Z18" s="27"/>
      <c r="AA18" s="27"/>
      <c r="AB18" s="27"/>
      <c r="AC18" s="143" cm="1">
        <f t="array" ref="AC18">INDEX('Sample Data'!$C$148:$O$148,$BP$1)</f>
        <v>469081</v>
      </c>
      <c r="AD18" s="143"/>
      <c r="AE18" s="143"/>
      <c r="AF18" s="27"/>
      <c r="AG18" s="43">
        <f>sinp_collprob_0</f>
        <v>0.98</v>
      </c>
      <c r="AH18" s="27"/>
      <c r="AI18" s="27"/>
      <c r="AJ18" s="154">
        <f>AC18*AG18</f>
        <v>459699.38</v>
      </c>
      <c r="AK18" s="154"/>
      <c r="AL18" s="154"/>
      <c r="AM18" s="154"/>
      <c r="AN18" s="16"/>
      <c r="AO18" s="26" t="s">
        <v>252</v>
      </c>
      <c r="AP18" s="26"/>
      <c r="AQ18" s="26"/>
      <c r="AR18" s="26"/>
      <c r="AS18" s="26"/>
      <c r="AT18" s="26"/>
      <c r="AU18" s="26"/>
      <c r="AV18" s="26"/>
      <c r="AW18" s="26"/>
      <c r="AX18" s="26"/>
      <c r="AY18" s="26"/>
      <c r="AZ18" s="27"/>
      <c r="BA18" s="26" t="s">
        <v>253</v>
      </c>
      <c r="BB18" s="27"/>
      <c r="BC18" s="26"/>
      <c r="BD18" s="26"/>
      <c r="BE18" s="26"/>
      <c r="BF18" s="26"/>
      <c r="BG18" s="26"/>
      <c r="BH18" s="26"/>
      <c r="BI18" s="26"/>
      <c r="BJ18" s="26"/>
      <c r="BK18" s="26"/>
      <c r="BL18" s="26"/>
      <c r="BM18" s="16"/>
      <c r="BN18" s="16"/>
    </row>
    <row r="19" spans="1:66" ht="24" customHeight="1" x14ac:dyDescent="0.25">
      <c r="A19" s="16"/>
      <c r="B19" s="16"/>
      <c r="C19" s="36"/>
      <c r="D19" s="27"/>
      <c r="E19" s="27"/>
      <c r="F19" s="27"/>
      <c r="G19" s="27"/>
      <c r="H19" s="38"/>
      <c r="I19" s="27"/>
      <c r="J19" s="27"/>
      <c r="K19" s="27"/>
      <c r="L19" s="27"/>
      <c r="M19" s="27"/>
      <c r="N19" s="27"/>
      <c r="O19" s="27"/>
      <c r="P19" s="27"/>
      <c r="Q19" s="27"/>
      <c r="R19" s="27"/>
      <c r="S19" s="27"/>
      <c r="T19" s="27"/>
      <c r="U19" s="16"/>
      <c r="V19" s="36" t="s">
        <v>246</v>
      </c>
      <c r="W19" s="27"/>
      <c r="X19" s="57" t="str">
        <f>REPT("█",ROUND(AC19/$AC$22*18,0))</f>
        <v>████</v>
      </c>
      <c r="Y19" s="27"/>
      <c r="Z19" s="27"/>
      <c r="AA19" s="27"/>
      <c r="AB19" s="27"/>
      <c r="AC19" s="143" cm="1">
        <f t="array" ref="AC19">INDEX('Sample Data'!$C$151:$O$151,$BP$1)</f>
        <v>181580</v>
      </c>
      <c r="AD19" s="143"/>
      <c r="AE19" s="143"/>
      <c r="AF19" s="27"/>
      <c r="AG19" s="43">
        <f>sinp_collprob_1</f>
        <v>0.9</v>
      </c>
      <c r="AH19" s="27"/>
      <c r="AI19" s="27"/>
      <c r="AJ19" s="154">
        <f>AC19*AG19</f>
        <v>163422</v>
      </c>
      <c r="AK19" s="154"/>
      <c r="AL19" s="154"/>
      <c r="AM19" s="154"/>
      <c r="AN19" s="16"/>
      <c r="AO19" s="150" cm="1">
        <f t="array" ref="AO19">INDEX('Sample Data'!$C$164:$O$164,$BP$1)/INDEX('Sample Data'!$C$167:$O$167,$BP$1)</f>
        <v>0.67995255041518388</v>
      </c>
      <c r="AP19" s="150"/>
      <c r="AQ19" s="150"/>
      <c r="AR19" s="150"/>
      <c r="AS19" s="150"/>
      <c r="AT19" s="150"/>
      <c r="AU19" s="150"/>
      <c r="AV19" s="150"/>
      <c r="AW19" s="150"/>
      <c r="AX19" s="150"/>
      <c r="AY19" s="54"/>
      <c r="AZ19" s="27"/>
      <c r="BA19" s="150" cm="1">
        <f t="array" ref="BA19">INDEX('Sample Data'!$C$71:$O$71,$BP$1)/(INDEX('Sample Data'!$C$164:$O$164,$BP$1)*INDEX('Sample Data'!$C$176:$O$176,$BP$1))</f>
        <v>0.93861518182523063</v>
      </c>
      <c r="BB19" s="150"/>
      <c r="BC19" s="150"/>
      <c r="BD19" s="150"/>
      <c r="BE19" s="150"/>
      <c r="BF19" s="150"/>
      <c r="BG19" s="150"/>
      <c r="BH19" s="150"/>
      <c r="BI19" s="150"/>
      <c r="BJ19" s="150"/>
      <c r="BK19" s="54"/>
      <c r="BL19" s="54"/>
      <c r="BM19" s="16"/>
      <c r="BN19" s="16"/>
    </row>
    <row r="20" spans="1:66" ht="15" customHeight="1" x14ac:dyDescent="0.2">
      <c r="A20" s="16"/>
      <c r="B20" s="16"/>
      <c r="C20" s="36"/>
      <c r="D20" s="27"/>
      <c r="E20" s="27"/>
      <c r="F20" s="27"/>
      <c r="G20" s="27"/>
      <c r="H20" s="37"/>
      <c r="I20" s="27"/>
      <c r="J20" s="27"/>
      <c r="K20" s="27"/>
      <c r="L20" s="27"/>
      <c r="M20" s="27"/>
      <c r="N20" s="27"/>
      <c r="O20" s="27"/>
      <c r="P20" s="27"/>
      <c r="Q20" s="27"/>
      <c r="R20" s="27"/>
      <c r="S20" s="27"/>
      <c r="T20" s="27"/>
      <c r="U20" s="16"/>
      <c r="V20" s="36" t="s">
        <v>245</v>
      </c>
      <c r="W20" s="27"/>
      <c r="X20" s="58" t="str">
        <f>REPT("█",ROUND(AC20/$AC$22*18,0))</f>
        <v>██</v>
      </c>
      <c r="Y20" s="27"/>
      <c r="Z20" s="27"/>
      <c r="AA20" s="27"/>
      <c r="AB20" s="27"/>
      <c r="AC20" s="143" cm="1">
        <f t="array" ref="AC20">INDEX('Sample Data'!$C$154:$O$154,$BP$1)</f>
        <v>75658</v>
      </c>
      <c r="AD20" s="143"/>
      <c r="AE20" s="143"/>
      <c r="AF20" s="27"/>
      <c r="AG20" s="43">
        <f>sinp_collprob_2</f>
        <v>0.65</v>
      </c>
      <c r="AH20" s="27"/>
      <c r="AI20" s="27"/>
      <c r="AJ20" s="154">
        <f>AC20*AG20</f>
        <v>49177.700000000004</v>
      </c>
      <c r="AK20" s="154"/>
      <c r="AL20" s="154"/>
      <c r="AM20" s="154"/>
      <c r="AN20" s="16"/>
      <c r="AO20" s="152" t="str">
        <f>REPT("█",MIN(14,MAX(0,ROUND((AO19/0.75)*14,0))))&amp;REPT("░",14-MIN(14,MAX(0,ROUND((AO19/0.75)*14,0))))</f>
        <v>█████████████░</v>
      </c>
      <c r="AP20" s="152"/>
      <c r="AQ20" s="152"/>
      <c r="AR20" s="152"/>
      <c r="AS20" s="152"/>
      <c r="AT20" s="152"/>
      <c r="AU20" s="152"/>
      <c r="AV20" s="152"/>
      <c r="AW20" s="152"/>
      <c r="AX20" s="152"/>
      <c r="AY20" s="152"/>
      <c r="AZ20" s="27"/>
      <c r="BA20" s="152" t="str">
        <f>REPT("█",MIN(14,MAX(0,ROUND((BA19/0.9)*14,0))))&amp;REPT("░",14-MIN(14,MAX(0,ROUND((BA19/0.9)*14,0))))</f>
        <v>██████████████</v>
      </c>
      <c r="BB20" s="152"/>
      <c r="BC20" s="152"/>
      <c r="BD20" s="152"/>
      <c r="BE20" s="152"/>
      <c r="BF20" s="152"/>
      <c r="BG20" s="152"/>
      <c r="BH20" s="152"/>
      <c r="BI20" s="152"/>
      <c r="BJ20" s="152"/>
      <c r="BK20" s="152"/>
      <c r="BL20" s="33"/>
      <c r="BM20" s="16"/>
      <c r="BN20" s="16"/>
    </row>
    <row r="21" spans="1:66" ht="15" customHeight="1" x14ac:dyDescent="0.2">
      <c r="A21" s="16"/>
      <c r="B21" s="16"/>
      <c r="C21" s="36"/>
      <c r="D21" s="27"/>
      <c r="E21" s="27"/>
      <c r="F21" s="27"/>
      <c r="G21" s="27"/>
      <c r="H21" s="38"/>
      <c r="I21" s="27"/>
      <c r="J21" s="27"/>
      <c r="K21" s="27"/>
      <c r="L21" s="27"/>
      <c r="M21" s="27"/>
      <c r="N21" s="27"/>
      <c r="O21" s="27"/>
      <c r="P21" s="27"/>
      <c r="Q21" s="27"/>
      <c r="R21" s="27"/>
      <c r="S21" s="27"/>
      <c r="T21" s="27"/>
      <c r="U21" s="16"/>
      <c r="V21" s="36" t="s">
        <v>244</v>
      </c>
      <c r="W21" s="27"/>
      <c r="X21" s="28" t="str">
        <f>REPT("█",ROUND(AC21/$AC$22*18,0))</f>
        <v>█</v>
      </c>
      <c r="Y21" s="27"/>
      <c r="Z21" s="27"/>
      <c r="AA21" s="27"/>
      <c r="AB21" s="27"/>
      <c r="AC21" s="143" cm="1">
        <f t="array" ref="AC21">INDEX('Sample Data'!$C$157:$O$157,$BP$1)</f>
        <v>30263</v>
      </c>
      <c r="AD21" s="143"/>
      <c r="AE21" s="143"/>
      <c r="AF21" s="27"/>
      <c r="AG21" s="43">
        <f>sinp_collprob_3</f>
        <v>0.3</v>
      </c>
      <c r="AH21" s="27"/>
      <c r="AI21" s="27"/>
      <c r="AJ21" s="154">
        <f>AC21*AG21</f>
        <v>9078.9</v>
      </c>
      <c r="AK21" s="154"/>
      <c r="AL21" s="154"/>
      <c r="AM21" s="154"/>
      <c r="AN21" s="16"/>
      <c r="AO21" s="153" t="str" cm="1">
        <f t="array" ref="AO21">"vs 75% target  ·  "&amp;TEXT(INDEX('Sample Data'!$C$164:$O$164,$BP$1)/INDEX('Sample Data'!$C$167:$O$167,$BP$1)-0.75,"+0.0%;-0.0%")</f>
        <v>vs 75% target  ·  -7.0%</v>
      </c>
      <c r="AP21" s="153"/>
      <c r="AQ21" s="153"/>
      <c r="AR21" s="153"/>
      <c r="AS21" s="153"/>
      <c r="AT21" s="153"/>
      <c r="AU21" s="153"/>
      <c r="AV21" s="153"/>
      <c r="AW21" s="153"/>
      <c r="AX21" s="153"/>
      <c r="AY21" s="153"/>
      <c r="AZ21" s="27"/>
      <c r="BA21" s="153" t="str" cm="1">
        <f t="array" ref="BA21">"vs 90% target  ·  "&amp;TEXT(INDEX('Sample Data'!$C$71:$O$71,$BP$1)/(INDEX('Sample Data'!$C$164:$O$164,$BP$1)*INDEX('Sample Data'!$C$176:$O$176,$BP$1))-0.9,"+0.0%;-0.0%")</f>
        <v>vs 90% target  ·  +3.9%</v>
      </c>
      <c r="BB21" s="153"/>
      <c r="BC21" s="153"/>
      <c r="BD21" s="153"/>
      <c r="BE21" s="153"/>
      <c r="BF21" s="153"/>
      <c r="BG21" s="153"/>
      <c r="BH21" s="153"/>
      <c r="BI21" s="153"/>
      <c r="BJ21" s="153"/>
      <c r="BK21" s="153"/>
      <c r="BL21" s="27"/>
      <c r="BM21" s="16"/>
      <c r="BN21" s="16"/>
    </row>
    <row r="22" spans="1:66" ht="16" customHeight="1" x14ac:dyDescent="0.2">
      <c r="A22" s="16"/>
      <c r="B22" s="16"/>
      <c r="C22" s="39"/>
      <c r="D22" s="27"/>
      <c r="E22" s="27"/>
      <c r="F22" s="27"/>
      <c r="G22" s="27"/>
      <c r="H22" s="40"/>
      <c r="I22" s="27"/>
      <c r="J22" s="27"/>
      <c r="K22" s="27"/>
      <c r="L22" s="27"/>
      <c r="M22" s="27"/>
      <c r="N22" s="27"/>
      <c r="O22" s="27"/>
      <c r="P22" s="27"/>
      <c r="Q22" s="27"/>
      <c r="R22" s="27"/>
      <c r="S22" s="27"/>
      <c r="T22" s="27"/>
      <c r="U22" s="16"/>
      <c r="V22" s="39" t="s">
        <v>272</v>
      </c>
      <c r="W22" s="27"/>
      <c r="X22" s="27"/>
      <c r="Y22" s="27"/>
      <c r="Z22" s="27"/>
      <c r="AA22" s="27"/>
      <c r="AB22" s="27"/>
      <c r="AC22" s="155">
        <f>SUM(AC18:AC21)</f>
        <v>756582</v>
      </c>
      <c r="AD22" s="155"/>
      <c r="AE22" s="155"/>
      <c r="AF22" s="27"/>
      <c r="AG22" s="27"/>
      <c r="AH22" s="27"/>
      <c r="AI22" s="27"/>
      <c r="AJ22" s="156">
        <f>SUM(AJ18:AJ21)</f>
        <v>681377.98</v>
      </c>
      <c r="AK22" s="156"/>
      <c r="AL22" s="156"/>
      <c r="AM22" s="156"/>
      <c r="AN22" s="16"/>
      <c r="AO22" s="26"/>
      <c r="AP22" s="26"/>
      <c r="AQ22" s="26"/>
      <c r="AR22" s="26"/>
      <c r="AS22" s="26"/>
      <c r="AT22" s="26"/>
      <c r="AU22" s="26"/>
      <c r="AV22" s="26"/>
      <c r="AW22" s="26"/>
      <c r="AX22" s="26"/>
      <c r="AY22" s="26"/>
      <c r="AZ22" s="27"/>
      <c r="BA22" s="27"/>
      <c r="BB22" s="27"/>
      <c r="BC22" s="26"/>
      <c r="BD22" s="26"/>
      <c r="BE22" s="26"/>
      <c r="BF22" s="26"/>
      <c r="BG22" s="26"/>
      <c r="BH22" s="26"/>
      <c r="BI22" s="26"/>
      <c r="BJ22" s="26"/>
      <c r="BK22" s="26"/>
      <c r="BL22" s="26"/>
      <c r="BM22" s="16"/>
      <c r="BN22" s="16"/>
    </row>
    <row r="23" spans="1:66" ht="10" customHeight="1" x14ac:dyDescent="0.25">
      <c r="A23" s="16"/>
      <c r="B23" s="16"/>
      <c r="C23" s="27"/>
      <c r="D23" s="27"/>
      <c r="E23" s="27"/>
      <c r="F23" s="27"/>
      <c r="G23" s="27"/>
      <c r="H23" s="27"/>
      <c r="I23" s="27"/>
      <c r="J23" s="27"/>
      <c r="K23" s="27"/>
      <c r="L23" s="27"/>
      <c r="M23" s="27"/>
      <c r="N23" s="27"/>
      <c r="O23" s="27"/>
      <c r="P23" s="27"/>
      <c r="Q23" s="27"/>
      <c r="R23" s="27"/>
      <c r="S23" s="27"/>
      <c r="T23" s="27"/>
      <c r="U23" s="16"/>
      <c r="V23" s="27"/>
      <c r="W23" s="27"/>
      <c r="X23" s="27"/>
      <c r="Y23" s="27"/>
      <c r="Z23" s="27"/>
      <c r="AA23" s="27"/>
      <c r="AB23" s="27"/>
      <c r="AC23" s="27"/>
      <c r="AD23" s="27"/>
      <c r="AE23" s="27"/>
      <c r="AF23" s="27"/>
      <c r="AG23" s="27"/>
      <c r="AH23" s="27"/>
      <c r="AI23" s="27"/>
      <c r="AJ23" s="27"/>
      <c r="AK23" s="27"/>
      <c r="AL23" s="27"/>
      <c r="AM23" s="27"/>
      <c r="AN23" s="16"/>
      <c r="AO23" s="54"/>
      <c r="AP23" s="54"/>
      <c r="AQ23" s="54"/>
      <c r="AR23" s="54"/>
      <c r="AS23" s="54"/>
      <c r="AT23" s="54"/>
      <c r="AU23" s="54"/>
      <c r="AV23" s="54"/>
      <c r="AW23" s="54"/>
      <c r="AX23" s="54"/>
      <c r="AY23" s="54"/>
      <c r="AZ23" s="27"/>
      <c r="BA23" s="27"/>
      <c r="BB23" s="27"/>
      <c r="BC23" s="55"/>
      <c r="BD23" s="55"/>
      <c r="BE23" s="55"/>
      <c r="BF23" s="55"/>
      <c r="BG23" s="55"/>
      <c r="BH23" s="55"/>
      <c r="BI23" s="55"/>
      <c r="BJ23" s="55"/>
      <c r="BK23" s="55"/>
      <c r="BL23" s="55"/>
      <c r="BM23" s="16"/>
      <c r="BN23" s="16"/>
    </row>
    <row r="24" spans="1:66" ht="10" customHeight="1" x14ac:dyDescent="0.2">
      <c r="A24" s="16"/>
      <c r="B24" s="16"/>
      <c r="C24" s="27"/>
      <c r="D24" s="27"/>
      <c r="E24" s="27"/>
      <c r="F24" s="27"/>
      <c r="G24" s="27"/>
      <c r="H24" s="27"/>
      <c r="I24" s="27"/>
      <c r="J24" s="27"/>
      <c r="K24" s="27"/>
      <c r="L24" s="27"/>
      <c r="M24" s="27"/>
      <c r="N24" s="27"/>
      <c r="O24" s="27"/>
      <c r="P24" s="27"/>
      <c r="Q24" s="27"/>
      <c r="R24" s="27"/>
      <c r="S24" s="27"/>
      <c r="T24" s="27"/>
      <c r="U24" s="16"/>
      <c r="V24" s="27"/>
      <c r="W24" s="27"/>
      <c r="X24" s="27"/>
      <c r="Y24" s="27"/>
      <c r="Z24" s="27"/>
      <c r="AA24" s="27"/>
      <c r="AB24" s="27"/>
      <c r="AC24" s="27"/>
      <c r="AD24" s="27"/>
      <c r="AE24" s="27"/>
      <c r="AF24" s="27"/>
      <c r="AG24" s="27"/>
      <c r="AH24" s="27"/>
      <c r="AI24" s="27"/>
      <c r="AJ24" s="27"/>
      <c r="AK24" s="27"/>
      <c r="AL24" s="27"/>
      <c r="AM24" s="27"/>
      <c r="AN24" s="16"/>
      <c r="AO24" s="33"/>
      <c r="AP24" s="33"/>
      <c r="AQ24" s="33"/>
      <c r="AR24" s="33"/>
      <c r="AS24" s="33"/>
      <c r="AT24" s="33"/>
      <c r="AU24" s="33"/>
      <c r="AV24" s="33"/>
      <c r="AW24" s="33"/>
      <c r="AX24" s="33"/>
      <c r="AY24" s="33"/>
      <c r="AZ24" s="27"/>
      <c r="BA24" s="27"/>
      <c r="BB24" s="27"/>
      <c r="BC24" s="33"/>
      <c r="BD24" s="33"/>
      <c r="BE24" s="33"/>
      <c r="BF24" s="33"/>
      <c r="BG24" s="33"/>
      <c r="BH24" s="33"/>
      <c r="BI24" s="33"/>
      <c r="BJ24" s="33"/>
      <c r="BK24" s="33"/>
      <c r="BL24" s="33"/>
      <c r="BM24" s="16"/>
      <c r="BN24" s="16"/>
    </row>
    <row r="25" spans="1:66" ht="10" customHeight="1" x14ac:dyDescent="0.2">
      <c r="A25" s="16"/>
      <c r="B25" s="16"/>
      <c r="C25" s="32"/>
      <c r="D25" s="27"/>
      <c r="E25" s="27"/>
      <c r="F25" s="27"/>
      <c r="G25" s="27"/>
      <c r="H25" s="27"/>
      <c r="I25" s="27"/>
      <c r="J25" s="26"/>
      <c r="K25" s="27"/>
      <c r="L25" s="27"/>
      <c r="M25" s="27"/>
      <c r="N25" s="27"/>
      <c r="O25" s="27"/>
      <c r="P25" s="27"/>
      <c r="Q25" s="27"/>
      <c r="R25" s="27"/>
      <c r="S25" s="27"/>
      <c r="T25" s="27"/>
      <c r="U25" s="16"/>
      <c r="V25" s="27"/>
      <c r="W25" s="27"/>
      <c r="X25" s="27"/>
      <c r="Y25" s="27"/>
      <c r="Z25" s="27"/>
      <c r="AA25" s="27"/>
      <c r="AB25" s="27"/>
      <c r="AC25" s="27"/>
      <c r="AD25" s="27"/>
      <c r="AE25" s="27"/>
      <c r="AF25" s="27"/>
      <c r="AG25" s="27"/>
      <c r="AH25" s="27"/>
      <c r="AI25" s="27"/>
      <c r="AJ25" s="27"/>
      <c r="AK25" s="27"/>
      <c r="AL25" s="27"/>
      <c r="AM25" s="27"/>
      <c r="AN25" s="16"/>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16"/>
      <c r="BN25" s="16"/>
    </row>
    <row r="26" spans="1:66" ht="14" customHeight="1" x14ac:dyDescent="0.2">
      <c r="A26" s="16"/>
      <c r="B26" s="16"/>
      <c r="C26" s="27"/>
      <c r="D26" s="27"/>
      <c r="E26" s="27"/>
      <c r="F26" s="27"/>
      <c r="G26" s="27"/>
      <c r="H26" s="27"/>
      <c r="I26" s="27"/>
      <c r="J26" s="27"/>
      <c r="K26" s="41"/>
      <c r="L26" s="27"/>
      <c r="M26" s="27"/>
      <c r="N26" s="41"/>
      <c r="O26" s="27"/>
      <c r="P26" s="27"/>
      <c r="Q26" s="27"/>
      <c r="R26" s="27"/>
      <c r="S26" s="27"/>
      <c r="T26" s="27"/>
      <c r="U26" s="16"/>
      <c r="V26" s="27"/>
      <c r="W26" s="27"/>
      <c r="X26" s="27"/>
      <c r="Y26" s="27"/>
      <c r="Z26" s="27"/>
      <c r="AA26" s="27"/>
      <c r="AB26" s="27"/>
      <c r="AC26" s="27"/>
      <c r="AD26" s="27"/>
      <c r="AE26" s="27"/>
      <c r="AF26" s="27"/>
      <c r="AG26" s="27"/>
      <c r="AH26" s="27"/>
      <c r="AI26" s="27"/>
      <c r="AJ26" s="27"/>
      <c r="AK26" s="27"/>
      <c r="AL26" s="27"/>
      <c r="AM26" s="27"/>
      <c r="AN26" s="16"/>
      <c r="AO26" s="26" t="s">
        <v>130</v>
      </c>
      <c r="AP26" s="27"/>
      <c r="AQ26" s="27"/>
      <c r="AR26" s="27"/>
      <c r="AS26" s="27"/>
      <c r="AT26" s="27"/>
      <c r="AU26" s="27"/>
      <c r="AV26" s="27"/>
      <c r="AW26" s="27"/>
      <c r="AX26" s="27"/>
      <c r="AY26" s="27"/>
      <c r="AZ26" s="27"/>
      <c r="BA26" s="26" t="s">
        <v>254</v>
      </c>
      <c r="BB26" s="27"/>
      <c r="BC26" s="27"/>
      <c r="BD26" s="27"/>
      <c r="BE26" s="27"/>
      <c r="BF26" s="27"/>
      <c r="BG26" s="27"/>
      <c r="BH26" s="27"/>
      <c r="BI26" s="27"/>
      <c r="BJ26" s="27"/>
      <c r="BK26" s="27"/>
      <c r="BL26" s="27"/>
      <c r="BM26" s="16"/>
      <c r="BN26" s="16"/>
    </row>
    <row r="27" spans="1:66" ht="14" customHeight="1" x14ac:dyDescent="0.2">
      <c r="A27" s="16"/>
      <c r="B27" s="16"/>
      <c r="C27" s="36"/>
      <c r="D27" s="27"/>
      <c r="E27" s="27"/>
      <c r="F27" s="27"/>
      <c r="G27" s="27"/>
      <c r="H27" s="42"/>
      <c r="I27" s="27"/>
      <c r="J27" s="27"/>
      <c r="K27" s="43"/>
      <c r="L27" s="27"/>
      <c r="M27" s="27"/>
      <c r="N27" s="35"/>
      <c r="O27" s="27"/>
      <c r="P27" s="44"/>
      <c r="Q27" s="27"/>
      <c r="R27" s="27"/>
      <c r="S27" s="27"/>
      <c r="T27" s="27"/>
      <c r="U27" s="16"/>
      <c r="V27" s="27"/>
      <c r="W27" s="27"/>
      <c r="X27" s="27"/>
      <c r="Y27" s="27"/>
      <c r="Z27" s="27"/>
      <c r="AA27" s="27"/>
      <c r="AB27" s="27"/>
      <c r="AC27" s="27"/>
      <c r="AD27" s="27"/>
      <c r="AE27" s="27"/>
      <c r="AF27" s="27"/>
      <c r="AG27" s="27"/>
      <c r="AH27" s="27"/>
      <c r="AI27" s="27"/>
      <c r="AJ27" s="27"/>
      <c r="AK27" s="27"/>
      <c r="AL27" s="27"/>
      <c r="AM27" s="27"/>
      <c r="AN27" s="16"/>
      <c r="AO27" s="150" cm="1">
        <f t="array" ref="AO27">(INDEX('Sample Data'!$C$186:$O$186,$BP$1)+INDEX('Sample Data'!$C$189:$O$189,$BP$1)+INDEX('Sample Data'!$C$192:$O$192,$BP$1))/INDEX('Sample Data'!$C$71:$O$71,$BP$1)</f>
        <v>0.42999937217686107</v>
      </c>
      <c r="AP27" s="150"/>
      <c r="AQ27" s="150"/>
      <c r="AR27" s="150"/>
      <c r="AS27" s="150"/>
      <c r="AT27" s="150"/>
      <c r="AU27" s="150"/>
      <c r="AV27" s="150"/>
      <c r="AW27" s="150"/>
      <c r="AX27" s="150"/>
      <c r="AY27" s="27"/>
      <c r="AZ27" s="27"/>
      <c r="BA27" s="151" cm="1">
        <f t="array" ref="BA27">INDEX('Sample Data'!$C$135:$O$135,$BP$1)-INDEX('Sample Data'!$C$141:$O$141,$BP$1)</f>
        <v>532862</v>
      </c>
      <c r="BB27" s="151"/>
      <c r="BC27" s="151"/>
      <c r="BD27" s="151"/>
      <c r="BE27" s="151"/>
      <c r="BF27" s="151"/>
      <c r="BG27" s="151"/>
      <c r="BH27" s="151"/>
      <c r="BI27" s="151"/>
      <c r="BJ27" s="151"/>
      <c r="BK27" s="27"/>
      <c r="BL27" s="27"/>
      <c r="BM27" s="16"/>
      <c r="BN27" s="16"/>
    </row>
    <row r="28" spans="1:66" ht="15" customHeight="1" x14ac:dyDescent="0.2">
      <c r="A28" s="16"/>
      <c r="B28" s="16"/>
      <c r="C28" s="36"/>
      <c r="D28" s="27"/>
      <c r="E28" s="27"/>
      <c r="F28" s="27"/>
      <c r="G28" s="27"/>
      <c r="H28" s="42"/>
      <c r="I28" s="27"/>
      <c r="J28" s="27"/>
      <c r="K28" s="43"/>
      <c r="L28" s="27"/>
      <c r="M28" s="27"/>
      <c r="N28" s="35"/>
      <c r="O28" s="27"/>
      <c r="P28" s="45"/>
      <c r="Q28" s="27"/>
      <c r="R28" s="27"/>
      <c r="S28" s="27"/>
      <c r="T28" s="27"/>
      <c r="U28" s="16"/>
      <c r="V28" s="67" t="s">
        <v>285</v>
      </c>
      <c r="W28" s="27"/>
      <c r="X28" s="27"/>
      <c r="Y28" s="27"/>
      <c r="Z28" s="27"/>
      <c r="AA28" s="27"/>
      <c r="AB28" s="27"/>
      <c r="AC28" s="27"/>
      <c r="AD28" s="27"/>
      <c r="AE28" s="27"/>
      <c r="AF28" s="27"/>
      <c r="AG28" s="49" t="s">
        <v>286</v>
      </c>
      <c r="AH28" s="27"/>
      <c r="AI28" s="27"/>
      <c r="AJ28" s="27"/>
      <c r="AK28" s="49" t="s">
        <v>287</v>
      </c>
      <c r="AL28" s="27"/>
      <c r="AM28" s="27"/>
      <c r="AN28" s="16"/>
      <c r="AO28" s="152" t="str">
        <f>REPT("█",MIN(14,MAX(0,ROUND((AO27/0.5)*14,0))))&amp;REPT("░",14-MIN(14,MAX(0,ROUND((AO27/0.5)*14,0))))</f>
        <v>████████████░░</v>
      </c>
      <c r="AP28" s="152"/>
      <c r="AQ28" s="152"/>
      <c r="AR28" s="152"/>
      <c r="AS28" s="152"/>
      <c r="AT28" s="152"/>
      <c r="AU28" s="152"/>
      <c r="AV28" s="152"/>
      <c r="AW28" s="152"/>
      <c r="AX28" s="152"/>
      <c r="AY28" s="152"/>
      <c r="AZ28" s="27"/>
      <c r="BA28" s="152" t="str" cm="1">
        <f t="array" ref="BA28">REPT("█",MIN(14,MAX(0,ROUND((BA27/INDEX('Sample Data'!$C$135:$O$135,$BP$1))*14,0))))&amp;REPT("░",14-MIN(14,MAX(0,ROUND((BA27/INDEX('Sample Data'!$C$135:$O$135,$BP$1))*14,0))))</f>
        <v>█████████░░░░░</v>
      </c>
      <c r="BB28" s="152"/>
      <c r="BC28" s="152"/>
      <c r="BD28" s="152"/>
      <c r="BE28" s="152"/>
      <c r="BF28" s="152"/>
      <c r="BG28" s="152"/>
      <c r="BH28" s="152"/>
      <c r="BI28" s="152"/>
      <c r="BJ28" s="152"/>
      <c r="BK28" s="152"/>
      <c r="BL28" s="27"/>
      <c r="BM28" s="16"/>
      <c r="BN28" s="16"/>
    </row>
    <row r="29" spans="1:66" ht="15" customHeight="1" x14ac:dyDescent="0.2">
      <c r="A29" s="16"/>
      <c r="B29" s="16"/>
      <c r="C29" s="36"/>
      <c r="D29" s="27"/>
      <c r="E29" s="27"/>
      <c r="F29" s="27"/>
      <c r="G29" s="27"/>
      <c r="H29" s="42"/>
      <c r="I29" s="27"/>
      <c r="J29" s="27"/>
      <c r="K29" s="43"/>
      <c r="L29" s="27"/>
      <c r="M29" s="27"/>
      <c r="N29" s="35"/>
      <c r="O29" s="27"/>
      <c r="P29" s="46"/>
      <c r="Q29" s="27"/>
      <c r="R29" s="27"/>
      <c r="S29" s="27"/>
      <c r="T29" s="27"/>
      <c r="U29" s="16"/>
      <c r="V29" s="68" t="s">
        <v>288</v>
      </c>
      <c r="W29" s="27"/>
      <c r="X29" s="69"/>
      <c r="Y29" s="27"/>
      <c r="Z29" s="27"/>
      <c r="AA29" s="27"/>
      <c r="AB29" s="69" t="s">
        <v>293</v>
      </c>
      <c r="AC29" s="27"/>
      <c r="AD29" s="27"/>
      <c r="AE29" s="27"/>
      <c r="AF29" s="27"/>
      <c r="AG29" s="143" cm="1">
        <f t="array" ref="AG29">INDEX('Sample Data'!$C$186:$O$186,$BP$1)</f>
        <v>108948</v>
      </c>
      <c r="AH29" s="143"/>
      <c r="AI29" s="143"/>
      <c r="AJ29" s="143"/>
      <c r="AK29" s="144" cm="1">
        <f t="array" ref="AK29">AG29/INDEX('Sample Data'!$C$71:$O$71,$BP$1)</f>
        <v>0.1800001982599386</v>
      </c>
      <c r="AL29" s="144"/>
      <c r="AM29" s="144"/>
      <c r="AN29" s="74"/>
      <c r="AO29" s="153" t="str">
        <f>"top-3 clients of revenue"</f>
        <v>top-3 clients of revenue</v>
      </c>
      <c r="AP29" s="153"/>
      <c r="AQ29" s="153"/>
      <c r="AR29" s="153"/>
      <c r="AS29" s="153"/>
      <c r="AT29" s="153"/>
      <c r="AU29" s="153"/>
      <c r="AV29" s="153"/>
      <c r="AW29" s="153"/>
      <c r="AX29" s="153"/>
      <c r="AY29" s="153"/>
      <c r="AZ29" s="27"/>
      <c r="BA29" s="153" t="str">
        <f>"closing cash less payables"</f>
        <v>closing cash less payables</v>
      </c>
      <c r="BB29" s="153"/>
      <c r="BC29" s="153"/>
      <c r="BD29" s="153"/>
      <c r="BE29" s="153"/>
      <c r="BF29" s="153"/>
      <c r="BG29" s="153"/>
      <c r="BH29" s="153"/>
      <c r="BI29" s="153"/>
      <c r="BJ29" s="153"/>
      <c r="BK29" s="153"/>
      <c r="BL29" s="27"/>
      <c r="BM29" s="16"/>
      <c r="BN29" s="16"/>
    </row>
    <row r="30" spans="1:66" ht="15" customHeight="1" x14ac:dyDescent="0.2">
      <c r="A30" s="16"/>
      <c r="B30" s="16"/>
      <c r="C30" s="36"/>
      <c r="D30" s="27"/>
      <c r="E30" s="27"/>
      <c r="F30" s="27"/>
      <c r="G30" s="27"/>
      <c r="H30" s="42"/>
      <c r="I30" s="27"/>
      <c r="J30" s="27"/>
      <c r="K30" s="43"/>
      <c r="L30" s="27"/>
      <c r="M30" s="27"/>
      <c r="N30" s="35"/>
      <c r="O30" s="27"/>
      <c r="P30" s="47"/>
      <c r="Q30" s="27"/>
      <c r="R30" s="27"/>
      <c r="S30" s="27"/>
      <c r="T30" s="27"/>
      <c r="U30" s="16"/>
      <c r="V30" s="68" t="s">
        <v>289</v>
      </c>
      <c r="W30" s="27"/>
      <c r="X30" s="70"/>
      <c r="Y30" s="27"/>
      <c r="Z30" s="27"/>
      <c r="AA30" s="27"/>
      <c r="AB30" s="69" t="s">
        <v>294</v>
      </c>
      <c r="AC30" s="27"/>
      <c r="AD30" s="27"/>
      <c r="AE30" s="27"/>
      <c r="AF30" s="27"/>
      <c r="AG30" s="143" cm="1">
        <f t="array" ref="AG30">INDEX('Sample Data'!$C$189:$O$189,$BP$1)</f>
        <v>84737</v>
      </c>
      <c r="AH30" s="143"/>
      <c r="AI30" s="143"/>
      <c r="AJ30" s="143"/>
      <c r="AK30" s="144" cm="1">
        <f t="array" ref="AK30">AG30/INDEX('Sample Data'!$C$71:$O$71,$BP$1)</f>
        <v>0.13999960348012278</v>
      </c>
      <c r="AL30" s="144"/>
      <c r="AM30" s="144"/>
      <c r="AN30" s="74"/>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16"/>
      <c r="BN30" s="16"/>
    </row>
    <row r="31" spans="1:66" ht="15" customHeight="1" x14ac:dyDescent="0.2">
      <c r="A31" s="16"/>
      <c r="B31" s="16"/>
      <c r="C31" s="39"/>
      <c r="D31" s="27"/>
      <c r="E31" s="27"/>
      <c r="F31" s="27"/>
      <c r="G31" s="27"/>
      <c r="H31" s="40"/>
      <c r="I31" s="27"/>
      <c r="J31" s="27"/>
      <c r="K31" s="27"/>
      <c r="L31" s="27"/>
      <c r="M31" s="27"/>
      <c r="N31" s="48"/>
      <c r="O31" s="27"/>
      <c r="P31" s="27"/>
      <c r="Q31" s="27"/>
      <c r="R31" s="27"/>
      <c r="S31" s="27"/>
      <c r="T31" s="27"/>
      <c r="U31" s="16"/>
      <c r="V31" s="68" t="s">
        <v>290</v>
      </c>
      <c r="W31" s="27"/>
      <c r="X31" s="71"/>
      <c r="Y31" s="27"/>
      <c r="Z31" s="27"/>
      <c r="AA31" s="27"/>
      <c r="AB31" s="69" t="s">
        <v>295</v>
      </c>
      <c r="AC31" s="27"/>
      <c r="AD31" s="27"/>
      <c r="AE31" s="27"/>
      <c r="AF31" s="27"/>
      <c r="AG31" s="143" cm="1">
        <f t="array" ref="AG31">INDEX('Sample Data'!$C$192:$O$192,$BP$1)</f>
        <v>66579</v>
      </c>
      <c r="AH31" s="143"/>
      <c r="AI31" s="143"/>
      <c r="AJ31" s="143"/>
      <c r="AK31" s="144" cm="1">
        <f t="array" ref="AK31">AG31/INDEX('Sample Data'!$C$71:$O$71,$BP$1)</f>
        <v>0.10999957043679968</v>
      </c>
      <c r="AL31" s="144"/>
      <c r="AM31" s="144"/>
      <c r="AN31" s="74"/>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16"/>
      <c r="BN31" s="16"/>
    </row>
    <row r="32" spans="1:66" ht="15" customHeight="1" x14ac:dyDescent="0.2">
      <c r="A32" s="16"/>
      <c r="B32" s="16"/>
      <c r="C32" s="27"/>
      <c r="D32" s="27"/>
      <c r="E32" s="27"/>
      <c r="F32" s="27"/>
      <c r="G32" s="27"/>
      <c r="H32" s="27"/>
      <c r="I32" s="27"/>
      <c r="J32" s="27"/>
      <c r="K32" s="27"/>
      <c r="L32" s="27"/>
      <c r="M32" s="27"/>
      <c r="N32" s="27"/>
      <c r="O32" s="27"/>
      <c r="P32" s="27"/>
      <c r="Q32" s="27"/>
      <c r="R32" s="27"/>
      <c r="S32" s="27"/>
      <c r="T32" s="27"/>
      <c r="U32" s="16"/>
      <c r="V32" s="68" t="s">
        <v>291</v>
      </c>
      <c r="W32" s="27"/>
      <c r="X32" s="72"/>
      <c r="Y32" s="27"/>
      <c r="Z32" s="27"/>
      <c r="AA32" s="27"/>
      <c r="AB32" s="69" t="s">
        <v>296</v>
      </c>
      <c r="AC32" s="27"/>
      <c r="AD32" s="27"/>
      <c r="AE32" s="27"/>
      <c r="AF32" s="27"/>
      <c r="AG32" s="143" cm="1">
        <f t="array" ref="AG32">INDEX('Sample Data'!$C$195:$O$195,$BP$1)</f>
        <v>48421</v>
      </c>
      <c r="AH32" s="143"/>
      <c r="AI32" s="143"/>
      <c r="AJ32" s="143"/>
      <c r="AK32" s="144" cm="1">
        <f t="array" ref="AK32">AG32/INDEX('Sample Data'!$C$71:$O$71,$BP$1)</f>
        <v>7.999953739347658E-2</v>
      </c>
      <c r="AL32" s="144"/>
      <c r="AM32" s="144"/>
      <c r="AN32" s="74"/>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16"/>
      <c r="BN32" s="16"/>
    </row>
    <row r="33" spans="1:66" ht="15" customHeight="1" x14ac:dyDescent="0.2">
      <c r="A33" s="16"/>
      <c r="B33" s="16"/>
      <c r="C33" s="27"/>
      <c r="D33" s="27"/>
      <c r="E33" s="27"/>
      <c r="F33" s="27"/>
      <c r="G33" s="27"/>
      <c r="H33" s="27"/>
      <c r="I33" s="27"/>
      <c r="J33" s="27"/>
      <c r="K33" s="27"/>
      <c r="L33" s="27"/>
      <c r="M33" s="27"/>
      <c r="N33" s="27"/>
      <c r="O33" s="27"/>
      <c r="P33" s="27"/>
      <c r="Q33" s="27"/>
      <c r="R33" s="27"/>
      <c r="S33" s="27"/>
      <c r="T33" s="27"/>
      <c r="U33" s="16"/>
      <c r="V33" s="68" t="s">
        <v>292</v>
      </c>
      <c r="W33" s="27"/>
      <c r="X33" s="73"/>
      <c r="Y33" s="27"/>
      <c r="Z33" s="27"/>
      <c r="AA33" s="27"/>
      <c r="AB33" s="69" t="s">
        <v>297</v>
      </c>
      <c r="AC33" s="27"/>
      <c r="AD33" s="27"/>
      <c r="AE33" s="27"/>
      <c r="AF33" s="27"/>
      <c r="AG33" s="143" cm="1">
        <f t="array" ref="AG33">INDEX('Sample Data'!$C$198:$O$198,$BP$1)</f>
        <v>36316</v>
      </c>
      <c r="AH33" s="143"/>
      <c r="AI33" s="143"/>
      <c r="AJ33" s="143"/>
      <c r="AK33" s="144" cm="1">
        <f t="array" ref="AK33">AG33/INDEX('Sample Data'!$C$71:$O$71,$BP$1)</f>
        <v>6.0000066086646202E-2</v>
      </c>
      <c r="AL33" s="144"/>
      <c r="AM33" s="144"/>
      <c r="AN33" s="74"/>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16"/>
      <c r="BN33" s="16"/>
    </row>
    <row r="34" spans="1:66" ht="15" customHeight="1" x14ac:dyDescent="0.2">
      <c r="A34" s="16"/>
      <c r="B34" s="16"/>
      <c r="C34" s="32"/>
      <c r="D34" s="27"/>
      <c r="E34" s="27"/>
      <c r="F34" s="27"/>
      <c r="G34" s="27"/>
      <c r="H34" s="27"/>
      <c r="I34" s="27"/>
      <c r="J34" s="27"/>
      <c r="K34" s="27"/>
      <c r="L34" s="27"/>
      <c r="M34" s="27"/>
      <c r="N34" s="27"/>
      <c r="O34" s="27"/>
      <c r="P34" s="27"/>
      <c r="Q34" s="27"/>
      <c r="R34" s="27"/>
      <c r="S34" s="27"/>
      <c r="T34" s="27"/>
      <c r="U34" s="16"/>
      <c r="V34" s="27"/>
      <c r="W34" s="27"/>
      <c r="X34" s="27"/>
      <c r="Y34" s="27"/>
      <c r="Z34" s="27"/>
      <c r="AA34" s="27"/>
      <c r="AB34" s="27"/>
      <c r="AC34" s="27"/>
      <c r="AD34" s="27"/>
      <c r="AE34" s="27"/>
      <c r="AF34" s="27"/>
      <c r="AG34" s="27"/>
      <c r="AH34" s="27"/>
      <c r="AI34" s="27"/>
      <c r="AJ34" s="27"/>
      <c r="AK34" s="27"/>
      <c r="AL34" s="27"/>
      <c r="AM34" s="27"/>
      <c r="AN34" s="16"/>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16"/>
      <c r="BN34" s="16"/>
    </row>
    <row r="35" spans="1:66" ht="15" customHeight="1" x14ac:dyDescent="0.2">
      <c r="A35" s="16"/>
      <c r="B35" s="16"/>
      <c r="C35" s="26" t="s">
        <v>279</v>
      </c>
      <c r="D35" s="27"/>
      <c r="E35" s="27"/>
      <c r="F35" s="145">
        <f>BW71</f>
        <v>221034</v>
      </c>
      <c r="G35" s="146"/>
      <c r="H35" s="146"/>
      <c r="I35" s="146"/>
      <c r="J35" s="27"/>
      <c r="K35" s="26" t="s">
        <v>280</v>
      </c>
      <c r="L35" s="27"/>
      <c r="M35" s="27"/>
      <c r="N35" s="145">
        <f>BW72</f>
        <v>203425</v>
      </c>
      <c r="O35" s="146"/>
      <c r="P35" s="146"/>
      <c r="Q35" s="49" t="s">
        <v>281</v>
      </c>
      <c r="R35" s="27"/>
      <c r="S35" s="50"/>
      <c r="T35" s="147">
        <f>BW72-BW71</f>
        <v>-17609</v>
      </c>
      <c r="U35" s="149"/>
      <c r="V35" s="149"/>
      <c r="W35" s="27"/>
      <c r="X35" s="27"/>
      <c r="Y35" s="27"/>
      <c r="Z35" s="27"/>
      <c r="AA35" s="27"/>
      <c r="AB35" s="27"/>
      <c r="AC35" s="27"/>
      <c r="AD35" s="27"/>
      <c r="AE35" s="27"/>
      <c r="AF35" s="27"/>
      <c r="AG35" s="27"/>
      <c r="AH35" s="27"/>
      <c r="AI35" s="27"/>
      <c r="AJ35" s="27"/>
      <c r="AK35" s="27"/>
      <c r="AL35" s="27"/>
      <c r="AM35" s="27"/>
      <c r="AN35" s="16"/>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16"/>
      <c r="BN35" s="16"/>
    </row>
    <row r="36" spans="1:66" ht="15" customHeight="1" x14ac:dyDescent="0.2">
      <c r="A36" s="16"/>
      <c r="B36" s="16"/>
      <c r="C36" s="21"/>
      <c r="D36" s="16"/>
      <c r="E36" s="16"/>
      <c r="F36" s="16"/>
      <c r="G36" s="16"/>
      <c r="H36" s="16"/>
      <c r="I36" s="16"/>
      <c r="J36" s="21"/>
      <c r="K36" s="16"/>
      <c r="L36" s="16"/>
      <c r="M36" s="16"/>
      <c r="N36" s="16"/>
      <c r="O36" s="16"/>
      <c r="P36" s="16"/>
      <c r="Q36" s="16"/>
      <c r="R36" s="21"/>
      <c r="S36" s="16"/>
      <c r="T36" s="16"/>
      <c r="U36" s="16"/>
      <c r="V36" s="16"/>
      <c r="W36" s="16"/>
      <c r="X36" s="16"/>
      <c r="Y36" s="16"/>
      <c r="Z36" s="21"/>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row>
    <row r="37" spans="1:66" ht="15" customHeight="1" x14ac:dyDescent="0.25">
      <c r="A37" s="16"/>
      <c r="B37" s="16"/>
      <c r="C37" s="29"/>
      <c r="D37" s="16"/>
      <c r="E37" s="16"/>
      <c r="F37" s="16"/>
      <c r="G37" s="16"/>
      <c r="H37" s="16"/>
      <c r="I37" s="16"/>
      <c r="J37" s="29"/>
      <c r="K37" s="16"/>
      <c r="L37" s="16"/>
      <c r="M37" s="16"/>
      <c r="N37" s="16"/>
      <c r="O37" s="16"/>
      <c r="P37" s="16"/>
      <c r="Q37" s="16"/>
      <c r="R37" s="29"/>
      <c r="S37" s="16"/>
      <c r="T37" s="16"/>
      <c r="U37" s="16"/>
      <c r="V37" s="16"/>
      <c r="W37" s="16"/>
      <c r="X37" s="16"/>
      <c r="Y37" s="16"/>
      <c r="Z37" s="30"/>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row>
    <row r="38" spans="1:66" ht="15" customHeight="1" x14ac:dyDescent="0.2">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row>
    <row r="39" spans="1:66" ht="18" customHeight="1" x14ac:dyDescent="0.2">
      <c r="A39" s="16"/>
      <c r="B39" s="16"/>
      <c r="C39" s="65" t="s">
        <v>282</v>
      </c>
      <c r="D39" s="66"/>
      <c r="E39" s="66"/>
      <c r="F39" s="66"/>
      <c r="G39" s="66"/>
      <c r="H39" s="66"/>
      <c r="I39" s="66"/>
      <c r="J39" s="66"/>
      <c r="K39" s="66"/>
      <c r="L39" s="66"/>
      <c r="M39" s="66"/>
      <c r="N39" s="66"/>
      <c r="O39" s="66"/>
      <c r="P39" s="66"/>
      <c r="Q39" s="66"/>
      <c r="R39" s="66"/>
      <c r="S39" s="66"/>
      <c r="T39" s="66"/>
      <c r="U39" s="16"/>
      <c r="V39" s="65" t="s">
        <v>283</v>
      </c>
      <c r="W39" s="66"/>
      <c r="X39" s="66"/>
      <c r="Y39" s="66"/>
      <c r="Z39" s="66"/>
      <c r="AA39" s="66"/>
      <c r="AB39" s="66"/>
      <c r="AC39" s="66"/>
      <c r="AD39" s="66"/>
      <c r="AE39" s="66"/>
      <c r="AF39" s="66"/>
      <c r="AG39" s="66"/>
      <c r="AH39" s="66"/>
      <c r="AI39" s="66"/>
      <c r="AJ39" s="66"/>
      <c r="AK39" s="66"/>
      <c r="AL39" s="66"/>
      <c r="AM39" s="66"/>
      <c r="AN39" s="6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row>
    <row r="40" spans="1:66" ht="18" customHeight="1" x14ac:dyDescent="0.2">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row>
    <row r="41" spans="1:66" ht="18" customHeight="1" x14ac:dyDescent="0.2">
      <c r="A41" s="16"/>
      <c r="B41" s="16"/>
      <c r="C41" s="23" t="s">
        <v>109</v>
      </c>
      <c r="D41" s="16"/>
      <c r="E41" s="16"/>
      <c r="F41" s="16"/>
      <c r="G41" s="16"/>
      <c r="H41" s="16"/>
      <c r="I41" s="16"/>
      <c r="J41" s="16"/>
      <c r="K41" s="16"/>
      <c r="L41" s="16"/>
      <c r="M41" s="16"/>
      <c r="N41" s="16"/>
      <c r="O41" s="16"/>
      <c r="P41" s="16"/>
      <c r="Q41" s="16"/>
      <c r="R41" s="16"/>
      <c r="S41" s="16"/>
      <c r="T41" s="16"/>
      <c r="U41" s="16"/>
      <c r="V41" s="21" t="s">
        <v>114</v>
      </c>
      <c r="W41" s="16"/>
      <c r="X41" s="16"/>
      <c r="Y41" s="16"/>
      <c r="Z41" s="16"/>
      <c r="AA41" s="16"/>
      <c r="AB41" s="16"/>
      <c r="AC41" s="16"/>
      <c r="AD41" s="16"/>
      <c r="AE41" s="16"/>
      <c r="AF41" s="16"/>
      <c r="AG41" s="16"/>
      <c r="AH41" s="16"/>
      <c r="AI41" s="16"/>
      <c r="AJ41" s="16"/>
      <c r="AK41" s="16"/>
      <c r="AL41" s="16"/>
      <c r="AM41" s="16"/>
      <c r="AN41" s="16"/>
      <c r="AO41" s="16"/>
      <c r="AP41" s="21" t="s">
        <v>116</v>
      </c>
      <c r="AQ41" s="16"/>
      <c r="AR41" s="16"/>
      <c r="AS41" s="16"/>
      <c r="AT41" s="16"/>
      <c r="AU41" s="16"/>
      <c r="AV41" s="21" t="s">
        <v>117</v>
      </c>
      <c r="AW41" s="16"/>
      <c r="AX41" s="16"/>
      <c r="AY41" s="16"/>
      <c r="AZ41" s="16"/>
      <c r="BA41" s="16"/>
      <c r="BB41" s="16"/>
      <c r="BC41" s="16"/>
      <c r="BD41" s="16"/>
      <c r="BE41" s="16"/>
      <c r="BF41" s="16"/>
      <c r="BG41" s="16"/>
      <c r="BH41" s="16"/>
      <c r="BI41" s="16"/>
      <c r="BJ41" s="16"/>
      <c r="BK41" s="16"/>
      <c r="BL41" s="16"/>
      <c r="BM41" s="16"/>
      <c r="BN41" s="16"/>
    </row>
    <row r="42" spans="1:66" ht="18" customHeight="1" x14ac:dyDescent="0.2">
      <c r="A42" s="16"/>
      <c r="B42" s="16"/>
      <c r="C42" s="142" t="str" cm="1">
        <f t="array" ref="C42">INDEX(sinp_comment_went_well,$BP$1)</f>
        <v>Utilisation held at 71% with both senior leads fully productive; gross margin recovered to 57%.</v>
      </c>
      <c r="D42" s="142"/>
      <c r="E42" s="142"/>
      <c r="F42" s="142"/>
      <c r="G42" s="142"/>
      <c r="H42" s="142"/>
      <c r="I42" s="142"/>
      <c r="J42" s="142"/>
      <c r="K42" s="142"/>
      <c r="L42" s="142"/>
      <c r="M42" s="142"/>
      <c r="N42" s="142"/>
      <c r="O42" s="142"/>
      <c r="P42" s="142"/>
      <c r="Q42" s="142"/>
      <c r="R42" s="142"/>
      <c r="S42" s="142"/>
      <c r="T42" s="142"/>
      <c r="U42" s="16"/>
      <c r="V42" s="60" t="str" cm="1">
        <f t="array" ref="V42:V44">_xlfn._xlws.FILTER('Sample Data'!$B$225:$B$230,('Sample Data'!$B$225:$B$230&lt;&gt;"")*(IFERROR(DATEVALUE("1-"&amp;'Sample Data'!$C$225:$C$230),0)&lt;=scalc_sel_date)*((LEN('Sample Data'!$F$225:$F$230)=0)+(IFERROR(DATEVALUE("1-"&amp;'Sample Data'!$F$225:$F$230),99999)&gt;scalc_sel_date)),"–")</f>
        <v>Wind down media pass-through reselling</v>
      </c>
      <c r="W42" s="60"/>
      <c r="X42" s="60"/>
      <c r="Y42" s="60"/>
      <c r="Z42" s="60"/>
      <c r="AA42" s="60"/>
      <c r="AB42" s="60"/>
      <c r="AC42" s="60"/>
      <c r="AD42" s="60"/>
      <c r="AE42" s="60"/>
      <c r="AF42" s="60"/>
      <c r="AG42" s="60"/>
      <c r="AH42" s="60"/>
      <c r="AI42" s="60"/>
      <c r="AJ42" s="60"/>
      <c r="AK42" s="60"/>
      <c r="AL42" s="60"/>
      <c r="AM42" s="60"/>
      <c r="AN42" s="60"/>
      <c r="AO42" s="16"/>
      <c r="AP42" s="61" t="str" cm="1">
        <f t="array" ref="AP42:AP44">_xlfn._xlws.FILTER('Sample Data'!$D$225:$D$230,('Sample Data'!$B$225:$B$230&lt;&gt;"")*(IFERROR(DATEVALUE("1-"&amp;'Sample Data'!$C$225:$C$230),0)&lt;=scalc_sel_date)*((LEN('Sample Data'!$F$225:$F$230)=0)+(IFERROR(DATEVALUE("1-"&amp;'Sample Data'!$F$225:$F$230),99999)&gt;scalc_sel_date)),"–")</f>
        <v>Liam C.</v>
      </c>
      <c r="AQ42" s="61"/>
      <c r="AR42" s="61"/>
      <c r="AS42" s="61"/>
      <c r="AT42" s="61"/>
      <c r="AU42" s="61"/>
      <c r="AV42" s="62" t="str" cm="1">
        <f t="array" ref="AV42:AV44">_xlfn._xlws.FILTER('Sample Data'!$E$225:$E$230,('Sample Data'!$B$225:$B$230&lt;&gt;"")*(IFERROR(DATEVALUE("1-"&amp;'Sample Data'!$C$225:$C$230),0)&lt;=scalc_sel_date)*((LEN('Sample Data'!$F$225:$F$230)=0)+(IFERROR(DATEVALUE("1-"&amp;'Sample Data'!$F$225:$F$230),99999)&gt;scalc_sel_date)),"–")</f>
        <v>In progress</v>
      </c>
      <c r="AW42" s="63"/>
      <c r="AX42" s="63"/>
      <c r="AY42" s="63"/>
      <c r="AZ42" s="63"/>
      <c r="BA42" s="63"/>
      <c r="BB42" s="16"/>
      <c r="BC42" s="16"/>
      <c r="BD42" s="16"/>
      <c r="BE42" s="16"/>
      <c r="BF42" s="16"/>
      <c r="BG42" s="16"/>
      <c r="BH42" s="16"/>
      <c r="BI42" s="16"/>
      <c r="BJ42" s="16"/>
      <c r="BK42" s="16"/>
      <c r="BL42" s="16"/>
      <c r="BM42" s="16"/>
      <c r="BN42" s="16"/>
    </row>
    <row r="43" spans="1:66" ht="18" customHeight="1" x14ac:dyDescent="0.2">
      <c r="A43" s="16"/>
      <c r="B43" s="16"/>
      <c r="C43" s="142"/>
      <c r="D43" s="142"/>
      <c r="E43" s="142"/>
      <c r="F43" s="142"/>
      <c r="G43" s="142"/>
      <c r="H43" s="142"/>
      <c r="I43" s="142"/>
      <c r="J43" s="142"/>
      <c r="K43" s="142"/>
      <c r="L43" s="142"/>
      <c r="M43" s="142"/>
      <c r="N43" s="142"/>
      <c r="O43" s="142"/>
      <c r="P43" s="142"/>
      <c r="Q43" s="142"/>
      <c r="R43" s="142"/>
      <c r="S43" s="142"/>
      <c r="T43" s="142"/>
      <c r="U43" s="16"/>
      <c r="V43" s="60" t="str">
        <v>Stand up a retainer upsell motion</v>
      </c>
      <c r="W43" s="60"/>
      <c r="X43" s="60"/>
      <c r="Y43" s="60"/>
      <c r="Z43" s="60"/>
      <c r="AA43" s="60"/>
      <c r="AB43" s="60"/>
      <c r="AC43" s="60"/>
      <c r="AD43" s="60"/>
      <c r="AE43" s="60"/>
      <c r="AF43" s="60"/>
      <c r="AG43" s="60"/>
      <c r="AH43" s="60"/>
      <c r="AI43" s="60"/>
      <c r="AJ43" s="60"/>
      <c r="AK43" s="60"/>
      <c r="AL43" s="60"/>
      <c r="AM43" s="60"/>
      <c r="AN43" s="60"/>
      <c r="AO43" s="16"/>
      <c r="AP43" s="61" t="str">
        <v>Liam C.</v>
      </c>
      <c r="AQ43" s="61"/>
      <c r="AR43" s="61"/>
      <c r="AS43" s="61"/>
      <c r="AT43" s="61"/>
      <c r="AU43" s="61"/>
      <c r="AV43" s="63" t="str">
        <v>In progress</v>
      </c>
      <c r="AW43" s="63"/>
      <c r="AX43" s="63"/>
      <c r="AY43" s="63"/>
      <c r="AZ43" s="63"/>
      <c r="BA43" s="63"/>
      <c r="BB43" s="16"/>
      <c r="BC43" s="16"/>
      <c r="BD43" s="16"/>
      <c r="BE43" s="16"/>
      <c r="BF43" s="16"/>
      <c r="BG43" s="16"/>
      <c r="BH43" s="16"/>
      <c r="BI43" s="16"/>
      <c r="BJ43" s="16"/>
      <c r="BK43" s="16"/>
      <c r="BL43" s="16"/>
      <c r="BM43" s="16"/>
      <c r="BN43" s="16"/>
    </row>
    <row r="44" spans="1:66" ht="18" customHeight="1" x14ac:dyDescent="0.2">
      <c r="A44" s="16"/>
      <c r="B44" s="16"/>
      <c r="C44" s="25" t="s">
        <v>110</v>
      </c>
      <c r="D44" s="16"/>
      <c r="E44" s="16"/>
      <c r="F44" s="16"/>
      <c r="G44" s="16"/>
      <c r="H44" s="16"/>
      <c r="I44" s="16"/>
      <c r="J44" s="16"/>
      <c r="K44" s="16"/>
      <c r="L44" s="16"/>
      <c r="M44" s="16"/>
      <c r="N44" s="16"/>
      <c r="O44" s="16"/>
      <c r="P44" s="16"/>
      <c r="Q44" s="16"/>
      <c r="R44" s="16"/>
      <c r="S44" s="16"/>
      <c r="T44" s="16"/>
      <c r="U44" s="16"/>
      <c r="V44" s="60" t="str">
        <v>Renegotiate SaaS tooling contracts</v>
      </c>
      <c r="W44" s="60"/>
      <c r="X44" s="60"/>
      <c r="Y44" s="60"/>
      <c r="Z44" s="60"/>
      <c r="AA44" s="60"/>
      <c r="AB44" s="60"/>
      <c r="AC44" s="60"/>
      <c r="AD44" s="60"/>
      <c r="AE44" s="60"/>
      <c r="AF44" s="60"/>
      <c r="AG44" s="60"/>
      <c r="AH44" s="60"/>
      <c r="AI44" s="60"/>
      <c r="AJ44" s="60"/>
      <c r="AK44" s="60"/>
      <c r="AL44" s="60"/>
      <c r="AM44" s="60"/>
      <c r="AN44" s="60"/>
      <c r="AO44" s="16"/>
      <c r="AP44" s="61" t="str">
        <v>Sam O.</v>
      </c>
      <c r="AQ44" s="61"/>
      <c r="AR44" s="61"/>
      <c r="AS44" s="61"/>
      <c r="AT44" s="61"/>
      <c r="AU44" s="61"/>
      <c r="AV44" s="63" t="str">
        <v>Open</v>
      </c>
      <c r="AW44" s="63"/>
      <c r="AX44" s="63"/>
      <c r="AY44" s="63"/>
      <c r="AZ44" s="63"/>
      <c r="BA44" s="63"/>
      <c r="BB44" s="16"/>
      <c r="BC44" s="16"/>
      <c r="BD44" s="16"/>
      <c r="BE44" s="16"/>
      <c r="BF44" s="16"/>
      <c r="BG44" s="16"/>
      <c r="BH44" s="16"/>
      <c r="BI44" s="16"/>
      <c r="BJ44" s="16"/>
      <c r="BK44" s="16"/>
      <c r="BL44" s="16"/>
      <c r="BM44" s="16"/>
      <c r="BN44" s="16"/>
    </row>
    <row r="45" spans="1:66" ht="18" customHeight="1" x14ac:dyDescent="0.2">
      <c r="A45" s="16"/>
      <c r="B45" s="16"/>
      <c r="C45" s="142" t="str" cm="1">
        <f t="array" ref="C45">INDEX(sinp_comment_went_poor,$BP$1)</f>
        <v>Media pass-through still drags blended margin and the wind-down is running slower than planned.</v>
      </c>
      <c r="D45" s="142"/>
      <c r="E45" s="142"/>
      <c r="F45" s="142"/>
      <c r="G45" s="142"/>
      <c r="H45" s="142"/>
      <c r="I45" s="142"/>
      <c r="J45" s="142"/>
      <c r="K45" s="142"/>
      <c r="L45" s="142"/>
      <c r="M45" s="142"/>
      <c r="N45" s="142"/>
      <c r="O45" s="142"/>
      <c r="P45" s="142"/>
      <c r="Q45" s="142"/>
      <c r="R45" s="142"/>
      <c r="S45" s="142"/>
      <c r="T45" s="142"/>
      <c r="U45" s="16"/>
      <c r="V45" s="60"/>
      <c r="W45" s="60"/>
      <c r="X45" s="60"/>
      <c r="Y45" s="60"/>
      <c r="Z45" s="60"/>
      <c r="AA45" s="60"/>
      <c r="AB45" s="60"/>
      <c r="AC45" s="60"/>
      <c r="AD45" s="60"/>
      <c r="AE45" s="60"/>
      <c r="AF45" s="60"/>
      <c r="AG45" s="60"/>
      <c r="AH45" s="60"/>
      <c r="AI45" s="60"/>
      <c r="AJ45" s="60"/>
      <c r="AK45" s="60"/>
      <c r="AL45" s="60"/>
      <c r="AM45" s="60"/>
      <c r="AN45" s="60"/>
      <c r="AO45" s="16"/>
      <c r="AP45" s="61"/>
      <c r="AQ45" s="61"/>
      <c r="AR45" s="61"/>
      <c r="AS45" s="61"/>
      <c r="AT45" s="61"/>
      <c r="AU45" s="61"/>
      <c r="AV45" s="63"/>
      <c r="AW45" s="63"/>
      <c r="AX45" s="63"/>
      <c r="AY45" s="63"/>
      <c r="AZ45" s="63"/>
      <c r="BA45" s="63"/>
      <c r="BB45" s="16"/>
      <c r="BC45" s="16"/>
      <c r="BD45" s="16"/>
      <c r="BE45" s="16"/>
      <c r="BF45" s="16"/>
      <c r="BG45" s="16"/>
      <c r="BH45" s="16"/>
      <c r="BI45" s="16"/>
      <c r="BJ45" s="16"/>
      <c r="BK45" s="16"/>
      <c r="BL45" s="16"/>
      <c r="BM45" s="16"/>
      <c r="BN45" s="16"/>
    </row>
    <row r="46" spans="1:66" ht="18" customHeight="1" x14ac:dyDescent="0.2">
      <c r="A46" s="16"/>
      <c r="B46" s="16"/>
      <c r="C46" s="142"/>
      <c r="D46" s="142"/>
      <c r="E46" s="142"/>
      <c r="F46" s="142"/>
      <c r="G46" s="142"/>
      <c r="H46" s="142"/>
      <c r="I46" s="142"/>
      <c r="J46" s="142"/>
      <c r="K46" s="142"/>
      <c r="L46" s="142"/>
      <c r="M46" s="142"/>
      <c r="N46" s="142"/>
      <c r="O46" s="142"/>
      <c r="P46" s="142"/>
      <c r="Q46" s="142"/>
      <c r="R46" s="142"/>
      <c r="S46" s="142"/>
      <c r="T46" s="142"/>
      <c r="U46" s="16"/>
      <c r="V46" s="60"/>
      <c r="W46" s="60"/>
      <c r="X46" s="60"/>
      <c r="Y46" s="60"/>
      <c r="Z46" s="60"/>
      <c r="AA46" s="60"/>
      <c r="AB46" s="60"/>
      <c r="AC46" s="60"/>
      <c r="AD46" s="60"/>
      <c r="AE46" s="60"/>
      <c r="AF46" s="60"/>
      <c r="AG46" s="60"/>
      <c r="AH46" s="60"/>
      <c r="AI46" s="60"/>
      <c r="AJ46" s="60"/>
      <c r="AK46" s="60"/>
      <c r="AL46" s="60"/>
      <c r="AM46" s="60"/>
      <c r="AN46" s="60"/>
      <c r="AO46" s="16"/>
      <c r="AP46" s="61"/>
      <c r="AQ46" s="61"/>
      <c r="AR46" s="61"/>
      <c r="AS46" s="61"/>
      <c r="AT46" s="61"/>
      <c r="AU46" s="61"/>
      <c r="AV46" s="63"/>
      <c r="AW46" s="63"/>
      <c r="AX46" s="63"/>
      <c r="AY46" s="63"/>
      <c r="AZ46" s="63"/>
      <c r="BA46" s="63"/>
      <c r="BB46" s="16"/>
      <c r="BC46" s="16"/>
      <c r="BD46" s="16"/>
      <c r="BE46" s="16"/>
      <c r="BF46" s="16"/>
      <c r="BG46" s="16"/>
      <c r="BH46" s="16"/>
      <c r="BI46" s="16"/>
      <c r="BJ46" s="16"/>
      <c r="BK46" s="16"/>
      <c r="BL46" s="16"/>
      <c r="BM46" s="16"/>
      <c r="BN46" s="16"/>
    </row>
    <row r="47" spans="1:66" ht="18" customHeight="1" x14ac:dyDescent="0.2">
      <c r="A47" s="16"/>
      <c r="B47" s="16"/>
      <c r="C47" s="21" t="s">
        <v>111</v>
      </c>
      <c r="D47" s="16"/>
      <c r="E47" s="16"/>
      <c r="F47" s="16"/>
      <c r="G47" s="16"/>
      <c r="H47" s="16"/>
      <c r="I47" s="16"/>
      <c r="J47" s="16"/>
      <c r="K47" s="16"/>
      <c r="L47" s="16"/>
      <c r="M47" s="16"/>
      <c r="N47" s="16"/>
      <c r="O47" s="16"/>
      <c r="P47" s="16"/>
      <c r="Q47" s="16"/>
      <c r="R47" s="16"/>
      <c r="S47" s="16"/>
      <c r="T47" s="16"/>
      <c r="U47" s="16"/>
      <c r="V47" s="65" t="s">
        <v>284</v>
      </c>
      <c r="W47" s="66"/>
      <c r="X47" s="66"/>
      <c r="Y47" s="66"/>
      <c r="Z47" s="66"/>
      <c r="AA47" s="66"/>
      <c r="AB47" s="66"/>
      <c r="AC47" s="66"/>
      <c r="AD47" s="66"/>
      <c r="AE47" s="66"/>
      <c r="AF47" s="66"/>
      <c r="AG47" s="66"/>
      <c r="AH47" s="66"/>
      <c r="AI47" s="66"/>
      <c r="AJ47" s="66"/>
      <c r="AK47" s="66"/>
      <c r="AL47" s="66"/>
      <c r="AM47" s="66"/>
      <c r="AN47" s="6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row>
    <row r="48" spans="1:66" ht="18" customHeight="1" x14ac:dyDescent="0.2">
      <c r="A48" s="16"/>
      <c r="B48" s="16"/>
      <c r="C48" s="142" t="str" cm="1">
        <f t="array" ref="C48">INDEX(sinp_comment_structural,$BP$1)</f>
        <v>Recurring retainer revenue exceeded project revenue for the first time, lowering volatility.</v>
      </c>
      <c r="D48" s="142"/>
      <c r="E48" s="142"/>
      <c r="F48" s="142"/>
      <c r="G48" s="142"/>
      <c r="H48" s="142"/>
      <c r="I48" s="142"/>
      <c r="J48" s="142"/>
      <c r="K48" s="142"/>
      <c r="L48" s="142"/>
      <c r="M48" s="142"/>
      <c r="N48" s="142"/>
      <c r="O48" s="142"/>
      <c r="P48" s="142"/>
      <c r="Q48" s="142"/>
      <c r="R48" s="142"/>
      <c r="S48" s="142"/>
      <c r="T48" s="142"/>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row>
    <row r="49" spans="1:66" ht="18" customHeight="1" x14ac:dyDescent="0.2">
      <c r="A49" s="16"/>
      <c r="B49" s="16"/>
      <c r="C49" s="142"/>
      <c r="D49" s="142"/>
      <c r="E49" s="142"/>
      <c r="F49" s="142"/>
      <c r="G49" s="142"/>
      <c r="H49" s="142"/>
      <c r="I49" s="142"/>
      <c r="J49" s="142"/>
      <c r="K49" s="142"/>
      <c r="L49" s="142"/>
      <c r="M49" s="142"/>
      <c r="N49" s="142"/>
      <c r="O49" s="142"/>
      <c r="P49" s="142"/>
      <c r="Q49" s="142"/>
      <c r="R49" s="142"/>
      <c r="S49" s="142"/>
      <c r="T49" s="142"/>
      <c r="U49" s="16"/>
      <c r="V49" s="21" t="s">
        <v>121</v>
      </c>
      <c r="W49" s="16"/>
      <c r="X49" s="16"/>
      <c r="Y49" s="16"/>
      <c r="Z49" s="16"/>
      <c r="AA49" s="16"/>
      <c r="AB49" s="16"/>
      <c r="AC49" s="16"/>
      <c r="AD49" s="16"/>
      <c r="AE49" s="16"/>
      <c r="AF49" s="16"/>
      <c r="AG49" s="16"/>
      <c r="AH49" s="16"/>
      <c r="AI49" s="16"/>
      <c r="AJ49" s="16"/>
      <c r="AK49" s="16"/>
      <c r="AL49" s="16"/>
      <c r="AM49" s="16"/>
      <c r="AN49" s="16"/>
      <c r="AO49" s="16"/>
      <c r="AP49" s="21" t="s">
        <v>116</v>
      </c>
      <c r="AQ49" s="16"/>
      <c r="AR49" s="16"/>
      <c r="AS49" s="16"/>
      <c r="AT49" s="16"/>
      <c r="AU49" s="16"/>
      <c r="AV49" s="21" t="s">
        <v>123</v>
      </c>
      <c r="AW49" s="16"/>
      <c r="AX49" s="16"/>
      <c r="AY49" s="16"/>
      <c r="AZ49" s="16"/>
      <c r="BA49" s="16"/>
      <c r="BB49" s="16"/>
      <c r="BC49" s="16"/>
      <c r="BD49" s="16"/>
      <c r="BE49" s="16"/>
      <c r="BF49" s="16"/>
      <c r="BG49" s="16"/>
      <c r="BH49" s="16"/>
      <c r="BI49" s="16"/>
      <c r="BJ49" s="16"/>
      <c r="BK49" s="16"/>
      <c r="BL49" s="16"/>
      <c r="BM49" s="16"/>
      <c r="BN49" s="16"/>
    </row>
    <row r="50" spans="1:66" ht="18" customHeight="1" x14ac:dyDescent="0.2">
      <c r="A50" s="16"/>
      <c r="B50" s="16"/>
      <c r="C50" s="59" t="s">
        <v>255</v>
      </c>
      <c r="D50" s="16"/>
      <c r="E50" s="16"/>
      <c r="F50" s="16"/>
      <c r="G50" s="16"/>
      <c r="H50" s="16"/>
      <c r="I50" s="16"/>
      <c r="J50" s="16"/>
      <c r="K50" s="16"/>
      <c r="L50" s="16"/>
      <c r="M50" s="16"/>
      <c r="N50" s="16"/>
      <c r="O50" s="16"/>
      <c r="P50" s="16"/>
      <c r="Q50" s="16"/>
      <c r="R50" s="16"/>
      <c r="S50" s="16"/>
      <c r="T50" s="16"/>
      <c r="U50" s="16"/>
      <c r="V50" s="60" t="str" cm="1">
        <f t="array" ref="V50:V55">_xlfn._xlws.FILTER('Sample Data'!$B$238:$B$243,('Sample Data'!$B$238:$B$243&lt;&gt;"")*(IFERROR(DATEVALUE("1-"&amp;'Sample Data'!$C$238:$C$243),0)&lt;=scalc_sel_date),"–")</f>
        <v>Northwind Retail above 18% of revenue</v>
      </c>
      <c r="W50" s="60"/>
      <c r="X50" s="60"/>
      <c r="Y50" s="60"/>
      <c r="Z50" s="60"/>
      <c r="AA50" s="60"/>
      <c r="AB50" s="60"/>
      <c r="AC50" s="60"/>
      <c r="AD50" s="60"/>
      <c r="AE50" s="60"/>
      <c r="AF50" s="60"/>
      <c r="AG50" s="60"/>
      <c r="AH50" s="16"/>
      <c r="AI50" s="60"/>
      <c r="AJ50" s="60"/>
      <c r="AK50" s="60"/>
      <c r="AL50" s="60"/>
      <c r="AM50" s="60"/>
      <c r="AN50" s="60"/>
      <c r="AO50" s="16"/>
      <c r="AP50" s="61" t="str" cm="1">
        <f t="array" ref="AP50:AP55">_xlfn._xlws.FILTER('Sample Data'!$D$238:$D$243,('Sample Data'!$B$238:$B$243&lt;&gt;"")*(IFERROR(DATEVALUE("1-"&amp;'Sample Data'!$C$238:$C$243),0)&lt;=scalc_sel_date),"–")</f>
        <v>Liam C.</v>
      </c>
      <c r="AQ50" s="61"/>
      <c r="AR50" s="61"/>
      <c r="AS50" s="61"/>
      <c r="AT50" s="61"/>
      <c r="AU50" s="61"/>
      <c r="AV50" s="64" t="str" cm="1">
        <f t="array" ref="AV50:AV55">_xlfn._xlws.FILTER('Sample Data'!$E$238:$E$243,('Sample Data'!$B$238:$B$243&lt;&gt;"")*(IFERROR(DATEVALUE("1-"&amp;'Sample Data'!$C$238:$C$243),0)&lt;=scalc_sel_date),"–")</f>
        <v>High</v>
      </c>
      <c r="AW50" s="63"/>
      <c r="AX50" s="63"/>
      <c r="AY50" s="63"/>
      <c r="AZ50" s="63"/>
      <c r="BA50" s="63"/>
      <c r="BB50" s="16"/>
      <c r="BC50" s="16"/>
      <c r="BD50" s="16"/>
      <c r="BE50" s="16"/>
      <c r="BF50" s="16"/>
      <c r="BG50" s="16"/>
      <c r="BH50" s="16"/>
      <c r="BI50" s="16"/>
      <c r="BJ50" s="16"/>
      <c r="BK50" s="16"/>
      <c r="BL50" s="16"/>
      <c r="BM50" s="16"/>
      <c r="BN50" s="16"/>
    </row>
    <row r="51" spans="1:66" ht="18" customHeight="1" x14ac:dyDescent="0.2">
      <c r="A51" s="16"/>
      <c r="B51" s="16"/>
      <c r="C51" s="142" t="str" cm="1">
        <f t="array" ref="C51">INDEX(sinp_comment_next_diff,$BP$1)</f>
        <v>Close the pass-through exit and push two more retainer pilots to conversion.</v>
      </c>
      <c r="D51" s="142"/>
      <c r="E51" s="142"/>
      <c r="F51" s="142"/>
      <c r="G51" s="142"/>
      <c r="H51" s="142"/>
      <c r="I51" s="142"/>
      <c r="J51" s="142"/>
      <c r="K51" s="142"/>
      <c r="L51" s="142"/>
      <c r="M51" s="142"/>
      <c r="N51" s="142"/>
      <c r="O51" s="142"/>
      <c r="P51" s="142"/>
      <c r="Q51" s="142"/>
      <c r="R51" s="142"/>
      <c r="S51" s="142"/>
      <c r="T51" s="142"/>
      <c r="U51" s="142"/>
      <c r="V51" s="60" t="str">
        <v>Senior delivery capacity shortfall</v>
      </c>
      <c r="W51" s="60"/>
      <c r="X51" s="60"/>
      <c r="Y51" s="60"/>
      <c r="Z51" s="60"/>
      <c r="AA51" s="60"/>
      <c r="AB51" s="60"/>
      <c r="AC51" s="60"/>
      <c r="AD51" s="60"/>
      <c r="AE51" s="60"/>
      <c r="AF51" s="60"/>
      <c r="AG51" s="60"/>
      <c r="AH51" s="16"/>
      <c r="AI51" s="60"/>
      <c r="AJ51" s="60"/>
      <c r="AK51" s="60"/>
      <c r="AL51" s="60"/>
      <c r="AM51" s="60"/>
      <c r="AN51" s="60"/>
      <c r="AO51" s="16"/>
      <c r="AP51" s="61" t="str">
        <v>Liam C.</v>
      </c>
      <c r="AQ51" s="61"/>
      <c r="AR51" s="61"/>
      <c r="AS51" s="61"/>
      <c r="AT51" s="61"/>
      <c r="AU51" s="61"/>
      <c r="AV51" s="63" t="str">
        <v>Medium</v>
      </c>
      <c r="AW51" s="63"/>
      <c r="AX51" s="63"/>
      <c r="AY51" s="63"/>
      <c r="AZ51" s="63"/>
      <c r="BA51" s="63"/>
      <c r="BB51" s="16"/>
      <c r="BC51" s="16"/>
      <c r="BD51" s="16"/>
      <c r="BE51" s="16"/>
      <c r="BF51" s="16"/>
      <c r="BG51" s="16"/>
      <c r="BH51" s="16"/>
      <c r="BI51" s="16"/>
      <c r="BJ51" s="16"/>
      <c r="BK51" s="16"/>
      <c r="BL51" s="16"/>
      <c r="BM51" s="16"/>
      <c r="BN51" s="16"/>
    </row>
    <row r="52" spans="1:66" ht="18" customHeight="1" x14ac:dyDescent="0.2">
      <c r="A52" s="16"/>
      <c r="B52" s="16"/>
      <c r="C52" s="142"/>
      <c r="D52" s="142"/>
      <c r="E52" s="142"/>
      <c r="F52" s="142"/>
      <c r="G52" s="142"/>
      <c r="H52" s="142"/>
      <c r="I52" s="142"/>
      <c r="J52" s="142"/>
      <c r="K52" s="142"/>
      <c r="L52" s="142"/>
      <c r="M52" s="142"/>
      <c r="N52" s="142"/>
      <c r="O52" s="142"/>
      <c r="P52" s="142"/>
      <c r="Q52" s="142"/>
      <c r="R52" s="142"/>
      <c r="S52" s="142"/>
      <c r="T52" s="142"/>
      <c r="U52" s="142"/>
      <c r="V52" s="60" t="str">
        <v>AR concentration in the 90+ bucket</v>
      </c>
      <c r="W52" s="60"/>
      <c r="X52" s="60"/>
      <c r="Y52" s="60"/>
      <c r="Z52" s="60"/>
      <c r="AA52" s="60"/>
      <c r="AB52" s="60"/>
      <c r="AC52" s="60"/>
      <c r="AD52" s="60"/>
      <c r="AE52" s="60"/>
      <c r="AF52" s="60"/>
      <c r="AG52" s="60"/>
      <c r="AH52" s="16"/>
      <c r="AI52" s="60"/>
      <c r="AJ52" s="60"/>
      <c r="AK52" s="60"/>
      <c r="AL52" s="60"/>
      <c r="AM52" s="60"/>
      <c r="AN52" s="60"/>
      <c r="AO52" s="16"/>
      <c r="AP52" s="61" t="str">
        <v>Dana R.</v>
      </c>
      <c r="AQ52" s="61"/>
      <c r="AR52" s="61"/>
      <c r="AS52" s="61"/>
      <c r="AT52" s="61"/>
      <c r="AU52" s="61"/>
      <c r="AV52" s="63" t="str">
        <v>Medium</v>
      </c>
      <c r="AW52" s="63"/>
      <c r="AX52" s="63"/>
      <c r="AY52" s="63"/>
      <c r="AZ52" s="63"/>
      <c r="BA52" s="63"/>
      <c r="BB52" s="16"/>
      <c r="BC52" s="16"/>
      <c r="BD52" s="16"/>
      <c r="BE52" s="16"/>
      <c r="BF52" s="16"/>
      <c r="BG52" s="16"/>
      <c r="BH52" s="16"/>
      <c r="BI52" s="16"/>
      <c r="BJ52" s="16"/>
      <c r="BK52" s="16"/>
      <c r="BL52" s="16"/>
      <c r="BM52" s="16"/>
      <c r="BN52" s="16"/>
    </row>
    <row r="53" spans="1:66" ht="18" customHeight="1" x14ac:dyDescent="0.2">
      <c r="A53" s="16"/>
      <c r="B53" s="16"/>
      <c r="C53" s="142"/>
      <c r="D53" s="142"/>
      <c r="E53" s="142"/>
      <c r="F53" s="142"/>
      <c r="G53" s="142"/>
      <c r="H53" s="142"/>
      <c r="I53" s="142"/>
      <c r="J53" s="142"/>
      <c r="K53" s="142"/>
      <c r="L53" s="142"/>
      <c r="M53" s="142"/>
      <c r="N53" s="142"/>
      <c r="O53" s="142"/>
      <c r="P53" s="142"/>
      <c r="Q53" s="142"/>
      <c r="R53" s="142"/>
      <c r="S53" s="142"/>
      <c r="T53" s="142"/>
      <c r="U53" s="142"/>
      <c r="V53" s="60" t="str">
        <v>Reliance on a single contractor vendor</v>
      </c>
      <c r="W53" s="60"/>
      <c r="X53" s="60"/>
      <c r="Y53" s="60"/>
      <c r="Z53" s="60"/>
      <c r="AA53" s="60"/>
      <c r="AB53" s="60"/>
      <c r="AC53" s="60"/>
      <c r="AD53" s="60"/>
      <c r="AE53" s="60"/>
      <c r="AF53" s="60"/>
      <c r="AG53" s="60"/>
      <c r="AH53" s="16"/>
      <c r="AI53" s="60"/>
      <c r="AJ53" s="60"/>
      <c r="AK53" s="60"/>
      <c r="AL53" s="60"/>
      <c r="AM53" s="60"/>
      <c r="AN53" s="60"/>
      <c r="AO53" s="16"/>
      <c r="AP53" s="61" t="str">
        <v>Sam O.</v>
      </c>
      <c r="AQ53" s="61"/>
      <c r="AR53" s="61"/>
      <c r="AS53" s="61"/>
      <c r="AT53" s="61"/>
      <c r="AU53" s="61"/>
      <c r="AV53" s="63" t="str">
        <v>Medium</v>
      </c>
      <c r="AW53" s="63"/>
      <c r="AX53" s="63"/>
      <c r="AY53" s="63"/>
      <c r="AZ53" s="63"/>
      <c r="BA53" s="63"/>
      <c r="BB53" s="16"/>
      <c r="BC53" s="16"/>
      <c r="BD53" s="16"/>
      <c r="BE53" s="16"/>
      <c r="BF53" s="16"/>
      <c r="BG53" s="16"/>
      <c r="BH53" s="16"/>
      <c r="BI53" s="16"/>
      <c r="BJ53" s="16"/>
      <c r="BK53" s="16"/>
      <c r="BL53" s="16"/>
      <c r="BM53" s="16"/>
      <c r="BN53" s="16"/>
    </row>
    <row r="54" spans="1:66" ht="18" customHeight="1" x14ac:dyDescent="0.2">
      <c r="A54" s="16"/>
      <c r="B54" s="16"/>
      <c r="C54" s="16"/>
      <c r="D54" s="16"/>
      <c r="E54" s="16"/>
      <c r="F54" s="16"/>
      <c r="G54" s="16"/>
      <c r="H54" s="16"/>
      <c r="I54" s="16"/>
      <c r="J54" s="16"/>
      <c r="K54" s="16"/>
      <c r="L54" s="16"/>
      <c r="M54" s="16"/>
      <c r="N54" s="16"/>
      <c r="O54" s="16"/>
      <c r="P54" s="16"/>
      <c r="Q54" s="16"/>
      <c r="R54" s="16"/>
      <c r="S54" s="16"/>
      <c r="T54" s="16"/>
      <c r="U54" s="16"/>
      <c r="V54" s="60" t="str">
        <v>Margin drag from media pass-through</v>
      </c>
      <c r="W54" s="60"/>
      <c r="X54" s="60"/>
      <c r="Y54" s="60"/>
      <c r="Z54" s="60"/>
      <c r="AA54" s="60"/>
      <c r="AB54" s="60"/>
      <c r="AC54" s="60"/>
      <c r="AD54" s="60"/>
      <c r="AE54" s="60"/>
      <c r="AF54" s="60"/>
      <c r="AG54" s="60"/>
      <c r="AH54" s="16"/>
      <c r="AI54" s="60"/>
      <c r="AJ54" s="60"/>
      <c r="AK54" s="60"/>
      <c r="AL54" s="60"/>
      <c r="AM54" s="60"/>
      <c r="AN54" s="60"/>
      <c r="AO54" s="16"/>
      <c r="AP54" s="61" t="str">
        <v>Liam C.</v>
      </c>
      <c r="AQ54" s="61"/>
      <c r="AR54" s="61"/>
      <c r="AS54" s="61"/>
      <c r="AT54" s="61"/>
      <c r="AU54" s="61"/>
      <c r="AV54" s="63" t="str">
        <v>Low</v>
      </c>
      <c r="AW54" s="63"/>
      <c r="AX54" s="63"/>
      <c r="AY54" s="63"/>
      <c r="AZ54" s="63"/>
      <c r="BA54" s="63"/>
      <c r="BB54" s="16"/>
      <c r="BC54" s="16"/>
      <c r="BD54" s="16"/>
      <c r="BE54" s="16"/>
      <c r="BF54" s="16"/>
      <c r="BG54" s="16"/>
      <c r="BH54" s="16"/>
      <c r="BI54" s="16"/>
      <c r="BJ54" s="16"/>
      <c r="BK54" s="16"/>
      <c r="BL54" s="16"/>
      <c r="BM54" s="16"/>
      <c r="BN54" s="16"/>
    </row>
    <row r="55" spans="1:66" ht="18" customHeight="1" x14ac:dyDescent="0.2">
      <c r="A55" s="16"/>
      <c r="B55" s="16"/>
      <c r="C55" s="16"/>
      <c r="D55" s="16"/>
      <c r="E55" s="16"/>
      <c r="F55" s="16"/>
      <c r="G55" s="16"/>
      <c r="H55" s="16"/>
      <c r="I55" s="16"/>
      <c r="J55" s="16"/>
      <c r="K55" s="16"/>
      <c r="L55" s="16"/>
      <c r="M55" s="16"/>
      <c r="N55" s="16"/>
      <c r="O55" s="16"/>
      <c r="P55" s="16"/>
      <c r="Q55" s="16"/>
      <c r="R55" s="16"/>
      <c r="S55" s="16"/>
      <c r="T55" s="16"/>
      <c r="U55" s="16"/>
      <c r="V55" s="60" t="str">
        <v>Tooling cost creep against revenue</v>
      </c>
      <c r="W55" s="60"/>
      <c r="X55" s="60"/>
      <c r="Y55" s="60"/>
      <c r="Z55" s="60"/>
      <c r="AA55" s="60"/>
      <c r="AB55" s="60"/>
      <c r="AC55" s="60"/>
      <c r="AD55" s="60"/>
      <c r="AE55" s="60"/>
      <c r="AF55" s="60"/>
      <c r="AG55" s="60"/>
      <c r="AH55" s="16"/>
      <c r="AI55" s="60"/>
      <c r="AJ55" s="60"/>
      <c r="AK55" s="60"/>
      <c r="AL55" s="60"/>
      <c r="AM55" s="60"/>
      <c r="AN55" s="60"/>
      <c r="AO55" s="16"/>
      <c r="AP55" s="61" t="str">
        <v>Sam O.</v>
      </c>
      <c r="AQ55" s="61"/>
      <c r="AR55" s="61"/>
      <c r="AS55" s="61"/>
      <c r="AT55" s="61"/>
      <c r="AU55" s="61"/>
      <c r="AV55" s="63" t="str">
        <v>Medium</v>
      </c>
      <c r="AW55" s="63"/>
      <c r="AX55" s="63"/>
      <c r="AY55" s="63"/>
      <c r="AZ55" s="63"/>
      <c r="BA55" s="63"/>
      <c r="BB55" s="16"/>
      <c r="BC55" s="16"/>
      <c r="BD55" s="16"/>
      <c r="BE55" s="16"/>
      <c r="BF55" s="16"/>
      <c r="BG55" s="16"/>
      <c r="BH55" s="16"/>
      <c r="BI55" s="16"/>
      <c r="BJ55" s="16"/>
      <c r="BK55" s="16"/>
      <c r="BL55" s="16"/>
      <c r="BM55" s="16"/>
      <c r="BN55" s="16"/>
    </row>
    <row r="56" spans="1:66" ht="18" customHeight="1" x14ac:dyDescent="0.2">
      <c r="A56" s="16"/>
      <c r="B56" s="16"/>
      <c r="C56" s="135" t="s">
        <v>325</v>
      </c>
      <c r="D56" s="135"/>
      <c r="E56" s="135"/>
      <c r="F56" s="135"/>
      <c r="G56" s="135"/>
      <c r="H56" s="135"/>
      <c r="I56" s="135"/>
      <c r="J56" s="135"/>
      <c r="K56" s="135"/>
      <c r="L56" s="135"/>
      <c r="M56" s="135"/>
      <c r="N56" s="135"/>
      <c r="O56" s="135"/>
      <c r="P56" s="135"/>
      <c r="Q56" s="135"/>
      <c r="R56" s="135"/>
      <c r="S56" s="135"/>
      <c r="T56" s="135"/>
      <c r="U56" s="135"/>
      <c r="V56" s="135"/>
      <c r="W56" s="135"/>
      <c r="X56" s="135"/>
      <c r="Y56" s="135"/>
      <c r="Z56" s="135"/>
      <c r="AA56" s="135"/>
      <c r="AB56" s="127"/>
      <c r="AC56" s="127"/>
      <c r="AD56" s="127"/>
      <c r="AE56" s="127"/>
      <c r="AF56" s="127"/>
      <c r="AG56" s="127"/>
      <c r="AH56" s="127"/>
      <c r="AI56" s="127"/>
      <c r="AJ56" s="127"/>
      <c r="AK56" s="127"/>
      <c r="AL56" s="127"/>
      <c r="AM56" s="127"/>
      <c r="AN56" s="127"/>
      <c r="AO56" s="17"/>
      <c r="AP56" s="128"/>
      <c r="AQ56" s="128"/>
      <c r="AR56" s="128"/>
      <c r="AS56" s="128"/>
      <c r="AT56" s="128"/>
      <c r="AU56" s="128"/>
      <c r="AV56" s="129"/>
      <c r="AW56" s="129"/>
      <c r="AX56" s="129"/>
      <c r="AY56" s="129"/>
      <c r="AZ56" s="129"/>
      <c r="BA56" s="129"/>
      <c r="BB56" s="17"/>
      <c r="BC56" s="17"/>
      <c r="BD56" s="17"/>
      <c r="BE56" s="17"/>
      <c r="BF56" s="17"/>
      <c r="BG56" s="17"/>
      <c r="BH56" s="17"/>
      <c r="BI56" s="17"/>
      <c r="BJ56" s="17"/>
      <c r="BK56" s="17"/>
      <c r="BL56" s="17"/>
      <c r="BM56" s="16"/>
      <c r="BN56" s="16"/>
    </row>
    <row r="57" spans="1:66" ht="18" customHeight="1" x14ac:dyDescent="0.2">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row>
    <row r="58" spans="1:66" ht="15" customHeight="1" x14ac:dyDescent="0.2">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row>
    <row r="59" spans="1:66" ht="15" customHeight="1" x14ac:dyDescent="0.2">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row>
    <row r="60" spans="1:66" ht="15" customHeight="1" x14ac:dyDescent="0.2">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row>
    <row r="61" spans="1:66" ht="15" customHeight="1" x14ac:dyDescent="0.2">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row>
    <row r="62" spans="1:66" ht="15" customHeight="1" x14ac:dyDescent="0.2">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row>
    <row r="63" spans="1:66" ht="15" customHeight="1" x14ac:dyDescent="0.2">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row>
    <row r="64" spans="1:66" ht="15" customHeight="1" x14ac:dyDescent="0.2">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row>
    <row r="65" spans="1:75" ht="15" customHeight="1" x14ac:dyDescent="0.2">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row>
    <row r="66" spans="1:75" ht="15" customHeight="1" x14ac:dyDescent="0.2">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row>
    <row r="67" spans="1:75" ht="15" customHeight="1" x14ac:dyDescent="0.2">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row>
    <row r="68" spans="1:75" ht="15" customHeight="1" x14ac:dyDescent="0.2">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row>
    <row r="69" spans="1:75" ht="15" customHeight="1" x14ac:dyDescent="0.2">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row>
    <row r="70" spans="1:75" ht="15" customHeight="1" x14ac:dyDescent="0.2">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P70" s="130" t="s">
        <v>259</v>
      </c>
      <c r="BQ70" s="130" t="s">
        <v>260</v>
      </c>
      <c r="BR70" s="130" t="s">
        <v>261</v>
      </c>
      <c r="BS70" s="130" t="s">
        <v>262</v>
      </c>
      <c r="BT70" s="130" t="s">
        <v>263</v>
      </c>
      <c r="BU70" s="130" t="s">
        <v>264</v>
      </c>
      <c r="BV70" s="130" t="s">
        <v>265</v>
      </c>
      <c r="BW70" s="132" t="s">
        <v>278</v>
      </c>
    </row>
    <row r="71" spans="1:75" ht="15" customHeight="1" x14ac:dyDescent="0.2">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P71" s="130" t="s">
        <v>266</v>
      </c>
      <c r="BQ71" s="132">
        <v>0</v>
      </c>
      <c r="BR71" s="132">
        <v>0</v>
      </c>
      <c r="BS71" s="132">
        <v>0</v>
      </c>
      <c r="BT71" s="132">
        <f>BW71-$BV$71</f>
        <v>19722.079999999987</v>
      </c>
      <c r="BU71" s="132">
        <f>BW71</f>
        <v>221034</v>
      </c>
      <c r="BV71" s="132">
        <f>MIN(BW71,BW72)-(MAX(BW71,BW72)-MIN(BW71,BW72))*0.12</f>
        <v>201311.92</v>
      </c>
      <c r="BW71" s="132" cm="1">
        <f t="array" ref="BW71">INDEX('Sample Data'!$C$119:$O$119,$BP$1)</f>
        <v>221034</v>
      </c>
    </row>
    <row r="72" spans="1:75" ht="15" customHeight="1" x14ac:dyDescent="0.2">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P72" s="130" t="s">
        <v>267</v>
      </c>
      <c r="BQ72" s="132">
        <f>MIN(BU71,BU72)-$BV$71</f>
        <v>19722.079999999987</v>
      </c>
      <c r="BR72" s="132">
        <f>IF(BW76&lt;0,-BW76,0)</f>
        <v>0</v>
      </c>
      <c r="BS72" s="132">
        <f>IF(BW76&gt;=0,BW76,0)</f>
        <v>337359962</v>
      </c>
      <c r="BT72" s="132">
        <v>0</v>
      </c>
      <c r="BU72" s="132">
        <f>BU71+BW76</f>
        <v>337580996</v>
      </c>
      <c r="BW72" s="132" cm="1">
        <f t="array" ref="BW72">INDEX('Sample Data'!$C$118:$O$118,$BP$1)</f>
        <v>203425</v>
      </c>
    </row>
    <row r="73" spans="1:75" ht="15" customHeight="1" x14ac:dyDescent="0.2">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P73" s="130" t="s">
        <v>268</v>
      </c>
      <c r="BQ73" s="132">
        <f>MIN(BU72,BU73)-$BV$71</f>
        <v>7684.0799999999872</v>
      </c>
      <c r="BR73" s="132">
        <f>IF(BW73&lt;0,-BW73,0)</f>
        <v>337372000</v>
      </c>
      <c r="BS73" s="132">
        <f>IF(BW73&gt;=0,BW73,0)</f>
        <v>0</v>
      </c>
      <c r="BT73" s="132">
        <v>0</v>
      </c>
      <c r="BU73" s="132">
        <f>BU72+BW73</f>
        <v>208996</v>
      </c>
      <c r="BW73" s="132" cm="1">
        <f t="array" ref="BW73">(INDEX('Sample Data'!$C$176:$O$176,$BP$1)-INDEX('Sample Data'!$C$195:$O$195,$BP$1))*INDEX('Sample Data'!$C$182:$O$182,$BP$1)</f>
        <v>-337372000</v>
      </c>
    </row>
    <row r="74" spans="1:75" ht="15" customHeight="1" x14ac:dyDescent="0.2">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P74" s="130" t="s">
        <v>269</v>
      </c>
      <c r="BQ74" s="132">
        <f>MIN(BU73,BU74)-$BV$71</f>
        <v>2113.0799999999872</v>
      </c>
      <c r="BR74" s="132">
        <f>IF(BW74&lt;0,-BW74,0)</f>
        <v>5571</v>
      </c>
      <c r="BS74" s="132">
        <f>IF(BW74&gt;=0,BW74,0)</f>
        <v>0</v>
      </c>
      <c r="BT74" s="132">
        <v>0</v>
      </c>
      <c r="BU74" s="132">
        <f>BU73+BW74</f>
        <v>203425</v>
      </c>
      <c r="BW74" s="132" cm="1">
        <f t="array" ref="BW74">-(INDEX('Sample Data'!$C$90:$O$90,$BP$1)-INDEX('Sample Data'!$C$91:$O$91,$BP$1))</f>
        <v>-5571</v>
      </c>
    </row>
    <row r="75" spans="1:75" ht="15" customHeight="1" x14ac:dyDescent="0.2">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P75" s="130" t="s">
        <v>270</v>
      </c>
      <c r="BQ75" s="132">
        <f>MIN(BU74,BU75)-$BV$71</f>
        <v>2113.0799999999872</v>
      </c>
      <c r="BR75" s="132">
        <f>IF(BW75&lt;0,-BW75,0)</f>
        <v>0</v>
      </c>
      <c r="BS75" s="132">
        <f>IF(BW75&gt;=0,BW75,0)</f>
        <v>0</v>
      </c>
      <c r="BT75" s="132">
        <v>0</v>
      </c>
      <c r="BU75" s="132">
        <f>BU74+BW75</f>
        <v>203425</v>
      </c>
      <c r="BW75" s="132" cm="1">
        <f t="array" ref="BW75">-(INDEX('Sample Data'!$C$115:$O$115,$BP$1)-INDEX('Sample Data'!$C$116:$O$116,$BP$1))</f>
        <v>0</v>
      </c>
    </row>
    <row r="76" spans="1:75" ht="15" customHeight="1" x14ac:dyDescent="0.2">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P76" s="130" t="s">
        <v>131</v>
      </c>
      <c r="BQ76" s="132">
        <f>$BV$71*0</f>
        <v>0</v>
      </c>
      <c r="BR76" s="132">
        <v>0</v>
      </c>
      <c r="BS76" s="132">
        <v>0</v>
      </c>
      <c r="BT76" s="132">
        <f>BW72-$BV$71</f>
        <v>2113.0799999999872</v>
      </c>
      <c r="BU76" s="132">
        <f>BW72</f>
        <v>203425</v>
      </c>
      <c r="BW76" s="132">
        <f>BW72-BW71-BW73-BW74-BW75</f>
        <v>337359962</v>
      </c>
    </row>
    <row r="77" spans="1:75" ht="15" customHeight="1" x14ac:dyDescent="0.2">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row>
    <row r="78" spans="1:75" ht="15" customHeight="1" x14ac:dyDescent="0.2">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row>
    <row r="79" spans="1:75" ht="15" customHeight="1" x14ac:dyDescent="0.2">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row>
    <row r="80" spans="1:75" ht="15" customHeight="1" x14ac:dyDescent="0.2">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row>
    <row r="81" spans="1:66" ht="15" customHeight="1" x14ac:dyDescent="0.2">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row>
    <row r="82" spans="1:66" ht="15" customHeight="1" x14ac:dyDescent="0.2">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row>
    <row r="83" spans="1:66" ht="15" customHeight="1" x14ac:dyDescent="0.2">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row>
    <row r="84" spans="1:66" ht="15" customHeight="1" x14ac:dyDescent="0.2">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row>
    <row r="85" spans="1:66" ht="15" customHeight="1" x14ac:dyDescent="0.2">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row>
    <row r="86" spans="1:66" ht="15" customHeight="1" x14ac:dyDescent="0.2">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row>
    <row r="87" spans="1:66" ht="15" customHeight="1" x14ac:dyDescent="0.2">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row>
    <row r="88" spans="1:66" ht="15" customHeight="1" x14ac:dyDescent="0.2">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row>
    <row r="89" spans="1:66" ht="15" customHeight="1" x14ac:dyDescent="0.2">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row>
    <row r="90" spans="1:66" ht="15" customHeight="1" x14ac:dyDescent="0.2"/>
  </sheetData>
  <mergeCells count="62">
    <mergeCell ref="C9:L9"/>
    <mergeCell ref="N7:W7"/>
    <mergeCell ref="N8:W8"/>
    <mergeCell ref="N9:W9"/>
    <mergeCell ref="Y7:AH7"/>
    <mergeCell ref="BB2:BL2"/>
    <mergeCell ref="BB3:BL3"/>
    <mergeCell ref="BB4:BL4"/>
    <mergeCell ref="C7:L7"/>
    <mergeCell ref="C8:L8"/>
    <mergeCell ref="BF7:BL7"/>
    <mergeCell ref="BF8:BL8"/>
    <mergeCell ref="AC18:AE18"/>
    <mergeCell ref="AJ18:AM18"/>
    <mergeCell ref="Y8:AH8"/>
    <mergeCell ref="Y9:AH9"/>
    <mergeCell ref="AJ7:AS7"/>
    <mergeCell ref="AJ8:AS8"/>
    <mergeCell ref="AJ9:AS9"/>
    <mergeCell ref="BF9:BL9"/>
    <mergeCell ref="AC17:AE17"/>
    <mergeCell ref="AJ17:AM17"/>
    <mergeCell ref="AU7:BD7"/>
    <mergeCell ref="AU8:BD8"/>
    <mergeCell ref="AU9:BD9"/>
    <mergeCell ref="AC22:AE22"/>
    <mergeCell ref="AJ22:AM22"/>
    <mergeCell ref="AO20:AY20"/>
    <mergeCell ref="AC19:AE19"/>
    <mergeCell ref="AJ19:AM19"/>
    <mergeCell ref="AC20:AE20"/>
    <mergeCell ref="AJ20:AM20"/>
    <mergeCell ref="AC21:AE21"/>
    <mergeCell ref="AJ21:AM21"/>
    <mergeCell ref="AO19:AX19"/>
    <mergeCell ref="BA19:BJ19"/>
    <mergeCell ref="AO27:AX27"/>
    <mergeCell ref="BA27:BJ27"/>
    <mergeCell ref="AG32:AJ32"/>
    <mergeCell ref="AG30:AJ30"/>
    <mergeCell ref="AK30:AM30"/>
    <mergeCell ref="AG31:AJ31"/>
    <mergeCell ref="AK31:AM31"/>
    <mergeCell ref="AO29:AY29"/>
    <mergeCell ref="BA29:BK29"/>
    <mergeCell ref="AK32:AM32"/>
    <mergeCell ref="AG33:AJ33"/>
    <mergeCell ref="AK33:AM33"/>
    <mergeCell ref="BA20:BK20"/>
    <mergeCell ref="AO28:AY28"/>
    <mergeCell ref="BA28:BK28"/>
    <mergeCell ref="AO21:AY21"/>
    <mergeCell ref="BA21:BK21"/>
    <mergeCell ref="C48:T49"/>
    <mergeCell ref="AG29:AJ29"/>
    <mergeCell ref="AK29:AM29"/>
    <mergeCell ref="F35:I35"/>
    <mergeCell ref="N35:P35"/>
    <mergeCell ref="T35:V35"/>
    <mergeCell ref="C42:T43"/>
    <mergeCell ref="C45:T46"/>
    <mergeCell ref="C51:U53"/>
  </mergeCells>
  <conditionalFormatting sqref="AV42:AV46">
    <cfRule type="containsText" dxfId="18" priority="4" operator="containsText" text="Open">
      <formula>NOT(ISERROR(SEARCH("Open",AV42)))</formula>
    </cfRule>
    <cfRule type="containsText" dxfId="17" priority="5" operator="containsText" text="In progress">
      <formula>NOT(ISERROR(SEARCH("In progress",AV42)))</formula>
    </cfRule>
  </conditionalFormatting>
  <conditionalFormatting sqref="AV50:AV56">
    <cfRule type="containsText" dxfId="8" priority="1" operator="containsText" text="High">
      <formula>NOT(ISERROR(SEARCH("High",AV50)))</formula>
    </cfRule>
    <cfRule type="containsText" dxfId="7" priority="2" operator="containsText" text="Medium">
      <formula>NOT(ISERROR(SEARCH("Medium",AV50)))</formula>
    </cfRule>
    <cfRule type="containsText" dxfId="6" priority="3" operator="containsText" text="Low">
      <formula>NOT(ISERROR(SEARCH("Low",AV50)))</formula>
    </cfRule>
  </conditionalFormatting>
  <hyperlinks>
    <hyperlink ref="C56" r:id="rId1" tooltip="Book a fit call · Infraxus" xr:uid="{918FAB7E-FA0A-A642-9633-7F10BF11DCE9}"/>
  </hyperlinks>
  <pageMargins left="0.7" right="0.7" top="0.75" bottom="0.75" header="0.3" footer="0.3"/>
  <pageSetup paperSize="0" scale="47" orientation="landscape" horizontalDpi="0" verticalDpi="0" copie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EC32244-2E0E-3549-B708-CEE8DB19E50F}">
          <x14:formula1>
            <xm:f>'Sample Data'!$C$30:$O$30</xm:f>
          </x14:formula1>
          <xm:sqref>AW2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488C8-906F-554F-9F18-839BE790D8A5}">
  <sheetPr>
    <tabColor rgb="FF8896B3"/>
    <pageSetUpPr fitToPage="1"/>
  </sheetPr>
  <dimension ref="A1:BW90"/>
  <sheetViews>
    <sheetView showGridLines="0" zoomScale="150" zoomScaleNormal="150" workbookViewId="0">
      <selection activeCell="BM15" sqref="BM15"/>
    </sheetView>
  </sheetViews>
  <sheetFormatPr baseColWidth="10" defaultRowHeight="15" x14ac:dyDescent="0.2"/>
  <cols>
    <col min="1" max="1" width="2.33203125" style="130" customWidth="1"/>
    <col min="2" max="2" width="1.33203125" style="130" customWidth="1"/>
    <col min="3" max="64" width="3.5" style="130" customWidth="1"/>
    <col min="65" max="16384" width="10.83203125" style="130"/>
  </cols>
  <sheetData>
    <row r="1" spans="1:68" ht="15" customHeight="1" x14ac:dyDescent="0.2">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P1" s="131">
        <f>IFERROR(MATCH(AW2,'Sample Data'!$C$30:$O$30,0),13)</f>
        <v>13</v>
      </c>
    </row>
    <row r="2" spans="1:68" ht="14" customHeight="1" x14ac:dyDescent="0.2">
      <c r="A2" s="16"/>
      <c r="B2" s="16"/>
      <c r="C2" s="21" t="s">
        <v>248</v>
      </c>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31" t="s">
        <v>126</v>
      </c>
      <c r="AU2" s="16"/>
      <c r="AV2" s="16"/>
      <c r="AW2" s="75" t="s">
        <v>304</v>
      </c>
      <c r="AX2" s="16"/>
      <c r="AY2" s="16"/>
      <c r="AZ2" s="16"/>
      <c r="BA2" s="16"/>
      <c r="BB2" s="170" t="str">
        <f>UPPER(sinp_region)&amp;"  ·  "&amp;TEXT($BP$2,"mmm-yy")</f>
        <v>AU  ·  Jun-26</v>
      </c>
      <c r="BC2" s="170"/>
      <c r="BD2" s="170"/>
      <c r="BE2" s="170"/>
      <c r="BF2" s="170"/>
      <c r="BG2" s="170"/>
      <c r="BH2" s="170"/>
      <c r="BI2" s="170"/>
      <c r="BJ2" s="170"/>
      <c r="BK2" s="170"/>
      <c r="BL2" s="170"/>
      <c r="BM2" s="16"/>
      <c r="BN2" s="16"/>
      <c r="BP2" s="131" cm="1">
        <f t="array" ref="BP2">INDEX(scalc_dates,$BP$1)</f>
        <v>46174</v>
      </c>
    </row>
    <row r="3" spans="1:68" ht="30" customHeight="1" x14ac:dyDescent="0.4">
      <c r="A3" s="16"/>
      <c r="B3" s="16"/>
      <c r="C3" s="22" t="s">
        <v>298</v>
      </c>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71" t="str">
        <f>"FY"&amp;TEXT(scalc_fy_start_date,"yy")&amp;"  ·  YTD to "&amp;TEXT($BP$2,"mmm yyyy")</f>
        <v>FY25  ·  YTD to Jun 2026</v>
      </c>
      <c r="BC3" s="171"/>
      <c r="BD3" s="171"/>
      <c r="BE3" s="171"/>
      <c r="BF3" s="171"/>
      <c r="BG3" s="171"/>
      <c r="BH3" s="171"/>
      <c r="BI3" s="171"/>
      <c r="BJ3" s="171"/>
      <c r="BK3" s="171"/>
      <c r="BL3" s="171"/>
      <c r="BM3" s="16"/>
      <c r="BN3" s="16"/>
    </row>
    <row r="4" spans="1:68" ht="18" customHeight="1" x14ac:dyDescent="0.2">
      <c r="A4" s="16"/>
      <c r="B4" s="16"/>
      <c r="C4" s="24" t="str" cm="1">
        <f t="array" ref="C4">"YTD EBITDA "&amp;TEXT(SUM(INDEX('Sample Data'!$C$118:$O$118,MATCH(scalc_fy_start_date,scalc_dates,0)):INDEX('Sample Data'!$C$118:$O$118,$BP$1)),"$#,##0")&amp;" · "&amp;TEXT(SUM(INDEX('Sample Data'!$C$118:$O$118,MATCH(scalc_fy_start_date,scalc_dates,0)):INDEX('Sample Data'!$C$118:$O$118,$BP$1))-SUM(INDEX('Sample Data'!$C$119:$O$119,MATCH(scalc_fy_start_date,scalc_dates,0)):INDEX('Sample Data'!$C$119:$O$119,$BP$1)),"+$#,##0;-$#,##0")&amp;" vs plan        Cash "&amp;TEXT(INDEX('Sample Data'!$C$135:$O$135,$BP$1),"$#,##0")&amp;"        YTD margin "&amp;TEXT(SUM(INDEX('Sample Data'!$C$93:$O$93,MATCH(scalc_fy_start_date,scalc_dates,0)):INDEX('Sample Data'!$C$93:$O$93,$BP$1))/SUM(INDEX('Sample Data'!$C$71:$O$71,MATCH(scalc_fy_start_date,scalc_dates,0)):INDEX('Sample Data'!$C$71:$O$71,$BP$1)),"0.0%")</f>
        <v>YTD EBITDA $2,080,884 · -$192,447 vs plan        Cash $873,324        YTD margin 53.9%</v>
      </c>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86" t="str">
        <f>IF(smst_pass_ytd="PASS","● RECONCILED TO LEDGER","● CHECK "&amp;smst_pass_ytd)</f>
        <v>● RECONCILED TO LEDGER</v>
      </c>
      <c r="BC4" s="172"/>
      <c r="BD4" s="172"/>
      <c r="BE4" s="172"/>
      <c r="BF4" s="172"/>
      <c r="BG4" s="172"/>
      <c r="BH4" s="172"/>
      <c r="BI4" s="172"/>
      <c r="BJ4" s="172"/>
      <c r="BK4" s="172"/>
      <c r="BL4" s="172"/>
      <c r="BM4" s="16"/>
      <c r="BN4" s="16"/>
    </row>
    <row r="5" spans="1:68" ht="10" customHeight="1" x14ac:dyDescent="0.2">
      <c r="A5" s="16"/>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row>
    <row r="6" spans="1:68" ht="15" customHeight="1" thickBot="1" x14ac:dyDescent="0.25">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row>
    <row r="7" spans="1:68" ht="15" customHeight="1" x14ac:dyDescent="0.2">
      <c r="A7" s="16"/>
      <c r="B7" s="16"/>
      <c r="C7" s="187" t="s">
        <v>163</v>
      </c>
      <c r="D7" s="188"/>
      <c r="E7" s="188"/>
      <c r="F7" s="188"/>
      <c r="G7" s="188"/>
      <c r="H7" s="188"/>
      <c r="I7" s="188"/>
      <c r="J7" s="188"/>
      <c r="K7" s="188"/>
      <c r="L7" s="188"/>
      <c r="M7" s="16"/>
      <c r="N7" s="187" t="s">
        <v>299</v>
      </c>
      <c r="O7" s="188"/>
      <c r="P7" s="188"/>
      <c r="Q7" s="188"/>
      <c r="R7" s="188"/>
      <c r="S7" s="188"/>
      <c r="T7" s="188"/>
      <c r="U7" s="188"/>
      <c r="V7" s="188"/>
      <c r="W7" s="188"/>
      <c r="X7" s="16"/>
      <c r="Y7" s="187" t="s">
        <v>164</v>
      </c>
      <c r="Z7" s="188"/>
      <c r="AA7" s="188"/>
      <c r="AB7" s="188"/>
      <c r="AC7" s="188"/>
      <c r="AD7" s="188"/>
      <c r="AE7" s="188"/>
      <c r="AF7" s="188"/>
      <c r="AG7" s="188"/>
      <c r="AH7" s="188"/>
      <c r="AI7" s="16"/>
      <c r="AJ7" s="187" t="s">
        <v>165</v>
      </c>
      <c r="AK7" s="188"/>
      <c r="AL7" s="188"/>
      <c r="AM7" s="188"/>
      <c r="AN7" s="188"/>
      <c r="AO7" s="188"/>
      <c r="AP7" s="188"/>
      <c r="AQ7" s="188"/>
      <c r="AR7" s="188"/>
      <c r="AS7" s="188"/>
      <c r="AT7" s="16"/>
      <c r="AU7" s="187" t="s">
        <v>129</v>
      </c>
      <c r="AV7" s="188"/>
      <c r="AW7" s="188"/>
      <c r="AX7" s="188"/>
      <c r="AY7" s="188"/>
      <c r="AZ7" s="188"/>
      <c r="BA7" s="188"/>
      <c r="BB7" s="188"/>
      <c r="BC7" s="188"/>
      <c r="BD7" s="188"/>
      <c r="BE7" s="16"/>
      <c r="BF7" s="187" t="s">
        <v>300</v>
      </c>
      <c r="BG7" s="188"/>
      <c r="BH7" s="188"/>
      <c r="BI7" s="188"/>
      <c r="BJ7" s="188"/>
      <c r="BK7" s="188"/>
      <c r="BL7" s="188"/>
      <c r="BM7" s="16"/>
      <c r="BN7" s="16"/>
    </row>
    <row r="8" spans="1:68" ht="26" customHeight="1" x14ac:dyDescent="0.3">
      <c r="A8" s="16"/>
      <c r="B8" s="16"/>
      <c r="C8" s="177">
        <f>SUM(INDEX('Sample Data'!$C$71:$O$71,MATCH(scalc_fy_start_date,scalc_dates,0)):INDEX('Sample Data'!$C$71:$O$71,$BP$1))</f>
        <v>6601542</v>
      </c>
      <c r="D8" s="178"/>
      <c r="E8" s="178"/>
      <c r="F8" s="178"/>
      <c r="G8" s="178"/>
      <c r="H8" s="178"/>
      <c r="I8" s="178"/>
      <c r="J8" s="178"/>
      <c r="K8" s="178"/>
      <c r="L8" s="178"/>
      <c r="M8" s="16"/>
      <c r="N8" s="179">
        <f>SUM(INDEX('Sample Data'!$C$93:$O$93,MATCH(scalc_fy_start_date,scalc_dates,0)):INDEX('Sample Data'!$C$93:$O$93,$BP$1))/SUM(INDEX('Sample Data'!$C$71:$O$71,MATCH(scalc_fy_start_date,scalc_dates,0)):INDEX('Sample Data'!$C$71:$O$71,$BP$1))</f>
        <v>0.53914130971218543</v>
      </c>
      <c r="O8" s="180"/>
      <c r="P8" s="180"/>
      <c r="Q8" s="180"/>
      <c r="R8" s="180"/>
      <c r="S8" s="180"/>
      <c r="T8" s="180"/>
      <c r="U8" s="180"/>
      <c r="V8" s="180"/>
      <c r="W8" s="180"/>
      <c r="X8" s="16"/>
      <c r="Y8" s="177">
        <f>SUM(INDEX('Sample Data'!$C$118:$O$118,MATCH(scalc_fy_start_date,scalc_dates,0)):INDEX('Sample Data'!$C$118:$O$118,$BP$1))</f>
        <v>2080884</v>
      </c>
      <c r="Z8" s="178"/>
      <c r="AA8" s="178"/>
      <c r="AB8" s="178"/>
      <c r="AC8" s="178"/>
      <c r="AD8" s="178"/>
      <c r="AE8" s="178"/>
      <c r="AF8" s="178"/>
      <c r="AG8" s="178"/>
      <c r="AH8" s="178"/>
      <c r="AI8" s="16"/>
      <c r="AJ8" s="177">
        <f>SUM(INDEX('Sample Data'!$C$131:$O$131,MATCH(scalc_fy_start_date,scalc_dates,0)):INDEX('Sample Data'!$C$131:$O$131,$BP$1))</f>
        <v>1654499</v>
      </c>
      <c r="AK8" s="178"/>
      <c r="AL8" s="178"/>
      <c r="AM8" s="178"/>
      <c r="AN8" s="178"/>
      <c r="AO8" s="178"/>
      <c r="AP8" s="178"/>
      <c r="AQ8" s="178"/>
      <c r="AR8" s="178"/>
      <c r="AS8" s="178"/>
      <c r="AT8" s="16"/>
      <c r="AU8" s="177" cm="1">
        <f t="array" ref="AU8">INDEX('Sample Data'!$C$135:$O$135,$BP$1)</f>
        <v>873324</v>
      </c>
      <c r="AV8" s="178"/>
      <c r="AW8" s="178"/>
      <c r="AX8" s="178"/>
      <c r="AY8" s="178"/>
      <c r="AZ8" s="178"/>
      <c r="BA8" s="178"/>
      <c r="BB8" s="178"/>
      <c r="BC8" s="178"/>
      <c r="BD8" s="178"/>
      <c r="BE8" s="16"/>
      <c r="BF8" s="177">
        <f>SUM(INDEX('Sample Data'!$C$118:$O$118,MATCH(scalc_fy_start_date,scalc_dates,0)):INDEX('Sample Data'!$C$118:$O$118,$BP$1))+SUM(INDEX('Sample Data'!$C$182:$O$182,MATCH(scalc_fy_start_date,scalc_dates,0)):INDEX('Sample Data'!$C$182:$O$182,$BP$1))</f>
        <v>2164884</v>
      </c>
      <c r="BG8" s="181"/>
      <c r="BH8" s="181"/>
      <c r="BI8" s="181"/>
      <c r="BJ8" s="181"/>
      <c r="BK8" s="181"/>
      <c r="BL8" s="181"/>
      <c r="BM8" s="16"/>
      <c r="BN8" s="16"/>
    </row>
    <row r="9" spans="1:68" ht="15" customHeight="1" x14ac:dyDescent="0.2">
      <c r="A9" s="16"/>
      <c r="B9" s="16"/>
      <c r="C9" s="182" t="str">
        <f>TEXT(SUM(INDEX('Sample Data'!$C$71:$O$71,MATCH(scalc_fy_start_date,scalc_dates,0)):INDEX('Sample Data'!$C$71:$O$71,$BP$1))/SUM(INDEX('Sample Data'!$C$72:$O$72,MATCH(scalc_fy_start_date,scalc_dates,0)):INDEX('Sample Data'!$C$72:$O$72,$BP$1))-1,"+0.0%;-0.0%")&amp;" vs plan"</f>
        <v>-2.0% vs plan</v>
      </c>
      <c r="D9" s="183"/>
      <c r="E9" s="183"/>
      <c r="F9" s="183"/>
      <c r="G9" s="183"/>
      <c r="H9" s="183"/>
      <c r="I9" s="183"/>
      <c r="J9" s="183"/>
      <c r="K9" s="183"/>
      <c r="L9" s="183"/>
      <c r="M9" s="16"/>
      <c r="N9" s="175" t="str">
        <f>TEXT(SUM(INDEX('Sample Data'!$C$93:$O$93,MATCH(scalc_fy_start_date,scalc_dates,0)):INDEX('Sample Data'!$C$93:$O$93,$BP$1))/SUM(INDEX('Sample Data'!$C$71:$O$71,MATCH(scalc_fy_start_date,scalc_dates,0)):INDEX('Sample Data'!$C$71:$O$71,$BP$1))-SUM(INDEX('Sample Data'!$C$94:$O$94,MATCH(scalc_fy_start_date,scalc_dates,0)):INDEX('Sample Data'!$C$94:$O$94,$BP$1))/SUM(INDEX('Sample Data'!$C$72:$O$72,MATCH(scalc_fy_start_date,scalc_dates,0)):INDEX('Sample Data'!$C$72:$O$72,$BP$1)),"+0.0pp;-0.0pp")&amp;" vs plan"</f>
        <v>-0.0pp vs plan</v>
      </c>
      <c r="O9" s="183"/>
      <c r="P9" s="183"/>
      <c r="Q9" s="183"/>
      <c r="R9" s="183"/>
      <c r="S9" s="183"/>
      <c r="T9" s="183"/>
      <c r="U9" s="183"/>
      <c r="V9" s="183"/>
      <c r="W9" s="183"/>
      <c r="X9" s="16"/>
      <c r="Y9" s="182" t="str">
        <f>TEXT(SUM(INDEX('Sample Data'!$C$118:$O$118,MATCH(scalc_fy_start_date,scalc_dates,0)):INDEX('Sample Data'!$C$118:$O$118,$BP$1))-SUM(INDEX('Sample Data'!$C$119:$O$119,MATCH(scalc_fy_start_date,scalc_dates,0)):INDEX('Sample Data'!$C$119:$O$119,$BP$1)),"+$#,##0;-$#,##0")&amp;" vs plan"</f>
        <v>-$192,447 vs plan</v>
      </c>
      <c r="Z9" s="183"/>
      <c r="AA9" s="183"/>
      <c r="AB9" s="183"/>
      <c r="AC9" s="183"/>
      <c r="AD9" s="183"/>
      <c r="AE9" s="183"/>
      <c r="AF9" s="183"/>
      <c r="AG9" s="183"/>
      <c r="AH9" s="183"/>
      <c r="AI9" s="16"/>
      <c r="AJ9" s="182" t="str">
        <f>TEXT(SUM(INDEX('Sample Data'!$C$131:$O$131,MATCH(scalc_fy_start_date,scalc_dates,0)):INDEX('Sample Data'!$C$131:$O$131,$BP$1))-SUM(INDEX('Sample Data'!$C$132:$O$132,MATCH(scalc_fy_start_date,scalc_dates,0)):INDEX('Sample Data'!$C$132:$O$132,$BP$1)),"+$#,##0;-$#,##0")&amp;" vs plan"</f>
        <v>-$198,163 vs plan</v>
      </c>
      <c r="AK9" s="183"/>
      <c r="AL9" s="183"/>
      <c r="AM9" s="183"/>
      <c r="AN9" s="183"/>
      <c r="AO9" s="183"/>
      <c r="AP9" s="183"/>
      <c r="AQ9" s="183"/>
      <c r="AR9" s="183"/>
      <c r="AS9" s="183"/>
      <c r="AT9" s="16"/>
      <c r="AU9" s="184" t="str" cm="1">
        <f t="array" ref="AU9">TEXT(INDEX('Sample Data'!$C$135:$O$135,$BP$1)-INDEX('Sample Data'!$C$135:$O$135,MATCH(scalc_fy_start_date,scalc_dates,0)-1),"+$#,##0;-$#,##0")&amp;" FYTD"</f>
        <v>+$427,766 FYTD</v>
      </c>
      <c r="AV9" s="185"/>
      <c r="AW9" s="185"/>
      <c r="AX9" s="185"/>
      <c r="AY9" s="185"/>
      <c r="AZ9" s="185"/>
      <c r="BA9" s="185"/>
      <c r="BB9" s="185"/>
      <c r="BC9" s="185"/>
      <c r="BD9" s="185"/>
      <c r="BE9" s="16"/>
      <c r="BF9" s="175" t="str">
        <f>"add-back "&amp;TEXT(SUM(INDEX('Sample Data'!$C$182:$O$182,MATCH(scalc_fy_start_date,scalc_dates,0)):INDEX('Sample Data'!$C$182:$O$182,$BP$1)),"$#,##0")</f>
        <v>add-back $84,000</v>
      </c>
      <c r="BG9" s="176"/>
      <c r="BH9" s="176"/>
      <c r="BI9" s="176"/>
      <c r="BJ9" s="176"/>
      <c r="BK9" s="176"/>
      <c r="BL9" s="176"/>
      <c r="BM9" s="16"/>
      <c r="BN9" s="16"/>
    </row>
    <row r="10" spans="1:68" ht="15" customHeight="1" x14ac:dyDescent="0.2">
      <c r="A10" s="16"/>
      <c r="B10" s="16"/>
      <c r="C10" s="27"/>
      <c r="D10" s="27"/>
      <c r="E10" s="27"/>
      <c r="F10" s="27"/>
      <c r="G10" s="27"/>
      <c r="H10" s="27"/>
      <c r="I10" s="27"/>
      <c r="J10" s="27"/>
      <c r="K10" s="27"/>
      <c r="L10" s="27"/>
      <c r="M10" s="16"/>
      <c r="N10" s="27"/>
      <c r="O10" s="27"/>
      <c r="P10" s="27"/>
      <c r="Q10" s="27"/>
      <c r="R10" s="27"/>
      <c r="S10" s="27"/>
      <c r="T10" s="27"/>
      <c r="U10" s="27"/>
      <c r="V10" s="27"/>
      <c r="W10" s="27"/>
      <c r="X10" s="16"/>
      <c r="Y10" s="27"/>
      <c r="Z10" s="27"/>
      <c r="AA10" s="27"/>
      <c r="AB10" s="27"/>
      <c r="AC10" s="27"/>
      <c r="AD10" s="27"/>
      <c r="AE10" s="27"/>
      <c r="AF10" s="27"/>
      <c r="AG10" s="27"/>
      <c r="AH10" s="27"/>
      <c r="AI10" s="16"/>
      <c r="AJ10" s="27"/>
      <c r="AK10" s="27"/>
      <c r="AL10" s="27"/>
      <c r="AM10" s="27"/>
      <c r="AN10" s="27"/>
      <c r="AO10" s="27"/>
      <c r="AP10" s="27"/>
      <c r="AQ10" s="27"/>
      <c r="AR10" s="27"/>
      <c r="AS10" s="27"/>
      <c r="AT10" s="16"/>
      <c r="AU10" s="27"/>
      <c r="AV10" s="27"/>
      <c r="AW10" s="27"/>
      <c r="AX10" s="27"/>
      <c r="AY10" s="27"/>
      <c r="AZ10" s="27"/>
      <c r="BA10" s="27"/>
      <c r="BB10" s="27"/>
      <c r="BC10" s="27"/>
      <c r="BD10" s="27"/>
      <c r="BE10" s="16"/>
      <c r="BF10" s="27"/>
      <c r="BG10" s="27"/>
      <c r="BH10" s="27"/>
      <c r="BI10" s="27"/>
      <c r="BJ10" s="27"/>
      <c r="BK10" s="27"/>
      <c r="BL10" s="27"/>
      <c r="BM10" s="16"/>
      <c r="BN10" s="16"/>
    </row>
    <row r="11" spans="1:68" ht="15" customHeight="1" x14ac:dyDescent="0.2">
      <c r="A11" s="16"/>
      <c r="B11" s="16"/>
      <c r="C11" s="27"/>
      <c r="D11" s="27"/>
      <c r="E11" s="27"/>
      <c r="F11" s="27"/>
      <c r="G11" s="27"/>
      <c r="H11" s="27"/>
      <c r="I11" s="27"/>
      <c r="J11" s="27"/>
      <c r="K11" s="27"/>
      <c r="L11" s="27"/>
      <c r="M11" s="16"/>
      <c r="N11" s="27"/>
      <c r="O11" s="27"/>
      <c r="P11" s="27"/>
      <c r="Q11" s="27"/>
      <c r="R11" s="27"/>
      <c r="S11" s="27"/>
      <c r="T11" s="27"/>
      <c r="U11" s="27"/>
      <c r="V11" s="27"/>
      <c r="W11" s="27"/>
      <c r="X11" s="16"/>
      <c r="Y11" s="27"/>
      <c r="Z11" s="27"/>
      <c r="AA11" s="27"/>
      <c r="AB11" s="27"/>
      <c r="AC11" s="27"/>
      <c r="AD11" s="27"/>
      <c r="AE11" s="27"/>
      <c r="AF11" s="27"/>
      <c r="AG11" s="27"/>
      <c r="AH11" s="27"/>
      <c r="AI11" s="16"/>
      <c r="AJ11" s="27"/>
      <c r="AK11" s="27"/>
      <c r="AL11" s="27"/>
      <c r="AM11" s="27"/>
      <c r="AN11" s="27"/>
      <c r="AO11" s="27"/>
      <c r="AP11" s="27"/>
      <c r="AQ11" s="27"/>
      <c r="AR11" s="27"/>
      <c r="AS11" s="27"/>
      <c r="AT11" s="16"/>
      <c r="AU11" s="27"/>
      <c r="AV11" s="27"/>
      <c r="AW11" s="27"/>
      <c r="AX11" s="27"/>
      <c r="AY11" s="27"/>
      <c r="AZ11" s="27"/>
      <c r="BA11" s="27"/>
      <c r="BB11" s="27"/>
      <c r="BC11" s="27"/>
      <c r="BD11" s="27"/>
      <c r="BE11" s="16"/>
      <c r="BF11" s="27"/>
      <c r="BG11" s="27"/>
      <c r="BH11" s="27"/>
      <c r="BI11" s="27"/>
      <c r="BJ11" s="27"/>
      <c r="BK11" s="27"/>
      <c r="BL11" s="27"/>
      <c r="BM11" s="16"/>
      <c r="BN11" s="16"/>
    </row>
    <row r="12" spans="1:68" ht="15" customHeight="1" x14ac:dyDescent="0.2">
      <c r="A12" s="16"/>
      <c r="B12" s="16"/>
      <c r="C12" s="27"/>
      <c r="D12" s="27"/>
      <c r="E12" s="27"/>
      <c r="F12" s="27"/>
      <c r="G12" s="27"/>
      <c r="H12" s="27"/>
      <c r="I12" s="27"/>
      <c r="J12" s="27"/>
      <c r="K12" s="27"/>
      <c r="L12" s="27"/>
      <c r="M12" s="16"/>
      <c r="N12" s="27"/>
      <c r="O12" s="27"/>
      <c r="P12" s="27"/>
      <c r="Q12" s="27"/>
      <c r="R12" s="27"/>
      <c r="S12" s="27"/>
      <c r="T12" s="27"/>
      <c r="U12" s="27"/>
      <c r="V12" s="27"/>
      <c r="W12" s="27"/>
      <c r="X12" s="16"/>
      <c r="Y12" s="27"/>
      <c r="Z12" s="27"/>
      <c r="AA12" s="27"/>
      <c r="AB12" s="27"/>
      <c r="AC12" s="27"/>
      <c r="AD12" s="27"/>
      <c r="AE12" s="27"/>
      <c r="AF12" s="27"/>
      <c r="AG12" s="27"/>
      <c r="AH12" s="27"/>
      <c r="AI12" s="16"/>
      <c r="AJ12" s="27"/>
      <c r="AK12" s="27"/>
      <c r="AL12" s="27"/>
      <c r="AM12" s="27"/>
      <c r="AN12" s="27"/>
      <c r="AO12" s="27"/>
      <c r="AP12" s="27"/>
      <c r="AQ12" s="27"/>
      <c r="AR12" s="27"/>
      <c r="AS12" s="27"/>
      <c r="AT12" s="16"/>
      <c r="AU12" s="27"/>
      <c r="AV12" s="27"/>
      <c r="AW12" s="27"/>
      <c r="AX12" s="27"/>
      <c r="AY12" s="27"/>
      <c r="AZ12" s="27"/>
      <c r="BA12" s="27"/>
      <c r="BB12" s="27"/>
      <c r="BC12" s="27"/>
      <c r="BD12" s="27"/>
      <c r="BE12" s="16"/>
      <c r="BF12" s="27"/>
      <c r="BG12" s="27"/>
      <c r="BH12" s="27"/>
      <c r="BI12" s="27"/>
      <c r="BJ12" s="27"/>
      <c r="BK12" s="27"/>
      <c r="BL12" s="27"/>
      <c r="BM12" s="16"/>
      <c r="BN12" s="16"/>
    </row>
    <row r="13" spans="1:68" ht="15" customHeight="1" x14ac:dyDescent="0.2">
      <c r="A13" s="16"/>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row>
    <row r="14" spans="1:68" ht="15" customHeight="1" x14ac:dyDescent="0.2">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row>
    <row r="15" spans="1:68" ht="15" customHeight="1" x14ac:dyDescent="0.2">
      <c r="A15" s="16"/>
      <c r="B15" s="16"/>
      <c r="C15" s="51" t="s">
        <v>302</v>
      </c>
      <c r="D15" s="52"/>
      <c r="E15" s="52"/>
      <c r="F15" s="52"/>
      <c r="G15" s="52"/>
      <c r="H15" s="52"/>
      <c r="I15" s="52"/>
      <c r="J15" s="53"/>
      <c r="K15" s="52"/>
      <c r="L15" s="52"/>
      <c r="M15" s="52"/>
      <c r="N15" s="52"/>
      <c r="O15" s="52"/>
      <c r="P15" s="52"/>
      <c r="Q15" s="52"/>
      <c r="R15" s="52"/>
      <c r="S15" s="52"/>
      <c r="T15" s="52"/>
      <c r="U15" s="16"/>
      <c r="V15" s="51" t="s">
        <v>271</v>
      </c>
      <c r="W15" s="52"/>
      <c r="X15" s="52"/>
      <c r="Y15" s="52"/>
      <c r="Z15" s="52"/>
      <c r="AA15" s="52"/>
      <c r="AB15" s="52"/>
      <c r="AC15" s="52"/>
      <c r="AD15" s="52"/>
      <c r="AE15" s="52"/>
      <c r="AF15" s="52"/>
      <c r="AG15" s="52"/>
      <c r="AH15" s="52"/>
      <c r="AI15" s="52"/>
      <c r="AJ15" s="52"/>
      <c r="AK15" s="52"/>
      <c r="AL15" s="52"/>
      <c r="AM15" s="52"/>
      <c r="AN15" s="16"/>
      <c r="AO15" s="51" t="s">
        <v>303</v>
      </c>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16"/>
      <c r="BN15" s="16"/>
    </row>
    <row r="16" spans="1:68" ht="15" customHeight="1" x14ac:dyDescent="0.2">
      <c r="A16" s="16"/>
      <c r="B16" s="16"/>
      <c r="C16" s="33" t="s">
        <v>274</v>
      </c>
      <c r="D16" s="27"/>
      <c r="E16" s="27"/>
      <c r="F16" s="27"/>
      <c r="G16" s="27"/>
      <c r="H16" s="27"/>
      <c r="I16" s="27"/>
      <c r="J16" s="27"/>
      <c r="K16" s="27"/>
      <c r="L16" s="27"/>
      <c r="M16" s="27"/>
      <c r="N16" s="27"/>
      <c r="O16" s="27"/>
      <c r="P16" s="27"/>
      <c r="Q16" s="27"/>
      <c r="R16" s="27"/>
      <c r="S16" s="27"/>
      <c r="T16" s="27"/>
      <c r="U16" s="16"/>
      <c r="V16" s="33" t="s">
        <v>275</v>
      </c>
      <c r="W16" s="27"/>
      <c r="X16" s="27"/>
      <c r="Y16" s="27"/>
      <c r="Z16" s="27"/>
      <c r="AA16" s="27"/>
      <c r="AB16" s="27"/>
      <c r="AC16" s="27"/>
      <c r="AD16" s="27"/>
      <c r="AE16" s="27"/>
      <c r="AF16" s="27"/>
      <c r="AG16" s="27"/>
      <c r="AH16" s="27"/>
      <c r="AI16" s="27"/>
      <c r="AJ16" s="27"/>
      <c r="AK16" s="27"/>
      <c r="AL16" s="27"/>
      <c r="AM16" s="27"/>
      <c r="AN16" s="16"/>
      <c r="AO16" s="33" t="s">
        <v>276</v>
      </c>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16"/>
      <c r="BN16" s="16"/>
    </row>
    <row r="17" spans="1:66" ht="15" customHeight="1" x14ac:dyDescent="0.2">
      <c r="A17" s="16"/>
      <c r="B17" s="16"/>
      <c r="C17" s="34"/>
      <c r="D17" s="27"/>
      <c r="E17" s="27"/>
      <c r="F17" s="27"/>
      <c r="G17" s="27"/>
      <c r="H17" s="35"/>
      <c r="I17" s="27"/>
      <c r="J17" s="27"/>
      <c r="K17" s="27"/>
      <c r="L17" s="27"/>
      <c r="M17" s="27"/>
      <c r="N17" s="27"/>
      <c r="O17" s="27"/>
      <c r="P17" s="27"/>
      <c r="Q17" s="27"/>
      <c r="R17" s="27"/>
      <c r="S17" s="27"/>
      <c r="T17" s="27"/>
      <c r="U17" s="16"/>
      <c r="V17" s="27"/>
      <c r="W17" s="27"/>
      <c r="X17" s="27"/>
      <c r="Y17" s="27"/>
      <c r="Z17" s="27"/>
      <c r="AA17" s="27"/>
      <c r="AB17" s="27"/>
      <c r="AC17" s="157" t="s">
        <v>132</v>
      </c>
      <c r="AD17" s="157"/>
      <c r="AE17" s="157"/>
      <c r="AF17" s="27"/>
      <c r="AG17" s="41" t="s">
        <v>277</v>
      </c>
      <c r="AH17" s="27"/>
      <c r="AI17" s="27"/>
      <c r="AJ17" s="157" t="s">
        <v>136</v>
      </c>
      <c r="AK17" s="157"/>
      <c r="AL17" s="157"/>
      <c r="AM17" s="157"/>
      <c r="AN17" s="16"/>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16"/>
      <c r="BN17" s="16"/>
    </row>
    <row r="18" spans="1:66" ht="15" customHeight="1" x14ac:dyDescent="0.2">
      <c r="A18" s="16"/>
      <c r="B18" s="16"/>
      <c r="C18" s="36"/>
      <c r="D18" s="27"/>
      <c r="E18" s="27"/>
      <c r="F18" s="27"/>
      <c r="G18" s="27"/>
      <c r="H18" s="37"/>
      <c r="I18" s="27"/>
      <c r="J18" s="27"/>
      <c r="K18" s="27"/>
      <c r="L18" s="27"/>
      <c r="M18" s="27"/>
      <c r="N18" s="27"/>
      <c r="O18" s="27"/>
      <c r="P18" s="27"/>
      <c r="Q18" s="27"/>
      <c r="R18" s="27"/>
      <c r="S18" s="27"/>
      <c r="T18" s="27"/>
      <c r="U18" s="16"/>
      <c r="V18" s="36" t="s">
        <v>251</v>
      </c>
      <c r="W18" s="27"/>
      <c r="X18" s="56" t="str">
        <f>REPT("█",ROUND(AC18/$AC$22*18,0))</f>
        <v>███████████</v>
      </c>
      <c r="Y18" s="27"/>
      <c r="Z18" s="27"/>
      <c r="AA18" s="27"/>
      <c r="AB18" s="27"/>
      <c r="AC18" s="143" cm="1">
        <f t="array" ref="AC18">INDEX('Sample Data'!$C$148:$O$148,$BP$1)</f>
        <v>469081</v>
      </c>
      <c r="AD18" s="143"/>
      <c r="AE18" s="143"/>
      <c r="AF18" s="27"/>
      <c r="AG18" s="43">
        <f>sinp_collprob_0</f>
        <v>0.98</v>
      </c>
      <c r="AH18" s="27"/>
      <c r="AI18" s="27"/>
      <c r="AJ18" s="154">
        <f>AC18*AG18</f>
        <v>459699.38</v>
      </c>
      <c r="AK18" s="154"/>
      <c r="AL18" s="154"/>
      <c r="AM18" s="154"/>
      <c r="AN18" s="16"/>
      <c r="AO18" s="26" t="s">
        <v>252</v>
      </c>
      <c r="AP18" s="26"/>
      <c r="AQ18" s="26"/>
      <c r="AR18" s="26"/>
      <c r="AS18" s="26"/>
      <c r="AT18" s="26"/>
      <c r="AU18" s="26"/>
      <c r="AV18" s="26"/>
      <c r="AW18" s="26"/>
      <c r="AX18" s="26"/>
      <c r="AY18" s="26"/>
      <c r="AZ18" s="27"/>
      <c r="BA18" s="26" t="s">
        <v>253</v>
      </c>
      <c r="BB18" s="27"/>
      <c r="BC18" s="26"/>
      <c r="BD18" s="26"/>
      <c r="BE18" s="26"/>
      <c r="BF18" s="26"/>
      <c r="BG18" s="26"/>
      <c r="BH18" s="26"/>
      <c r="BI18" s="26"/>
      <c r="BJ18" s="26"/>
      <c r="BK18" s="26"/>
      <c r="BL18" s="26"/>
      <c r="BM18" s="16"/>
      <c r="BN18" s="16"/>
    </row>
    <row r="19" spans="1:66" ht="24" customHeight="1" x14ac:dyDescent="0.25">
      <c r="A19" s="16"/>
      <c r="B19" s="16"/>
      <c r="C19" s="36"/>
      <c r="D19" s="27"/>
      <c r="E19" s="27"/>
      <c r="F19" s="27"/>
      <c r="G19" s="27"/>
      <c r="H19" s="38"/>
      <c r="I19" s="27"/>
      <c r="J19" s="27"/>
      <c r="K19" s="27"/>
      <c r="L19" s="27"/>
      <c r="M19" s="27"/>
      <c r="N19" s="27"/>
      <c r="O19" s="27"/>
      <c r="P19" s="27"/>
      <c r="Q19" s="27"/>
      <c r="R19" s="27"/>
      <c r="S19" s="27"/>
      <c r="T19" s="27"/>
      <c r="U19" s="16"/>
      <c r="V19" s="36" t="s">
        <v>246</v>
      </c>
      <c r="W19" s="27"/>
      <c r="X19" s="57" t="str">
        <f>REPT("█",ROUND(AC19/$AC$22*18,0))</f>
        <v>████</v>
      </c>
      <c r="Y19" s="27"/>
      <c r="Z19" s="27"/>
      <c r="AA19" s="27"/>
      <c r="AB19" s="27"/>
      <c r="AC19" s="143" cm="1">
        <f t="array" ref="AC19">INDEX('Sample Data'!$C$151:$O$151,$BP$1)</f>
        <v>181580</v>
      </c>
      <c r="AD19" s="143"/>
      <c r="AE19" s="143"/>
      <c r="AF19" s="27"/>
      <c r="AG19" s="43">
        <f>sinp_collprob_1</f>
        <v>0.9</v>
      </c>
      <c r="AH19" s="27"/>
      <c r="AI19" s="27"/>
      <c r="AJ19" s="154">
        <f>AC19*AG19</f>
        <v>163422</v>
      </c>
      <c r="AK19" s="154"/>
      <c r="AL19" s="154"/>
      <c r="AM19" s="154"/>
      <c r="AN19" s="16"/>
      <c r="AO19" s="150">
        <f>SUM(INDEX('Sample Data'!$C$164:$O$164,MATCH(scalc_fy_start_date,scalc_dates,0)):INDEX('Sample Data'!$C$164:$O$164,$BP$1))/SUM(INDEX('Sample Data'!$C$167:$O$167,MATCH(scalc_fy_start_date,scalc_dates,0)):INDEX('Sample Data'!$C$167:$O$167,$BP$1))</f>
        <v>0.67999477897667948</v>
      </c>
      <c r="AP19" s="150"/>
      <c r="AQ19" s="150"/>
      <c r="AR19" s="150"/>
      <c r="AS19" s="150"/>
      <c r="AT19" s="150"/>
      <c r="AU19" s="150"/>
      <c r="AV19" s="150"/>
      <c r="AW19" s="150"/>
      <c r="AX19" s="150"/>
      <c r="AY19" s="54"/>
      <c r="AZ19" s="27"/>
      <c r="BA19" s="150">
        <f>SUM(INDEX('Sample Data'!$C$71:$O$71,MATCH(scalc_fy_start_date,scalc_dates,0)):INDEX('Sample Data'!$C$71:$O$71,$BP$1))/(SUM(INDEX('Sample Data'!$C$164:$O$164,MATCH(scalc_fy_start_date,scalc_dates,0)):INDEX('Sample Data'!$C$164:$O$164,$BP$1))*(SUM(INDEX('Sample Data'!$C$176:$O$176,MATCH(scalc_fy_start_date,scalc_dates,0)):INDEX('Sample Data'!$C$176:$O$176,$BP$1))/($BP$1-MATCH(scalc_fy_start_date,scalc_dates,0)+1)))</f>
        <v>0.93864568003924331</v>
      </c>
      <c r="BB19" s="150"/>
      <c r="BC19" s="150"/>
      <c r="BD19" s="150"/>
      <c r="BE19" s="150"/>
      <c r="BF19" s="150"/>
      <c r="BG19" s="150"/>
      <c r="BH19" s="150"/>
      <c r="BI19" s="150"/>
      <c r="BJ19" s="150"/>
      <c r="BK19" s="54"/>
      <c r="BL19" s="54"/>
      <c r="BM19" s="16"/>
      <c r="BN19" s="16"/>
    </row>
    <row r="20" spans="1:66" ht="15" customHeight="1" x14ac:dyDescent="0.2">
      <c r="A20" s="16"/>
      <c r="B20" s="16"/>
      <c r="C20" s="36"/>
      <c r="D20" s="27"/>
      <c r="E20" s="27"/>
      <c r="F20" s="27"/>
      <c r="G20" s="27"/>
      <c r="H20" s="37"/>
      <c r="I20" s="27"/>
      <c r="J20" s="27"/>
      <c r="K20" s="27"/>
      <c r="L20" s="27"/>
      <c r="M20" s="27"/>
      <c r="N20" s="27"/>
      <c r="O20" s="27"/>
      <c r="P20" s="27"/>
      <c r="Q20" s="27"/>
      <c r="R20" s="27"/>
      <c r="S20" s="27"/>
      <c r="T20" s="27"/>
      <c r="U20" s="16"/>
      <c r="V20" s="36" t="s">
        <v>245</v>
      </c>
      <c r="W20" s="27"/>
      <c r="X20" s="58" t="str">
        <f>REPT("█",ROUND(AC20/$AC$22*18,0))</f>
        <v>██</v>
      </c>
      <c r="Y20" s="27"/>
      <c r="Z20" s="27"/>
      <c r="AA20" s="27"/>
      <c r="AB20" s="27"/>
      <c r="AC20" s="143" cm="1">
        <f t="array" ref="AC20">INDEX('Sample Data'!$C$154:$O$154,$BP$1)</f>
        <v>75658</v>
      </c>
      <c r="AD20" s="143"/>
      <c r="AE20" s="143"/>
      <c r="AF20" s="27"/>
      <c r="AG20" s="43">
        <f>sinp_collprob_2</f>
        <v>0.65</v>
      </c>
      <c r="AH20" s="27"/>
      <c r="AI20" s="27"/>
      <c r="AJ20" s="154">
        <f>AC20*AG20</f>
        <v>49177.700000000004</v>
      </c>
      <c r="AK20" s="154"/>
      <c r="AL20" s="154"/>
      <c r="AM20" s="154"/>
      <c r="AN20" s="16"/>
      <c r="AO20" s="152" t="str">
        <f>REPT("█",MIN(14,MAX(0,ROUND((AO19/0.75)*14,0))))&amp;REPT("░",14-MIN(14,MAX(0,ROUND((AO19/0.75)*14,0))))</f>
        <v>█████████████░</v>
      </c>
      <c r="AP20" s="152"/>
      <c r="AQ20" s="152"/>
      <c r="AR20" s="152"/>
      <c r="AS20" s="152"/>
      <c r="AT20" s="152"/>
      <c r="AU20" s="152"/>
      <c r="AV20" s="152"/>
      <c r="AW20" s="152"/>
      <c r="AX20" s="152"/>
      <c r="AY20" s="152"/>
      <c r="AZ20" s="27"/>
      <c r="BA20" s="152" t="str">
        <f>REPT("█",MIN(14,MAX(0,ROUND((BA19/0.9)*14,0))))&amp;REPT("░",14-MIN(14,MAX(0,ROUND((BA19/0.9)*14,0))))</f>
        <v>██████████████</v>
      </c>
      <c r="BB20" s="152"/>
      <c r="BC20" s="152"/>
      <c r="BD20" s="152"/>
      <c r="BE20" s="152"/>
      <c r="BF20" s="152"/>
      <c r="BG20" s="152"/>
      <c r="BH20" s="152"/>
      <c r="BI20" s="152"/>
      <c r="BJ20" s="152"/>
      <c r="BK20" s="152"/>
      <c r="BL20" s="33"/>
      <c r="BM20" s="16"/>
      <c r="BN20" s="16"/>
    </row>
    <row r="21" spans="1:66" ht="15" customHeight="1" x14ac:dyDescent="0.2">
      <c r="A21" s="16"/>
      <c r="B21" s="16"/>
      <c r="C21" s="36"/>
      <c r="D21" s="27"/>
      <c r="E21" s="27"/>
      <c r="F21" s="27"/>
      <c r="G21" s="27"/>
      <c r="H21" s="38"/>
      <c r="I21" s="27"/>
      <c r="J21" s="27"/>
      <c r="K21" s="27"/>
      <c r="L21" s="27"/>
      <c r="M21" s="27"/>
      <c r="N21" s="27"/>
      <c r="O21" s="27"/>
      <c r="P21" s="27"/>
      <c r="Q21" s="27"/>
      <c r="R21" s="27"/>
      <c r="S21" s="27"/>
      <c r="T21" s="27"/>
      <c r="U21" s="16"/>
      <c r="V21" s="36" t="s">
        <v>244</v>
      </c>
      <c r="W21" s="27"/>
      <c r="X21" s="28" t="str">
        <f>REPT("█",ROUND(AC21/$AC$22*18,0))</f>
        <v>█</v>
      </c>
      <c r="Y21" s="27"/>
      <c r="Z21" s="27"/>
      <c r="AA21" s="27"/>
      <c r="AB21" s="27"/>
      <c r="AC21" s="143" cm="1">
        <f t="array" ref="AC21">INDEX('Sample Data'!$C$157:$O$157,$BP$1)</f>
        <v>30263</v>
      </c>
      <c r="AD21" s="143"/>
      <c r="AE21" s="143"/>
      <c r="AF21" s="27"/>
      <c r="AG21" s="43">
        <f>sinp_collprob_3</f>
        <v>0.3</v>
      </c>
      <c r="AH21" s="27"/>
      <c r="AI21" s="27"/>
      <c r="AJ21" s="154">
        <f>AC21*AG21</f>
        <v>9078.9</v>
      </c>
      <c r="AK21" s="154"/>
      <c r="AL21" s="154"/>
      <c r="AM21" s="154"/>
      <c r="AN21" s="16"/>
      <c r="AO21" s="153" t="str" cm="1">
        <f t="array" ref="AO21">"vs 75% target  ·  "&amp;TEXT(INDEX('Sample Data'!$C$164:$O$164,$BP$1)/INDEX('Sample Data'!$C$167:$O$167,$BP$1)-0.75,"+0.0%;-0.0%")</f>
        <v>vs 75% target  ·  -7.0%</v>
      </c>
      <c r="AP21" s="153"/>
      <c r="AQ21" s="153"/>
      <c r="AR21" s="153"/>
      <c r="AS21" s="153"/>
      <c r="AT21" s="153"/>
      <c r="AU21" s="153"/>
      <c r="AV21" s="153"/>
      <c r="AW21" s="153"/>
      <c r="AX21" s="153"/>
      <c r="AY21" s="153"/>
      <c r="AZ21" s="27"/>
      <c r="BA21" s="153" t="str" cm="1">
        <f t="array" ref="BA21">"vs 90% target  ·  "&amp;TEXT(INDEX('Sample Data'!$C$71:$O$71,$BP$1)/(INDEX('Sample Data'!$C$164:$O$164,$BP$1)*INDEX('Sample Data'!$C$176:$O$176,$BP$1))-0.9,"+0.0%;-0.0%")</f>
        <v>vs 90% target  ·  +3.9%</v>
      </c>
      <c r="BB21" s="153"/>
      <c r="BC21" s="153"/>
      <c r="BD21" s="153"/>
      <c r="BE21" s="153"/>
      <c r="BF21" s="153"/>
      <c r="BG21" s="153"/>
      <c r="BH21" s="153"/>
      <c r="BI21" s="153"/>
      <c r="BJ21" s="153"/>
      <c r="BK21" s="153"/>
      <c r="BL21" s="27"/>
      <c r="BM21" s="16"/>
      <c r="BN21" s="16"/>
    </row>
    <row r="22" spans="1:66" ht="16" customHeight="1" x14ac:dyDescent="0.2">
      <c r="A22" s="16"/>
      <c r="B22" s="16"/>
      <c r="C22" s="39"/>
      <c r="D22" s="27"/>
      <c r="E22" s="27"/>
      <c r="F22" s="27"/>
      <c r="G22" s="27"/>
      <c r="H22" s="40"/>
      <c r="I22" s="27"/>
      <c r="J22" s="27"/>
      <c r="K22" s="27"/>
      <c r="L22" s="27"/>
      <c r="M22" s="27"/>
      <c r="N22" s="27"/>
      <c r="O22" s="27"/>
      <c r="P22" s="27"/>
      <c r="Q22" s="27"/>
      <c r="R22" s="27"/>
      <c r="S22" s="27"/>
      <c r="T22" s="27"/>
      <c r="U22" s="16"/>
      <c r="V22" s="39" t="s">
        <v>272</v>
      </c>
      <c r="W22" s="27"/>
      <c r="X22" s="27"/>
      <c r="Y22" s="27"/>
      <c r="Z22" s="27"/>
      <c r="AA22" s="27"/>
      <c r="AB22" s="27"/>
      <c r="AC22" s="155">
        <f>SUM(AC18:AC21)</f>
        <v>756582</v>
      </c>
      <c r="AD22" s="155"/>
      <c r="AE22" s="155"/>
      <c r="AF22" s="27"/>
      <c r="AG22" s="27"/>
      <c r="AH22" s="27"/>
      <c r="AI22" s="27"/>
      <c r="AJ22" s="156">
        <f>SUM(AJ18:AJ21)</f>
        <v>681377.98</v>
      </c>
      <c r="AK22" s="156"/>
      <c r="AL22" s="156"/>
      <c r="AM22" s="156"/>
      <c r="AN22" s="16"/>
      <c r="AO22" s="26"/>
      <c r="AP22" s="26"/>
      <c r="AQ22" s="26"/>
      <c r="AR22" s="26"/>
      <c r="AS22" s="26"/>
      <c r="AT22" s="26"/>
      <c r="AU22" s="26"/>
      <c r="AV22" s="26"/>
      <c r="AW22" s="26"/>
      <c r="AX22" s="26"/>
      <c r="AY22" s="26"/>
      <c r="AZ22" s="27"/>
      <c r="BA22" s="27"/>
      <c r="BB22" s="27"/>
      <c r="BC22" s="26"/>
      <c r="BD22" s="26"/>
      <c r="BE22" s="26"/>
      <c r="BF22" s="26"/>
      <c r="BG22" s="26"/>
      <c r="BH22" s="26"/>
      <c r="BI22" s="26"/>
      <c r="BJ22" s="26"/>
      <c r="BK22" s="26"/>
      <c r="BL22" s="26"/>
      <c r="BM22" s="16"/>
      <c r="BN22" s="16"/>
    </row>
    <row r="23" spans="1:66" ht="10" customHeight="1" x14ac:dyDescent="0.25">
      <c r="A23" s="16"/>
      <c r="B23" s="16"/>
      <c r="C23" s="27"/>
      <c r="D23" s="27"/>
      <c r="E23" s="27"/>
      <c r="F23" s="27"/>
      <c r="G23" s="27"/>
      <c r="H23" s="27"/>
      <c r="I23" s="27"/>
      <c r="J23" s="27"/>
      <c r="K23" s="27"/>
      <c r="L23" s="27"/>
      <c r="M23" s="27"/>
      <c r="N23" s="27"/>
      <c r="O23" s="27"/>
      <c r="P23" s="27"/>
      <c r="Q23" s="27"/>
      <c r="R23" s="27"/>
      <c r="S23" s="27"/>
      <c r="T23" s="27"/>
      <c r="U23" s="16"/>
      <c r="V23" s="27"/>
      <c r="W23" s="27"/>
      <c r="X23" s="27"/>
      <c r="Y23" s="27"/>
      <c r="Z23" s="27"/>
      <c r="AA23" s="27"/>
      <c r="AB23" s="27"/>
      <c r="AC23" s="27"/>
      <c r="AD23" s="27"/>
      <c r="AE23" s="27"/>
      <c r="AF23" s="27"/>
      <c r="AG23" s="27"/>
      <c r="AH23" s="27"/>
      <c r="AI23" s="27"/>
      <c r="AJ23" s="27"/>
      <c r="AK23" s="27"/>
      <c r="AL23" s="27"/>
      <c r="AM23" s="27"/>
      <c r="AN23" s="16"/>
      <c r="AO23" s="54"/>
      <c r="AP23" s="54"/>
      <c r="AQ23" s="54"/>
      <c r="AR23" s="54"/>
      <c r="AS23" s="54"/>
      <c r="AT23" s="54"/>
      <c r="AU23" s="54"/>
      <c r="AV23" s="54"/>
      <c r="AW23" s="54"/>
      <c r="AX23" s="54"/>
      <c r="AY23" s="54"/>
      <c r="AZ23" s="27"/>
      <c r="BA23" s="27"/>
      <c r="BB23" s="27"/>
      <c r="BC23" s="55"/>
      <c r="BD23" s="55"/>
      <c r="BE23" s="55"/>
      <c r="BF23" s="55"/>
      <c r="BG23" s="55"/>
      <c r="BH23" s="55"/>
      <c r="BI23" s="55"/>
      <c r="BJ23" s="55"/>
      <c r="BK23" s="55"/>
      <c r="BL23" s="55"/>
      <c r="BM23" s="16"/>
      <c r="BN23" s="16"/>
    </row>
    <row r="24" spans="1:66" ht="10" customHeight="1" x14ac:dyDescent="0.2">
      <c r="A24" s="16"/>
      <c r="B24" s="16"/>
      <c r="C24" s="27"/>
      <c r="D24" s="27"/>
      <c r="E24" s="27"/>
      <c r="F24" s="27"/>
      <c r="G24" s="27"/>
      <c r="H24" s="27"/>
      <c r="I24" s="27"/>
      <c r="J24" s="27"/>
      <c r="K24" s="27"/>
      <c r="L24" s="27"/>
      <c r="M24" s="27"/>
      <c r="N24" s="27"/>
      <c r="O24" s="27"/>
      <c r="P24" s="27"/>
      <c r="Q24" s="27"/>
      <c r="R24" s="27"/>
      <c r="S24" s="27"/>
      <c r="T24" s="27"/>
      <c r="U24" s="16"/>
      <c r="V24" s="27"/>
      <c r="W24" s="27"/>
      <c r="X24" s="27"/>
      <c r="Y24" s="27"/>
      <c r="Z24" s="27"/>
      <c r="AA24" s="27"/>
      <c r="AB24" s="27"/>
      <c r="AC24" s="27"/>
      <c r="AD24" s="27"/>
      <c r="AE24" s="27"/>
      <c r="AF24" s="27"/>
      <c r="AG24" s="27"/>
      <c r="AH24" s="27"/>
      <c r="AI24" s="27"/>
      <c r="AJ24" s="27"/>
      <c r="AK24" s="27"/>
      <c r="AL24" s="27"/>
      <c r="AM24" s="27"/>
      <c r="AN24" s="16"/>
      <c r="AO24" s="33"/>
      <c r="AP24" s="33"/>
      <c r="AQ24" s="33"/>
      <c r="AR24" s="33"/>
      <c r="AS24" s="33"/>
      <c r="AT24" s="33"/>
      <c r="AU24" s="33"/>
      <c r="AV24" s="33"/>
      <c r="AW24" s="33"/>
      <c r="AX24" s="33"/>
      <c r="AY24" s="33"/>
      <c r="AZ24" s="27"/>
      <c r="BA24" s="27"/>
      <c r="BB24" s="27"/>
      <c r="BC24" s="33"/>
      <c r="BD24" s="33"/>
      <c r="BE24" s="33"/>
      <c r="BF24" s="33"/>
      <c r="BG24" s="33"/>
      <c r="BH24" s="33"/>
      <c r="BI24" s="33"/>
      <c r="BJ24" s="33"/>
      <c r="BK24" s="33"/>
      <c r="BL24" s="33"/>
      <c r="BM24" s="16"/>
      <c r="BN24" s="16"/>
    </row>
    <row r="25" spans="1:66" ht="10" customHeight="1" x14ac:dyDescent="0.2">
      <c r="A25" s="16"/>
      <c r="B25" s="16"/>
      <c r="C25" s="32"/>
      <c r="D25" s="27"/>
      <c r="E25" s="27"/>
      <c r="F25" s="27"/>
      <c r="G25" s="27"/>
      <c r="H25" s="27"/>
      <c r="I25" s="27"/>
      <c r="J25" s="26"/>
      <c r="K25" s="27"/>
      <c r="L25" s="27"/>
      <c r="M25" s="27"/>
      <c r="N25" s="27"/>
      <c r="O25" s="27"/>
      <c r="P25" s="27"/>
      <c r="Q25" s="27"/>
      <c r="R25" s="27"/>
      <c r="S25" s="27"/>
      <c r="T25" s="27"/>
      <c r="U25" s="16"/>
      <c r="V25" s="27"/>
      <c r="W25" s="27"/>
      <c r="X25" s="27"/>
      <c r="Y25" s="27"/>
      <c r="Z25" s="27"/>
      <c r="AA25" s="27"/>
      <c r="AB25" s="27"/>
      <c r="AC25" s="27"/>
      <c r="AD25" s="27"/>
      <c r="AE25" s="27"/>
      <c r="AF25" s="27"/>
      <c r="AG25" s="27"/>
      <c r="AH25" s="27"/>
      <c r="AI25" s="27"/>
      <c r="AJ25" s="27"/>
      <c r="AK25" s="27"/>
      <c r="AL25" s="27"/>
      <c r="AM25" s="27"/>
      <c r="AN25" s="16"/>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16"/>
      <c r="BN25" s="16"/>
    </row>
    <row r="26" spans="1:66" ht="14" customHeight="1" x14ac:dyDescent="0.2">
      <c r="A26" s="16"/>
      <c r="B26" s="16"/>
      <c r="C26" s="27"/>
      <c r="D26" s="27"/>
      <c r="E26" s="27"/>
      <c r="F26" s="27"/>
      <c r="G26" s="27"/>
      <c r="H26" s="27"/>
      <c r="I26" s="27"/>
      <c r="J26" s="27"/>
      <c r="K26" s="41"/>
      <c r="L26" s="27"/>
      <c r="M26" s="27"/>
      <c r="N26" s="41"/>
      <c r="O26" s="27"/>
      <c r="P26" s="27"/>
      <c r="Q26" s="27"/>
      <c r="R26" s="27"/>
      <c r="S26" s="27"/>
      <c r="T26" s="27"/>
      <c r="U26" s="16"/>
      <c r="V26" s="27"/>
      <c r="W26" s="27"/>
      <c r="X26" s="27"/>
      <c r="Y26" s="27"/>
      <c r="Z26" s="27"/>
      <c r="AA26" s="27"/>
      <c r="AB26" s="27"/>
      <c r="AC26" s="27"/>
      <c r="AD26" s="27"/>
      <c r="AE26" s="27"/>
      <c r="AF26" s="27"/>
      <c r="AG26" s="27"/>
      <c r="AH26" s="27"/>
      <c r="AI26" s="27"/>
      <c r="AJ26" s="27"/>
      <c r="AK26" s="27"/>
      <c r="AL26" s="27"/>
      <c r="AM26" s="27"/>
      <c r="AN26" s="16"/>
      <c r="AO26" s="26" t="s">
        <v>130</v>
      </c>
      <c r="AP26" s="27"/>
      <c r="AQ26" s="27"/>
      <c r="AR26" s="27"/>
      <c r="AS26" s="27"/>
      <c r="AT26" s="27"/>
      <c r="AU26" s="27"/>
      <c r="AV26" s="27"/>
      <c r="AW26" s="27"/>
      <c r="AX26" s="27"/>
      <c r="AY26" s="27"/>
      <c r="AZ26" s="27"/>
      <c r="BA26" s="26" t="s">
        <v>254</v>
      </c>
      <c r="BB26" s="27"/>
      <c r="BC26" s="27"/>
      <c r="BD26" s="27"/>
      <c r="BE26" s="27"/>
      <c r="BF26" s="27"/>
      <c r="BG26" s="27"/>
      <c r="BH26" s="27"/>
      <c r="BI26" s="27"/>
      <c r="BJ26" s="27"/>
      <c r="BK26" s="27"/>
      <c r="BL26" s="27"/>
      <c r="BM26" s="16"/>
      <c r="BN26" s="16"/>
    </row>
    <row r="27" spans="1:66" ht="14" customHeight="1" x14ac:dyDescent="0.2">
      <c r="A27" s="16"/>
      <c r="B27" s="16"/>
      <c r="C27" s="36"/>
      <c r="D27" s="27"/>
      <c r="E27" s="27"/>
      <c r="F27" s="27"/>
      <c r="G27" s="27"/>
      <c r="H27" s="42"/>
      <c r="I27" s="27"/>
      <c r="J27" s="27"/>
      <c r="K27" s="43"/>
      <c r="L27" s="27"/>
      <c r="M27" s="27"/>
      <c r="N27" s="35"/>
      <c r="O27" s="27"/>
      <c r="P27" s="44"/>
      <c r="Q27" s="27"/>
      <c r="R27" s="27"/>
      <c r="S27" s="27"/>
      <c r="T27" s="27"/>
      <c r="U27" s="16"/>
      <c r="V27" s="27"/>
      <c r="W27" s="27"/>
      <c r="X27" s="27"/>
      <c r="Y27" s="27"/>
      <c r="Z27" s="27"/>
      <c r="AA27" s="27"/>
      <c r="AB27" s="27"/>
      <c r="AC27" s="27"/>
      <c r="AD27" s="27"/>
      <c r="AE27" s="27"/>
      <c r="AF27" s="27"/>
      <c r="AG27" s="27"/>
      <c r="AH27" s="27"/>
      <c r="AI27" s="27"/>
      <c r="AJ27" s="27"/>
      <c r="AK27" s="27"/>
      <c r="AL27" s="27"/>
      <c r="AM27" s="27"/>
      <c r="AN27" s="16"/>
      <c r="AO27" s="150">
        <f>(SUM(INDEX('Sample Data'!$C$186:$O$186,MATCH(scalc_fy_start_date,scalc_dates,0)):INDEX('Sample Data'!$C$186:$O$186,$BP$1))+SUM(INDEX('Sample Data'!$C$189:$O$189,MATCH(scalc_fy_start_date,scalc_dates,0)):INDEX('Sample Data'!$C$189:$O$189,$BP$1))+SUM(INDEX('Sample Data'!$C$192:$O$192,MATCH(scalc_fy_start_date,scalc_dates,0)):INDEX('Sample Data'!$C$192:$O$192,$BP$1)))/SUM(INDEX('Sample Data'!$C$71:$O$71,MATCH(scalc_fy_start_date,scalc_dates,0)):INDEX('Sample Data'!$C$71:$O$71,$BP$1))</f>
        <v>0.42999999091121438</v>
      </c>
      <c r="AP27" s="150"/>
      <c r="AQ27" s="150"/>
      <c r="AR27" s="150"/>
      <c r="AS27" s="150"/>
      <c r="AT27" s="150"/>
      <c r="AU27" s="150"/>
      <c r="AV27" s="150"/>
      <c r="AW27" s="150"/>
      <c r="AX27" s="150"/>
      <c r="AY27" s="27"/>
      <c r="AZ27" s="27"/>
      <c r="BA27" s="151" cm="1">
        <f t="array" ref="BA27">INDEX('Sample Data'!$C$135:$O$135,$BP$1)-INDEX('Sample Data'!$C$141:$O$141,$BP$1)</f>
        <v>532862</v>
      </c>
      <c r="BB27" s="151"/>
      <c r="BC27" s="151"/>
      <c r="BD27" s="151"/>
      <c r="BE27" s="151"/>
      <c r="BF27" s="151"/>
      <c r="BG27" s="151"/>
      <c r="BH27" s="151"/>
      <c r="BI27" s="151"/>
      <c r="BJ27" s="151"/>
      <c r="BK27" s="27"/>
      <c r="BL27" s="27"/>
      <c r="BM27" s="16"/>
      <c r="BN27" s="16"/>
    </row>
    <row r="28" spans="1:66" ht="15" customHeight="1" x14ac:dyDescent="0.2">
      <c r="A28" s="16"/>
      <c r="B28" s="16"/>
      <c r="C28" s="36"/>
      <c r="D28" s="27"/>
      <c r="E28" s="27"/>
      <c r="F28" s="27"/>
      <c r="G28" s="27"/>
      <c r="H28" s="42"/>
      <c r="I28" s="27"/>
      <c r="J28" s="27"/>
      <c r="K28" s="43"/>
      <c r="L28" s="27"/>
      <c r="M28" s="27"/>
      <c r="N28" s="35"/>
      <c r="O28" s="27"/>
      <c r="P28" s="45"/>
      <c r="Q28" s="27"/>
      <c r="R28" s="27"/>
      <c r="S28" s="27"/>
      <c r="T28" s="27"/>
      <c r="U28" s="16"/>
      <c r="V28" s="67" t="s">
        <v>301</v>
      </c>
      <c r="W28" s="27"/>
      <c r="X28" s="27"/>
      <c r="Y28" s="27"/>
      <c r="Z28" s="27"/>
      <c r="AA28" s="27"/>
      <c r="AB28" s="27"/>
      <c r="AC28" s="27"/>
      <c r="AD28" s="27"/>
      <c r="AE28" s="27"/>
      <c r="AF28" s="27"/>
      <c r="AG28" s="49" t="s">
        <v>286</v>
      </c>
      <c r="AH28" s="27"/>
      <c r="AI28" s="27"/>
      <c r="AJ28" s="27"/>
      <c r="AK28" s="49" t="s">
        <v>287</v>
      </c>
      <c r="AL28" s="27"/>
      <c r="AM28" s="27"/>
      <c r="AN28" s="16"/>
      <c r="AO28" s="153" t="str">
        <f>REPT("█",MIN(14,MAX(0,ROUND((AO27/0.5)*14,0))))&amp;REPT("░",14-MIN(14,MAX(0,ROUND((AO27/0.5)*14,0))))</f>
        <v>████████████░░</v>
      </c>
      <c r="AP28" s="152"/>
      <c r="AQ28" s="152"/>
      <c r="AR28" s="152"/>
      <c r="AS28" s="152"/>
      <c r="AT28" s="152"/>
      <c r="AU28" s="152"/>
      <c r="AV28" s="152"/>
      <c r="AW28" s="152"/>
      <c r="AX28" s="152"/>
      <c r="AY28" s="152"/>
      <c r="AZ28" s="27"/>
      <c r="BA28" s="153" t="str" cm="1">
        <f t="array" ref="BA28">REPT("█",MIN(14,MAX(0,ROUND((BA27/INDEX('Sample Data'!$C$135:$O$135,$BP$1))*14,0))))&amp;REPT("░",14-MIN(14,MAX(0,ROUND((BA27/INDEX('Sample Data'!$C$135:$O$135,$BP$1))*14,0))))</f>
        <v>█████████░░░░░</v>
      </c>
      <c r="BB28" s="152"/>
      <c r="BC28" s="152"/>
      <c r="BD28" s="152"/>
      <c r="BE28" s="152"/>
      <c r="BF28" s="152"/>
      <c r="BG28" s="152"/>
      <c r="BH28" s="152"/>
      <c r="BI28" s="152"/>
      <c r="BJ28" s="152"/>
      <c r="BK28" s="152"/>
      <c r="BL28" s="27"/>
      <c r="BM28" s="16"/>
      <c r="BN28" s="16"/>
    </row>
    <row r="29" spans="1:66" ht="15" customHeight="1" x14ac:dyDescent="0.2">
      <c r="A29" s="16"/>
      <c r="B29" s="16"/>
      <c r="C29" s="36"/>
      <c r="D29" s="27"/>
      <c r="E29" s="27"/>
      <c r="F29" s="27"/>
      <c r="G29" s="27"/>
      <c r="H29" s="42"/>
      <c r="I29" s="27"/>
      <c r="J29" s="27"/>
      <c r="K29" s="43"/>
      <c r="L29" s="27"/>
      <c r="M29" s="27"/>
      <c r="N29" s="35"/>
      <c r="O29" s="27"/>
      <c r="P29" s="46"/>
      <c r="Q29" s="27"/>
      <c r="R29" s="27"/>
      <c r="S29" s="27"/>
      <c r="T29" s="27"/>
      <c r="U29" s="16"/>
      <c r="V29" s="68" t="s">
        <v>288</v>
      </c>
      <c r="W29" s="27"/>
      <c r="X29" s="69"/>
      <c r="Y29" s="27"/>
      <c r="Z29" s="27"/>
      <c r="AA29" s="27"/>
      <c r="AB29" s="69" t="str">
        <f>REPT("█",ROUND(AK29/$AK$29*8,0))</f>
        <v>████████</v>
      </c>
      <c r="AC29" s="27"/>
      <c r="AD29" s="27"/>
      <c r="AE29" s="27"/>
      <c r="AF29" s="27"/>
      <c r="AG29" s="143">
        <f>SUM(INDEX('Sample Data'!$C$186:$O$186,MATCH(scalc_fy_start_date,scalc_dates,0)):INDEX('Sample Data'!$C$186:$O$186,$BP$1))</f>
        <v>1188277</v>
      </c>
      <c r="AH29" s="143"/>
      <c r="AI29" s="143"/>
      <c r="AJ29" s="143"/>
      <c r="AK29" s="144">
        <f>AG29/SUM(INDEX('Sample Data'!$C$71:$O$71,MATCH(scalc_fy_start_date,scalc_dates,0)):INDEX('Sample Data'!$C$71:$O$71,$BP$1))</f>
        <v>0.17999991517133421</v>
      </c>
      <c r="AL29" s="144"/>
      <c r="AM29" s="144"/>
      <c r="AN29" s="74"/>
      <c r="AO29" s="153" t="str">
        <f>"top-3 clients of revenue"</f>
        <v>top-3 clients of revenue</v>
      </c>
      <c r="AP29" s="153"/>
      <c r="AQ29" s="153"/>
      <c r="AR29" s="153"/>
      <c r="AS29" s="153"/>
      <c r="AT29" s="153"/>
      <c r="AU29" s="153"/>
      <c r="AV29" s="153"/>
      <c r="AW29" s="153"/>
      <c r="AX29" s="153"/>
      <c r="AY29" s="153"/>
      <c r="AZ29" s="27"/>
      <c r="BA29" s="153" t="str">
        <f>"closing cash less payables"</f>
        <v>closing cash less payables</v>
      </c>
      <c r="BB29" s="153"/>
      <c r="BC29" s="153"/>
      <c r="BD29" s="153"/>
      <c r="BE29" s="153"/>
      <c r="BF29" s="153"/>
      <c r="BG29" s="153"/>
      <c r="BH29" s="153"/>
      <c r="BI29" s="153"/>
      <c r="BJ29" s="153"/>
      <c r="BK29" s="153"/>
      <c r="BL29" s="27"/>
      <c r="BM29" s="16"/>
      <c r="BN29" s="16"/>
    </row>
    <row r="30" spans="1:66" ht="15" customHeight="1" x14ac:dyDescent="0.2">
      <c r="A30" s="16"/>
      <c r="B30" s="16"/>
      <c r="C30" s="36"/>
      <c r="D30" s="27"/>
      <c r="E30" s="27"/>
      <c r="F30" s="27"/>
      <c r="G30" s="27"/>
      <c r="H30" s="42"/>
      <c r="I30" s="27"/>
      <c r="J30" s="27"/>
      <c r="K30" s="43"/>
      <c r="L30" s="27"/>
      <c r="M30" s="27"/>
      <c r="N30" s="35"/>
      <c r="O30" s="27"/>
      <c r="P30" s="47"/>
      <c r="Q30" s="27"/>
      <c r="R30" s="27"/>
      <c r="S30" s="27"/>
      <c r="T30" s="27"/>
      <c r="U30" s="16"/>
      <c r="V30" s="68" t="s">
        <v>289</v>
      </c>
      <c r="W30" s="27"/>
      <c r="X30" s="70"/>
      <c r="Y30" s="27"/>
      <c r="Z30" s="27"/>
      <c r="AA30" s="27"/>
      <c r="AB30" s="69" t="str">
        <f>REPT("█",ROUND(AK30/$AK$29*8,0))</f>
        <v>██████</v>
      </c>
      <c r="AC30" s="27"/>
      <c r="AD30" s="27"/>
      <c r="AE30" s="27"/>
      <c r="AF30" s="27"/>
      <c r="AG30" s="143">
        <f>SUM(INDEX('Sample Data'!$C$189:$O$189,MATCH(scalc_fy_start_date,scalc_dates,0)):INDEX('Sample Data'!$C$189:$O$189,$BP$1))</f>
        <v>924217</v>
      </c>
      <c r="AH30" s="143"/>
      <c r="AI30" s="143"/>
      <c r="AJ30" s="143"/>
      <c r="AK30" s="144">
        <f>AG30/SUM(INDEX('Sample Data'!$C$71:$O$71,MATCH(scalc_fy_start_date,scalc_dates,0)):INDEX('Sample Data'!$C$71:$O$71,$BP$1))</f>
        <v>0.14000016965733159</v>
      </c>
      <c r="AL30" s="144"/>
      <c r="AM30" s="144"/>
      <c r="AN30" s="74"/>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16"/>
      <c r="BN30" s="16"/>
    </row>
    <row r="31" spans="1:66" ht="15" customHeight="1" x14ac:dyDescent="0.2">
      <c r="A31" s="16"/>
      <c r="B31" s="16"/>
      <c r="C31" s="39"/>
      <c r="D31" s="27"/>
      <c r="E31" s="27"/>
      <c r="F31" s="27"/>
      <c r="G31" s="27"/>
      <c r="H31" s="40"/>
      <c r="I31" s="27"/>
      <c r="J31" s="27"/>
      <c r="K31" s="27"/>
      <c r="L31" s="27"/>
      <c r="M31" s="27"/>
      <c r="N31" s="48"/>
      <c r="O31" s="27"/>
      <c r="P31" s="27"/>
      <c r="Q31" s="27"/>
      <c r="R31" s="27"/>
      <c r="S31" s="27"/>
      <c r="T31" s="27"/>
      <c r="U31" s="16"/>
      <c r="V31" s="68" t="s">
        <v>290</v>
      </c>
      <c r="W31" s="27"/>
      <c r="X31" s="71"/>
      <c r="Y31" s="27"/>
      <c r="Z31" s="27"/>
      <c r="AA31" s="27"/>
      <c r="AB31" s="69" t="str">
        <f>REPT("█",ROUND(AK31/$AK$29*8,0))</f>
        <v>█████</v>
      </c>
      <c r="AC31" s="27"/>
      <c r="AD31" s="27"/>
      <c r="AE31" s="27"/>
      <c r="AF31" s="27"/>
      <c r="AG31" s="143">
        <f>SUM(INDEX('Sample Data'!$C$192:$O$192,MATCH(scalc_fy_start_date,scalc_dates,0)):INDEX('Sample Data'!$C$192:$O$192,$BP$1))</f>
        <v>726169</v>
      </c>
      <c r="AH31" s="143"/>
      <c r="AI31" s="143"/>
      <c r="AJ31" s="143"/>
      <c r="AK31" s="144">
        <f>AG31/SUM(INDEX('Sample Data'!$C$71:$O$71,MATCH(scalc_fy_start_date,scalc_dates,0)):INDEX('Sample Data'!$C$71:$O$71,$BP$1))</f>
        <v>0.10999990608254859</v>
      </c>
      <c r="AL31" s="144"/>
      <c r="AM31" s="144"/>
      <c r="AN31" s="74"/>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16"/>
      <c r="BN31" s="16"/>
    </row>
    <row r="32" spans="1:66" ht="15" customHeight="1" x14ac:dyDescent="0.2">
      <c r="A32" s="16"/>
      <c r="B32" s="16"/>
      <c r="C32" s="27"/>
      <c r="D32" s="27"/>
      <c r="E32" s="27"/>
      <c r="F32" s="27"/>
      <c r="G32" s="27"/>
      <c r="H32" s="27"/>
      <c r="I32" s="27"/>
      <c r="J32" s="27"/>
      <c r="K32" s="27"/>
      <c r="L32" s="27"/>
      <c r="M32" s="27"/>
      <c r="N32" s="27"/>
      <c r="O32" s="27"/>
      <c r="P32" s="27"/>
      <c r="Q32" s="27"/>
      <c r="R32" s="27"/>
      <c r="S32" s="27"/>
      <c r="T32" s="27"/>
      <c r="U32" s="16"/>
      <c r="V32" s="68" t="s">
        <v>291</v>
      </c>
      <c r="W32" s="27"/>
      <c r="X32" s="72"/>
      <c r="Y32" s="27"/>
      <c r="Z32" s="27"/>
      <c r="AA32" s="27"/>
      <c r="AB32" s="69" t="str">
        <f>REPT("█",ROUND(AK32/$AK$29*8,0))</f>
        <v>████</v>
      </c>
      <c r="AC32" s="27"/>
      <c r="AD32" s="27"/>
      <c r="AE32" s="27"/>
      <c r="AF32" s="27"/>
      <c r="AG32" s="143">
        <f>SUM(INDEX('Sample Data'!$C$195:$O$195,MATCH(scalc_fy_start_date,scalc_dates,0)):INDEX('Sample Data'!$C$195:$O$195,$BP$1))</f>
        <v>528121</v>
      </c>
      <c r="AH32" s="143"/>
      <c r="AI32" s="143"/>
      <c r="AJ32" s="143"/>
      <c r="AK32" s="144">
        <f>AG32/SUM(INDEX('Sample Data'!$C$71:$O$71,MATCH(scalc_fy_start_date,scalc_dates,0)):INDEX('Sample Data'!$C$71:$O$71,$BP$1))</f>
        <v>7.9999642507765603E-2</v>
      </c>
      <c r="AL32" s="144"/>
      <c r="AM32" s="144"/>
      <c r="AN32" s="74"/>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16"/>
      <c r="BN32" s="16"/>
    </row>
    <row r="33" spans="1:66" ht="15" customHeight="1" x14ac:dyDescent="0.2">
      <c r="A33" s="16"/>
      <c r="B33" s="16"/>
      <c r="C33" s="27"/>
      <c r="D33" s="27"/>
      <c r="E33" s="27"/>
      <c r="F33" s="27"/>
      <c r="G33" s="27"/>
      <c r="H33" s="27"/>
      <c r="I33" s="27"/>
      <c r="J33" s="27"/>
      <c r="K33" s="27"/>
      <c r="L33" s="27"/>
      <c r="M33" s="27"/>
      <c r="N33" s="27"/>
      <c r="O33" s="27"/>
      <c r="P33" s="27"/>
      <c r="Q33" s="27"/>
      <c r="R33" s="27"/>
      <c r="S33" s="27"/>
      <c r="T33" s="27"/>
      <c r="U33" s="16"/>
      <c r="V33" s="68" t="s">
        <v>292</v>
      </c>
      <c r="W33" s="27"/>
      <c r="X33" s="73"/>
      <c r="Y33" s="27"/>
      <c r="Z33" s="27"/>
      <c r="AA33" s="27"/>
      <c r="AB33" s="69" t="str">
        <f>REPT("█",ROUND(AK33/$AK$29*8,0))</f>
        <v>███</v>
      </c>
      <c r="AC33" s="27"/>
      <c r="AD33" s="27"/>
      <c r="AE33" s="27"/>
      <c r="AF33" s="27"/>
      <c r="AG33" s="143">
        <f>SUM(INDEX('Sample Data'!$C$198:$O$198,MATCH(scalc_fy_start_date,scalc_dates,0)):INDEX('Sample Data'!$C$198:$O$198,$BP$1))</f>
        <v>396092</v>
      </c>
      <c r="AH33" s="143"/>
      <c r="AI33" s="143"/>
      <c r="AJ33" s="143"/>
      <c r="AK33" s="144">
        <f>AG33/SUM(INDEX('Sample Data'!$C$71:$O$71,MATCH(scalc_fy_start_date,scalc_dates,0)):INDEX('Sample Data'!$C$71:$O$71,$BP$1))</f>
        <v>5.9999921230524625E-2</v>
      </c>
      <c r="AL33" s="144"/>
      <c r="AM33" s="144"/>
      <c r="AN33" s="74"/>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16"/>
      <c r="BN33" s="16"/>
    </row>
    <row r="34" spans="1:66" ht="15" customHeight="1" x14ac:dyDescent="0.2">
      <c r="A34" s="16"/>
      <c r="B34" s="16"/>
      <c r="C34" s="32"/>
      <c r="D34" s="27"/>
      <c r="E34" s="27"/>
      <c r="F34" s="27"/>
      <c r="G34" s="27"/>
      <c r="H34" s="27"/>
      <c r="I34" s="27"/>
      <c r="J34" s="27"/>
      <c r="K34" s="27"/>
      <c r="L34" s="27"/>
      <c r="M34" s="27"/>
      <c r="N34" s="27"/>
      <c r="O34" s="27"/>
      <c r="P34" s="27"/>
      <c r="Q34" s="27"/>
      <c r="R34" s="27"/>
      <c r="S34" s="27"/>
      <c r="T34" s="27"/>
      <c r="U34" s="16"/>
      <c r="V34" s="27"/>
      <c r="W34" s="27"/>
      <c r="X34" s="27"/>
      <c r="Y34" s="27"/>
      <c r="Z34" s="27"/>
      <c r="AA34" s="27"/>
      <c r="AB34" s="27"/>
      <c r="AC34" s="27"/>
      <c r="AD34" s="27"/>
      <c r="AE34" s="27"/>
      <c r="AF34" s="27"/>
      <c r="AG34" s="27"/>
      <c r="AH34" s="27"/>
      <c r="AI34" s="27"/>
      <c r="AJ34" s="27"/>
      <c r="AK34" s="27"/>
      <c r="AL34" s="27"/>
      <c r="AM34" s="27"/>
      <c r="AN34" s="16"/>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16"/>
      <c r="BN34" s="16"/>
    </row>
    <row r="35" spans="1:66" ht="15" customHeight="1" x14ac:dyDescent="0.2">
      <c r="A35" s="16"/>
      <c r="B35" s="16"/>
      <c r="C35" s="26" t="s">
        <v>279</v>
      </c>
      <c r="D35" s="27"/>
      <c r="E35" s="27"/>
      <c r="F35" s="145">
        <f>BW71</f>
        <v>2273331</v>
      </c>
      <c r="G35" s="146"/>
      <c r="H35" s="146"/>
      <c r="I35" s="146"/>
      <c r="J35" s="27"/>
      <c r="K35" s="26" t="s">
        <v>280</v>
      </c>
      <c r="L35" s="27"/>
      <c r="M35" s="27"/>
      <c r="N35" s="145">
        <f>BW72</f>
        <v>2080884</v>
      </c>
      <c r="O35" s="146"/>
      <c r="P35" s="146"/>
      <c r="Q35" s="49" t="s">
        <v>281</v>
      </c>
      <c r="R35" s="27"/>
      <c r="S35" s="50"/>
      <c r="T35" s="147">
        <f>BW72-BW71</f>
        <v>-192447</v>
      </c>
      <c r="U35" s="149"/>
      <c r="V35" s="149"/>
      <c r="W35" s="27"/>
      <c r="X35" s="27"/>
      <c r="Y35" s="27"/>
      <c r="Z35" s="27"/>
      <c r="AA35" s="27"/>
      <c r="AB35" s="27"/>
      <c r="AC35" s="27"/>
      <c r="AD35" s="27"/>
      <c r="AE35" s="27"/>
      <c r="AF35" s="27"/>
      <c r="AG35" s="27"/>
      <c r="AH35" s="27"/>
      <c r="AI35" s="27"/>
      <c r="AJ35" s="27"/>
      <c r="AK35" s="27"/>
      <c r="AL35" s="27"/>
      <c r="AM35" s="27"/>
      <c r="AN35" s="16"/>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16"/>
      <c r="BN35" s="16"/>
    </row>
    <row r="36" spans="1:66" ht="15" customHeight="1" x14ac:dyDescent="0.2">
      <c r="A36" s="16"/>
      <c r="B36" s="16"/>
      <c r="C36" s="21"/>
      <c r="D36" s="16"/>
      <c r="E36" s="16"/>
      <c r="F36" s="16"/>
      <c r="G36" s="16"/>
      <c r="H36" s="16"/>
      <c r="I36" s="16"/>
      <c r="J36" s="21"/>
      <c r="K36" s="16"/>
      <c r="L36" s="16"/>
      <c r="M36" s="16"/>
      <c r="N36" s="16"/>
      <c r="O36" s="16"/>
      <c r="P36" s="16"/>
      <c r="Q36" s="16"/>
      <c r="R36" s="21"/>
      <c r="S36" s="16"/>
      <c r="T36" s="16"/>
      <c r="U36" s="16"/>
      <c r="V36" s="16"/>
      <c r="W36" s="16"/>
      <c r="X36" s="16"/>
      <c r="Y36" s="16"/>
      <c r="Z36" s="21"/>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row>
    <row r="37" spans="1:66" ht="15" customHeight="1" x14ac:dyDescent="0.25">
      <c r="A37" s="16"/>
      <c r="B37" s="16"/>
      <c r="C37" s="29"/>
      <c r="D37" s="16"/>
      <c r="E37" s="16"/>
      <c r="F37" s="16"/>
      <c r="G37" s="16"/>
      <c r="H37" s="16"/>
      <c r="I37" s="16"/>
      <c r="J37" s="29"/>
      <c r="K37" s="16"/>
      <c r="L37" s="16"/>
      <c r="M37" s="16"/>
      <c r="N37" s="16"/>
      <c r="O37" s="16"/>
      <c r="P37" s="16"/>
      <c r="Q37" s="16"/>
      <c r="R37" s="29"/>
      <c r="S37" s="16"/>
      <c r="T37" s="16"/>
      <c r="U37" s="16"/>
      <c r="V37" s="16"/>
      <c r="W37" s="16"/>
      <c r="X37" s="16"/>
      <c r="Y37" s="16"/>
      <c r="Z37" s="30"/>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row>
    <row r="38" spans="1:66" ht="15" customHeight="1" x14ac:dyDescent="0.2">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row>
    <row r="39" spans="1:66" ht="18" customHeight="1" x14ac:dyDescent="0.2">
      <c r="A39" s="16"/>
      <c r="B39" s="16"/>
      <c r="C39" s="65" t="s">
        <v>282</v>
      </c>
      <c r="D39" s="66"/>
      <c r="E39" s="66"/>
      <c r="F39" s="66"/>
      <c r="G39" s="66"/>
      <c r="H39" s="66"/>
      <c r="I39" s="66"/>
      <c r="J39" s="66"/>
      <c r="K39" s="66"/>
      <c r="L39" s="66"/>
      <c r="M39" s="66"/>
      <c r="N39" s="66"/>
      <c r="O39" s="66"/>
      <c r="P39" s="66"/>
      <c r="Q39" s="66"/>
      <c r="R39" s="66"/>
      <c r="S39" s="66"/>
      <c r="T39" s="66"/>
      <c r="U39" s="16"/>
      <c r="V39" s="65" t="s">
        <v>283</v>
      </c>
      <c r="W39" s="66"/>
      <c r="X39" s="66"/>
      <c r="Y39" s="66"/>
      <c r="Z39" s="66"/>
      <c r="AA39" s="66"/>
      <c r="AB39" s="66"/>
      <c r="AC39" s="66"/>
      <c r="AD39" s="66"/>
      <c r="AE39" s="66"/>
      <c r="AF39" s="66"/>
      <c r="AG39" s="66"/>
      <c r="AH39" s="66"/>
      <c r="AI39" s="66"/>
      <c r="AJ39" s="66"/>
      <c r="AK39" s="66"/>
      <c r="AL39" s="66"/>
      <c r="AM39" s="66"/>
      <c r="AN39" s="6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row>
    <row r="40" spans="1:66" ht="18" customHeight="1" x14ac:dyDescent="0.2">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row>
    <row r="41" spans="1:66" ht="18" customHeight="1" x14ac:dyDescent="0.2">
      <c r="A41" s="16"/>
      <c r="B41" s="16"/>
      <c r="C41" s="23" t="s">
        <v>109</v>
      </c>
      <c r="D41" s="16"/>
      <c r="E41" s="16"/>
      <c r="F41" s="16"/>
      <c r="G41" s="16"/>
      <c r="H41" s="16"/>
      <c r="I41" s="16"/>
      <c r="J41" s="16"/>
      <c r="K41" s="16"/>
      <c r="L41" s="16"/>
      <c r="M41" s="16"/>
      <c r="N41" s="16"/>
      <c r="O41" s="16"/>
      <c r="P41" s="16"/>
      <c r="Q41" s="16"/>
      <c r="R41" s="16"/>
      <c r="S41" s="16"/>
      <c r="T41" s="16"/>
      <c r="U41" s="16"/>
      <c r="V41" s="21" t="s">
        <v>114</v>
      </c>
      <c r="W41" s="16"/>
      <c r="X41" s="16"/>
      <c r="Y41" s="16"/>
      <c r="Z41" s="16"/>
      <c r="AA41" s="16"/>
      <c r="AB41" s="16"/>
      <c r="AC41" s="16"/>
      <c r="AD41" s="16"/>
      <c r="AE41" s="16"/>
      <c r="AF41" s="16"/>
      <c r="AG41" s="16"/>
      <c r="AH41" s="16"/>
      <c r="AI41" s="16"/>
      <c r="AJ41" s="16"/>
      <c r="AK41" s="16"/>
      <c r="AL41" s="16"/>
      <c r="AM41" s="16"/>
      <c r="AN41" s="16"/>
      <c r="AO41" s="16"/>
      <c r="AP41" s="21" t="s">
        <v>116</v>
      </c>
      <c r="AQ41" s="16"/>
      <c r="AR41" s="16"/>
      <c r="AS41" s="16"/>
      <c r="AT41" s="16"/>
      <c r="AU41" s="16"/>
      <c r="AV41" s="21" t="s">
        <v>117</v>
      </c>
      <c r="AW41" s="16"/>
      <c r="AX41" s="16"/>
      <c r="AY41" s="16"/>
      <c r="AZ41" s="16"/>
      <c r="BA41" s="16"/>
      <c r="BB41" s="16"/>
      <c r="BC41" s="16"/>
      <c r="BD41" s="16"/>
      <c r="BE41" s="16"/>
      <c r="BF41" s="16"/>
      <c r="BG41" s="16"/>
      <c r="BH41" s="16"/>
      <c r="BI41" s="16"/>
      <c r="BJ41" s="16"/>
      <c r="BK41" s="16"/>
      <c r="BL41" s="16"/>
      <c r="BM41" s="16"/>
      <c r="BN41" s="16"/>
    </row>
    <row r="42" spans="1:66" ht="18" customHeight="1" x14ac:dyDescent="0.2">
      <c r="A42" s="16"/>
      <c r="B42" s="16"/>
      <c r="C42" s="142" t="str" cm="1">
        <f t="array" ref="C42">INDEX(sinp_comment_went_well,$BP$1)</f>
        <v>Utilisation held at 71% with both senior leads fully productive; gross margin recovered to 57%.</v>
      </c>
      <c r="D42" s="142"/>
      <c r="E42" s="142"/>
      <c r="F42" s="142"/>
      <c r="G42" s="142"/>
      <c r="H42" s="142"/>
      <c r="I42" s="142"/>
      <c r="J42" s="142"/>
      <c r="K42" s="142"/>
      <c r="L42" s="142"/>
      <c r="M42" s="142"/>
      <c r="N42" s="142"/>
      <c r="O42" s="142"/>
      <c r="P42" s="142"/>
      <c r="Q42" s="142"/>
      <c r="R42" s="142"/>
      <c r="S42" s="142"/>
      <c r="T42" s="142"/>
      <c r="U42" s="16"/>
      <c r="V42" s="60" t="str" cm="1">
        <f t="array" ref="V42:V44">_xlfn._xlws.FILTER('Sample Data'!$B$225:$B$230,('Sample Data'!$B$225:$B$230&lt;&gt;"")*(IFERROR(DATEVALUE("1-"&amp;'Sample Data'!$C$225:$C$230),0)&lt;=scalc_sel_date)*((LEN('Sample Data'!$F$225:$F$230)=0)+(IFERROR(DATEVALUE("1-"&amp;'Sample Data'!$F$225:$F$230),99999)&gt;scalc_sel_date)),"–")</f>
        <v>Wind down media pass-through reselling</v>
      </c>
      <c r="W42" s="60"/>
      <c r="X42" s="60"/>
      <c r="Y42" s="60"/>
      <c r="Z42" s="60"/>
      <c r="AA42" s="60"/>
      <c r="AB42" s="60"/>
      <c r="AC42" s="60"/>
      <c r="AD42" s="60"/>
      <c r="AE42" s="60"/>
      <c r="AF42" s="60"/>
      <c r="AG42" s="60"/>
      <c r="AH42" s="60"/>
      <c r="AI42" s="60"/>
      <c r="AJ42" s="60"/>
      <c r="AK42" s="60"/>
      <c r="AL42" s="60"/>
      <c r="AM42" s="60"/>
      <c r="AN42" s="60"/>
      <c r="AO42" s="16"/>
      <c r="AP42" s="61" t="str" cm="1">
        <f t="array" ref="AP42:AP44">_xlfn._xlws.FILTER('Sample Data'!$D$225:$D$230,('Sample Data'!$B$225:$B$230&lt;&gt;"")*(IFERROR(DATEVALUE("1-"&amp;'Sample Data'!$C$225:$C$230),0)&lt;=scalc_sel_date)*((LEN('Sample Data'!$F$225:$F$230)=0)+(IFERROR(DATEVALUE("1-"&amp;'Sample Data'!$F$225:$F$230),99999)&gt;scalc_sel_date)),"–")</f>
        <v>Liam C.</v>
      </c>
      <c r="AQ42" s="61"/>
      <c r="AR42" s="61"/>
      <c r="AS42" s="61"/>
      <c r="AT42" s="61"/>
      <c r="AU42" s="61"/>
      <c r="AV42" s="62" t="str" cm="1">
        <f t="array" ref="AV42:AV44">_xlfn._xlws.FILTER('Sample Data'!$E$225:$E$230,('Sample Data'!$B$225:$B$230&lt;&gt;"")*(IFERROR(DATEVALUE("1-"&amp;'Sample Data'!$C$225:$C$230),0)&lt;=scalc_sel_date)*((LEN('Sample Data'!$F$225:$F$230)=0)+(IFERROR(DATEVALUE("1-"&amp;'Sample Data'!$F$225:$F$230),99999)&gt;scalc_sel_date)),"–")</f>
        <v>In progress</v>
      </c>
      <c r="AW42" s="63"/>
      <c r="AX42" s="63"/>
      <c r="AY42" s="63"/>
      <c r="AZ42" s="63"/>
      <c r="BA42" s="63"/>
      <c r="BB42" s="16"/>
      <c r="BC42" s="16"/>
      <c r="BD42" s="16"/>
      <c r="BE42" s="16"/>
      <c r="BF42" s="16"/>
      <c r="BG42" s="16"/>
      <c r="BH42" s="16"/>
      <c r="BI42" s="16"/>
      <c r="BJ42" s="16"/>
      <c r="BK42" s="16"/>
      <c r="BL42" s="16"/>
      <c r="BM42" s="16"/>
      <c r="BN42" s="16"/>
    </row>
    <row r="43" spans="1:66" ht="18" customHeight="1" x14ac:dyDescent="0.2">
      <c r="A43" s="16"/>
      <c r="B43" s="16"/>
      <c r="C43" s="142"/>
      <c r="D43" s="142"/>
      <c r="E43" s="142"/>
      <c r="F43" s="142"/>
      <c r="G43" s="142"/>
      <c r="H43" s="142"/>
      <c r="I43" s="142"/>
      <c r="J43" s="142"/>
      <c r="K43" s="142"/>
      <c r="L43" s="142"/>
      <c r="M43" s="142"/>
      <c r="N43" s="142"/>
      <c r="O43" s="142"/>
      <c r="P43" s="142"/>
      <c r="Q43" s="142"/>
      <c r="R43" s="142"/>
      <c r="S43" s="142"/>
      <c r="T43" s="142"/>
      <c r="U43" s="16"/>
      <c r="V43" s="60" t="str">
        <v>Stand up a retainer upsell motion</v>
      </c>
      <c r="W43" s="60"/>
      <c r="X43" s="60"/>
      <c r="Y43" s="60"/>
      <c r="Z43" s="60"/>
      <c r="AA43" s="60"/>
      <c r="AB43" s="60"/>
      <c r="AC43" s="60"/>
      <c r="AD43" s="60"/>
      <c r="AE43" s="60"/>
      <c r="AF43" s="60"/>
      <c r="AG43" s="60"/>
      <c r="AH43" s="60"/>
      <c r="AI43" s="60"/>
      <c r="AJ43" s="60"/>
      <c r="AK43" s="60"/>
      <c r="AL43" s="60"/>
      <c r="AM43" s="60"/>
      <c r="AN43" s="60"/>
      <c r="AO43" s="16"/>
      <c r="AP43" s="61" t="str">
        <v>Liam C.</v>
      </c>
      <c r="AQ43" s="61"/>
      <c r="AR43" s="61"/>
      <c r="AS43" s="61"/>
      <c r="AT43" s="61"/>
      <c r="AU43" s="61"/>
      <c r="AV43" s="63" t="str">
        <v>In progress</v>
      </c>
      <c r="AW43" s="63"/>
      <c r="AX43" s="63"/>
      <c r="AY43" s="63"/>
      <c r="AZ43" s="63"/>
      <c r="BA43" s="63"/>
      <c r="BB43" s="16"/>
      <c r="BC43" s="16"/>
      <c r="BD43" s="16"/>
      <c r="BE43" s="16"/>
      <c r="BF43" s="16"/>
      <c r="BG43" s="16"/>
      <c r="BH43" s="16"/>
      <c r="BI43" s="16"/>
      <c r="BJ43" s="16"/>
      <c r="BK43" s="16"/>
      <c r="BL43" s="16"/>
      <c r="BM43" s="16"/>
      <c r="BN43" s="16"/>
    </row>
    <row r="44" spans="1:66" ht="18" customHeight="1" x14ac:dyDescent="0.2">
      <c r="A44" s="16"/>
      <c r="B44" s="16"/>
      <c r="C44" s="25" t="s">
        <v>110</v>
      </c>
      <c r="D44" s="16"/>
      <c r="E44" s="16"/>
      <c r="F44" s="16"/>
      <c r="G44" s="16"/>
      <c r="H44" s="16"/>
      <c r="I44" s="16"/>
      <c r="J44" s="16"/>
      <c r="K44" s="16"/>
      <c r="L44" s="16"/>
      <c r="M44" s="16"/>
      <c r="N44" s="16"/>
      <c r="O44" s="16"/>
      <c r="P44" s="16"/>
      <c r="Q44" s="16"/>
      <c r="R44" s="16"/>
      <c r="S44" s="16"/>
      <c r="T44" s="16"/>
      <c r="U44" s="16"/>
      <c r="V44" s="60" t="str">
        <v>Renegotiate SaaS tooling contracts</v>
      </c>
      <c r="W44" s="60"/>
      <c r="X44" s="60"/>
      <c r="Y44" s="60"/>
      <c r="Z44" s="60"/>
      <c r="AA44" s="60"/>
      <c r="AB44" s="60"/>
      <c r="AC44" s="60"/>
      <c r="AD44" s="60"/>
      <c r="AE44" s="60"/>
      <c r="AF44" s="60"/>
      <c r="AG44" s="60"/>
      <c r="AH44" s="60"/>
      <c r="AI44" s="60"/>
      <c r="AJ44" s="60"/>
      <c r="AK44" s="60"/>
      <c r="AL44" s="60"/>
      <c r="AM44" s="60"/>
      <c r="AN44" s="60"/>
      <c r="AO44" s="16"/>
      <c r="AP44" s="61" t="str">
        <v>Sam O.</v>
      </c>
      <c r="AQ44" s="61"/>
      <c r="AR44" s="61"/>
      <c r="AS44" s="61"/>
      <c r="AT44" s="61"/>
      <c r="AU44" s="61"/>
      <c r="AV44" s="63" t="str">
        <v>Open</v>
      </c>
      <c r="AW44" s="63"/>
      <c r="AX44" s="63"/>
      <c r="AY44" s="63"/>
      <c r="AZ44" s="63"/>
      <c r="BA44" s="63"/>
      <c r="BB44" s="16"/>
      <c r="BC44" s="16"/>
      <c r="BD44" s="16"/>
      <c r="BE44" s="16"/>
      <c r="BF44" s="16"/>
      <c r="BG44" s="16"/>
      <c r="BH44" s="16"/>
      <c r="BI44" s="16"/>
      <c r="BJ44" s="16"/>
      <c r="BK44" s="16"/>
      <c r="BL44" s="16"/>
      <c r="BM44" s="16"/>
      <c r="BN44" s="16"/>
    </row>
    <row r="45" spans="1:66" ht="18" customHeight="1" x14ac:dyDescent="0.2">
      <c r="A45" s="16"/>
      <c r="B45" s="16"/>
      <c r="C45" s="142" t="str" cm="1">
        <f t="array" ref="C45">INDEX(sinp_comment_went_poor,$BP$1)</f>
        <v>Media pass-through still drags blended margin and the wind-down is running slower than planned.</v>
      </c>
      <c r="D45" s="142"/>
      <c r="E45" s="142"/>
      <c r="F45" s="142"/>
      <c r="G45" s="142"/>
      <c r="H45" s="142"/>
      <c r="I45" s="142"/>
      <c r="J45" s="142"/>
      <c r="K45" s="142"/>
      <c r="L45" s="142"/>
      <c r="M45" s="142"/>
      <c r="N45" s="142"/>
      <c r="O45" s="142"/>
      <c r="P45" s="142"/>
      <c r="Q45" s="142"/>
      <c r="R45" s="142"/>
      <c r="S45" s="142"/>
      <c r="T45" s="142"/>
      <c r="U45" s="16"/>
      <c r="V45" s="60"/>
      <c r="W45" s="60"/>
      <c r="X45" s="60"/>
      <c r="Y45" s="60"/>
      <c r="Z45" s="60"/>
      <c r="AA45" s="60"/>
      <c r="AB45" s="60"/>
      <c r="AC45" s="60"/>
      <c r="AD45" s="60"/>
      <c r="AE45" s="60"/>
      <c r="AF45" s="60"/>
      <c r="AG45" s="60"/>
      <c r="AH45" s="60"/>
      <c r="AI45" s="60"/>
      <c r="AJ45" s="60"/>
      <c r="AK45" s="60"/>
      <c r="AL45" s="60"/>
      <c r="AM45" s="60"/>
      <c r="AN45" s="60"/>
      <c r="AO45" s="16"/>
      <c r="AP45" s="61"/>
      <c r="AQ45" s="61"/>
      <c r="AR45" s="61"/>
      <c r="AS45" s="61"/>
      <c r="AT45" s="61"/>
      <c r="AU45" s="61"/>
      <c r="AV45" s="63"/>
      <c r="AW45" s="63"/>
      <c r="AX45" s="63"/>
      <c r="AY45" s="63"/>
      <c r="AZ45" s="63"/>
      <c r="BA45" s="63"/>
      <c r="BB45" s="16"/>
      <c r="BC45" s="16"/>
      <c r="BD45" s="16"/>
      <c r="BE45" s="16"/>
      <c r="BF45" s="16"/>
      <c r="BG45" s="16"/>
      <c r="BH45" s="16"/>
      <c r="BI45" s="16"/>
      <c r="BJ45" s="16"/>
      <c r="BK45" s="16"/>
      <c r="BL45" s="16"/>
      <c r="BM45" s="16"/>
      <c r="BN45" s="16"/>
    </row>
    <row r="46" spans="1:66" ht="18" customHeight="1" x14ac:dyDescent="0.2">
      <c r="A46" s="16"/>
      <c r="B46" s="16"/>
      <c r="C46" s="142"/>
      <c r="D46" s="142"/>
      <c r="E46" s="142"/>
      <c r="F46" s="142"/>
      <c r="G46" s="142"/>
      <c r="H46" s="142"/>
      <c r="I46" s="142"/>
      <c r="J46" s="142"/>
      <c r="K46" s="142"/>
      <c r="L46" s="142"/>
      <c r="M46" s="142"/>
      <c r="N46" s="142"/>
      <c r="O46" s="142"/>
      <c r="P46" s="142"/>
      <c r="Q46" s="142"/>
      <c r="R46" s="142"/>
      <c r="S46" s="142"/>
      <c r="T46" s="142"/>
      <c r="U46" s="16"/>
      <c r="V46" s="60"/>
      <c r="W46" s="60"/>
      <c r="X46" s="60"/>
      <c r="Y46" s="60"/>
      <c r="Z46" s="60"/>
      <c r="AA46" s="60"/>
      <c r="AB46" s="60"/>
      <c r="AC46" s="60"/>
      <c r="AD46" s="60"/>
      <c r="AE46" s="60"/>
      <c r="AF46" s="60"/>
      <c r="AG46" s="60"/>
      <c r="AH46" s="60"/>
      <c r="AI46" s="60"/>
      <c r="AJ46" s="60"/>
      <c r="AK46" s="60"/>
      <c r="AL46" s="60"/>
      <c r="AM46" s="60"/>
      <c r="AN46" s="60"/>
      <c r="AO46" s="16"/>
      <c r="AP46" s="61"/>
      <c r="AQ46" s="61"/>
      <c r="AR46" s="61"/>
      <c r="AS46" s="61"/>
      <c r="AT46" s="61"/>
      <c r="AU46" s="61"/>
      <c r="AV46" s="63"/>
      <c r="AW46" s="63"/>
      <c r="AX46" s="63"/>
      <c r="AY46" s="63"/>
      <c r="AZ46" s="63"/>
      <c r="BA46" s="63"/>
      <c r="BB46" s="16"/>
      <c r="BC46" s="16"/>
      <c r="BD46" s="16"/>
      <c r="BE46" s="16"/>
      <c r="BF46" s="16"/>
      <c r="BG46" s="16"/>
      <c r="BH46" s="16"/>
      <c r="BI46" s="16"/>
      <c r="BJ46" s="16"/>
      <c r="BK46" s="16"/>
      <c r="BL46" s="16"/>
      <c r="BM46" s="16"/>
      <c r="BN46" s="16"/>
    </row>
    <row r="47" spans="1:66" ht="18" customHeight="1" x14ac:dyDescent="0.2">
      <c r="A47" s="16"/>
      <c r="B47" s="16"/>
      <c r="C47" s="21" t="s">
        <v>111</v>
      </c>
      <c r="D47" s="16"/>
      <c r="E47" s="16"/>
      <c r="F47" s="16"/>
      <c r="G47" s="16"/>
      <c r="H47" s="16"/>
      <c r="I47" s="16"/>
      <c r="J47" s="16"/>
      <c r="K47" s="16"/>
      <c r="L47" s="16"/>
      <c r="M47" s="16"/>
      <c r="N47" s="16"/>
      <c r="O47" s="16"/>
      <c r="P47" s="16"/>
      <c r="Q47" s="16"/>
      <c r="R47" s="16"/>
      <c r="S47" s="16"/>
      <c r="T47" s="16"/>
      <c r="U47" s="16"/>
      <c r="V47" s="65" t="s">
        <v>284</v>
      </c>
      <c r="W47" s="66"/>
      <c r="X47" s="66"/>
      <c r="Y47" s="66"/>
      <c r="Z47" s="66"/>
      <c r="AA47" s="66"/>
      <c r="AB47" s="66"/>
      <c r="AC47" s="66"/>
      <c r="AD47" s="66"/>
      <c r="AE47" s="66"/>
      <c r="AF47" s="66"/>
      <c r="AG47" s="66"/>
      <c r="AH47" s="66"/>
      <c r="AI47" s="66"/>
      <c r="AJ47" s="66"/>
      <c r="AK47" s="66"/>
      <c r="AL47" s="66"/>
      <c r="AM47" s="66"/>
      <c r="AN47" s="6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row>
    <row r="48" spans="1:66" ht="18" customHeight="1" x14ac:dyDescent="0.2">
      <c r="A48" s="16"/>
      <c r="B48" s="16"/>
      <c r="C48" s="142" t="str" cm="1">
        <f t="array" ref="C48">INDEX(sinp_comment_structural,$BP$1)</f>
        <v>Recurring retainer revenue exceeded project revenue for the first time, lowering volatility.</v>
      </c>
      <c r="D48" s="142"/>
      <c r="E48" s="142"/>
      <c r="F48" s="142"/>
      <c r="G48" s="142"/>
      <c r="H48" s="142"/>
      <c r="I48" s="142"/>
      <c r="J48" s="142"/>
      <c r="K48" s="142"/>
      <c r="L48" s="142"/>
      <c r="M48" s="142"/>
      <c r="N48" s="142"/>
      <c r="O48" s="142"/>
      <c r="P48" s="142"/>
      <c r="Q48" s="142"/>
      <c r="R48" s="142"/>
      <c r="S48" s="142"/>
      <c r="T48" s="142"/>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row>
    <row r="49" spans="1:66" ht="18" customHeight="1" x14ac:dyDescent="0.2">
      <c r="A49" s="16"/>
      <c r="B49" s="16"/>
      <c r="C49" s="142"/>
      <c r="D49" s="142"/>
      <c r="E49" s="142"/>
      <c r="F49" s="142"/>
      <c r="G49" s="142"/>
      <c r="H49" s="142"/>
      <c r="I49" s="142"/>
      <c r="J49" s="142"/>
      <c r="K49" s="142"/>
      <c r="L49" s="142"/>
      <c r="M49" s="142"/>
      <c r="N49" s="142"/>
      <c r="O49" s="142"/>
      <c r="P49" s="142"/>
      <c r="Q49" s="142"/>
      <c r="R49" s="142"/>
      <c r="S49" s="142"/>
      <c r="T49" s="142"/>
      <c r="U49" s="16"/>
      <c r="V49" s="21" t="s">
        <v>121</v>
      </c>
      <c r="W49" s="16"/>
      <c r="X49" s="16"/>
      <c r="Y49" s="16"/>
      <c r="Z49" s="16"/>
      <c r="AA49" s="16"/>
      <c r="AB49" s="16"/>
      <c r="AC49" s="16"/>
      <c r="AD49" s="16"/>
      <c r="AE49" s="16"/>
      <c r="AF49" s="16"/>
      <c r="AG49" s="16"/>
      <c r="AH49" s="16"/>
      <c r="AI49" s="16"/>
      <c r="AJ49" s="16"/>
      <c r="AK49" s="16"/>
      <c r="AL49" s="16"/>
      <c r="AM49" s="16"/>
      <c r="AN49" s="16"/>
      <c r="AO49" s="16"/>
      <c r="AP49" s="21" t="s">
        <v>116</v>
      </c>
      <c r="AQ49" s="16"/>
      <c r="AR49" s="16"/>
      <c r="AS49" s="16"/>
      <c r="AT49" s="16"/>
      <c r="AU49" s="16"/>
      <c r="AV49" s="21" t="s">
        <v>123</v>
      </c>
      <c r="AW49" s="16"/>
      <c r="AX49" s="16"/>
      <c r="AY49" s="16"/>
      <c r="AZ49" s="16"/>
      <c r="BA49" s="16"/>
      <c r="BB49" s="16"/>
      <c r="BC49" s="16"/>
      <c r="BD49" s="16"/>
      <c r="BE49" s="16"/>
      <c r="BF49" s="16"/>
      <c r="BG49" s="16"/>
      <c r="BH49" s="16"/>
      <c r="BI49" s="16"/>
      <c r="BJ49" s="16"/>
      <c r="BK49" s="16"/>
      <c r="BL49" s="16"/>
      <c r="BM49" s="16"/>
      <c r="BN49" s="16"/>
    </row>
    <row r="50" spans="1:66" ht="18" customHeight="1" x14ac:dyDescent="0.2">
      <c r="A50" s="16"/>
      <c r="B50" s="16"/>
      <c r="C50" s="59" t="s">
        <v>255</v>
      </c>
      <c r="D50" s="16"/>
      <c r="E50" s="16"/>
      <c r="F50" s="16"/>
      <c r="G50" s="16"/>
      <c r="H50" s="16"/>
      <c r="I50" s="16"/>
      <c r="J50" s="16"/>
      <c r="K50" s="16"/>
      <c r="L50" s="16"/>
      <c r="M50" s="16"/>
      <c r="N50" s="16"/>
      <c r="O50" s="16"/>
      <c r="P50" s="16"/>
      <c r="Q50" s="16"/>
      <c r="R50" s="16"/>
      <c r="S50" s="16"/>
      <c r="T50" s="16"/>
      <c r="U50" s="16"/>
      <c r="V50" s="60" t="str" cm="1">
        <f t="array" ref="V50:V55">_xlfn._xlws.FILTER('Sample Data'!$B$238:$B$243,('Sample Data'!$B$238:$B$243&lt;&gt;"")*(IFERROR(DATEVALUE("1-"&amp;'Sample Data'!$C$238:$C$243),0)&lt;=scalc_sel_date),"–")</f>
        <v>Northwind Retail above 18% of revenue</v>
      </c>
      <c r="W50" s="60"/>
      <c r="X50" s="60"/>
      <c r="Y50" s="60"/>
      <c r="Z50" s="60"/>
      <c r="AA50" s="60"/>
      <c r="AB50" s="60"/>
      <c r="AC50" s="60"/>
      <c r="AD50" s="60"/>
      <c r="AE50" s="60"/>
      <c r="AF50" s="60"/>
      <c r="AG50" s="60"/>
      <c r="AH50" s="60"/>
      <c r="AI50" s="60"/>
      <c r="AJ50" s="60"/>
      <c r="AK50" s="60"/>
      <c r="AL50" s="60"/>
      <c r="AM50" s="60"/>
      <c r="AN50" s="60"/>
      <c r="AO50" s="16"/>
      <c r="AP50" s="61" t="str" cm="1">
        <f t="array" ref="AP50:AP55">_xlfn._xlws.FILTER('Sample Data'!$D$238:$D$243,('Sample Data'!$B$238:$B$243&lt;&gt;"")*(IFERROR(DATEVALUE("1-"&amp;'Sample Data'!$C$238:$C$243),0)&lt;=scalc_sel_date),"–")</f>
        <v>Liam C.</v>
      </c>
      <c r="AQ50" s="61"/>
      <c r="AR50" s="61"/>
      <c r="AS50" s="61"/>
      <c r="AT50" s="61"/>
      <c r="AU50" s="61"/>
      <c r="AV50" s="64" t="str" cm="1">
        <f t="array" ref="AV50:AV55">_xlfn._xlws.FILTER('Sample Data'!$E$238:$E$243,('Sample Data'!$B$238:$B$243&lt;&gt;"")*(IFERROR(DATEVALUE("1-"&amp;'Sample Data'!$C$238:$C$243),0)&lt;=scalc_sel_date),"–")</f>
        <v>High</v>
      </c>
      <c r="AW50" s="63"/>
      <c r="AX50" s="63"/>
      <c r="AY50" s="63"/>
      <c r="AZ50" s="63"/>
      <c r="BA50" s="63"/>
      <c r="BB50" s="16"/>
      <c r="BC50" s="16"/>
      <c r="BD50" s="16"/>
      <c r="BE50" s="16"/>
      <c r="BF50" s="16"/>
      <c r="BG50" s="16"/>
      <c r="BH50" s="16"/>
      <c r="BI50" s="16"/>
      <c r="BJ50" s="16"/>
      <c r="BK50" s="16"/>
      <c r="BL50" s="16"/>
      <c r="BM50" s="16"/>
      <c r="BN50" s="16"/>
    </row>
    <row r="51" spans="1:66" ht="18" customHeight="1" x14ac:dyDescent="0.2">
      <c r="A51" s="16"/>
      <c r="B51" s="16"/>
      <c r="C51" s="142" t="str" cm="1">
        <f t="array" ref="C51">INDEX(sinp_comment_next_diff,$BP$1)</f>
        <v>Close the pass-through exit and push two more retainer pilots to conversion.</v>
      </c>
      <c r="D51" s="142"/>
      <c r="E51" s="142"/>
      <c r="F51" s="142"/>
      <c r="G51" s="142"/>
      <c r="H51" s="142"/>
      <c r="I51" s="142"/>
      <c r="J51" s="142"/>
      <c r="K51" s="142"/>
      <c r="L51" s="142"/>
      <c r="M51" s="142"/>
      <c r="N51" s="142"/>
      <c r="O51" s="142"/>
      <c r="P51" s="142"/>
      <c r="Q51" s="142"/>
      <c r="R51" s="142"/>
      <c r="S51" s="142"/>
      <c r="T51" s="142"/>
      <c r="U51" s="142"/>
      <c r="V51" s="60" t="str">
        <v>Senior delivery capacity shortfall</v>
      </c>
      <c r="W51" s="60"/>
      <c r="X51" s="60"/>
      <c r="Y51" s="60"/>
      <c r="Z51" s="60"/>
      <c r="AA51" s="60"/>
      <c r="AB51" s="60"/>
      <c r="AC51" s="60"/>
      <c r="AD51" s="60"/>
      <c r="AE51" s="60"/>
      <c r="AF51" s="60"/>
      <c r="AG51" s="60"/>
      <c r="AH51" s="60"/>
      <c r="AI51" s="60"/>
      <c r="AJ51" s="60"/>
      <c r="AK51" s="60"/>
      <c r="AL51" s="60"/>
      <c r="AM51" s="60"/>
      <c r="AN51" s="60"/>
      <c r="AO51" s="16"/>
      <c r="AP51" s="61" t="str">
        <v>Liam C.</v>
      </c>
      <c r="AQ51" s="61"/>
      <c r="AR51" s="61"/>
      <c r="AS51" s="61"/>
      <c r="AT51" s="61"/>
      <c r="AU51" s="61"/>
      <c r="AV51" s="63" t="str">
        <v>Medium</v>
      </c>
      <c r="AW51" s="63"/>
      <c r="AX51" s="63"/>
      <c r="AY51" s="63"/>
      <c r="AZ51" s="63"/>
      <c r="BA51" s="63"/>
      <c r="BB51" s="16"/>
      <c r="BC51" s="16"/>
      <c r="BD51" s="16"/>
      <c r="BE51" s="16"/>
      <c r="BF51" s="16"/>
      <c r="BG51" s="16"/>
      <c r="BH51" s="16"/>
      <c r="BI51" s="16"/>
      <c r="BJ51" s="16"/>
      <c r="BK51" s="16"/>
      <c r="BL51" s="16"/>
      <c r="BM51" s="16"/>
      <c r="BN51" s="16"/>
    </row>
    <row r="52" spans="1:66" ht="18" customHeight="1" x14ac:dyDescent="0.2">
      <c r="A52" s="16"/>
      <c r="B52" s="16"/>
      <c r="C52" s="142"/>
      <c r="D52" s="142"/>
      <c r="E52" s="142"/>
      <c r="F52" s="142"/>
      <c r="G52" s="142"/>
      <c r="H52" s="142"/>
      <c r="I52" s="142"/>
      <c r="J52" s="142"/>
      <c r="K52" s="142"/>
      <c r="L52" s="142"/>
      <c r="M52" s="142"/>
      <c r="N52" s="142"/>
      <c r="O52" s="142"/>
      <c r="P52" s="142"/>
      <c r="Q52" s="142"/>
      <c r="R52" s="142"/>
      <c r="S52" s="142"/>
      <c r="T52" s="142"/>
      <c r="U52" s="142"/>
      <c r="V52" s="60" t="str">
        <v>AR concentration in the 90+ bucket</v>
      </c>
      <c r="W52" s="60"/>
      <c r="X52" s="60"/>
      <c r="Y52" s="60"/>
      <c r="Z52" s="60"/>
      <c r="AA52" s="60"/>
      <c r="AB52" s="60"/>
      <c r="AC52" s="60"/>
      <c r="AD52" s="60"/>
      <c r="AE52" s="60"/>
      <c r="AF52" s="60"/>
      <c r="AG52" s="60"/>
      <c r="AH52" s="60"/>
      <c r="AI52" s="60"/>
      <c r="AJ52" s="60"/>
      <c r="AK52" s="60"/>
      <c r="AL52" s="60"/>
      <c r="AM52" s="60"/>
      <c r="AN52" s="60"/>
      <c r="AO52" s="16"/>
      <c r="AP52" s="61" t="str">
        <v>Dana R.</v>
      </c>
      <c r="AQ52" s="61"/>
      <c r="AR52" s="61"/>
      <c r="AS52" s="61"/>
      <c r="AT52" s="61"/>
      <c r="AU52" s="61"/>
      <c r="AV52" s="63" t="str">
        <v>Medium</v>
      </c>
      <c r="AW52" s="63"/>
      <c r="AX52" s="63"/>
      <c r="AY52" s="63"/>
      <c r="AZ52" s="63"/>
      <c r="BA52" s="63"/>
      <c r="BB52" s="16"/>
      <c r="BC52" s="16"/>
      <c r="BD52" s="16"/>
      <c r="BE52" s="16"/>
      <c r="BF52" s="16"/>
      <c r="BG52" s="16"/>
      <c r="BH52" s="16"/>
      <c r="BI52" s="16"/>
      <c r="BJ52" s="16"/>
      <c r="BK52" s="16"/>
      <c r="BL52" s="16"/>
      <c r="BM52" s="16"/>
      <c r="BN52" s="16"/>
    </row>
    <row r="53" spans="1:66" ht="18" customHeight="1" x14ac:dyDescent="0.2">
      <c r="A53" s="16"/>
      <c r="B53" s="16"/>
      <c r="C53" s="142"/>
      <c r="D53" s="142"/>
      <c r="E53" s="142"/>
      <c r="F53" s="142"/>
      <c r="G53" s="142"/>
      <c r="H53" s="142"/>
      <c r="I53" s="142"/>
      <c r="J53" s="142"/>
      <c r="K53" s="142"/>
      <c r="L53" s="142"/>
      <c r="M53" s="142"/>
      <c r="N53" s="142"/>
      <c r="O53" s="142"/>
      <c r="P53" s="142"/>
      <c r="Q53" s="142"/>
      <c r="R53" s="142"/>
      <c r="S53" s="142"/>
      <c r="T53" s="142"/>
      <c r="U53" s="142"/>
      <c r="V53" s="60" t="str">
        <v>Reliance on a single contractor vendor</v>
      </c>
      <c r="W53" s="60"/>
      <c r="X53" s="60"/>
      <c r="Y53" s="60"/>
      <c r="Z53" s="60"/>
      <c r="AA53" s="60"/>
      <c r="AB53" s="60"/>
      <c r="AC53" s="60"/>
      <c r="AD53" s="60"/>
      <c r="AE53" s="60"/>
      <c r="AF53" s="60"/>
      <c r="AG53" s="60"/>
      <c r="AH53" s="60"/>
      <c r="AI53" s="60"/>
      <c r="AJ53" s="60"/>
      <c r="AK53" s="60"/>
      <c r="AL53" s="60"/>
      <c r="AM53" s="60"/>
      <c r="AN53" s="60"/>
      <c r="AO53" s="16"/>
      <c r="AP53" s="61" t="str">
        <v>Sam O.</v>
      </c>
      <c r="AQ53" s="61"/>
      <c r="AR53" s="61"/>
      <c r="AS53" s="61"/>
      <c r="AT53" s="61"/>
      <c r="AU53" s="61"/>
      <c r="AV53" s="63" t="str">
        <v>Medium</v>
      </c>
      <c r="AW53" s="63"/>
      <c r="AX53" s="63"/>
      <c r="AY53" s="63"/>
      <c r="AZ53" s="63"/>
      <c r="BA53" s="63"/>
      <c r="BB53" s="16"/>
      <c r="BC53" s="16"/>
      <c r="BD53" s="16"/>
      <c r="BE53" s="16"/>
      <c r="BF53" s="16"/>
      <c r="BG53" s="16"/>
      <c r="BH53" s="16"/>
      <c r="BI53" s="16"/>
      <c r="BJ53" s="16"/>
      <c r="BK53" s="16"/>
      <c r="BL53" s="16"/>
      <c r="BM53" s="16"/>
      <c r="BN53" s="16"/>
    </row>
    <row r="54" spans="1:66" ht="18" customHeight="1" x14ac:dyDescent="0.2">
      <c r="A54" s="16"/>
      <c r="B54" s="16"/>
      <c r="C54" s="16"/>
      <c r="D54" s="16"/>
      <c r="E54" s="16"/>
      <c r="F54" s="16"/>
      <c r="G54" s="16"/>
      <c r="H54" s="16"/>
      <c r="I54" s="16"/>
      <c r="J54" s="16"/>
      <c r="K54" s="16"/>
      <c r="L54" s="16"/>
      <c r="M54" s="16"/>
      <c r="N54" s="16"/>
      <c r="O54" s="16"/>
      <c r="P54" s="16"/>
      <c r="Q54" s="16"/>
      <c r="R54" s="16"/>
      <c r="S54" s="16"/>
      <c r="T54" s="16"/>
      <c r="U54" s="16"/>
      <c r="V54" s="60" t="str">
        <v>Margin drag from media pass-through</v>
      </c>
      <c r="W54" s="60"/>
      <c r="X54" s="60"/>
      <c r="Y54" s="60"/>
      <c r="Z54" s="60"/>
      <c r="AA54" s="60"/>
      <c r="AB54" s="60"/>
      <c r="AC54" s="60"/>
      <c r="AD54" s="60"/>
      <c r="AE54" s="60"/>
      <c r="AF54" s="60"/>
      <c r="AG54" s="60"/>
      <c r="AH54" s="60"/>
      <c r="AI54" s="60"/>
      <c r="AJ54" s="60"/>
      <c r="AK54" s="60"/>
      <c r="AL54" s="60"/>
      <c r="AM54" s="60"/>
      <c r="AN54" s="60"/>
      <c r="AO54" s="16"/>
      <c r="AP54" s="61" t="str">
        <v>Liam C.</v>
      </c>
      <c r="AQ54" s="61"/>
      <c r="AR54" s="61"/>
      <c r="AS54" s="61"/>
      <c r="AT54" s="61"/>
      <c r="AU54" s="61"/>
      <c r="AV54" s="63" t="str">
        <v>Low</v>
      </c>
      <c r="AW54" s="63"/>
      <c r="AX54" s="63"/>
      <c r="AY54" s="63"/>
      <c r="AZ54" s="63"/>
      <c r="BA54" s="63"/>
      <c r="BB54" s="16"/>
      <c r="BC54" s="16"/>
      <c r="BD54" s="16"/>
      <c r="BE54" s="16"/>
      <c r="BF54" s="16"/>
      <c r="BG54" s="16"/>
      <c r="BH54" s="16"/>
      <c r="BI54" s="16"/>
      <c r="BJ54" s="16"/>
      <c r="BK54" s="16"/>
      <c r="BL54" s="16"/>
      <c r="BM54" s="16"/>
      <c r="BN54" s="16"/>
    </row>
    <row r="55" spans="1:66" ht="18" customHeight="1" x14ac:dyDescent="0.2">
      <c r="A55" s="16"/>
      <c r="B55" s="16"/>
      <c r="C55" s="16"/>
      <c r="D55" s="16"/>
      <c r="E55" s="16"/>
      <c r="F55" s="16"/>
      <c r="G55" s="16"/>
      <c r="H55" s="16"/>
      <c r="I55" s="16"/>
      <c r="J55" s="16"/>
      <c r="K55" s="16"/>
      <c r="L55" s="16"/>
      <c r="M55" s="16"/>
      <c r="N55" s="16"/>
      <c r="O55" s="16"/>
      <c r="P55" s="16"/>
      <c r="Q55" s="16"/>
      <c r="R55" s="16"/>
      <c r="S55" s="16"/>
      <c r="T55" s="16"/>
      <c r="U55" s="16"/>
      <c r="V55" s="60" t="str">
        <v>Tooling cost creep against revenue</v>
      </c>
      <c r="W55" s="60"/>
      <c r="X55" s="60"/>
      <c r="Y55" s="60"/>
      <c r="Z55" s="60"/>
      <c r="AA55" s="60"/>
      <c r="AB55" s="60"/>
      <c r="AC55" s="60"/>
      <c r="AD55" s="60"/>
      <c r="AE55" s="60"/>
      <c r="AF55" s="60"/>
      <c r="AG55" s="60"/>
      <c r="AH55" s="60"/>
      <c r="AI55" s="60"/>
      <c r="AJ55" s="60"/>
      <c r="AK55" s="60"/>
      <c r="AL55" s="60"/>
      <c r="AM55" s="60"/>
      <c r="AN55" s="60"/>
      <c r="AO55" s="16"/>
      <c r="AP55" s="61" t="str">
        <v>Sam O.</v>
      </c>
      <c r="AQ55" s="61"/>
      <c r="AR55" s="61"/>
      <c r="AS55" s="61"/>
      <c r="AT55" s="61"/>
      <c r="AU55" s="61"/>
      <c r="AV55" s="63" t="str">
        <v>Medium</v>
      </c>
      <c r="AW55" s="63"/>
      <c r="AX55" s="63"/>
      <c r="AY55" s="63"/>
      <c r="AZ55" s="63"/>
      <c r="BA55" s="63"/>
      <c r="BB55" s="16"/>
      <c r="BC55" s="16"/>
      <c r="BD55" s="16"/>
      <c r="BE55" s="16"/>
      <c r="BF55" s="16"/>
      <c r="BG55" s="16"/>
      <c r="BH55" s="16"/>
      <c r="BI55" s="16"/>
      <c r="BJ55" s="16"/>
      <c r="BK55" s="16"/>
      <c r="BL55" s="16"/>
      <c r="BM55" s="16"/>
      <c r="BN55" s="16"/>
    </row>
    <row r="56" spans="1:66" ht="18" customHeight="1" x14ac:dyDescent="0.2">
      <c r="A56" s="16"/>
      <c r="B56" s="16"/>
      <c r="C56" s="135" t="s">
        <v>325</v>
      </c>
      <c r="D56" s="135"/>
      <c r="E56" s="135"/>
      <c r="F56" s="135"/>
      <c r="G56" s="135"/>
      <c r="H56" s="135"/>
      <c r="I56" s="135"/>
      <c r="J56" s="135"/>
      <c r="K56" s="135"/>
      <c r="L56" s="135"/>
      <c r="M56" s="135"/>
      <c r="N56" s="135"/>
      <c r="O56" s="135"/>
      <c r="P56" s="135"/>
      <c r="Q56" s="135"/>
      <c r="R56" s="135"/>
      <c r="S56" s="135"/>
      <c r="T56" s="135"/>
      <c r="U56" s="135"/>
      <c r="V56" s="135"/>
      <c r="W56" s="135"/>
      <c r="X56" s="135"/>
      <c r="Y56" s="135"/>
      <c r="Z56" s="135"/>
      <c r="AA56" s="135"/>
      <c r="AB56" s="127"/>
      <c r="AC56" s="127"/>
      <c r="AD56" s="127"/>
      <c r="AE56" s="127"/>
      <c r="AF56" s="127"/>
      <c r="AG56" s="127"/>
      <c r="AH56" s="127"/>
      <c r="AI56" s="127"/>
      <c r="AJ56" s="127"/>
      <c r="AK56" s="127"/>
      <c r="AL56" s="127"/>
      <c r="AM56" s="127"/>
      <c r="AN56" s="127"/>
      <c r="AO56" s="17"/>
      <c r="AP56" s="128"/>
      <c r="AQ56" s="128"/>
      <c r="AR56" s="128"/>
      <c r="AS56" s="128"/>
      <c r="AT56" s="128"/>
      <c r="AU56" s="128"/>
      <c r="AV56" s="129"/>
      <c r="AW56" s="129"/>
      <c r="AX56" s="129"/>
      <c r="AY56" s="129"/>
      <c r="AZ56" s="129"/>
      <c r="BA56" s="129"/>
      <c r="BB56" s="17"/>
      <c r="BC56" s="17"/>
      <c r="BD56" s="17"/>
      <c r="BE56" s="17"/>
      <c r="BF56" s="17"/>
      <c r="BG56" s="17"/>
      <c r="BH56" s="17"/>
      <c r="BI56" s="17"/>
      <c r="BJ56" s="17"/>
      <c r="BK56" s="17"/>
      <c r="BL56" s="17"/>
      <c r="BM56" s="16"/>
    </row>
    <row r="57" spans="1:66" ht="18" customHeight="1" x14ac:dyDescent="0.2">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row>
    <row r="58" spans="1:66" ht="15" customHeight="1" x14ac:dyDescent="0.2">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row>
    <row r="59" spans="1:66" ht="15" customHeight="1" x14ac:dyDescent="0.2">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row>
    <row r="60" spans="1:66" ht="15" customHeight="1" x14ac:dyDescent="0.2">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row>
    <row r="61" spans="1:66" ht="15" customHeight="1" x14ac:dyDescent="0.2">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row>
    <row r="62" spans="1:66" ht="15" customHeight="1" x14ac:dyDescent="0.2">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row>
    <row r="63" spans="1:66" ht="15" customHeight="1" x14ac:dyDescent="0.2">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row>
    <row r="64" spans="1:66" ht="15" customHeight="1" x14ac:dyDescent="0.2">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row>
    <row r="65" spans="1:75" ht="15" customHeight="1" x14ac:dyDescent="0.2">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row>
    <row r="66" spans="1:75" ht="15" customHeight="1" x14ac:dyDescent="0.2">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row>
    <row r="67" spans="1:75" ht="15" customHeight="1" x14ac:dyDescent="0.2">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row>
    <row r="68" spans="1:75" ht="15" customHeight="1" x14ac:dyDescent="0.2">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row>
    <row r="69" spans="1:75" ht="15" customHeight="1" x14ac:dyDescent="0.2">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row>
    <row r="70" spans="1:75" ht="15" customHeight="1" x14ac:dyDescent="0.2">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P70" s="130" t="s">
        <v>259</v>
      </c>
      <c r="BQ70" s="130" t="s">
        <v>260</v>
      </c>
      <c r="BR70" s="130" t="s">
        <v>261</v>
      </c>
      <c r="BS70" s="130" t="s">
        <v>262</v>
      </c>
      <c r="BT70" s="130" t="s">
        <v>263</v>
      </c>
      <c r="BU70" s="130" t="s">
        <v>264</v>
      </c>
      <c r="BV70" s="130" t="s">
        <v>265</v>
      </c>
      <c r="BW70" s="132" t="s">
        <v>278</v>
      </c>
    </row>
    <row r="71" spans="1:75" ht="15" customHeight="1" x14ac:dyDescent="0.2">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P71" s="130" t="s">
        <v>266</v>
      </c>
      <c r="BQ71" s="132">
        <v>0</v>
      </c>
      <c r="BR71" s="132">
        <v>0</v>
      </c>
      <c r="BS71" s="132">
        <v>0</v>
      </c>
      <c r="BT71" s="132">
        <f>BW71-$BV$71</f>
        <v>215540.6399999999</v>
      </c>
      <c r="BU71" s="132">
        <f>BW71</f>
        <v>2273331</v>
      </c>
      <c r="BV71" s="132">
        <f>MIN(BW71,BW72)-(MAX(BW71,BW72)-MIN(BW71,BW72))*0.12</f>
        <v>2057790.36</v>
      </c>
      <c r="BW71" s="132">
        <f>SUM(INDEX('Sample Data'!$C$119:$O$119,MATCH(scalc_fy_start_date,scalc_dates,0)):INDEX('Sample Data'!$C$119:$O$119,$BP$1))</f>
        <v>2273331</v>
      </c>
    </row>
    <row r="72" spans="1:75" ht="15" customHeight="1" x14ac:dyDescent="0.2">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P72" s="130" t="s">
        <v>267</v>
      </c>
      <c r="BQ72" s="132">
        <f>MIN(BU71,BU72)-$BV$71</f>
        <v>-671702.3600000001</v>
      </c>
      <c r="BR72" s="132">
        <f>IF(BW76&lt;0,-BW76,0)</f>
        <v>887243</v>
      </c>
      <c r="BS72" s="132">
        <f>IF(BW76&gt;=0,BW76,0)</f>
        <v>0</v>
      </c>
      <c r="BT72" s="132">
        <v>0</v>
      </c>
      <c r="BU72" s="132">
        <f>BU71+BW76</f>
        <v>1386088</v>
      </c>
      <c r="BW72" s="132">
        <f>SUM(INDEX('Sample Data'!$C$118:$O$118,MATCH(scalc_fy_start_date,scalc_dates,0)):INDEX('Sample Data'!$C$118:$O$118,$BP$1))</f>
        <v>2080884</v>
      </c>
    </row>
    <row r="73" spans="1:75" ht="15" customHeight="1" x14ac:dyDescent="0.2">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P73" s="130" t="s">
        <v>268</v>
      </c>
      <c r="BQ73" s="132">
        <f>MIN(BU72,BU73)-$BV$71</f>
        <v>-671702.3600000001</v>
      </c>
      <c r="BR73" s="132">
        <f>IF(BW73&lt;0,-BW73,0)</f>
        <v>0</v>
      </c>
      <c r="BS73" s="132">
        <f>IF(BW73&gt;=0,BW73,0)</f>
        <v>0</v>
      </c>
      <c r="BT73" s="132">
        <v>0</v>
      </c>
      <c r="BU73" s="132">
        <f>BU72+BW73</f>
        <v>1386088</v>
      </c>
      <c r="BW73" s="132" cm="1">
        <f t="array" ref="BW73">(SUM(INDEX('Sample Data'!$C$176:$O$176,MATCH(scalc_fy_start_date,scalc_dates,0)):INDEX('Sample Data'!$C$176:$O$176,$BP$1))/12-INDEX('Sample Data'!$C$195:$O$195,$BP$1))*0</f>
        <v>0</v>
      </c>
    </row>
    <row r="74" spans="1:75" ht="15" customHeight="1" x14ac:dyDescent="0.2">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P74" s="130" t="s">
        <v>269</v>
      </c>
      <c r="BQ74" s="132">
        <f>MIN(BU73,BU74)-$BV$71</f>
        <v>-732551.3600000001</v>
      </c>
      <c r="BR74" s="132">
        <f>IF(BW74&lt;0,-BW74,0)</f>
        <v>60849</v>
      </c>
      <c r="BS74" s="132">
        <f>IF(BW74&gt;=0,BW74,0)</f>
        <v>0</v>
      </c>
      <c r="BT74" s="132">
        <v>0</v>
      </c>
      <c r="BU74" s="132">
        <f>BU73+BW74</f>
        <v>1325239</v>
      </c>
      <c r="BW74" s="132">
        <f>-(SUM(INDEX('Sample Data'!$C$90:$O$90,MATCH(scalc_fy_start_date,scalc_dates,0)):INDEX('Sample Data'!$C$90:$O$90,$BP$1))-SUM(INDEX('Sample Data'!$C$91:$O$91,MATCH(scalc_fy_start_date,scalc_dates,0)):INDEX('Sample Data'!$C$91:$O$91,$BP$1)))</f>
        <v>-60849</v>
      </c>
    </row>
    <row r="75" spans="1:75" ht="15" customHeight="1" x14ac:dyDescent="0.2">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P75" s="130" t="s">
        <v>270</v>
      </c>
      <c r="BQ75" s="132">
        <f>MIN(BU74,BU75)-$BV$71</f>
        <v>-732551.3600000001</v>
      </c>
      <c r="BR75" s="132">
        <f>IF(BW75&lt;0,-BW75,0)</f>
        <v>0</v>
      </c>
      <c r="BS75" s="132">
        <f>IF(BW75&gt;=0,BW75,0)</f>
        <v>755645</v>
      </c>
      <c r="BT75" s="132">
        <v>0</v>
      </c>
      <c r="BU75" s="132">
        <f>BU74+BW75</f>
        <v>2080884</v>
      </c>
      <c r="BW75" s="132">
        <f>-(SUM(INDEX('Sample Data'!$C$133:$O$133,MATCH(scalc_fy_start_date,scalc_dates,0)):INDEX('Sample Data'!$C$133:$O$133,$BP$1))-SUM(INDEX('Sample Data'!$C$116:$O$116,MATCH(scalc_fy_start_date,scalc_dates,0)):INDEX('Sample Data'!$C$116:$O$116,$BP$1)))</f>
        <v>755645</v>
      </c>
    </row>
    <row r="76" spans="1:75" ht="15" customHeight="1" x14ac:dyDescent="0.2">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P76" s="130" t="s">
        <v>131</v>
      </c>
      <c r="BQ76" s="132">
        <f>$BV$71*0</f>
        <v>0</v>
      </c>
      <c r="BR76" s="132">
        <v>0</v>
      </c>
      <c r="BS76" s="132">
        <v>0</v>
      </c>
      <c r="BT76" s="132">
        <f>BW72-$BV$71</f>
        <v>23093.639999999898</v>
      </c>
      <c r="BU76" s="132">
        <f>BW72</f>
        <v>2080884</v>
      </c>
      <c r="BW76" s="132">
        <f>BW72-BW71-BW73-BW74-BW75</f>
        <v>-887243</v>
      </c>
    </row>
    <row r="77" spans="1:75" ht="15" customHeight="1" x14ac:dyDescent="0.2">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row>
    <row r="78" spans="1:75" ht="15" customHeight="1" x14ac:dyDescent="0.2">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row>
    <row r="79" spans="1:75" ht="15" customHeight="1" x14ac:dyDescent="0.2">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row>
    <row r="80" spans="1:75" ht="15" customHeight="1" x14ac:dyDescent="0.2">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row>
    <row r="81" spans="1:66" ht="15" customHeight="1" x14ac:dyDescent="0.2">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row>
    <row r="82" spans="1:66" ht="15" customHeight="1" x14ac:dyDescent="0.2">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row>
    <row r="83" spans="1:66" ht="15" customHeight="1" x14ac:dyDescent="0.2">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row>
    <row r="84" spans="1:66" ht="15" customHeight="1" x14ac:dyDescent="0.2">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row>
    <row r="85" spans="1:66" ht="15" customHeight="1" x14ac:dyDescent="0.2">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row>
    <row r="86" spans="1:66" ht="15" customHeight="1" x14ac:dyDescent="0.2">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row>
    <row r="87" spans="1:66" ht="15" customHeight="1" x14ac:dyDescent="0.2">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row>
    <row r="88" spans="1:66" ht="15" customHeight="1" x14ac:dyDescent="0.2">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row>
    <row r="89" spans="1:66" ht="15" customHeight="1" x14ac:dyDescent="0.2">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row>
    <row r="90" spans="1:66" ht="15" customHeight="1" x14ac:dyDescent="0.2"/>
  </sheetData>
  <mergeCells count="62">
    <mergeCell ref="BB2:BL2"/>
    <mergeCell ref="BB3:BL3"/>
    <mergeCell ref="BB4:BL4"/>
    <mergeCell ref="C7:L7"/>
    <mergeCell ref="N7:W7"/>
    <mergeCell ref="Y7:AH7"/>
    <mergeCell ref="AJ7:AS7"/>
    <mergeCell ref="AU7:BD7"/>
    <mergeCell ref="BF7:BL7"/>
    <mergeCell ref="BF9:BL9"/>
    <mergeCell ref="C8:L8"/>
    <mergeCell ref="N8:W8"/>
    <mergeCell ref="Y8:AH8"/>
    <mergeCell ref="AJ8:AS8"/>
    <mergeCell ref="AU8:BD8"/>
    <mergeCell ref="BF8:BL8"/>
    <mergeCell ref="C9:L9"/>
    <mergeCell ref="N9:W9"/>
    <mergeCell ref="Y9:AH9"/>
    <mergeCell ref="AJ9:AS9"/>
    <mergeCell ref="AU9:BD9"/>
    <mergeCell ref="AC17:AE17"/>
    <mergeCell ref="AJ17:AM17"/>
    <mergeCell ref="AC18:AE18"/>
    <mergeCell ref="AJ18:AM18"/>
    <mergeCell ref="AC19:AE19"/>
    <mergeCell ref="AJ19:AM19"/>
    <mergeCell ref="AO19:AX19"/>
    <mergeCell ref="BA19:BJ19"/>
    <mergeCell ref="AC20:AE20"/>
    <mergeCell ref="AJ20:AM20"/>
    <mergeCell ref="AO20:AY20"/>
    <mergeCell ref="BA20:BK20"/>
    <mergeCell ref="AC21:AE21"/>
    <mergeCell ref="AJ21:AM21"/>
    <mergeCell ref="AO21:AY21"/>
    <mergeCell ref="BA21:BK21"/>
    <mergeCell ref="AC22:AE22"/>
    <mergeCell ref="AJ22:AM22"/>
    <mergeCell ref="AO27:AX27"/>
    <mergeCell ref="BA27:BJ27"/>
    <mergeCell ref="AO28:AY28"/>
    <mergeCell ref="BA28:BK28"/>
    <mergeCell ref="AG29:AJ29"/>
    <mergeCell ref="AK29:AM29"/>
    <mergeCell ref="AO29:AY29"/>
    <mergeCell ref="BA29:BK29"/>
    <mergeCell ref="AG30:AJ30"/>
    <mergeCell ref="AK30:AM30"/>
    <mergeCell ref="AG31:AJ31"/>
    <mergeCell ref="AK31:AM31"/>
    <mergeCell ref="AG32:AJ32"/>
    <mergeCell ref="AK32:AM32"/>
    <mergeCell ref="AK33:AM33"/>
    <mergeCell ref="F35:I35"/>
    <mergeCell ref="N35:P35"/>
    <mergeCell ref="T35:V35"/>
    <mergeCell ref="C42:T43"/>
    <mergeCell ref="C45:T46"/>
    <mergeCell ref="C48:T49"/>
    <mergeCell ref="AG33:AJ33"/>
    <mergeCell ref="C51:U53"/>
  </mergeCells>
  <conditionalFormatting sqref="AV42:AV46">
    <cfRule type="containsText" dxfId="13" priority="4" operator="containsText" text="Open">
      <formula>NOT(ISERROR(SEARCH("Open",AV42)))</formula>
    </cfRule>
    <cfRule type="containsText" dxfId="12" priority="5" operator="containsText" text="In progress">
      <formula>NOT(ISERROR(SEARCH("In progress",AV42)))</formula>
    </cfRule>
  </conditionalFormatting>
  <conditionalFormatting sqref="AV50:AV55">
    <cfRule type="containsText" dxfId="11" priority="6" operator="containsText" text="High">
      <formula>NOT(ISERROR(SEARCH("High",AV50)))</formula>
    </cfRule>
    <cfRule type="containsText" dxfId="10" priority="7" operator="containsText" text="Medium">
      <formula>NOT(ISERROR(SEARCH("Medium",AV50)))</formula>
    </cfRule>
    <cfRule type="containsText" dxfId="9" priority="8" operator="containsText" text="Low">
      <formula>NOT(ISERROR(SEARCH("Low",AV50)))</formula>
    </cfRule>
  </conditionalFormatting>
  <conditionalFormatting sqref="AV56">
    <cfRule type="containsText" dxfId="5" priority="1" operator="containsText" text="High">
      <formula>NOT(ISERROR(SEARCH("High",AV56)))</formula>
    </cfRule>
    <cfRule type="containsText" dxfId="4" priority="2" operator="containsText" text="Medium">
      <formula>NOT(ISERROR(SEARCH("Medium",AV56)))</formula>
    </cfRule>
    <cfRule type="containsText" dxfId="3" priority="3" operator="containsText" text="Low">
      <formula>NOT(ISERROR(SEARCH("Low",AV56)))</formula>
    </cfRule>
  </conditionalFormatting>
  <hyperlinks>
    <hyperlink ref="C56" r:id="rId1" tooltip="Book a fit call · Infraxus" xr:uid="{1342A005-876D-5548-8AC4-E1711A188855}"/>
  </hyperlinks>
  <pageMargins left="0.7" right="0.7" top="0.75" bottom="0.75" header="0.3" footer="0.3"/>
  <pageSetup paperSize="0" scale="47" orientation="landscape" horizontalDpi="0" verticalDpi="0" copie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233A9CC-765F-5E48-BDB1-053E8DA1D196}">
          <x14:formula1>
            <xm:f>'Sample Data'!$C$30:$O$30</xm:f>
          </x14:formula1>
          <xm:sqref>AW2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7</vt:i4>
      </vt:variant>
      <vt:variant>
        <vt:lpstr>Named Ranges</vt:lpstr>
      </vt:variant>
      <vt:variant>
        <vt:i4>89</vt:i4>
      </vt:variant>
    </vt:vector>
  </HeadingPairs>
  <TitlesOfParts>
    <vt:vector size="96" baseType="lpstr">
      <vt:lpstr>Read Me</vt:lpstr>
      <vt:lpstr>Data</vt:lpstr>
      <vt:lpstr>Monthly Dashboard</vt:lpstr>
      <vt:lpstr>YTD Dashboard</vt:lpstr>
      <vt:lpstr>Sample Data</vt:lpstr>
      <vt:lpstr>Sample Monthly Dashboard</vt:lpstr>
      <vt:lpstr>Sample YTD Dashboard</vt:lpstr>
      <vt:lpstr>'Sample Data'!calc_dates</vt:lpstr>
      <vt:lpstr>calc_dates</vt:lpstr>
      <vt:lpstr>'Sample Data'!calc_dec_first</vt:lpstr>
      <vt:lpstr>calc_dec_first</vt:lpstr>
      <vt:lpstr>'Sample Data'!calc_def_label</vt:lpstr>
      <vt:lpstr>calc_def_label</vt:lpstr>
      <vt:lpstr>'Sample Data'!calc_fy_label</vt:lpstr>
      <vt:lpstr>calc_fy_label</vt:lpstr>
      <vt:lpstr>'Sample Data'!calc_fy_start_date</vt:lpstr>
      <vt:lpstr>calc_fy_start_date</vt:lpstr>
      <vt:lpstr>'Sample Data'!calc_labels</vt:lpstr>
      <vt:lpstr>calc_labels</vt:lpstr>
      <vt:lpstr>'Sample Data'!calc_sel_date</vt:lpstr>
      <vt:lpstr>calc_sel_date</vt:lpstr>
      <vt:lpstr>'Sample Data'!calc_sel_idx</vt:lpstr>
      <vt:lpstr>calc_sel_idx</vt:lpstr>
      <vt:lpstr>'Sample Data'!inp_biz_name</vt:lpstr>
      <vt:lpstr>inp_biz_name</vt:lpstr>
      <vt:lpstr>'Sample Data'!inp_collprob_0</vt:lpstr>
      <vt:lpstr>inp_collprob_0</vt:lpstr>
      <vt:lpstr>'Sample Data'!inp_collprob_1</vt:lpstr>
      <vt:lpstr>inp_collprob_1</vt:lpstr>
      <vt:lpstr>'Sample Data'!inp_collprob_2</vt:lpstr>
      <vt:lpstr>inp_collprob_2</vt:lpstr>
      <vt:lpstr>'Sample Data'!inp_collprob_3</vt:lpstr>
      <vt:lpstr>inp_collprob_3</vt:lpstr>
      <vt:lpstr>'Sample Data'!inp_comment_big_move</vt:lpstr>
      <vt:lpstr>inp_comment_big_move</vt:lpstr>
      <vt:lpstr>'Sample Data'!inp_comment_next_diff</vt:lpstr>
      <vt:lpstr>inp_comment_next_diff</vt:lpstr>
      <vt:lpstr>'Sample Data'!inp_comment_structural</vt:lpstr>
      <vt:lpstr>inp_comment_structural</vt:lpstr>
      <vt:lpstr>'Sample Data'!inp_comment_went_poor</vt:lpstr>
      <vt:lpstr>inp_comment_went_poor</vt:lpstr>
      <vt:lpstr>'Sample Data'!inp_comment_went_well</vt:lpstr>
      <vt:lpstr>inp_comment_went_well</vt:lpstr>
      <vt:lpstr>'Sample Data'!inp_currency</vt:lpstr>
      <vt:lpstr>inp_currency</vt:lpstr>
      <vt:lpstr>'Sample Data'!inp_fy_start</vt:lpstr>
      <vt:lpstr>inp_fy_start</vt:lpstr>
      <vt:lpstr>'Sample Data'!inp_latest_month</vt:lpstr>
      <vt:lpstr>inp_latest_month</vt:lpstr>
      <vt:lpstr>'Sample Data'!inp_region</vt:lpstr>
      <vt:lpstr>inp_region</vt:lpstr>
      <vt:lpstr>inp_sel_month</vt:lpstr>
      <vt:lpstr>'Sample Data'!inp_tw_conc</vt:lpstr>
      <vt:lpstr>inp_tw_conc</vt:lpstr>
      <vt:lpstr>'Sample Data'!inp_tw_dpo</vt:lpstr>
      <vt:lpstr>inp_tw_dpo</vt:lpstr>
      <vt:lpstr>'Sample Data'!inp_tw_dso</vt:lpstr>
      <vt:lpstr>inp_tw_dso</vt:lpstr>
      <vt:lpstr>'Sample Data'!inp_tw_gm</vt:lpstr>
      <vt:lpstr>inp_tw_gm</vt:lpstr>
      <vt:lpstr>'Sample Data'!inp_tw_payroll</vt:lpstr>
      <vt:lpstr>inp_tw_payroll</vt:lpstr>
      <vt:lpstr>'Sample Data'!inp_tw_util</vt:lpstr>
      <vt:lpstr>inp_tw_util</vt:lpstr>
      <vt:lpstr>'Sample Data'!mst_pass</vt:lpstr>
      <vt:lpstr>mst_pass</vt:lpstr>
      <vt:lpstr>'Sample Data'!mst_pass_ytd</vt:lpstr>
      <vt:lpstr>mst_pass_ytd</vt:lpstr>
      <vt:lpstr>'Monthly Dashboard'!Print_Area</vt:lpstr>
      <vt:lpstr>'Read Me'!Print_Area</vt:lpstr>
      <vt:lpstr>'Sample Monthly Dashboard'!Print_Area</vt:lpstr>
      <vt:lpstr>'Sample YTD Dashboard'!Print_Area</vt:lpstr>
      <vt:lpstr>'YTD Dashboard'!Print_Area</vt:lpstr>
      <vt:lpstr>'Read Me'!Print_Titles</vt:lpstr>
      <vt:lpstr>scalc_dates</vt:lpstr>
      <vt:lpstr>scalc_def_label</vt:lpstr>
      <vt:lpstr>scalc_fy_label</vt:lpstr>
      <vt:lpstr>scalc_fy_start_date</vt:lpstr>
      <vt:lpstr>scalc_labels</vt:lpstr>
      <vt:lpstr>scalc_sel_date</vt:lpstr>
      <vt:lpstr>scalc_sel_idx</vt:lpstr>
      <vt:lpstr>sinp_collprob_0</vt:lpstr>
      <vt:lpstr>sinp_collprob_1</vt:lpstr>
      <vt:lpstr>sinp_collprob_2</vt:lpstr>
      <vt:lpstr>sinp_collprob_3</vt:lpstr>
      <vt:lpstr>sinp_comment_big_move</vt:lpstr>
      <vt:lpstr>sinp_comment_next_diff</vt:lpstr>
      <vt:lpstr>sinp_comment_structural</vt:lpstr>
      <vt:lpstr>sinp_comment_went_poor</vt:lpstr>
      <vt:lpstr>sinp_comment_went_well</vt:lpstr>
      <vt:lpstr>sinp_fy_start</vt:lpstr>
      <vt:lpstr>sinp_latest_month</vt:lpstr>
      <vt:lpstr>sinp_region</vt:lpstr>
      <vt:lpstr>sinp_sel_month</vt:lpstr>
      <vt:lpstr>smst_pass</vt:lpstr>
      <vt:lpstr>smst_pass_ytd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Liam Collier</cp:lastModifiedBy>
  <dcterms:created xsi:type="dcterms:W3CDTF">2026-05-26T21:53:21Z</dcterms:created>
  <dcterms:modified xsi:type="dcterms:W3CDTF">2026-08-15T19:35:10Z</dcterms:modified>
</cp:coreProperties>
</file>