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liamcollier/Desktop/Final/"/>
    </mc:Choice>
  </mc:AlternateContent>
  <xr:revisionPtr revIDLastSave="0" documentId="13_ncr:1_{CCEAEEF2-09E9-5B45-B0B2-A8364ED5D808}" xr6:coauthVersionLast="47" xr6:coauthVersionMax="47" xr10:uidLastSave="{00000000-0000-0000-0000-000000000000}"/>
  <bookViews>
    <workbookView xWindow="0" yWindow="620" windowWidth="51200" windowHeight="26700" xr2:uid="{00000000-000D-0000-FFFF-FFFF00000000}"/>
  </bookViews>
  <sheets>
    <sheet name="Read Me" sheetId="4" r:id="rId1"/>
    <sheet name="Forecast" sheetId="1" r:id="rId2"/>
    <sheet name="Pipeline" sheetId="2" r:id="rId3"/>
    <sheet name="Sample Forecast" sheetId="3" r:id="rId4"/>
    <sheet name="Sample Pipeline" sheetId="5" r:id="rId5"/>
  </sheets>
  <definedNames>
    <definedName name="calc_deal_3mcash_col" localSheetId="4">'Sample Pipeline'!$AT$61:'Sample Pipeline'!$AT$90</definedName>
    <definedName name="calc_deal_3mcash_col">Pipeline!$AT$61:'Pipeline'!$AT$90</definedName>
    <definedName name="calc_deal_6mcash_col" localSheetId="4">'Sample Pipeline'!$AU$61:'Sample Pipeline'!$AU$90</definedName>
    <definedName name="calc_deal_6mcash_col">Pipeline!$AU$61:'Pipeline'!$AU$90</definedName>
    <definedName name="calc_deal_6mrev_col" localSheetId="4">'Sample Pipeline'!$AW$61:'Sample Pipeline'!$AW$90</definedName>
    <definedName name="calc_deal_6mrev_col">Pipeline!$AW$61:'Pipeline'!$AW$90</definedName>
    <definedName name="calc_deal_8mcash_col" localSheetId="4">'Sample Pipeline'!$AV$61:'Sample Pipeline'!$AV$90</definedName>
    <definedName name="calc_deal_8mcash_col">Pipeline!$AV$61:'Pipeline'!$AV$90</definedName>
    <definedName name="calc_deal_active_col" localSheetId="4">'Sample Pipeline'!$Q$61:'Sample Pipeline'!$Q$90</definedName>
    <definedName name="calc_deal_active_col">Pipeline!$Q$61:'Pipeline'!$Q$90</definedName>
    <definedName name="calc_deal_cash_m1" localSheetId="4">'Sample Pipeline'!$AL$61:'Sample Pipeline'!$AL$90</definedName>
    <definedName name="calc_deal_cash_m1">Pipeline!$AL$61:'Pipeline'!$AL$90</definedName>
    <definedName name="calc_deal_cash_m2" localSheetId="4">'Sample Pipeline'!$AM$61:'Sample Pipeline'!$AM$90</definedName>
    <definedName name="calc_deal_cash_m2">Pipeline!$AM$61:'Pipeline'!$AM$90</definedName>
    <definedName name="calc_deal_cash_m3" localSheetId="4">'Sample Pipeline'!$AN$61:'Sample Pipeline'!$AN$90</definedName>
    <definedName name="calc_deal_cash_m3">Pipeline!$AN$61:'Pipeline'!$AN$90</definedName>
    <definedName name="calc_deal_cash_m4" localSheetId="4">'Sample Pipeline'!$AO$61:'Sample Pipeline'!$AO$90</definedName>
    <definedName name="calc_deal_cash_m4">Pipeline!$AO$61:'Pipeline'!$AO$90</definedName>
    <definedName name="calc_deal_cash_m5" localSheetId="4">'Sample Pipeline'!$AP$61:'Sample Pipeline'!$AP$90</definedName>
    <definedName name="calc_deal_cash_m5">Pipeline!$AP$61:'Pipeline'!$AP$90</definedName>
    <definedName name="calc_deal_cash_m6" localSheetId="4">'Sample Pipeline'!$AQ$61:'Sample Pipeline'!$AQ$90</definedName>
    <definedName name="calc_deal_cash_m6">Pipeline!$AQ$61:'Pipeline'!$AQ$90</definedName>
    <definedName name="calc_deal_cash_m7" localSheetId="4">'Sample Pipeline'!$AR$61:'Sample Pipeline'!$AR$90</definedName>
    <definedName name="calc_deal_cash_m7">Pipeline!$AR$61:'Pipeline'!$AR$90</definedName>
    <definedName name="calc_deal_cash_m8" localSheetId="4">'Sample Pipeline'!$AS$61:'Sample Pipeline'!$AS$90</definedName>
    <definedName name="calc_deal_cash_m8">Pipeline!$AS$61:'Pipeline'!$AS$90</definedName>
    <definedName name="calc_deal_client_col" localSheetId="4">'Sample Pipeline'!$D$61:'Sample Pipeline'!$D$90</definedName>
    <definedName name="calc_deal_client_col">Pipeline!$D$61:'Pipeline'!$D$90</definedName>
    <definedName name="calc_deal_ismsmask_col" localSheetId="4">'Sample Pipeline'!$Y$61:'Sample Pipeline'!$Y$90</definedName>
    <definedName name="calc_deal_ismsmask_col">Pipeline!$Y$61:'Pipeline'!$Y$90</definedName>
    <definedName name="calc_deal_ms_w1_col" localSheetId="4">'Sample Pipeline'!$Z$61:'Sample Pipeline'!$Z$90</definedName>
    <definedName name="calc_deal_ms_w1_col">Pipeline!$Z$61:'Pipeline'!$Z$90</definedName>
    <definedName name="calc_deal_ms_w2_col" localSheetId="4">'Sample Pipeline'!$AB$61:'Sample Pipeline'!$AB$90</definedName>
    <definedName name="calc_deal_ms_w2_col">Pipeline!$AB$61:'Pipeline'!$AB$90</definedName>
    <definedName name="calc_deal_ms_w3_col" localSheetId="4">'Sample Pipeline'!$AD$61:'Sample Pipeline'!$AD$90</definedName>
    <definedName name="calc_deal_ms_w3_col">Pipeline!$AD$61:'Pipeline'!$AD$90</definedName>
    <definedName name="calc_deal_name_col" localSheetId="4">'Sample Pipeline'!$C$61:'Sample Pipeline'!$C$90</definedName>
    <definedName name="calc_deal_name_col">Pipeline!$C$61:'Pipeline'!$C$90</definedName>
    <definedName name="calc_deal_prob_col" localSheetId="4">'Sample Pipeline'!$R$61:'Sample Pipeline'!$R$90</definedName>
    <definedName name="calc_deal_prob_col">Pipeline!$R$61:'Pipeline'!$R$90</definedName>
    <definedName name="calc_deal_pt_col" localSheetId="4">'Sample Pipeline'!$L$61:'Sample Pipeline'!$L$90</definedName>
    <definedName name="calc_deal_pt_col">Pipeline!$L$61:'Pipeline'!$L$90</definedName>
    <definedName name="calc_deal_rev_m1" localSheetId="4">'Sample Pipeline'!$AF$61:'Sample Pipeline'!$AF$90</definedName>
    <definedName name="calc_deal_rev_m1">Pipeline!$AF$61:'Pipeline'!$AF$90</definedName>
    <definedName name="calc_deal_rev_m2" localSheetId="4">'Sample Pipeline'!$AG$61:'Sample Pipeline'!$AG$90</definedName>
    <definedName name="calc_deal_rev_m2">Pipeline!$AG$61:'Pipeline'!$AG$90</definedName>
    <definedName name="calc_deal_rev_m3" localSheetId="4">'Sample Pipeline'!$AH$61:'Sample Pipeline'!$AH$90</definedName>
    <definedName name="calc_deal_rev_m3">Pipeline!$AH$61:'Pipeline'!$AH$90</definedName>
    <definedName name="calc_deal_rev_m4" localSheetId="4">'Sample Pipeline'!$AI$61:'Sample Pipeline'!$AI$90</definedName>
    <definedName name="calc_deal_rev_m4">Pipeline!$AI$61:'Pipeline'!$AI$90</definedName>
    <definedName name="calc_deal_rev_m5" localSheetId="4">'Sample Pipeline'!$AJ$61:'Sample Pipeline'!$AJ$90</definedName>
    <definedName name="calc_deal_rev_m5">Pipeline!$AJ$61:'Pipeline'!$AJ$90</definedName>
    <definedName name="calc_deal_rev_m6" localSheetId="4">'Sample Pipeline'!$AK$61:'Sample Pipeline'!$AK$90</definedName>
    <definedName name="calc_deal_rev_m6">Pipeline!$AK$61:'Pipeline'!$AK$90</definedName>
    <definedName name="calc_deal_stage_col" localSheetId="4">'Sample Pipeline'!$F$61:'Sample Pipeline'!$F$90</definedName>
    <definedName name="calc_deal_stage_col">Pipeline!$F$61:'Pipeline'!$F$90</definedName>
    <definedName name="calc_deal_value_col" localSheetId="4">'Sample Pipeline'!$H$61:'Sample Pipeline'!$H$90</definedName>
    <definedName name="calc_deal_value_col">Pipeline!$H$61:'Pipeline'!$H$90</definedName>
    <definedName name="calc_deal_weighted_col" localSheetId="4">'Sample Pipeline'!$S$61:'Sample Pipeline'!$S$90</definedName>
    <definedName name="calc_deal_weighted_col">Pipeline!$S$61:'Pipeline'!$S$90</definedName>
    <definedName name="calc_ret_3mcash_col" localSheetId="4">'Sample Pipeline'!$AT$94:'Sample Pipeline'!$AT$101</definedName>
    <definedName name="calc_ret_3mcash_col">Pipeline!$AT$94:'Pipeline'!$AT$101</definedName>
    <definedName name="calc_ret_6mcash_col" localSheetId="4">'Sample Pipeline'!$AU$94:'Sample Pipeline'!$AU$101</definedName>
    <definedName name="calc_ret_6mcash_col">Pipeline!$AU$94:'Pipeline'!$AU$101</definedName>
    <definedName name="calc_ret_6mrev_col" localSheetId="4">'Sample Pipeline'!$AW$94:'Sample Pipeline'!$AW$101</definedName>
    <definedName name="calc_ret_6mrev_col">Pipeline!$AW$94:'Pipeline'!$AW$101</definedName>
    <definedName name="calc_ret_8mcash_col" localSheetId="4">'Sample Pipeline'!$AV$94:'Sample Pipeline'!$AV$101</definedName>
    <definedName name="calc_ret_8mcash_col">Pipeline!$AV$94:'Pipeline'!$AV$101</definedName>
    <definedName name="calc_ret_active_col" localSheetId="4">'Sample Pipeline'!$Q$94:'Sample Pipeline'!$Q$101</definedName>
    <definedName name="calc_ret_active_col">Pipeline!$Q$94:'Pipeline'!$Q$101</definedName>
    <definedName name="calc_ret_cash_m1" localSheetId="4">'Sample Pipeline'!$AL$94:'Sample Pipeline'!$AL$101</definedName>
    <definedName name="calc_ret_cash_m1">Pipeline!$AL$94:'Pipeline'!$AL$101</definedName>
    <definedName name="calc_ret_cash_m2" localSheetId="4">'Sample Pipeline'!$AM$94:'Sample Pipeline'!$AM$101</definedName>
    <definedName name="calc_ret_cash_m2">Pipeline!$AM$94:'Pipeline'!$AM$101</definedName>
    <definedName name="calc_ret_cash_m3" localSheetId="4">'Sample Pipeline'!$AN$94:'Sample Pipeline'!$AN$101</definedName>
    <definedName name="calc_ret_cash_m3">Pipeline!$AN$94:'Pipeline'!$AN$101</definedName>
    <definedName name="calc_ret_cash_m4" localSheetId="4">'Sample Pipeline'!$AO$94:'Sample Pipeline'!$AO$101</definedName>
    <definedName name="calc_ret_cash_m4">Pipeline!$AO$94:'Pipeline'!$AO$101</definedName>
    <definedName name="calc_ret_cash_m5" localSheetId="4">'Sample Pipeline'!$AP$94:'Sample Pipeline'!$AP$101</definedName>
    <definedName name="calc_ret_cash_m5">Pipeline!$AP$94:'Pipeline'!$AP$101</definedName>
    <definedName name="calc_ret_cash_m6" localSheetId="4">'Sample Pipeline'!$AQ$94:'Sample Pipeline'!$AQ$101</definedName>
    <definedName name="calc_ret_cash_m6">Pipeline!$AQ$94:'Pipeline'!$AQ$101</definedName>
    <definedName name="calc_ret_cash_m7" localSheetId="4">'Sample Pipeline'!$AR$94:'Sample Pipeline'!$AR$101</definedName>
    <definedName name="calc_ret_cash_m7">Pipeline!$AR$94:'Pipeline'!$AR$101</definedName>
    <definedName name="calc_ret_cash_m8" localSheetId="4">'Sample Pipeline'!$AS$94:'Sample Pipeline'!$AS$101</definedName>
    <definedName name="calc_ret_cash_m8">Pipeline!$AS$94:'Pipeline'!$AS$101</definedName>
    <definedName name="calc_ret_client_col" localSheetId="4">'Sample Pipeline'!$D$94:'Sample Pipeline'!$D$101</definedName>
    <definedName name="calc_ret_client_col">Pipeline!$D$94:'Pipeline'!$D$101</definedName>
    <definedName name="calc_ret_name_col" localSheetId="4">'Sample Pipeline'!$C$94:'Sample Pipeline'!$C$101</definedName>
    <definedName name="calc_ret_name_col">Pipeline!$C$94:'Pipeline'!$C$101</definedName>
    <definedName name="calc_ret_rev_m1" localSheetId="4">'Sample Pipeline'!$AF$94:'Sample Pipeline'!$AF$101</definedName>
    <definedName name="calc_ret_rev_m1">Pipeline!$AF$94:'Pipeline'!$AF$101</definedName>
    <definedName name="calc_ret_rev_m2" localSheetId="4">'Sample Pipeline'!$AG$94:'Sample Pipeline'!$AG$101</definedName>
    <definedName name="calc_ret_rev_m2">Pipeline!$AG$94:'Pipeline'!$AG$101</definedName>
    <definedName name="calc_ret_rev_m3" localSheetId="4">'Sample Pipeline'!$AH$94:'Sample Pipeline'!$AH$101</definedName>
    <definedName name="calc_ret_rev_m3">Pipeline!$AH$94:'Pipeline'!$AH$101</definedName>
    <definedName name="calc_ret_rev_m4" localSheetId="4">'Sample Pipeline'!$AI$94:'Sample Pipeline'!$AI$101</definedName>
    <definedName name="calc_ret_rev_m4">Pipeline!$AI$94:'Pipeline'!$AI$101</definedName>
    <definedName name="calc_ret_rev_m5" localSheetId="4">'Sample Pipeline'!$AJ$94:'Sample Pipeline'!$AJ$101</definedName>
    <definedName name="calc_ret_rev_m5">Pipeline!$AJ$94:'Pipeline'!$AJ$101</definedName>
    <definedName name="calc_ret_rev_m6" localSheetId="4">'Sample Pipeline'!$AK$94:'Sample Pipeline'!$AK$101</definedName>
    <definedName name="calc_ret_rev_m6">Pipeline!$AK$94:'Pipeline'!$AK$101</definedName>
    <definedName name="calc_ret_weighted_col" localSheetId="4">'Sample Pipeline'!$S$94:'Sample Pipeline'!$S$101</definedName>
    <definedName name="calc_ret_weighted_col">Pipeline!$S$94:'Pipeline'!$S$101</definedName>
    <definedName name="chk_c01">Forecast!$L$85</definedName>
    <definedName name="chk_c02">Forecast!$L$86</definedName>
    <definedName name="chk_c03">Forecast!$L$87</definedName>
    <definedName name="chk_c04">Forecast!$L$88</definedName>
    <definedName name="chk_c05">Forecast!$L$89</definedName>
    <definedName name="chk_c06">Forecast!$L$90</definedName>
    <definedName name="chk_c07">Forecast!$L$91</definedName>
    <definedName name="chk_c08">Forecast!$L$92</definedName>
    <definedName name="chk_c09">Forecast!$L$93</definedName>
    <definedName name="chk_c10">Forecast!$L$94</definedName>
    <definedName name="chk_c11">Forecast!$L$95</definedName>
    <definedName name="chk_c12">Forecast!$L$96</definedName>
    <definedName name="chk_c13">Forecast!$L$97</definedName>
    <definedName name="chk_c14">Forecast!$L$98</definedName>
    <definedName name="chk_c15">Forecast!$L$99</definedName>
    <definedName name="chk_c16">Forecast!$L$100</definedName>
    <definedName name="chk_c17">Forecast!$L$101</definedName>
    <definedName name="chk_c18">Forecast!$L$102</definedName>
    <definedName name="chk_c19">Forecast!$L$103</definedName>
    <definedName name="chk_c20">Forecast!$L$104</definedName>
    <definedName name="chk_c21">Forecast!$L$105</definedName>
    <definedName name="chk_c22">Forecast!$L$106</definedName>
    <definedName name="chk_c23">Forecast!$L$107</definedName>
    <definedName name="inp_business_name" localSheetId="4">'Sample Pipeline'!$C$8</definedName>
    <definedName name="inp_business_name">Pipeline!$C$8</definedName>
    <definedName name="inp_currency" localSheetId="4">'Sample Pipeline'!$C$11</definedName>
    <definedName name="inp_currency">Pipeline!$C$11</definedName>
    <definedName name="inp_d1_active" localSheetId="4">'Sample Pipeline'!$M$61</definedName>
    <definedName name="inp_d1_active">Pipeline!$M$61</definedName>
    <definedName name="inp_d1_client" localSheetId="4">'Sample Pipeline'!$D$61</definedName>
    <definedName name="inp_d1_client">Pipeline!$D$61</definedName>
    <definedName name="inp_d1_close" localSheetId="4">'Sample Pipeline'!$I$61</definedName>
    <definedName name="inp_d1_close">Pipeline!$I$61</definedName>
    <definedName name="inp_d1_duration" localSheetId="4">'Sample Pipeline'!$K$61</definedName>
    <definedName name="inp_d1_duration">Pipeline!$K$61</definedName>
    <definedName name="inp_d1_name" localSheetId="4">'Sample Pipeline'!$C$61</definedName>
    <definedName name="inp_d1_name">Pipeline!$C$61</definedName>
    <definedName name="inp_d1_offset" localSheetId="4">'Sample Pipeline'!$J$61</definedName>
    <definedName name="inp_d1_offset">Pipeline!$J$61</definedName>
    <definedName name="inp_d1_prob" localSheetId="4">'Sample Pipeline'!$G$61</definedName>
    <definedName name="inp_d1_prob">Pipeline!$G$61</definedName>
    <definedName name="inp_d1_pt" localSheetId="4">'Sample Pipeline'!$L$61</definedName>
    <definedName name="inp_d1_pt">Pipeline!$L$61</definedName>
    <definedName name="inp_d1_stage" localSheetId="4">'Sample Pipeline'!$F$61</definedName>
    <definedName name="inp_d1_stage">Pipeline!$F$61</definedName>
    <definedName name="inp_d1_type" localSheetId="4">'Sample Pipeline'!$E$61</definedName>
    <definedName name="inp_d1_type">Pipeline!$E$61</definedName>
    <definedName name="inp_d1_value" localSheetId="4">'Sample Pipeline'!$H$61</definedName>
    <definedName name="inp_d1_value">Pipeline!$H$61</definedName>
    <definedName name="inp_d10_active" localSheetId="4">'Sample Pipeline'!$M$70</definedName>
    <definedName name="inp_d10_active">Pipeline!$M$70</definedName>
    <definedName name="inp_d10_client" localSheetId="4">'Sample Pipeline'!$D$70</definedName>
    <definedName name="inp_d10_client">Pipeline!$D$70</definedName>
    <definedName name="inp_d10_close" localSheetId="4">'Sample Pipeline'!$I$70</definedName>
    <definedName name="inp_d10_close">Pipeline!$I$70</definedName>
    <definedName name="inp_d10_duration" localSheetId="4">'Sample Pipeline'!$K$70</definedName>
    <definedName name="inp_d10_duration">Pipeline!$K$70</definedName>
    <definedName name="inp_d10_name" localSheetId="4">'Sample Pipeline'!$C$70</definedName>
    <definedName name="inp_d10_name">Pipeline!$C$70</definedName>
    <definedName name="inp_d10_offset" localSheetId="4">'Sample Pipeline'!$J$70</definedName>
    <definedName name="inp_d10_offset">Pipeline!$J$70</definedName>
    <definedName name="inp_d10_prob" localSheetId="4">'Sample Pipeline'!$G$70</definedName>
    <definedName name="inp_d10_prob">Pipeline!$G$70</definedName>
    <definedName name="inp_d10_pt" localSheetId="4">'Sample Pipeline'!$L$70</definedName>
    <definedName name="inp_d10_pt">Pipeline!$L$70</definedName>
    <definedName name="inp_d10_stage" localSheetId="4">'Sample Pipeline'!$F$70</definedName>
    <definedName name="inp_d10_stage">Pipeline!$F$70</definedName>
    <definedName name="inp_d10_type" localSheetId="4">'Sample Pipeline'!$E$70</definedName>
    <definedName name="inp_d10_type">Pipeline!$E$70</definedName>
    <definedName name="inp_d10_value" localSheetId="4">'Sample Pipeline'!$H$70</definedName>
    <definedName name="inp_d10_value">Pipeline!$H$70</definedName>
    <definedName name="inp_d11_active" localSheetId="4">'Sample Pipeline'!$M$71</definedName>
    <definedName name="inp_d11_active">Pipeline!$M$71</definedName>
    <definedName name="inp_d11_client" localSheetId="4">'Sample Pipeline'!$D$71</definedName>
    <definedName name="inp_d11_client">Pipeline!$D$71</definedName>
    <definedName name="inp_d11_close" localSheetId="4">'Sample Pipeline'!$I$71</definedName>
    <definedName name="inp_d11_close">Pipeline!$I$71</definedName>
    <definedName name="inp_d11_duration" localSheetId="4">'Sample Pipeline'!$K$71</definedName>
    <definedName name="inp_d11_duration">Pipeline!$K$71</definedName>
    <definedName name="inp_d11_name" localSheetId="4">'Sample Pipeline'!$C$71</definedName>
    <definedName name="inp_d11_name">Pipeline!$C$71</definedName>
    <definedName name="inp_d11_offset" localSheetId="4">'Sample Pipeline'!$J$71</definedName>
    <definedName name="inp_d11_offset">Pipeline!$J$71</definedName>
    <definedName name="inp_d11_prob" localSheetId="4">'Sample Pipeline'!$G$71</definedName>
    <definedName name="inp_d11_prob">Pipeline!$G$71</definedName>
    <definedName name="inp_d11_pt" localSheetId="4">'Sample Pipeline'!$L$71</definedName>
    <definedName name="inp_d11_pt">Pipeline!$L$71</definedName>
    <definedName name="inp_d11_stage" localSheetId="4">'Sample Pipeline'!$F$71</definedName>
    <definedName name="inp_d11_stage">Pipeline!$F$71</definedName>
    <definedName name="inp_d11_type" localSheetId="4">'Sample Pipeline'!$E$71</definedName>
    <definedName name="inp_d11_type">Pipeline!$E$71</definedName>
    <definedName name="inp_d11_value" localSheetId="4">'Sample Pipeline'!$H$71</definedName>
    <definedName name="inp_d11_value">Pipeline!$H$71</definedName>
    <definedName name="inp_d12_active" localSheetId="4">'Sample Pipeline'!$M$72</definedName>
    <definedName name="inp_d12_active">Pipeline!$M$72</definedName>
    <definedName name="inp_d12_client" localSheetId="4">'Sample Pipeline'!$D$72</definedName>
    <definedName name="inp_d12_client">Pipeline!$D$72</definedName>
    <definedName name="inp_d12_close" localSheetId="4">'Sample Pipeline'!$I$72</definedName>
    <definedName name="inp_d12_close">Pipeline!$I$72</definedName>
    <definedName name="inp_d12_duration" localSheetId="4">'Sample Pipeline'!$K$72</definedName>
    <definedName name="inp_d12_duration">Pipeline!$K$72</definedName>
    <definedName name="inp_d12_name" localSheetId="4">'Sample Pipeline'!$C$72</definedName>
    <definedName name="inp_d12_name">Pipeline!$C$72</definedName>
    <definedName name="inp_d12_offset" localSheetId="4">'Sample Pipeline'!$J$72</definedName>
    <definedName name="inp_d12_offset">Pipeline!$J$72</definedName>
    <definedName name="inp_d12_prob" localSheetId="4">'Sample Pipeline'!$G$72</definedName>
    <definedName name="inp_d12_prob">Pipeline!$G$72</definedName>
    <definedName name="inp_d12_pt" localSheetId="4">'Sample Pipeline'!$L$72</definedName>
    <definedName name="inp_d12_pt">Pipeline!$L$72</definedName>
    <definedName name="inp_d12_stage" localSheetId="4">'Sample Pipeline'!$F$72</definedName>
    <definedName name="inp_d12_stage">Pipeline!$F$72</definedName>
    <definedName name="inp_d12_type" localSheetId="4">'Sample Pipeline'!$E$72</definedName>
    <definedName name="inp_d12_type">Pipeline!$E$72</definedName>
    <definedName name="inp_d12_value" localSheetId="4">'Sample Pipeline'!$H$72</definedName>
    <definedName name="inp_d12_value">Pipeline!$H$72</definedName>
    <definedName name="inp_d13_active" localSheetId="4">'Sample Pipeline'!$M$73</definedName>
    <definedName name="inp_d13_active">Pipeline!$M$73</definedName>
    <definedName name="inp_d13_client" localSheetId="4">'Sample Pipeline'!$D$73</definedName>
    <definedName name="inp_d13_client">Pipeline!$D$73</definedName>
    <definedName name="inp_d13_close" localSheetId="4">'Sample Pipeline'!$I$73</definedName>
    <definedName name="inp_d13_close">Pipeline!$I$73</definedName>
    <definedName name="inp_d13_duration" localSheetId="4">'Sample Pipeline'!$K$73</definedName>
    <definedName name="inp_d13_duration">Pipeline!$K$73</definedName>
    <definedName name="inp_d13_name" localSheetId="4">'Sample Pipeline'!$C$73</definedName>
    <definedName name="inp_d13_name">Pipeline!$C$73</definedName>
    <definedName name="inp_d13_offset" localSheetId="4">'Sample Pipeline'!$J$73</definedName>
    <definedName name="inp_d13_offset">Pipeline!$J$73</definedName>
    <definedName name="inp_d13_prob" localSheetId="4">'Sample Pipeline'!$G$73</definedName>
    <definedName name="inp_d13_prob">Pipeline!$G$73</definedName>
    <definedName name="inp_d13_pt" localSheetId="4">'Sample Pipeline'!$L$73</definedName>
    <definedName name="inp_d13_pt">Pipeline!$L$73</definedName>
    <definedName name="inp_d13_stage" localSheetId="4">'Sample Pipeline'!$F$73</definedName>
    <definedName name="inp_d13_stage">Pipeline!$F$73</definedName>
    <definedName name="inp_d13_type" localSheetId="4">'Sample Pipeline'!$E$73</definedName>
    <definedName name="inp_d13_type">Pipeline!$E$73</definedName>
    <definedName name="inp_d13_value" localSheetId="4">'Sample Pipeline'!$H$73</definedName>
    <definedName name="inp_d13_value">Pipeline!$H$73</definedName>
    <definedName name="inp_d14_active" localSheetId="4">'Sample Pipeline'!$M$74</definedName>
    <definedName name="inp_d14_active">Pipeline!$M$74</definedName>
    <definedName name="inp_d14_client" localSheetId="4">'Sample Pipeline'!$D$74</definedName>
    <definedName name="inp_d14_client">Pipeline!$D$74</definedName>
    <definedName name="inp_d14_close" localSheetId="4">'Sample Pipeline'!$I$74</definedName>
    <definedName name="inp_d14_close">Pipeline!$I$74</definedName>
    <definedName name="inp_d14_duration" localSheetId="4">'Sample Pipeline'!$K$74</definedName>
    <definedName name="inp_d14_duration">Pipeline!$K$74</definedName>
    <definedName name="inp_d14_name" localSheetId="4">'Sample Pipeline'!$C$74</definedName>
    <definedName name="inp_d14_name">Pipeline!$C$74</definedName>
    <definedName name="inp_d14_offset" localSheetId="4">'Sample Pipeline'!$J$74</definedName>
    <definedName name="inp_d14_offset">Pipeline!$J$74</definedName>
    <definedName name="inp_d14_prob" localSheetId="4">'Sample Pipeline'!$G$74</definedName>
    <definedName name="inp_d14_prob">Pipeline!$G$74</definedName>
    <definedName name="inp_d14_pt" localSheetId="4">'Sample Pipeline'!$L$74</definedName>
    <definedName name="inp_d14_pt">Pipeline!$L$74</definedName>
    <definedName name="inp_d14_stage" localSheetId="4">'Sample Pipeline'!$F$74</definedName>
    <definedName name="inp_d14_stage">Pipeline!$F$74</definedName>
    <definedName name="inp_d14_type" localSheetId="4">'Sample Pipeline'!$E$74</definedName>
    <definedName name="inp_d14_type">Pipeline!$E$74</definedName>
    <definedName name="inp_d14_value" localSheetId="4">'Sample Pipeline'!$H$74</definedName>
    <definedName name="inp_d14_value">Pipeline!$H$74</definedName>
    <definedName name="inp_d15_active" localSheetId="4">'Sample Pipeline'!$M$75</definedName>
    <definedName name="inp_d15_active">Pipeline!$M$75</definedName>
    <definedName name="inp_d15_client" localSheetId="4">'Sample Pipeline'!$D$75</definedName>
    <definedName name="inp_d15_client">Pipeline!$D$75</definedName>
    <definedName name="inp_d15_close" localSheetId="4">'Sample Pipeline'!$I$75</definedName>
    <definedName name="inp_d15_close">Pipeline!$I$75</definedName>
    <definedName name="inp_d15_duration" localSheetId="4">'Sample Pipeline'!$K$75</definedName>
    <definedName name="inp_d15_duration">Pipeline!$K$75</definedName>
    <definedName name="inp_d15_name" localSheetId="4">'Sample Pipeline'!$C$75</definedName>
    <definedName name="inp_d15_name">Pipeline!$C$75</definedName>
    <definedName name="inp_d15_offset" localSheetId="4">'Sample Pipeline'!$J$75</definedName>
    <definedName name="inp_d15_offset">Pipeline!$J$75</definedName>
    <definedName name="inp_d15_prob" localSheetId="4">'Sample Pipeline'!$G$75</definedName>
    <definedName name="inp_d15_prob">Pipeline!$G$75</definedName>
    <definedName name="inp_d15_pt" localSheetId="4">'Sample Pipeline'!$L$75</definedName>
    <definedName name="inp_d15_pt">Pipeline!$L$75</definedName>
    <definedName name="inp_d15_stage" localSheetId="4">'Sample Pipeline'!$F$75</definedName>
    <definedName name="inp_d15_stage">Pipeline!$F$75</definedName>
    <definedName name="inp_d15_type" localSheetId="4">'Sample Pipeline'!$E$75</definedName>
    <definedName name="inp_d15_type">Pipeline!$E$75</definedName>
    <definedName name="inp_d15_value" localSheetId="4">'Sample Pipeline'!$H$75</definedName>
    <definedName name="inp_d15_value">Pipeline!$H$75</definedName>
    <definedName name="inp_d16_active" localSheetId="4">'Sample Pipeline'!$M$76</definedName>
    <definedName name="inp_d16_active">Pipeline!$M$76</definedName>
    <definedName name="inp_d16_client" localSheetId="4">'Sample Pipeline'!$D$76</definedName>
    <definedName name="inp_d16_client">Pipeline!$D$76</definedName>
    <definedName name="inp_d16_close" localSheetId="4">'Sample Pipeline'!$I$76</definedName>
    <definedName name="inp_d16_close">Pipeline!$I$76</definedName>
    <definedName name="inp_d16_duration" localSheetId="4">'Sample Pipeline'!$K$76</definedName>
    <definedName name="inp_d16_duration">Pipeline!$K$76</definedName>
    <definedName name="inp_d16_name" localSheetId="4">'Sample Pipeline'!$C$76</definedName>
    <definedName name="inp_d16_name">Pipeline!$C$76</definedName>
    <definedName name="inp_d16_offset" localSheetId="4">'Sample Pipeline'!$J$76</definedName>
    <definedName name="inp_d16_offset">Pipeline!$J$76</definedName>
    <definedName name="inp_d16_prob" localSheetId="4">'Sample Pipeline'!$G$76</definedName>
    <definedName name="inp_d16_prob">Pipeline!$G$76</definedName>
    <definedName name="inp_d16_pt" localSheetId="4">'Sample Pipeline'!$L$76</definedName>
    <definedName name="inp_d16_pt">Pipeline!$L$76</definedName>
    <definedName name="inp_d16_stage" localSheetId="4">'Sample Pipeline'!$F$76</definedName>
    <definedName name="inp_d16_stage">Pipeline!$F$76</definedName>
    <definedName name="inp_d16_type" localSheetId="4">'Sample Pipeline'!$E$76</definedName>
    <definedName name="inp_d16_type">Pipeline!$E$76</definedName>
    <definedName name="inp_d16_value" localSheetId="4">'Sample Pipeline'!$H$76</definedName>
    <definedName name="inp_d16_value">Pipeline!$H$76</definedName>
    <definedName name="inp_d17_active" localSheetId="4">'Sample Pipeline'!$M$77</definedName>
    <definedName name="inp_d17_active">Pipeline!$M$77</definedName>
    <definedName name="inp_d17_client" localSheetId="4">'Sample Pipeline'!$D$77</definedName>
    <definedName name="inp_d17_client">Pipeline!$D$77</definedName>
    <definedName name="inp_d17_close" localSheetId="4">'Sample Pipeline'!$I$77</definedName>
    <definedName name="inp_d17_close">Pipeline!$I$77</definedName>
    <definedName name="inp_d17_duration" localSheetId="4">'Sample Pipeline'!$K$77</definedName>
    <definedName name="inp_d17_duration">Pipeline!$K$77</definedName>
    <definedName name="inp_d17_name" localSheetId="4">'Sample Pipeline'!$C$77</definedName>
    <definedName name="inp_d17_name">Pipeline!$C$77</definedName>
    <definedName name="inp_d17_offset" localSheetId="4">'Sample Pipeline'!$J$77</definedName>
    <definedName name="inp_d17_offset">Pipeline!$J$77</definedName>
    <definedName name="inp_d17_prob" localSheetId="4">'Sample Pipeline'!$G$77</definedName>
    <definedName name="inp_d17_prob">Pipeline!$G$77</definedName>
    <definedName name="inp_d17_pt" localSheetId="4">'Sample Pipeline'!$L$77</definedName>
    <definedName name="inp_d17_pt">Pipeline!$L$77</definedName>
    <definedName name="inp_d17_stage" localSheetId="4">'Sample Pipeline'!$F$77</definedName>
    <definedName name="inp_d17_stage">Pipeline!$F$77</definedName>
    <definedName name="inp_d17_type" localSheetId="4">'Sample Pipeline'!$E$77</definedName>
    <definedName name="inp_d17_type">Pipeline!$E$77</definedName>
    <definedName name="inp_d17_value" localSheetId="4">'Sample Pipeline'!$H$77</definedName>
    <definedName name="inp_d17_value">Pipeline!$H$77</definedName>
    <definedName name="inp_d18_active" localSheetId="4">'Sample Pipeline'!$M$78</definedName>
    <definedName name="inp_d18_active">Pipeline!$M$78</definedName>
    <definedName name="inp_d18_client" localSheetId="4">'Sample Pipeline'!$D$78</definedName>
    <definedName name="inp_d18_client">Pipeline!$D$78</definedName>
    <definedName name="inp_d18_close" localSheetId="4">'Sample Pipeline'!$I$78</definedName>
    <definedName name="inp_d18_close">Pipeline!$I$78</definedName>
    <definedName name="inp_d18_duration" localSheetId="4">'Sample Pipeline'!$K$78</definedName>
    <definedName name="inp_d18_duration">Pipeline!$K$78</definedName>
    <definedName name="inp_d18_name" localSheetId="4">'Sample Pipeline'!$C$78</definedName>
    <definedName name="inp_d18_name">Pipeline!$C$78</definedName>
    <definedName name="inp_d18_offset" localSheetId="4">'Sample Pipeline'!$J$78</definedName>
    <definedName name="inp_d18_offset">Pipeline!$J$78</definedName>
    <definedName name="inp_d18_prob" localSheetId="4">'Sample Pipeline'!$G$78</definedName>
    <definedName name="inp_d18_prob">Pipeline!$G$78</definedName>
    <definedName name="inp_d18_pt" localSheetId="4">'Sample Pipeline'!$L$78</definedName>
    <definedName name="inp_d18_pt">Pipeline!$L$78</definedName>
    <definedName name="inp_d18_stage" localSheetId="4">'Sample Pipeline'!$F$78</definedName>
    <definedName name="inp_d18_stage">Pipeline!$F$78</definedName>
    <definedName name="inp_d18_type" localSheetId="4">'Sample Pipeline'!$E$78</definedName>
    <definedName name="inp_d18_type">Pipeline!$E$78</definedName>
    <definedName name="inp_d18_value" localSheetId="4">'Sample Pipeline'!$H$78</definedName>
    <definedName name="inp_d18_value">Pipeline!$H$78</definedName>
    <definedName name="inp_d19_active" localSheetId="4">'Sample Pipeline'!$M$79</definedName>
    <definedName name="inp_d19_active">Pipeline!$M$79</definedName>
    <definedName name="inp_d19_client" localSheetId="4">'Sample Pipeline'!$D$79</definedName>
    <definedName name="inp_d19_client">Pipeline!$D$79</definedName>
    <definedName name="inp_d19_close" localSheetId="4">'Sample Pipeline'!$I$79</definedName>
    <definedName name="inp_d19_close">Pipeline!$I$79</definedName>
    <definedName name="inp_d19_duration" localSheetId="4">'Sample Pipeline'!$K$79</definedName>
    <definedName name="inp_d19_duration">Pipeline!$K$79</definedName>
    <definedName name="inp_d19_name" localSheetId="4">'Sample Pipeline'!$C$79</definedName>
    <definedName name="inp_d19_name">Pipeline!$C$79</definedName>
    <definedName name="inp_d19_offset" localSheetId="4">'Sample Pipeline'!$J$79</definedName>
    <definedName name="inp_d19_offset">Pipeline!$J$79</definedName>
    <definedName name="inp_d19_prob" localSheetId="4">'Sample Pipeline'!$G$79</definedName>
    <definedName name="inp_d19_prob">Pipeline!$G$79</definedName>
    <definedName name="inp_d19_pt" localSheetId="4">'Sample Pipeline'!$L$79</definedName>
    <definedName name="inp_d19_pt">Pipeline!$L$79</definedName>
    <definedName name="inp_d19_stage" localSheetId="4">'Sample Pipeline'!$F$79</definedName>
    <definedName name="inp_d19_stage">Pipeline!$F$79</definedName>
    <definedName name="inp_d19_type" localSheetId="4">'Sample Pipeline'!$E$79</definedName>
    <definedName name="inp_d19_type">Pipeline!$E$79</definedName>
    <definedName name="inp_d19_value" localSheetId="4">'Sample Pipeline'!$H$79</definedName>
    <definedName name="inp_d19_value">Pipeline!$H$79</definedName>
    <definedName name="inp_d2_active" localSheetId="4">'Sample Pipeline'!$M$62</definedName>
    <definedName name="inp_d2_active">Pipeline!$M$62</definedName>
    <definedName name="inp_d2_client" localSheetId="4">'Sample Pipeline'!$D$62</definedName>
    <definedName name="inp_d2_client">Pipeline!$D$62</definedName>
    <definedName name="inp_d2_close" localSheetId="4">'Sample Pipeline'!$I$62</definedName>
    <definedName name="inp_d2_close">Pipeline!$I$62</definedName>
    <definedName name="inp_d2_duration" localSheetId="4">'Sample Pipeline'!$K$62</definedName>
    <definedName name="inp_d2_duration">Pipeline!$K$62</definedName>
    <definedName name="inp_d2_name" localSheetId="4">'Sample Pipeline'!$C$62</definedName>
    <definedName name="inp_d2_name">Pipeline!$C$62</definedName>
    <definedName name="inp_d2_offset" localSheetId="4">'Sample Pipeline'!$J$62</definedName>
    <definedName name="inp_d2_offset">Pipeline!$J$62</definedName>
    <definedName name="inp_d2_prob" localSheetId="4">'Sample Pipeline'!$G$62</definedName>
    <definedName name="inp_d2_prob">Pipeline!$G$62</definedName>
    <definedName name="inp_d2_pt" localSheetId="4">'Sample Pipeline'!$L$62</definedName>
    <definedName name="inp_d2_pt">Pipeline!$L$62</definedName>
    <definedName name="inp_d2_stage" localSheetId="4">'Sample Pipeline'!$F$62</definedName>
    <definedName name="inp_d2_stage">Pipeline!$F$62</definedName>
    <definedName name="inp_d2_type" localSheetId="4">'Sample Pipeline'!$E$62</definedName>
    <definedName name="inp_d2_type">Pipeline!$E$62</definedName>
    <definedName name="inp_d2_value" localSheetId="4">'Sample Pipeline'!$H$62</definedName>
    <definedName name="inp_d2_value">Pipeline!$H$62</definedName>
    <definedName name="inp_d20_active" localSheetId="4">'Sample Pipeline'!$M$80</definedName>
    <definedName name="inp_d20_active">Pipeline!$M$80</definedName>
    <definedName name="inp_d20_client" localSheetId="4">'Sample Pipeline'!$D$80</definedName>
    <definedName name="inp_d20_client">Pipeline!$D$80</definedName>
    <definedName name="inp_d20_close" localSheetId="4">'Sample Pipeline'!$I$80</definedName>
    <definedName name="inp_d20_close">Pipeline!$I$80</definedName>
    <definedName name="inp_d20_duration" localSheetId="4">'Sample Pipeline'!$K$80</definedName>
    <definedName name="inp_d20_duration">Pipeline!$K$80</definedName>
    <definedName name="inp_d20_name" localSheetId="4">'Sample Pipeline'!$C$80</definedName>
    <definedName name="inp_d20_name">Pipeline!$C$80</definedName>
    <definedName name="inp_d20_offset" localSheetId="4">'Sample Pipeline'!$J$80</definedName>
    <definedName name="inp_d20_offset">Pipeline!$J$80</definedName>
    <definedName name="inp_d20_prob" localSheetId="4">'Sample Pipeline'!$G$80</definedName>
    <definedName name="inp_d20_prob">Pipeline!$G$80</definedName>
    <definedName name="inp_d20_pt" localSheetId="4">'Sample Pipeline'!$L$80</definedName>
    <definedName name="inp_d20_pt">Pipeline!$L$80</definedName>
    <definedName name="inp_d20_stage" localSheetId="4">'Sample Pipeline'!$F$80</definedName>
    <definedName name="inp_d20_stage">Pipeline!$F$80</definedName>
    <definedName name="inp_d20_type" localSheetId="4">'Sample Pipeline'!$E$80</definedName>
    <definedName name="inp_d20_type">Pipeline!$E$80</definedName>
    <definedName name="inp_d20_value" localSheetId="4">'Sample Pipeline'!$H$80</definedName>
    <definedName name="inp_d20_value">Pipeline!$H$80</definedName>
    <definedName name="inp_d21_active" localSheetId="4">'Sample Pipeline'!$M$81</definedName>
    <definedName name="inp_d21_active">Pipeline!$M$81</definedName>
    <definedName name="inp_d21_client" localSheetId="4">'Sample Pipeline'!$D$81</definedName>
    <definedName name="inp_d21_client">Pipeline!$D$81</definedName>
    <definedName name="inp_d21_close" localSheetId="4">'Sample Pipeline'!$I$81</definedName>
    <definedName name="inp_d21_close">Pipeline!$I$81</definedName>
    <definedName name="inp_d21_duration" localSheetId="4">'Sample Pipeline'!$K$81</definedName>
    <definedName name="inp_d21_duration">Pipeline!$K$81</definedName>
    <definedName name="inp_d21_name" localSheetId="4">'Sample Pipeline'!$C$81</definedName>
    <definedName name="inp_d21_name">Pipeline!$C$81</definedName>
    <definedName name="inp_d21_offset" localSheetId="4">'Sample Pipeline'!$J$81</definedName>
    <definedName name="inp_d21_offset">Pipeline!$J$81</definedName>
    <definedName name="inp_d21_prob" localSheetId="4">'Sample Pipeline'!$G$81</definedName>
    <definedName name="inp_d21_prob">Pipeline!$G$81</definedName>
    <definedName name="inp_d21_pt" localSheetId="4">'Sample Pipeline'!$L$81</definedName>
    <definedName name="inp_d21_pt">Pipeline!$L$81</definedName>
    <definedName name="inp_d21_stage" localSheetId="4">'Sample Pipeline'!$F$81</definedName>
    <definedName name="inp_d21_stage">Pipeline!$F$81</definedName>
    <definedName name="inp_d21_type" localSheetId="4">'Sample Pipeline'!$E$81</definedName>
    <definedName name="inp_d21_type">Pipeline!$E$81</definedName>
    <definedName name="inp_d21_value" localSheetId="4">'Sample Pipeline'!$H$81</definedName>
    <definedName name="inp_d21_value">Pipeline!$H$81</definedName>
    <definedName name="inp_d22_active" localSheetId="4">'Sample Pipeline'!$M$82</definedName>
    <definedName name="inp_d22_active">Pipeline!$M$82</definedName>
    <definedName name="inp_d22_client" localSheetId="4">'Sample Pipeline'!$D$82</definedName>
    <definedName name="inp_d22_client">Pipeline!$D$82</definedName>
    <definedName name="inp_d22_close" localSheetId="4">'Sample Pipeline'!$I$82</definedName>
    <definedName name="inp_d22_close">Pipeline!$I$82</definedName>
    <definedName name="inp_d22_duration" localSheetId="4">'Sample Pipeline'!$K$82</definedName>
    <definedName name="inp_d22_duration">Pipeline!$K$82</definedName>
    <definedName name="inp_d22_name" localSheetId="4">'Sample Pipeline'!$C$82</definedName>
    <definedName name="inp_d22_name">Pipeline!$C$82</definedName>
    <definedName name="inp_d22_offset" localSheetId="4">'Sample Pipeline'!$J$82</definedName>
    <definedName name="inp_d22_offset">Pipeline!$J$82</definedName>
    <definedName name="inp_d22_prob" localSheetId="4">'Sample Pipeline'!$G$82</definedName>
    <definedName name="inp_d22_prob">Pipeline!$G$82</definedName>
    <definedName name="inp_d22_pt" localSheetId="4">'Sample Pipeline'!$L$82</definedName>
    <definedName name="inp_d22_pt">Pipeline!$L$82</definedName>
    <definedName name="inp_d22_stage" localSheetId="4">'Sample Pipeline'!$F$82</definedName>
    <definedName name="inp_d22_stage">Pipeline!$F$82</definedName>
    <definedName name="inp_d22_type" localSheetId="4">'Sample Pipeline'!$E$82</definedName>
    <definedName name="inp_d22_type">Pipeline!$E$82</definedName>
    <definedName name="inp_d22_value" localSheetId="4">'Sample Pipeline'!$H$82</definedName>
    <definedName name="inp_d22_value">Pipeline!$H$82</definedName>
    <definedName name="inp_d23_active" localSheetId="4">'Sample Pipeline'!$M$83</definedName>
    <definedName name="inp_d23_active">Pipeline!$M$83</definedName>
    <definedName name="inp_d23_client" localSheetId="4">'Sample Pipeline'!$D$83</definedName>
    <definedName name="inp_d23_client">Pipeline!$D$83</definedName>
    <definedName name="inp_d23_close" localSheetId="4">'Sample Pipeline'!$I$83</definedName>
    <definedName name="inp_d23_close">Pipeline!$I$83</definedName>
    <definedName name="inp_d23_duration" localSheetId="4">'Sample Pipeline'!$K$83</definedName>
    <definedName name="inp_d23_duration">Pipeline!$K$83</definedName>
    <definedName name="inp_d23_name" localSheetId="4">'Sample Pipeline'!$C$83</definedName>
    <definedName name="inp_d23_name">Pipeline!$C$83</definedName>
    <definedName name="inp_d23_offset" localSheetId="4">'Sample Pipeline'!$J$83</definedName>
    <definedName name="inp_d23_offset">Pipeline!$J$83</definedName>
    <definedName name="inp_d23_prob" localSheetId="4">'Sample Pipeline'!$G$83</definedName>
    <definedName name="inp_d23_prob">Pipeline!$G$83</definedName>
    <definedName name="inp_d23_pt" localSheetId="4">'Sample Pipeline'!$L$83</definedName>
    <definedName name="inp_d23_pt">Pipeline!$L$83</definedName>
    <definedName name="inp_d23_stage" localSheetId="4">'Sample Pipeline'!$F$83</definedName>
    <definedName name="inp_d23_stage">Pipeline!$F$83</definedName>
    <definedName name="inp_d23_type" localSheetId="4">'Sample Pipeline'!$E$83</definedName>
    <definedName name="inp_d23_type">Pipeline!$E$83</definedName>
    <definedName name="inp_d23_value" localSheetId="4">'Sample Pipeline'!$H$83</definedName>
    <definedName name="inp_d23_value">Pipeline!$H$83</definedName>
    <definedName name="inp_d24_active" localSheetId="4">'Sample Pipeline'!$M$84</definedName>
    <definedName name="inp_d24_active">Pipeline!$M$84</definedName>
    <definedName name="inp_d24_client" localSheetId="4">'Sample Pipeline'!$D$84</definedName>
    <definedName name="inp_d24_client">Pipeline!$D$84</definedName>
    <definedName name="inp_d24_close" localSheetId="4">'Sample Pipeline'!$I$84</definedName>
    <definedName name="inp_d24_close">Pipeline!$I$84</definedName>
    <definedName name="inp_d24_duration" localSheetId="4">'Sample Pipeline'!$K$84</definedName>
    <definedName name="inp_d24_duration">Pipeline!$K$84</definedName>
    <definedName name="inp_d24_name" localSheetId="4">'Sample Pipeline'!$C$84</definedName>
    <definedName name="inp_d24_name">Pipeline!$C$84</definedName>
    <definedName name="inp_d24_offset" localSheetId="4">'Sample Pipeline'!$J$84</definedName>
    <definedName name="inp_d24_offset">Pipeline!$J$84</definedName>
    <definedName name="inp_d24_prob" localSheetId="4">'Sample Pipeline'!$G$84</definedName>
    <definedName name="inp_d24_prob">Pipeline!$G$84</definedName>
    <definedName name="inp_d24_pt" localSheetId="4">'Sample Pipeline'!$L$84</definedName>
    <definedName name="inp_d24_pt">Pipeline!$L$84</definedName>
    <definedName name="inp_d24_stage" localSheetId="4">'Sample Pipeline'!$F$84</definedName>
    <definedName name="inp_d24_stage">Pipeline!$F$84</definedName>
    <definedName name="inp_d24_type" localSheetId="4">'Sample Pipeline'!$E$84</definedName>
    <definedName name="inp_d24_type">Pipeline!$E$84</definedName>
    <definedName name="inp_d24_value" localSheetId="4">'Sample Pipeline'!$H$84</definedName>
    <definedName name="inp_d24_value">Pipeline!$H$84</definedName>
    <definedName name="inp_d25_active" localSheetId="4">'Sample Pipeline'!$M$85</definedName>
    <definedName name="inp_d25_active">Pipeline!$M$85</definedName>
    <definedName name="inp_d25_client" localSheetId="4">'Sample Pipeline'!$D$85</definedName>
    <definedName name="inp_d25_client">Pipeline!$D$85</definedName>
    <definedName name="inp_d25_close" localSheetId="4">'Sample Pipeline'!$I$85</definedName>
    <definedName name="inp_d25_close">Pipeline!$I$85</definedName>
    <definedName name="inp_d25_duration" localSheetId="4">'Sample Pipeline'!$K$85</definedName>
    <definedName name="inp_d25_duration">Pipeline!$K$85</definedName>
    <definedName name="inp_d25_name" localSheetId="4">'Sample Pipeline'!$C$85</definedName>
    <definedName name="inp_d25_name">Pipeline!$C$85</definedName>
    <definedName name="inp_d25_offset" localSheetId="4">'Sample Pipeline'!$J$85</definedName>
    <definedName name="inp_d25_offset">Pipeline!$J$85</definedName>
    <definedName name="inp_d25_prob" localSheetId="4">'Sample Pipeline'!$G$85</definedName>
    <definedName name="inp_d25_prob">Pipeline!$G$85</definedName>
    <definedName name="inp_d25_pt" localSheetId="4">'Sample Pipeline'!$L$85</definedName>
    <definedName name="inp_d25_pt">Pipeline!$L$85</definedName>
    <definedName name="inp_d25_stage" localSheetId="4">'Sample Pipeline'!$F$85</definedName>
    <definedName name="inp_d25_stage">Pipeline!$F$85</definedName>
    <definedName name="inp_d25_type" localSheetId="4">'Sample Pipeline'!$E$85</definedName>
    <definedName name="inp_d25_type">Pipeline!$E$85</definedName>
    <definedName name="inp_d25_value" localSheetId="4">'Sample Pipeline'!$H$85</definedName>
    <definedName name="inp_d25_value">Pipeline!$H$85</definedName>
    <definedName name="inp_d26_active" localSheetId="4">'Sample Pipeline'!$M$86</definedName>
    <definedName name="inp_d26_active">Pipeline!$M$86</definedName>
    <definedName name="inp_d26_client" localSheetId="4">'Sample Pipeline'!$D$86</definedName>
    <definedName name="inp_d26_client">Pipeline!$D$86</definedName>
    <definedName name="inp_d26_close" localSheetId="4">'Sample Pipeline'!$I$86</definedName>
    <definedName name="inp_d26_close">Pipeline!$I$86</definedName>
    <definedName name="inp_d26_duration" localSheetId="4">'Sample Pipeline'!$K$86</definedName>
    <definedName name="inp_d26_duration">Pipeline!$K$86</definedName>
    <definedName name="inp_d26_name" localSheetId="4">'Sample Pipeline'!$C$86</definedName>
    <definedName name="inp_d26_name">Pipeline!$C$86</definedName>
    <definedName name="inp_d26_offset" localSheetId="4">'Sample Pipeline'!$J$86</definedName>
    <definedName name="inp_d26_offset">Pipeline!$J$86</definedName>
    <definedName name="inp_d26_prob" localSheetId="4">'Sample Pipeline'!$G$86</definedName>
    <definedName name="inp_d26_prob">Pipeline!$G$86</definedName>
    <definedName name="inp_d26_pt" localSheetId="4">'Sample Pipeline'!$L$86</definedName>
    <definedName name="inp_d26_pt">Pipeline!$L$86</definedName>
    <definedName name="inp_d26_stage" localSheetId="4">'Sample Pipeline'!$F$86</definedName>
    <definedName name="inp_d26_stage">Pipeline!$F$86</definedName>
    <definedName name="inp_d26_type" localSheetId="4">'Sample Pipeline'!$E$86</definedName>
    <definedName name="inp_d26_type">Pipeline!$E$86</definedName>
    <definedName name="inp_d26_value" localSheetId="4">'Sample Pipeline'!$H$86</definedName>
    <definedName name="inp_d26_value">Pipeline!$H$86</definedName>
    <definedName name="inp_d27_active" localSheetId="4">'Sample Pipeline'!$M$87</definedName>
    <definedName name="inp_d27_active">Pipeline!$M$87</definedName>
    <definedName name="inp_d27_client" localSheetId="4">'Sample Pipeline'!$D$87</definedName>
    <definedName name="inp_d27_client">Pipeline!$D$87</definedName>
    <definedName name="inp_d27_close" localSheetId="4">'Sample Pipeline'!$I$87</definedName>
    <definedName name="inp_d27_close">Pipeline!$I$87</definedName>
    <definedName name="inp_d27_duration" localSheetId="4">'Sample Pipeline'!$K$87</definedName>
    <definedName name="inp_d27_duration">Pipeline!$K$87</definedName>
    <definedName name="inp_d27_name" localSheetId="4">'Sample Pipeline'!$C$87</definedName>
    <definedName name="inp_d27_name">Pipeline!$C$87</definedName>
    <definedName name="inp_d27_offset" localSheetId="4">'Sample Pipeline'!$J$87</definedName>
    <definedName name="inp_d27_offset">Pipeline!$J$87</definedName>
    <definedName name="inp_d27_prob" localSheetId="4">'Sample Pipeline'!$G$87</definedName>
    <definedName name="inp_d27_prob">Pipeline!$G$87</definedName>
    <definedName name="inp_d27_pt" localSheetId="4">'Sample Pipeline'!$L$87</definedName>
    <definedName name="inp_d27_pt">Pipeline!$L$87</definedName>
    <definedName name="inp_d27_stage" localSheetId="4">'Sample Pipeline'!$F$87</definedName>
    <definedName name="inp_d27_stage">Pipeline!$F$87</definedName>
    <definedName name="inp_d27_type" localSheetId="4">'Sample Pipeline'!$E$87</definedName>
    <definedName name="inp_d27_type">Pipeline!$E$87</definedName>
    <definedName name="inp_d27_value" localSheetId="4">'Sample Pipeline'!$H$87</definedName>
    <definedName name="inp_d27_value">Pipeline!$H$87</definedName>
    <definedName name="inp_d28_active" localSheetId="4">'Sample Pipeline'!$M$88</definedName>
    <definedName name="inp_d28_active">Pipeline!$M$88</definedName>
    <definedName name="inp_d28_client" localSheetId="4">'Sample Pipeline'!$D$88</definedName>
    <definedName name="inp_d28_client">Pipeline!$D$88</definedName>
    <definedName name="inp_d28_close" localSheetId="4">'Sample Pipeline'!$I$88</definedName>
    <definedName name="inp_d28_close">Pipeline!$I$88</definedName>
    <definedName name="inp_d28_duration" localSheetId="4">'Sample Pipeline'!$K$88</definedName>
    <definedName name="inp_d28_duration">Pipeline!$K$88</definedName>
    <definedName name="inp_d28_name" localSheetId="4">'Sample Pipeline'!$C$88</definedName>
    <definedName name="inp_d28_name">Pipeline!$C$88</definedName>
    <definedName name="inp_d28_offset" localSheetId="4">'Sample Pipeline'!$J$88</definedName>
    <definedName name="inp_d28_offset">Pipeline!$J$88</definedName>
    <definedName name="inp_d28_prob" localSheetId="4">'Sample Pipeline'!$G$88</definedName>
    <definedName name="inp_d28_prob">Pipeline!$G$88</definedName>
    <definedName name="inp_d28_pt" localSheetId="4">'Sample Pipeline'!$L$88</definedName>
    <definedName name="inp_d28_pt">Pipeline!$L$88</definedName>
    <definedName name="inp_d28_stage" localSheetId="4">'Sample Pipeline'!$F$88</definedName>
    <definedName name="inp_d28_stage">Pipeline!$F$88</definedName>
    <definedName name="inp_d28_type" localSheetId="4">'Sample Pipeline'!$E$88</definedName>
    <definedName name="inp_d28_type">Pipeline!$E$88</definedName>
    <definedName name="inp_d28_value" localSheetId="4">'Sample Pipeline'!$H$88</definedName>
    <definedName name="inp_d28_value">Pipeline!$H$88</definedName>
    <definedName name="inp_d29_active" localSheetId="4">'Sample Pipeline'!$M$89</definedName>
    <definedName name="inp_d29_active">Pipeline!$M$89</definedName>
    <definedName name="inp_d29_client" localSheetId="4">'Sample Pipeline'!$D$89</definedName>
    <definedName name="inp_d29_client">Pipeline!$D$89</definedName>
    <definedName name="inp_d29_close" localSheetId="4">'Sample Pipeline'!$I$89</definedName>
    <definedName name="inp_d29_close">Pipeline!$I$89</definedName>
    <definedName name="inp_d29_duration" localSheetId="4">'Sample Pipeline'!$K$89</definedName>
    <definedName name="inp_d29_duration">Pipeline!$K$89</definedName>
    <definedName name="inp_d29_name" localSheetId="4">'Sample Pipeline'!$C$89</definedName>
    <definedName name="inp_d29_name">Pipeline!$C$89</definedName>
    <definedName name="inp_d29_offset" localSheetId="4">'Sample Pipeline'!$J$89</definedName>
    <definedName name="inp_d29_offset">Pipeline!$J$89</definedName>
    <definedName name="inp_d29_prob" localSheetId="4">'Sample Pipeline'!$G$89</definedName>
    <definedName name="inp_d29_prob">Pipeline!$G$89</definedName>
    <definedName name="inp_d29_pt" localSheetId="4">'Sample Pipeline'!$L$89</definedName>
    <definedName name="inp_d29_pt">Pipeline!$L$89</definedName>
    <definedName name="inp_d29_stage" localSheetId="4">'Sample Pipeline'!$F$89</definedName>
    <definedName name="inp_d29_stage">Pipeline!$F$89</definedName>
    <definedName name="inp_d29_type" localSheetId="4">'Sample Pipeline'!$E$89</definedName>
    <definedName name="inp_d29_type">Pipeline!$E$89</definedName>
    <definedName name="inp_d29_value" localSheetId="4">'Sample Pipeline'!$H$89</definedName>
    <definedName name="inp_d29_value">Pipeline!$H$89</definedName>
    <definedName name="inp_d3_active" localSheetId="4">'Sample Pipeline'!$M$63</definedName>
    <definedName name="inp_d3_active">Pipeline!$M$63</definedName>
    <definedName name="inp_d3_client" localSheetId="4">'Sample Pipeline'!$D$63</definedName>
    <definedName name="inp_d3_client">Pipeline!$D$63</definedName>
    <definedName name="inp_d3_close" localSheetId="4">'Sample Pipeline'!$I$63</definedName>
    <definedName name="inp_d3_close">Pipeline!$I$63</definedName>
    <definedName name="inp_d3_duration" localSheetId="4">'Sample Pipeline'!$K$63</definedName>
    <definedName name="inp_d3_duration">Pipeline!$K$63</definedName>
    <definedName name="inp_d3_name" localSheetId="4">'Sample Pipeline'!$C$63</definedName>
    <definedName name="inp_d3_name">Pipeline!$C$63</definedName>
    <definedName name="inp_d3_offset" localSheetId="4">'Sample Pipeline'!$J$63</definedName>
    <definedName name="inp_d3_offset">Pipeline!$J$63</definedName>
    <definedName name="inp_d3_prob" localSheetId="4">'Sample Pipeline'!$G$63</definedName>
    <definedName name="inp_d3_prob">Pipeline!$G$63</definedName>
    <definedName name="inp_d3_pt" localSheetId="4">'Sample Pipeline'!$L$63</definedName>
    <definedName name="inp_d3_pt">Pipeline!$L$63</definedName>
    <definedName name="inp_d3_stage" localSheetId="4">'Sample Pipeline'!$F$63</definedName>
    <definedName name="inp_d3_stage">Pipeline!$F$63</definedName>
    <definedName name="inp_d3_type" localSheetId="4">'Sample Pipeline'!$E$63</definedName>
    <definedName name="inp_d3_type">Pipeline!$E$63</definedName>
    <definedName name="inp_d3_value" localSheetId="4">'Sample Pipeline'!$H$63</definedName>
    <definedName name="inp_d3_value">Pipeline!$H$63</definedName>
    <definedName name="inp_d30_active" localSheetId="4">'Sample Pipeline'!$M$90</definedName>
    <definedName name="inp_d30_active">Pipeline!$M$90</definedName>
    <definedName name="inp_d30_client" localSheetId="4">'Sample Pipeline'!$D$90</definedName>
    <definedName name="inp_d30_client">Pipeline!$D$90</definedName>
    <definedName name="inp_d30_close" localSheetId="4">'Sample Pipeline'!$I$90</definedName>
    <definedName name="inp_d30_close">Pipeline!$I$90</definedName>
    <definedName name="inp_d30_duration" localSheetId="4">'Sample Pipeline'!$K$90</definedName>
    <definedName name="inp_d30_duration">Pipeline!$K$90</definedName>
    <definedName name="inp_d30_name" localSheetId="4">'Sample Pipeline'!$C$90</definedName>
    <definedName name="inp_d30_name">Pipeline!$C$90</definedName>
    <definedName name="inp_d30_offset" localSheetId="4">'Sample Pipeline'!$J$90</definedName>
    <definedName name="inp_d30_offset">Pipeline!$J$90</definedName>
    <definedName name="inp_d30_prob" localSheetId="4">'Sample Pipeline'!$G$90</definedName>
    <definedName name="inp_d30_prob">Pipeline!$G$90</definedName>
    <definedName name="inp_d30_pt" localSheetId="4">'Sample Pipeline'!$L$90</definedName>
    <definedName name="inp_d30_pt">Pipeline!$L$90</definedName>
    <definedName name="inp_d30_stage" localSheetId="4">'Sample Pipeline'!$F$90</definedName>
    <definedName name="inp_d30_stage">Pipeline!$F$90</definedName>
    <definedName name="inp_d30_type" localSheetId="4">'Sample Pipeline'!$E$90</definedName>
    <definedName name="inp_d30_type">Pipeline!$E$90</definedName>
    <definedName name="inp_d30_value" localSheetId="4">'Sample Pipeline'!$H$90</definedName>
    <definedName name="inp_d30_value">Pipeline!$H$90</definedName>
    <definedName name="inp_d4_active" localSheetId="4">'Sample Pipeline'!$M$64</definedName>
    <definedName name="inp_d4_active">Pipeline!$M$64</definedName>
    <definedName name="inp_d4_client" localSheetId="4">'Sample Pipeline'!$D$64</definedName>
    <definedName name="inp_d4_client">Pipeline!$D$64</definedName>
    <definedName name="inp_d4_close" localSheetId="4">'Sample Pipeline'!$I$64</definedName>
    <definedName name="inp_d4_close">Pipeline!$I$64</definedName>
    <definedName name="inp_d4_duration" localSheetId="4">'Sample Pipeline'!$K$64</definedName>
    <definedName name="inp_d4_duration">Pipeline!$K$64</definedName>
    <definedName name="inp_d4_name" localSheetId="4">'Sample Pipeline'!$C$64</definedName>
    <definedName name="inp_d4_name">Pipeline!$C$64</definedName>
    <definedName name="inp_d4_offset" localSheetId="4">'Sample Pipeline'!$J$64</definedName>
    <definedName name="inp_d4_offset">Pipeline!$J$64</definedName>
    <definedName name="inp_d4_prob" localSheetId="4">'Sample Pipeline'!$G$64</definedName>
    <definedName name="inp_d4_prob">Pipeline!$G$64</definedName>
    <definedName name="inp_d4_pt" localSheetId="4">'Sample Pipeline'!$L$64</definedName>
    <definedName name="inp_d4_pt">Pipeline!$L$64</definedName>
    <definedName name="inp_d4_stage" localSheetId="4">'Sample Pipeline'!$F$64</definedName>
    <definedName name="inp_d4_stage">Pipeline!$F$64</definedName>
    <definedName name="inp_d4_type" localSheetId="4">'Sample Pipeline'!$E$64</definedName>
    <definedName name="inp_d4_type">Pipeline!$E$64</definedName>
    <definedName name="inp_d4_value" localSheetId="4">'Sample Pipeline'!$H$64</definedName>
    <definedName name="inp_d4_value">Pipeline!$H$64</definedName>
    <definedName name="inp_d5_active" localSheetId="4">'Sample Pipeline'!$M$65</definedName>
    <definedName name="inp_d5_active">Pipeline!$M$65</definedName>
    <definedName name="inp_d5_client" localSheetId="4">'Sample Pipeline'!$D$65</definedName>
    <definedName name="inp_d5_client">Pipeline!$D$65</definedName>
    <definedName name="inp_d5_close" localSheetId="4">'Sample Pipeline'!$I$65</definedName>
    <definedName name="inp_d5_close">Pipeline!$I$65</definedName>
    <definedName name="inp_d5_duration" localSheetId="4">'Sample Pipeline'!$K$65</definedName>
    <definedName name="inp_d5_duration">Pipeline!$K$65</definedName>
    <definedName name="inp_d5_name" localSheetId="4">'Sample Pipeline'!$C$65</definedName>
    <definedName name="inp_d5_name">Pipeline!$C$65</definedName>
    <definedName name="inp_d5_offset" localSheetId="4">'Sample Pipeline'!$J$65</definedName>
    <definedName name="inp_d5_offset">Pipeline!$J$65</definedName>
    <definedName name="inp_d5_prob" localSheetId="4">'Sample Pipeline'!$G$65</definedName>
    <definedName name="inp_d5_prob">Pipeline!$G$65</definedName>
    <definedName name="inp_d5_pt" localSheetId="4">'Sample Pipeline'!$L$65</definedName>
    <definedName name="inp_d5_pt">Pipeline!$L$65</definedName>
    <definedName name="inp_d5_stage" localSheetId="4">'Sample Pipeline'!$F$65</definedName>
    <definedName name="inp_d5_stage">Pipeline!$F$65</definedName>
    <definedName name="inp_d5_type" localSheetId="4">'Sample Pipeline'!$E$65</definedName>
    <definedName name="inp_d5_type">Pipeline!$E$65</definedName>
    <definedName name="inp_d5_value" localSheetId="4">'Sample Pipeline'!$H$65</definedName>
    <definedName name="inp_d5_value">Pipeline!$H$65</definedName>
    <definedName name="inp_d6_active" localSheetId="4">'Sample Pipeline'!$M$66</definedName>
    <definedName name="inp_d6_active">Pipeline!$M$66</definedName>
    <definedName name="inp_d6_client" localSheetId="4">'Sample Pipeline'!$D$66</definedName>
    <definedName name="inp_d6_client">Pipeline!$D$66</definedName>
    <definedName name="inp_d6_close" localSheetId="4">'Sample Pipeline'!$I$66</definedName>
    <definedName name="inp_d6_close">Pipeline!$I$66</definedName>
    <definedName name="inp_d6_duration" localSheetId="4">'Sample Pipeline'!$K$66</definedName>
    <definedName name="inp_d6_duration">Pipeline!$K$66</definedName>
    <definedName name="inp_d6_name" localSheetId="4">'Sample Pipeline'!$C$66</definedName>
    <definedName name="inp_d6_name">Pipeline!$C$66</definedName>
    <definedName name="inp_d6_offset" localSheetId="4">'Sample Pipeline'!$J$66</definedName>
    <definedName name="inp_d6_offset">Pipeline!$J$66</definedName>
    <definedName name="inp_d6_prob" localSheetId="4">'Sample Pipeline'!$G$66</definedName>
    <definedName name="inp_d6_prob">Pipeline!$G$66</definedName>
    <definedName name="inp_d6_pt" localSheetId="4">'Sample Pipeline'!$L$66</definedName>
    <definedName name="inp_d6_pt">Pipeline!$L$66</definedName>
    <definedName name="inp_d6_stage" localSheetId="4">'Sample Pipeline'!$F$66</definedName>
    <definedName name="inp_d6_stage">Pipeline!$F$66</definedName>
    <definedName name="inp_d6_type" localSheetId="4">'Sample Pipeline'!$E$66</definedName>
    <definedName name="inp_d6_type">Pipeline!$E$66</definedName>
    <definedName name="inp_d6_value" localSheetId="4">'Sample Pipeline'!$H$66</definedName>
    <definedName name="inp_d6_value">Pipeline!$H$66</definedName>
    <definedName name="inp_d7_active" localSheetId="4">'Sample Pipeline'!$M$67</definedName>
    <definedName name="inp_d7_active">Pipeline!$M$67</definedName>
    <definedName name="inp_d7_client" localSheetId="4">'Sample Pipeline'!$D$67</definedName>
    <definedName name="inp_d7_client">Pipeline!$D$67</definedName>
    <definedName name="inp_d7_close" localSheetId="4">'Sample Pipeline'!$I$67</definedName>
    <definedName name="inp_d7_close">Pipeline!$I$67</definedName>
    <definedName name="inp_d7_duration" localSheetId="4">'Sample Pipeline'!$K$67</definedName>
    <definedName name="inp_d7_duration">Pipeline!$K$67</definedName>
    <definedName name="inp_d7_name" localSheetId="4">'Sample Pipeline'!$C$67</definedName>
    <definedName name="inp_d7_name">Pipeline!$C$67</definedName>
    <definedName name="inp_d7_offset" localSheetId="4">'Sample Pipeline'!$J$67</definedName>
    <definedName name="inp_d7_offset">Pipeline!$J$67</definedName>
    <definedName name="inp_d7_prob" localSheetId="4">'Sample Pipeline'!$G$67</definedName>
    <definedName name="inp_d7_prob">Pipeline!$G$67</definedName>
    <definedName name="inp_d7_pt" localSheetId="4">'Sample Pipeline'!$L$67</definedName>
    <definedName name="inp_d7_pt">Pipeline!$L$67</definedName>
    <definedName name="inp_d7_stage" localSheetId="4">'Sample Pipeline'!$F$67</definedName>
    <definedName name="inp_d7_stage">Pipeline!$F$67</definedName>
    <definedName name="inp_d7_type" localSheetId="4">'Sample Pipeline'!$E$67</definedName>
    <definedName name="inp_d7_type">Pipeline!$E$67</definedName>
    <definedName name="inp_d7_value" localSheetId="4">'Sample Pipeline'!$H$67</definedName>
    <definedName name="inp_d7_value">Pipeline!$H$67</definedName>
    <definedName name="inp_d8_active" localSheetId="4">'Sample Pipeline'!$M$68</definedName>
    <definedName name="inp_d8_active">Pipeline!$M$68</definedName>
    <definedName name="inp_d8_client" localSheetId="4">'Sample Pipeline'!$D$68</definedName>
    <definedName name="inp_d8_client">Pipeline!$D$68</definedName>
    <definedName name="inp_d8_close" localSheetId="4">'Sample Pipeline'!$I$68</definedName>
    <definedName name="inp_d8_close">Pipeline!$I$68</definedName>
    <definedName name="inp_d8_duration" localSheetId="4">'Sample Pipeline'!$K$68</definedName>
    <definedName name="inp_d8_duration">Pipeline!$K$68</definedName>
    <definedName name="inp_d8_name" localSheetId="4">'Sample Pipeline'!$C$68</definedName>
    <definedName name="inp_d8_name">Pipeline!$C$68</definedName>
    <definedName name="inp_d8_offset" localSheetId="4">'Sample Pipeline'!$J$68</definedName>
    <definedName name="inp_d8_offset">Pipeline!$J$68</definedName>
    <definedName name="inp_d8_prob" localSheetId="4">'Sample Pipeline'!$G$68</definedName>
    <definedName name="inp_d8_prob">Pipeline!$G$68</definedName>
    <definedName name="inp_d8_pt" localSheetId="4">'Sample Pipeline'!$L$68</definedName>
    <definedName name="inp_d8_pt">Pipeline!$L$68</definedName>
    <definedName name="inp_d8_stage" localSheetId="4">'Sample Pipeline'!$F$68</definedName>
    <definedName name="inp_d8_stage">Pipeline!$F$68</definedName>
    <definedName name="inp_d8_type" localSheetId="4">'Sample Pipeline'!$E$68</definedName>
    <definedName name="inp_d8_type">Pipeline!$E$68</definedName>
    <definedName name="inp_d8_value" localSheetId="4">'Sample Pipeline'!$H$68</definedName>
    <definedName name="inp_d8_value">Pipeline!$H$68</definedName>
    <definedName name="inp_d9_active" localSheetId="4">'Sample Pipeline'!$M$69</definedName>
    <definedName name="inp_d9_active">Pipeline!$M$69</definedName>
    <definedName name="inp_d9_client" localSheetId="4">'Sample Pipeline'!$D$69</definedName>
    <definedName name="inp_d9_client">Pipeline!$D$69</definedName>
    <definedName name="inp_d9_close" localSheetId="4">'Sample Pipeline'!$I$69</definedName>
    <definedName name="inp_d9_close">Pipeline!$I$69</definedName>
    <definedName name="inp_d9_duration" localSheetId="4">'Sample Pipeline'!$K$69</definedName>
    <definedName name="inp_d9_duration">Pipeline!$K$69</definedName>
    <definedName name="inp_d9_name" localSheetId="4">'Sample Pipeline'!$C$69</definedName>
    <definedName name="inp_d9_name">Pipeline!$C$69</definedName>
    <definedName name="inp_d9_offset" localSheetId="4">'Sample Pipeline'!$J$69</definedName>
    <definedName name="inp_d9_offset">Pipeline!$J$69</definedName>
    <definedName name="inp_d9_prob" localSheetId="4">'Sample Pipeline'!$G$69</definedName>
    <definedName name="inp_d9_prob">Pipeline!$G$69</definedName>
    <definedName name="inp_d9_pt" localSheetId="4">'Sample Pipeline'!$L$69</definedName>
    <definedName name="inp_d9_pt">Pipeline!$L$69</definedName>
    <definedName name="inp_d9_stage" localSheetId="4">'Sample Pipeline'!$F$69</definedName>
    <definedName name="inp_d9_stage">Pipeline!$F$69</definedName>
    <definedName name="inp_d9_type" localSheetId="4">'Sample Pipeline'!$E$69</definedName>
    <definedName name="inp_d9_type">Pipeline!$E$69</definedName>
    <definedName name="inp_d9_value" localSheetId="4">'Sample Pipeline'!$H$69</definedName>
    <definedName name="inp_d9_value">Pipeline!$H$69</definedName>
    <definedName name="inp_forecast_start" localSheetId="4">'Sample Pipeline'!$C$10</definedName>
    <definedName name="inp_forecast_start">Pipeline!$C$10</definedName>
    <definedName name="inp_r1_active" localSheetId="4">'Sample Pipeline'!$I$94</definedName>
    <definedName name="inp_r1_active">Pipeline!$I$94</definedName>
    <definedName name="inp_r1_client" localSheetId="4">'Sample Pipeline'!$D$94</definedName>
    <definedName name="inp_r1_client">Pipeline!$D$94</definedName>
    <definedName name="inp_r1_end" localSheetId="4">'Sample Pipeline'!$G$94</definedName>
    <definedName name="inp_r1_end">Pipeline!$G$94</definedName>
    <definedName name="inp_r1_monthly" localSheetId="4">'Sample Pipeline'!$E$94</definedName>
    <definedName name="inp_r1_monthly">Pipeline!$E$94</definedName>
    <definedName name="inp_r1_name" localSheetId="4">'Sample Pipeline'!$C$94</definedName>
    <definedName name="inp_r1_name">Pipeline!$C$94</definedName>
    <definedName name="inp_r1_pt" localSheetId="4">'Sample Pipeline'!$H$94</definedName>
    <definedName name="inp_r1_pt">Pipeline!$H$94</definedName>
    <definedName name="inp_r1_start" localSheetId="4">'Sample Pipeline'!$F$94</definedName>
    <definedName name="inp_r1_start">Pipeline!$F$94</definedName>
    <definedName name="inp_r2_active" localSheetId="4">'Sample Pipeline'!$I$95</definedName>
    <definedName name="inp_r2_active">Pipeline!$I$95</definedName>
    <definedName name="inp_r2_client" localSheetId="4">'Sample Pipeline'!$D$95</definedName>
    <definedName name="inp_r2_client">Pipeline!$D$95</definedName>
    <definedName name="inp_r2_end" localSheetId="4">'Sample Pipeline'!$G$95</definedName>
    <definedName name="inp_r2_end">Pipeline!$G$95</definedName>
    <definedName name="inp_r2_monthly" localSheetId="4">'Sample Pipeline'!$E$95</definedName>
    <definedName name="inp_r2_monthly">Pipeline!$E$95</definedName>
    <definedName name="inp_r2_name" localSheetId="4">'Sample Pipeline'!$C$95</definedName>
    <definedName name="inp_r2_name">Pipeline!$C$95</definedName>
    <definedName name="inp_r2_pt" localSheetId="4">'Sample Pipeline'!$H$95</definedName>
    <definedName name="inp_r2_pt">Pipeline!$H$95</definedName>
    <definedName name="inp_r2_start" localSheetId="4">'Sample Pipeline'!$F$95</definedName>
    <definedName name="inp_r2_start">Pipeline!$F$95</definedName>
    <definedName name="inp_r3_active" localSheetId="4">'Sample Pipeline'!$I$96</definedName>
    <definedName name="inp_r3_active">Pipeline!$I$96</definedName>
    <definedName name="inp_r3_client" localSheetId="4">'Sample Pipeline'!$D$96</definedName>
    <definedName name="inp_r3_client">Pipeline!$D$96</definedName>
    <definedName name="inp_r3_end" localSheetId="4">'Sample Pipeline'!$G$96</definedName>
    <definedName name="inp_r3_end">Pipeline!$G$96</definedName>
    <definedName name="inp_r3_monthly" localSheetId="4">'Sample Pipeline'!$E$96</definedName>
    <definedName name="inp_r3_monthly">Pipeline!$E$96</definedName>
    <definedName name="inp_r3_name" localSheetId="4">'Sample Pipeline'!$C$96</definedName>
    <definedName name="inp_r3_name">Pipeline!$C$96</definedName>
    <definedName name="inp_r3_pt" localSheetId="4">'Sample Pipeline'!$H$96</definedName>
    <definedName name="inp_r3_pt">Pipeline!$H$96</definedName>
    <definedName name="inp_r3_start" localSheetId="4">'Sample Pipeline'!$F$96</definedName>
    <definedName name="inp_r3_start">Pipeline!$F$96</definedName>
    <definedName name="inp_r4_active" localSheetId="4">'Sample Pipeline'!$I$97</definedName>
    <definedName name="inp_r4_active">Pipeline!$I$97</definedName>
    <definedName name="inp_r4_client" localSheetId="4">'Sample Pipeline'!$D$97</definedName>
    <definedName name="inp_r4_client">Pipeline!$D$97</definedName>
    <definedName name="inp_r4_end" localSheetId="4">'Sample Pipeline'!$G$97</definedName>
    <definedName name="inp_r4_end">Pipeline!$G$97</definedName>
    <definedName name="inp_r4_monthly" localSheetId="4">'Sample Pipeline'!$E$97</definedName>
    <definedName name="inp_r4_monthly">Pipeline!$E$97</definedName>
    <definedName name="inp_r4_name" localSheetId="4">'Sample Pipeline'!$C$97</definedName>
    <definedName name="inp_r4_name">Pipeline!$C$97</definedName>
    <definedName name="inp_r4_pt" localSheetId="4">'Sample Pipeline'!$H$97</definedName>
    <definedName name="inp_r4_pt">Pipeline!$H$97</definedName>
    <definedName name="inp_r4_start" localSheetId="4">'Sample Pipeline'!$F$97</definedName>
    <definedName name="inp_r4_start">Pipeline!$F$97</definedName>
    <definedName name="inp_r5_active" localSheetId="4">'Sample Pipeline'!$I$98</definedName>
    <definedName name="inp_r5_active">Pipeline!$I$98</definedName>
    <definedName name="inp_r5_client" localSheetId="4">'Sample Pipeline'!$D$98</definedName>
    <definedName name="inp_r5_client">Pipeline!$D$98</definedName>
    <definedName name="inp_r5_end" localSheetId="4">'Sample Pipeline'!$G$98</definedName>
    <definedName name="inp_r5_end">Pipeline!$G$98</definedName>
    <definedName name="inp_r5_monthly" localSheetId="4">'Sample Pipeline'!$E$98</definedName>
    <definedName name="inp_r5_monthly">Pipeline!$E$98</definedName>
    <definedName name="inp_r5_name" localSheetId="4">'Sample Pipeline'!$C$98</definedName>
    <definedName name="inp_r5_name">Pipeline!$C$98</definedName>
    <definedName name="inp_r5_pt" localSheetId="4">'Sample Pipeline'!$H$98</definedName>
    <definedName name="inp_r5_pt">Pipeline!$H$98</definedName>
    <definedName name="inp_r5_start" localSheetId="4">'Sample Pipeline'!$F$98</definedName>
    <definedName name="inp_r5_start">Pipeline!$F$98</definedName>
    <definedName name="inp_r6_active" localSheetId="4">'Sample Pipeline'!$I$99</definedName>
    <definedName name="inp_r6_active">Pipeline!$I$99</definedName>
    <definedName name="inp_r6_client" localSheetId="4">'Sample Pipeline'!$D$99</definedName>
    <definedName name="inp_r6_client">Pipeline!$D$99</definedName>
    <definedName name="inp_r6_end" localSheetId="4">'Sample Pipeline'!$G$99</definedName>
    <definedName name="inp_r6_end">Pipeline!$G$99</definedName>
    <definedName name="inp_r6_monthly" localSheetId="4">'Sample Pipeline'!$E$99</definedName>
    <definedName name="inp_r6_monthly">Pipeline!$E$99</definedName>
    <definedName name="inp_r6_name" localSheetId="4">'Sample Pipeline'!$C$99</definedName>
    <definedName name="inp_r6_name">Pipeline!$C$99</definedName>
    <definedName name="inp_r6_pt" localSheetId="4">'Sample Pipeline'!$H$99</definedName>
    <definedName name="inp_r6_pt">Pipeline!$H$99</definedName>
    <definedName name="inp_r6_start" localSheetId="4">'Sample Pipeline'!$F$99</definedName>
    <definedName name="inp_r6_start">Pipeline!$F$99</definedName>
    <definedName name="inp_r7_active" localSheetId="4">'Sample Pipeline'!$I$100</definedName>
    <definedName name="inp_r7_active">Pipeline!$I$100</definedName>
    <definedName name="inp_r7_client" localSheetId="4">'Sample Pipeline'!$D$100</definedName>
    <definedName name="inp_r7_client">Pipeline!$D$100</definedName>
    <definedName name="inp_r7_end" localSheetId="4">'Sample Pipeline'!$G$100</definedName>
    <definedName name="inp_r7_end">Pipeline!$G$100</definedName>
    <definedName name="inp_r7_monthly" localSheetId="4">'Sample Pipeline'!$E$100</definedName>
    <definedName name="inp_r7_monthly">Pipeline!$E$100</definedName>
    <definedName name="inp_r7_name" localSheetId="4">'Sample Pipeline'!$C$100</definedName>
    <definedName name="inp_r7_name">Pipeline!$C$100</definedName>
    <definedName name="inp_r7_pt" localSheetId="4">'Sample Pipeline'!$H$100</definedName>
    <definedName name="inp_r7_pt">Pipeline!$H$100</definedName>
    <definedName name="inp_r7_start" localSheetId="4">'Sample Pipeline'!$F$100</definedName>
    <definedName name="inp_r7_start">Pipeline!$F$100</definedName>
    <definedName name="inp_r8_active" localSheetId="4">'Sample Pipeline'!$I$101</definedName>
    <definedName name="inp_r8_active">Pipeline!$I$101</definedName>
    <definedName name="inp_r8_client" localSheetId="4">'Sample Pipeline'!$D$101</definedName>
    <definedName name="inp_r8_client">Pipeline!$D$101</definedName>
    <definedName name="inp_r8_end" localSheetId="4">'Sample Pipeline'!$G$101</definedName>
    <definedName name="inp_r8_end">Pipeline!$G$101</definedName>
    <definedName name="inp_r8_monthly" localSheetId="4">'Sample Pipeline'!$E$101</definedName>
    <definedName name="inp_r8_monthly">Pipeline!$E$101</definedName>
    <definedName name="inp_r8_name" localSheetId="4">'Sample Pipeline'!$C$101</definedName>
    <definedName name="inp_r8_name">Pipeline!$C$101</definedName>
    <definedName name="inp_r8_pt" localSheetId="4">'Sample Pipeline'!$H$101</definedName>
    <definedName name="inp_r8_pt">Pipeline!$H$101</definedName>
    <definedName name="inp_r8_start" localSheetId="4">'Sample Pipeline'!$F$101</definedName>
    <definedName name="inp_r8_start">Pipeline!$F$101</definedName>
    <definedName name="inp_region" localSheetId="4">'Sample Pipeline'!$C$7</definedName>
    <definedName name="inp_region">Pipeline!$C$7</definedName>
    <definedName name="inp_scenario">Forecast!$L$2</definedName>
    <definedName name="inp_vertical" localSheetId="4">'Sample Pipeline'!$C$9</definedName>
    <definedName name="inp_vertical">Pipeline!$C$9</definedName>
    <definedName name="mst_pass">Forecast!$L$110</definedName>
    <definedName name="out_cash_6m">Forecast!$E$12</definedName>
    <definedName name="out_cash_m1">Forecast!$C$24</definedName>
    <definedName name="out_cash_m2">Forecast!$D$24</definedName>
    <definedName name="out_cash_m3">Forecast!$E$24</definedName>
    <definedName name="out_cash_m4">Forecast!$F$24</definedName>
    <definedName name="out_cash_m5">Forecast!$G$24</definedName>
    <definedName name="out_cash_m6">Forecast!$H$24</definedName>
    <definedName name="out_cash_m7">Forecast!$D$30</definedName>
    <definedName name="out_cash_m8">Forecast!$F$30</definedName>
    <definedName name="out_cash_tail">Forecast!$H$30</definedName>
    <definedName name="out_cash_total_8m">Forecast!$I$30</definedName>
    <definedName name="out_gap_6m">Forecast!$H$12</definedName>
    <definedName name="out_rev_6m">Forecast!$B$12</definedName>
    <definedName name="out_rev_m1">Forecast!$C$20</definedName>
    <definedName name="out_rev_m2">Forecast!$D$20</definedName>
    <definedName name="out_rev_m3">Forecast!$E$20</definedName>
    <definedName name="out_rev_m4">Forecast!$F$20</definedName>
    <definedName name="out_rev_m5">Forecast!$G$20</definedName>
    <definedName name="out_rev_m6">Forecast!$H$20</definedName>
    <definedName name="out_sens_lag_m1">Forecast!$C$73</definedName>
    <definedName name="out_sens_lag_p0">Forecast!$D$73</definedName>
    <definedName name="out_sens_lag_p1">Forecast!$E$73</definedName>
    <definedName name="out_sens_lag_p2">Forecast!$F$73</definedName>
    <definedName name="out_sens_wr_m15">Forecast!$D$68</definedName>
    <definedName name="out_sens_wr_m30">Forecast!$C$68</definedName>
    <definedName name="out_sens_wr_p0">Forecast!$E$68</definedName>
    <definedName name="out_sens_wr_p10">Forecast!$F$68</definedName>
    <definedName name="out_winrate">Forecast!$K$12</definedName>
    <definedName name="_xlnm.Print_Area" localSheetId="1">Forecast!$A$1:$M$112</definedName>
    <definedName name="_xlnm.Print_Area" localSheetId="3">'Sample Forecast'!$A$1:$M$112</definedName>
    <definedName name="ref_pt_names" localSheetId="4">'Sample Pipeline'!$C$25:'Sample Pipeline'!$C$33</definedName>
    <definedName name="ref_pt_names">Pipeline!$C$25:'Pipeline'!$C$33</definedName>
    <definedName name="ref_pt_table" localSheetId="4">'Sample Pipeline'!$C$25:'Sample Pipeline'!$L$33</definedName>
    <definedName name="ref_pt_table">Pipeline!$C$25:'Pipeline'!$L$33</definedName>
    <definedName name="ref_rd_au_dso" localSheetId="4">'Sample Pipeline'!$F$55</definedName>
    <definedName name="ref_rd_au_dso">Pipeline!$F$55</definedName>
    <definedName name="ref_rd_au_pt" localSheetId="4">'Sample Pipeline'!$F$54</definedName>
    <definedName name="ref_rd_au_pt">Pipeline!$F$54</definedName>
    <definedName name="ref_rd_nz_dso" localSheetId="4">'Sample Pipeline'!$G$55</definedName>
    <definedName name="ref_rd_nz_dso">Pipeline!$G$55</definedName>
    <definedName name="ref_rd_nz_pt" localSheetId="4">'Sample Pipeline'!$G$54</definedName>
    <definedName name="ref_rd_nz_pt">Pipeline!$G$54</definedName>
    <definedName name="ref_rd_us_dso" localSheetId="4">'Sample Pipeline'!$H$55</definedName>
    <definedName name="ref_rd_us_dso">Pipeline!$H$55</definedName>
    <definedName name="ref_rd_us_pt" localSheetId="4">'Sample Pipeline'!$H$54</definedName>
    <definedName name="ref_rd_us_pt">Pipeline!$H$54</definedName>
    <definedName name="ref_region_default_dso" localSheetId="4">'Sample Pipeline'!$W$4</definedName>
    <definedName name="ref_region_default_dso">Pipeline!$W$4</definedName>
    <definedName name="ref_region_default_pt" localSheetId="4">'Sample Pipeline'!$V$4</definedName>
    <definedName name="ref_region_default_pt">Pipeline!$V$4</definedName>
    <definedName name="ref_scn_names" localSheetId="4">'Sample Pipeline'!$C$37:'Sample Pipeline'!$C$39</definedName>
    <definedName name="ref_scn_names">Pipeline!$C$37:'Pipeline'!$C$39</definedName>
    <definedName name="ref_scn_table" localSheetId="4">'Sample Pipeline'!$C$37:'Sample Pipeline'!$F$39</definedName>
    <definedName name="ref_scn_table">Pipeline!$C$37:'Pipeline'!$F$39</definedName>
    <definedName name="ref_stage_1_name" localSheetId="4">'Sample Pipeline'!$C$16</definedName>
    <definedName name="ref_stage_1_name">Pipeline!$C$16</definedName>
    <definedName name="ref_stage_1_prob" localSheetId="4">'Sample Pipeline'!$F$16</definedName>
    <definedName name="ref_stage_1_prob">Pipeline!$F$16</definedName>
    <definedName name="ref_stage_2_name" localSheetId="4">'Sample Pipeline'!$C$17</definedName>
    <definedName name="ref_stage_2_name">Pipeline!$C$17</definedName>
    <definedName name="ref_stage_2_prob" localSheetId="4">'Sample Pipeline'!$F$17</definedName>
    <definedName name="ref_stage_2_prob">Pipeline!$F$17</definedName>
    <definedName name="ref_stage_3_name" localSheetId="4">'Sample Pipeline'!$C$18</definedName>
    <definedName name="ref_stage_3_name">Pipeline!$C$18</definedName>
    <definedName name="ref_stage_3_prob" localSheetId="4">'Sample Pipeline'!$F$18</definedName>
    <definedName name="ref_stage_3_prob">Pipeline!$F$18</definedName>
    <definedName name="ref_stage_4_name" localSheetId="4">'Sample Pipeline'!$C$19</definedName>
    <definedName name="ref_stage_4_name">Pipeline!$C$19</definedName>
    <definedName name="ref_stage_4_prob" localSheetId="4">'Sample Pipeline'!$F$19</definedName>
    <definedName name="ref_stage_4_prob">Pipeline!$F$19</definedName>
    <definedName name="ref_stage_5_name" localSheetId="4">'Sample Pipeline'!$C$20</definedName>
    <definedName name="ref_stage_5_name">Pipeline!$C$20</definedName>
    <definedName name="ref_stage_5_prob" localSheetId="4">'Sample Pipeline'!$F$20</definedName>
    <definedName name="ref_stage_5_prob">Pipeline!$F$20</definedName>
    <definedName name="ref_stage_6_name" localSheetId="4">'Sample Pipeline'!$C$21</definedName>
    <definedName name="ref_stage_6_name">Pipeline!$C$21</definedName>
    <definedName name="ref_stage_6_prob" localSheetId="4">'Sample Pipeline'!$F$21</definedName>
    <definedName name="ref_stage_6_prob">Pipeline!$F$21</definedName>
    <definedName name="ref_stages_name_col" localSheetId="4">'Sample Pipeline'!$C$16:'Sample Pipeline'!$C$21</definedName>
    <definedName name="ref_stages_name_col">Pipeline!$C$16:'Pipeline'!$C$21</definedName>
    <definedName name="ref_stages_prob_col" localSheetId="4">'Sample Pipeline'!$F$16:'Sample Pipeline'!$F$21</definedName>
    <definedName name="ref_stages_prob_col">Pipeline!$F$16:'Pipeline'!$F$21</definedName>
    <definedName name="ref_stages_range" localSheetId="4">'Sample Pipeline'!$C$16:'Sample Pipeline'!$F$21</definedName>
    <definedName name="ref_stages_range">Pipeline!$C$16:'Pipeline'!$F$21</definedName>
    <definedName name="ref_vert_cycle_active" localSheetId="4">'Sample Pipeline'!$U$4</definedName>
    <definedName name="ref_vert_cycle_active">Pipeline!$U$4</definedName>
    <definedName name="ref_vert_names" localSheetId="4">'Sample Pipeline'!$C$43:'Sample Pipeline'!$C$50</definedName>
    <definedName name="ref_vert_names">Pipeline!$C$43:'Pipeline'!$C$50</definedName>
    <definedName name="ref_vert_table" localSheetId="4">'Sample Pipeline'!$C$43:'Sample Pipeline'!$G$50</definedName>
    <definedName name="ref_vert_table">Pipeline!$C$43:'Pipeline'!$G$50</definedName>
    <definedName name="ref_vert_winrate_active" localSheetId="4">'Sample Pipeline'!$T$4</definedName>
    <definedName name="ref_vert_winrate_active">Pipeline!$T$4</definedName>
    <definedName name="scalc_deal_3mcash_col">'Sample Pipeline'!$AT$61:'Sample Pipeline'!$AT$90</definedName>
    <definedName name="scalc_deal_6mcash_col">'Sample Pipeline'!$AU$61:'Sample Pipeline'!$AU$90</definedName>
    <definedName name="scalc_deal_6mrev_col">'Sample Pipeline'!$AW$61:'Sample Pipeline'!$AW$90</definedName>
    <definedName name="scalc_deal_8mcash_col">'Sample Pipeline'!$AV$61:'Sample Pipeline'!$AV$90</definedName>
    <definedName name="scalc_deal_active_col">'Sample Pipeline'!$Q$61:'Sample Pipeline'!$Q$90</definedName>
    <definedName name="scalc_deal_cash_m1">'Sample Pipeline'!$AL$61:'Sample Pipeline'!$AL$90</definedName>
    <definedName name="scalc_deal_cash_m2">'Sample Pipeline'!$AM$61:'Sample Pipeline'!$AM$90</definedName>
    <definedName name="scalc_deal_cash_m3">'Sample Pipeline'!$AN$61:'Sample Pipeline'!$AN$90</definedName>
    <definedName name="scalc_deal_cash_m4">'Sample Pipeline'!$AO$61:'Sample Pipeline'!$AO$90</definedName>
    <definedName name="scalc_deal_cash_m5">'Sample Pipeline'!$AP$61:'Sample Pipeline'!$AP$90</definedName>
    <definedName name="scalc_deal_cash_m6">'Sample Pipeline'!$AQ$61:'Sample Pipeline'!$AQ$90</definedName>
    <definedName name="scalc_deal_cash_m7">'Sample Pipeline'!$AR$61:'Sample Pipeline'!$AR$90</definedName>
    <definedName name="scalc_deal_cash_m8">'Sample Pipeline'!$AS$61:'Sample Pipeline'!$AS$90</definedName>
    <definedName name="scalc_deal_client_col">'Sample Pipeline'!$D$61:'Sample Pipeline'!$D$90</definedName>
    <definedName name="scalc_deal_ismsmask_col">'Sample Pipeline'!$Y$61:'Sample Pipeline'!$Y$90</definedName>
    <definedName name="scalc_deal_ms_w1_col">'Sample Pipeline'!$Z$61:'Sample Pipeline'!$Z$90</definedName>
    <definedName name="scalc_deal_ms_w2_col">'Sample Pipeline'!$AB$61:'Sample Pipeline'!$AB$90</definedName>
    <definedName name="scalc_deal_ms_w3_col">'Sample Pipeline'!$AD$61:'Sample Pipeline'!$AD$90</definedName>
    <definedName name="scalc_deal_name_col">'Sample Pipeline'!$C$61:'Sample Pipeline'!$C$90</definedName>
    <definedName name="scalc_deal_prob_col">'Sample Pipeline'!$R$61:'Sample Pipeline'!$R$90</definedName>
    <definedName name="scalc_deal_pt_col">'Sample Pipeline'!$L$61:'Sample Pipeline'!$L$90</definedName>
    <definedName name="scalc_deal_rev_m1">'Sample Pipeline'!$AF$61:'Sample Pipeline'!$AF$90</definedName>
    <definedName name="scalc_deal_rev_m2">'Sample Pipeline'!$AG$61:'Sample Pipeline'!$AG$90</definedName>
    <definedName name="scalc_deal_rev_m3">'Sample Pipeline'!$AH$61:'Sample Pipeline'!$AH$90</definedName>
    <definedName name="scalc_deal_rev_m4">'Sample Pipeline'!$AI$61:'Sample Pipeline'!$AI$90</definedName>
    <definedName name="scalc_deal_rev_m5">'Sample Pipeline'!$AJ$61:'Sample Pipeline'!$AJ$90</definedName>
    <definedName name="scalc_deal_rev_m6">'Sample Pipeline'!$AK$61:'Sample Pipeline'!$AK$90</definedName>
    <definedName name="scalc_deal_stage_col">'Sample Pipeline'!$F$61:'Sample Pipeline'!$F$90</definedName>
    <definedName name="scalc_deal_value_col">'Sample Pipeline'!$H$61:'Sample Pipeline'!$H$90</definedName>
    <definedName name="scalc_deal_weighted_col">'Sample Pipeline'!$S$61:'Sample Pipeline'!$S$90</definedName>
    <definedName name="scalc_ret_3mcash_col">'Sample Pipeline'!$AT$94:'Sample Pipeline'!$AT$101</definedName>
    <definedName name="scalc_ret_6mcash_col">'Sample Pipeline'!$AU$94:'Sample Pipeline'!$AU$101</definedName>
    <definedName name="scalc_ret_6mrev_col">'Sample Pipeline'!$AW$94:'Sample Pipeline'!$AW$101</definedName>
    <definedName name="scalc_ret_8mcash_col">'Sample Pipeline'!$AV$94:'Sample Pipeline'!$AV$101</definedName>
    <definedName name="scalc_ret_active_col">'Sample Pipeline'!$Q$94:'Sample Pipeline'!$Q$101</definedName>
    <definedName name="scalc_ret_cash_m1">'Sample Pipeline'!$AL$94:'Sample Pipeline'!$AL$101</definedName>
    <definedName name="scalc_ret_cash_m2">'Sample Pipeline'!$AM$94:'Sample Pipeline'!$AM$101</definedName>
    <definedName name="scalc_ret_cash_m3">'Sample Pipeline'!$AN$94:'Sample Pipeline'!$AN$101</definedName>
    <definedName name="scalc_ret_cash_m4">'Sample Pipeline'!$AO$94:'Sample Pipeline'!$AO$101</definedName>
    <definedName name="scalc_ret_cash_m5">'Sample Pipeline'!$AP$94:'Sample Pipeline'!$AP$101</definedName>
    <definedName name="scalc_ret_cash_m6">'Sample Pipeline'!$AQ$94:'Sample Pipeline'!$AQ$101</definedName>
    <definedName name="scalc_ret_cash_m7">'Sample Pipeline'!$AR$94:'Sample Pipeline'!$AR$101</definedName>
    <definedName name="scalc_ret_cash_m8">'Sample Pipeline'!$AS$94:'Sample Pipeline'!$AS$101</definedName>
    <definedName name="scalc_ret_client_col">'Sample Pipeline'!$D$94:'Sample Pipeline'!$D$101</definedName>
    <definedName name="scalc_ret_name_col">'Sample Pipeline'!$C$94:'Sample Pipeline'!$C$101</definedName>
    <definedName name="scalc_ret_rev_m1">'Sample Pipeline'!$AF$94:'Sample Pipeline'!$AF$101</definedName>
    <definedName name="scalc_ret_rev_m2">'Sample Pipeline'!$AG$94:'Sample Pipeline'!$AG$101</definedName>
    <definedName name="scalc_ret_rev_m3">'Sample Pipeline'!$AH$94:'Sample Pipeline'!$AH$101</definedName>
    <definedName name="scalc_ret_rev_m4">'Sample Pipeline'!$AI$94:'Sample Pipeline'!$AI$101</definedName>
    <definedName name="scalc_ret_rev_m5">'Sample Pipeline'!$AJ$94:'Sample Pipeline'!$AJ$101</definedName>
    <definedName name="scalc_ret_rev_m6">'Sample Pipeline'!$AK$94:'Sample Pipeline'!$AK$101</definedName>
    <definedName name="scalc_ret_weighted_col">'Sample Pipeline'!$S$94:'Sample Pipeline'!$S$101</definedName>
    <definedName name="schk_c01">'Sample Forecast'!$L$85</definedName>
    <definedName name="schk_c02">'Sample Forecast'!$L$86</definedName>
    <definedName name="schk_c03">'Sample Forecast'!$L$87</definedName>
    <definedName name="schk_c04">'Sample Forecast'!$L$88</definedName>
    <definedName name="schk_c05">'Sample Forecast'!$L$89</definedName>
    <definedName name="schk_c06">'Sample Forecast'!$L$90</definedName>
    <definedName name="schk_c07">'Sample Forecast'!$L$91</definedName>
    <definedName name="schk_c08">'Sample Forecast'!$L$92</definedName>
    <definedName name="schk_c09">'Sample Forecast'!$L$93</definedName>
    <definedName name="schk_c10">'Sample Forecast'!$L$94</definedName>
    <definedName name="schk_c11">'Sample Forecast'!$L$95</definedName>
    <definedName name="schk_c12">'Sample Forecast'!$L$96</definedName>
    <definedName name="schk_c13">'Sample Forecast'!$L$97</definedName>
    <definedName name="schk_c14">'Sample Forecast'!$L$98</definedName>
    <definedName name="schk_c15">'Sample Forecast'!$L$99</definedName>
    <definedName name="schk_c16">'Sample Forecast'!$L$100</definedName>
    <definedName name="schk_c17">'Sample Forecast'!$L$101</definedName>
    <definedName name="schk_c18">'Sample Forecast'!$L$102</definedName>
    <definedName name="schk_c19">'Sample Forecast'!$L$103</definedName>
    <definedName name="schk_c20">'Sample Forecast'!$L$104</definedName>
    <definedName name="schk_c21">'Sample Forecast'!$L$105</definedName>
    <definedName name="schk_c22">'Sample Forecast'!$L$106</definedName>
    <definedName name="schk_c23">'Sample Forecast'!$L$107</definedName>
    <definedName name="scn_lag_active" localSheetId="4">'Sample Pipeline'!$S$4</definedName>
    <definedName name="scn_lag_active">Pipeline!$S$4</definedName>
    <definedName name="scn_size_active" localSheetId="4">'Sample Pipeline'!$R$4</definedName>
    <definedName name="scn_size_active">Pipeline!$R$4</definedName>
    <definedName name="scn_winrate_active" localSheetId="4">'Sample Pipeline'!$Q$4</definedName>
    <definedName name="scn_winrate_active">Pipeline!$Q$4</definedName>
    <definedName name="sinp_business_name">'Sample Pipeline'!$C$8</definedName>
    <definedName name="sinp_currency">'Sample Pipeline'!$C$11</definedName>
    <definedName name="sinp_d1_active">'Sample Pipeline'!$M$61</definedName>
    <definedName name="sinp_d1_client">'Sample Pipeline'!$D$61</definedName>
    <definedName name="sinp_d1_close">'Sample Pipeline'!$I$61</definedName>
    <definedName name="sinp_d1_duration">'Sample Pipeline'!$K$61</definedName>
    <definedName name="sinp_d1_name">'Sample Pipeline'!$C$61</definedName>
    <definedName name="sinp_d1_offset">'Sample Pipeline'!$J$61</definedName>
    <definedName name="sinp_d1_prob">'Sample Pipeline'!$G$61</definedName>
    <definedName name="sinp_d1_pt">'Sample Pipeline'!$L$61</definedName>
    <definedName name="sinp_d1_stage">'Sample Pipeline'!$F$61</definedName>
    <definedName name="sinp_d1_type">'Sample Pipeline'!$E$61</definedName>
    <definedName name="sinp_d1_value">'Sample Pipeline'!$H$61</definedName>
    <definedName name="sinp_d10_active">'Sample Pipeline'!$M$70</definedName>
    <definedName name="sinp_d10_client">'Sample Pipeline'!$D$70</definedName>
    <definedName name="sinp_d10_close">'Sample Pipeline'!$I$70</definedName>
    <definedName name="sinp_d10_duration">'Sample Pipeline'!$K$70</definedName>
    <definedName name="sinp_d10_name">'Sample Pipeline'!$C$70</definedName>
    <definedName name="sinp_d10_offset">'Sample Pipeline'!$J$70</definedName>
    <definedName name="sinp_d10_prob">'Sample Pipeline'!$G$70</definedName>
    <definedName name="sinp_d10_pt">'Sample Pipeline'!$L$70</definedName>
    <definedName name="sinp_d10_stage">'Sample Pipeline'!$F$70</definedName>
    <definedName name="sinp_d10_type">'Sample Pipeline'!$E$70</definedName>
    <definedName name="sinp_d10_value">'Sample Pipeline'!$H$70</definedName>
    <definedName name="sinp_d11_active">'Sample Pipeline'!$M$71</definedName>
    <definedName name="sinp_d11_client">'Sample Pipeline'!$D$71</definedName>
    <definedName name="sinp_d11_close">'Sample Pipeline'!$I$71</definedName>
    <definedName name="sinp_d11_duration">'Sample Pipeline'!$K$71</definedName>
    <definedName name="sinp_d11_name">'Sample Pipeline'!$C$71</definedName>
    <definedName name="sinp_d11_offset">'Sample Pipeline'!$J$71</definedName>
    <definedName name="sinp_d11_prob">'Sample Pipeline'!$G$71</definedName>
    <definedName name="sinp_d11_pt">'Sample Pipeline'!$L$71</definedName>
    <definedName name="sinp_d11_stage">'Sample Pipeline'!$F$71</definedName>
    <definedName name="sinp_d11_type">'Sample Pipeline'!$E$71</definedName>
    <definedName name="sinp_d11_value">'Sample Pipeline'!$H$71</definedName>
    <definedName name="sinp_d12_active">'Sample Pipeline'!$M$72</definedName>
    <definedName name="sinp_d12_client">'Sample Pipeline'!$D$72</definedName>
    <definedName name="sinp_d12_close">'Sample Pipeline'!$I$72</definedName>
    <definedName name="sinp_d12_duration">'Sample Pipeline'!$K$72</definedName>
    <definedName name="sinp_d12_name">'Sample Pipeline'!$C$72</definedName>
    <definedName name="sinp_d12_offset">'Sample Pipeline'!$J$72</definedName>
    <definedName name="sinp_d12_prob">'Sample Pipeline'!$G$72</definedName>
    <definedName name="sinp_d12_pt">'Sample Pipeline'!$L$72</definedName>
    <definedName name="sinp_d12_stage">'Sample Pipeline'!$F$72</definedName>
    <definedName name="sinp_d12_type">'Sample Pipeline'!$E$72</definedName>
    <definedName name="sinp_d12_value">'Sample Pipeline'!$H$72</definedName>
    <definedName name="sinp_d13_active">'Sample Pipeline'!$M$73</definedName>
    <definedName name="sinp_d13_client">'Sample Pipeline'!$D$73</definedName>
    <definedName name="sinp_d13_close">'Sample Pipeline'!$I$73</definedName>
    <definedName name="sinp_d13_duration">'Sample Pipeline'!$K$73</definedName>
    <definedName name="sinp_d13_name">'Sample Pipeline'!$C$73</definedName>
    <definedName name="sinp_d13_offset">'Sample Pipeline'!$J$73</definedName>
    <definedName name="sinp_d13_prob">'Sample Pipeline'!$G$73</definedName>
    <definedName name="sinp_d13_pt">'Sample Pipeline'!$L$73</definedName>
    <definedName name="sinp_d13_stage">'Sample Pipeline'!$F$73</definedName>
    <definedName name="sinp_d13_type">'Sample Pipeline'!$E$73</definedName>
    <definedName name="sinp_d13_value">'Sample Pipeline'!$H$73</definedName>
    <definedName name="sinp_d14_active">'Sample Pipeline'!$M$74</definedName>
    <definedName name="sinp_d14_client">'Sample Pipeline'!$D$74</definedName>
    <definedName name="sinp_d14_close">'Sample Pipeline'!$I$74</definedName>
    <definedName name="sinp_d14_duration">'Sample Pipeline'!$K$74</definedName>
    <definedName name="sinp_d14_name">'Sample Pipeline'!$C$74</definedName>
    <definedName name="sinp_d14_offset">'Sample Pipeline'!$J$74</definedName>
    <definedName name="sinp_d14_prob">'Sample Pipeline'!$G$74</definedName>
    <definedName name="sinp_d14_pt">'Sample Pipeline'!$L$74</definedName>
    <definedName name="sinp_d14_stage">'Sample Pipeline'!$F$74</definedName>
    <definedName name="sinp_d14_type">'Sample Pipeline'!$E$74</definedName>
    <definedName name="sinp_d14_value">'Sample Pipeline'!$H$74</definedName>
    <definedName name="sinp_d15_active">'Sample Pipeline'!$M$75</definedName>
    <definedName name="sinp_d15_client">'Sample Pipeline'!$D$75</definedName>
    <definedName name="sinp_d15_close">'Sample Pipeline'!$I$75</definedName>
    <definedName name="sinp_d15_duration">'Sample Pipeline'!$K$75</definedName>
    <definedName name="sinp_d15_name">'Sample Pipeline'!$C$75</definedName>
    <definedName name="sinp_d15_offset">'Sample Pipeline'!$J$75</definedName>
    <definedName name="sinp_d15_prob">'Sample Pipeline'!$G$75</definedName>
    <definedName name="sinp_d15_pt">'Sample Pipeline'!$L$75</definedName>
    <definedName name="sinp_d15_stage">'Sample Pipeline'!$F$75</definedName>
    <definedName name="sinp_d15_type">'Sample Pipeline'!$E$75</definedName>
    <definedName name="sinp_d15_value">'Sample Pipeline'!$H$75</definedName>
    <definedName name="sinp_d16_active">'Sample Pipeline'!$M$76</definedName>
    <definedName name="sinp_d16_client">'Sample Pipeline'!$D$76</definedName>
    <definedName name="sinp_d16_close">'Sample Pipeline'!$I$76</definedName>
    <definedName name="sinp_d16_duration">'Sample Pipeline'!$K$76</definedName>
    <definedName name="sinp_d16_name">'Sample Pipeline'!$C$76</definedName>
    <definedName name="sinp_d16_offset">'Sample Pipeline'!$J$76</definedName>
    <definedName name="sinp_d16_prob">'Sample Pipeline'!$G$76</definedName>
    <definedName name="sinp_d16_pt">'Sample Pipeline'!$L$76</definedName>
    <definedName name="sinp_d16_stage">'Sample Pipeline'!$F$76</definedName>
    <definedName name="sinp_d16_type">'Sample Pipeline'!$E$76</definedName>
    <definedName name="sinp_d16_value">'Sample Pipeline'!$H$76</definedName>
    <definedName name="sinp_d17_active">'Sample Pipeline'!$M$77</definedName>
    <definedName name="sinp_d17_client">'Sample Pipeline'!$D$77</definedName>
    <definedName name="sinp_d17_close">'Sample Pipeline'!$I$77</definedName>
    <definedName name="sinp_d17_duration">'Sample Pipeline'!$K$77</definedName>
    <definedName name="sinp_d17_name">'Sample Pipeline'!$C$77</definedName>
    <definedName name="sinp_d17_offset">'Sample Pipeline'!$J$77</definedName>
    <definedName name="sinp_d17_prob">'Sample Pipeline'!$G$77</definedName>
    <definedName name="sinp_d17_pt">'Sample Pipeline'!$L$77</definedName>
    <definedName name="sinp_d17_stage">'Sample Pipeline'!$F$77</definedName>
    <definedName name="sinp_d17_type">'Sample Pipeline'!$E$77</definedName>
    <definedName name="sinp_d17_value">'Sample Pipeline'!$H$77</definedName>
    <definedName name="sinp_d18_active">'Sample Pipeline'!$M$78</definedName>
    <definedName name="sinp_d18_client">'Sample Pipeline'!$D$78</definedName>
    <definedName name="sinp_d18_close">'Sample Pipeline'!$I$78</definedName>
    <definedName name="sinp_d18_duration">'Sample Pipeline'!$K$78</definedName>
    <definedName name="sinp_d18_name">'Sample Pipeline'!$C$78</definedName>
    <definedName name="sinp_d18_offset">'Sample Pipeline'!$J$78</definedName>
    <definedName name="sinp_d18_prob">'Sample Pipeline'!$G$78</definedName>
    <definedName name="sinp_d18_pt">'Sample Pipeline'!$L$78</definedName>
    <definedName name="sinp_d18_stage">'Sample Pipeline'!$F$78</definedName>
    <definedName name="sinp_d18_type">'Sample Pipeline'!$E$78</definedName>
    <definedName name="sinp_d18_value">'Sample Pipeline'!$H$78</definedName>
    <definedName name="sinp_d19_active">'Sample Pipeline'!$M$79</definedName>
    <definedName name="sinp_d19_client">'Sample Pipeline'!$D$79</definedName>
    <definedName name="sinp_d19_close">'Sample Pipeline'!$I$79</definedName>
    <definedName name="sinp_d19_duration">'Sample Pipeline'!$K$79</definedName>
    <definedName name="sinp_d19_name">'Sample Pipeline'!$C$79</definedName>
    <definedName name="sinp_d19_offset">'Sample Pipeline'!$J$79</definedName>
    <definedName name="sinp_d19_prob">'Sample Pipeline'!$G$79</definedName>
    <definedName name="sinp_d19_pt">'Sample Pipeline'!$L$79</definedName>
    <definedName name="sinp_d19_stage">'Sample Pipeline'!$F$79</definedName>
    <definedName name="sinp_d19_type">'Sample Pipeline'!$E$79</definedName>
    <definedName name="sinp_d19_value">'Sample Pipeline'!$H$79</definedName>
    <definedName name="sinp_d2_active">'Sample Pipeline'!$M$62</definedName>
    <definedName name="sinp_d2_client">'Sample Pipeline'!$D$62</definedName>
    <definedName name="sinp_d2_close">'Sample Pipeline'!$I$62</definedName>
    <definedName name="sinp_d2_duration">'Sample Pipeline'!$K$62</definedName>
    <definedName name="sinp_d2_name">'Sample Pipeline'!$C$62</definedName>
    <definedName name="sinp_d2_offset">'Sample Pipeline'!$J$62</definedName>
    <definedName name="sinp_d2_prob">'Sample Pipeline'!$G$62</definedName>
    <definedName name="sinp_d2_pt">'Sample Pipeline'!$L$62</definedName>
    <definedName name="sinp_d2_stage">'Sample Pipeline'!$F$62</definedName>
    <definedName name="sinp_d2_type">'Sample Pipeline'!$E$62</definedName>
    <definedName name="sinp_d2_value">'Sample Pipeline'!$H$62</definedName>
    <definedName name="sinp_d20_active">'Sample Pipeline'!$M$80</definedName>
    <definedName name="sinp_d20_client">'Sample Pipeline'!$D$80</definedName>
    <definedName name="sinp_d20_close">'Sample Pipeline'!$I$80</definedName>
    <definedName name="sinp_d20_duration">'Sample Pipeline'!$K$80</definedName>
    <definedName name="sinp_d20_name">'Sample Pipeline'!$C$80</definedName>
    <definedName name="sinp_d20_offset">'Sample Pipeline'!$J$80</definedName>
    <definedName name="sinp_d20_prob">'Sample Pipeline'!$G$80</definedName>
    <definedName name="sinp_d20_pt">'Sample Pipeline'!$L$80</definedName>
    <definedName name="sinp_d20_stage">'Sample Pipeline'!$F$80</definedName>
    <definedName name="sinp_d20_type">'Sample Pipeline'!$E$80</definedName>
    <definedName name="sinp_d20_value">'Sample Pipeline'!$H$80</definedName>
    <definedName name="sinp_d21_active">'Sample Pipeline'!$M$81</definedName>
    <definedName name="sinp_d21_client">'Sample Pipeline'!$D$81</definedName>
    <definedName name="sinp_d21_close">'Sample Pipeline'!$I$81</definedName>
    <definedName name="sinp_d21_duration">'Sample Pipeline'!$K$81</definedName>
    <definedName name="sinp_d21_name">'Sample Pipeline'!$C$81</definedName>
    <definedName name="sinp_d21_offset">'Sample Pipeline'!$J$81</definedName>
    <definedName name="sinp_d21_prob">'Sample Pipeline'!$G$81</definedName>
    <definedName name="sinp_d21_pt">'Sample Pipeline'!$L$81</definedName>
    <definedName name="sinp_d21_stage">'Sample Pipeline'!$F$81</definedName>
    <definedName name="sinp_d21_type">'Sample Pipeline'!$E$81</definedName>
    <definedName name="sinp_d21_value">'Sample Pipeline'!$H$81</definedName>
    <definedName name="sinp_d22_active">'Sample Pipeline'!$M$82</definedName>
    <definedName name="sinp_d22_client">'Sample Pipeline'!$D$82</definedName>
    <definedName name="sinp_d22_close">'Sample Pipeline'!$I$82</definedName>
    <definedName name="sinp_d22_duration">'Sample Pipeline'!$K$82</definedName>
    <definedName name="sinp_d22_name">'Sample Pipeline'!$C$82</definedName>
    <definedName name="sinp_d22_offset">'Sample Pipeline'!$J$82</definedName>
    <definedName name="sinp_d22_prob">'Sample Pipeline'!$G$82</definedName>
    <definedName name="sinp_d22_pt">'Sample Pipeline'!$L$82</definedName>
    <definedName name="sinp_d22_stage">'Sample Pipeline'!$F$82</definedName>
    <definedName name="sinp_d22_type">'Sample Pipeline'!$E$82</definedName>
    <definedName name="sinp_d22_value">'Sample Pipeline'!$H$82</definedName>
    <definedName name="sinp_d23_active">'Sample Pipeline'!$M$83</definedName>
    <definedName name="sinp_d23_client">'Sample Pipeline'!$D$83</definedName>
    <definedName name="sinp_d23_close">'Sample Pipeline'!$I$83</definedName>
    <definedName name="sinp_d23_duration">'Sample Pipeline'!$K$83</definedName>
    <definedName name="sinp_d23_name">'Sample Pipeline'!$C$83</definedName>
    <definedName name="sinp_d23_offset">'Sample Pipeline'!$J$83</definedName>
    <definedName name="sinp_d23_prob">'Sample Pipeline'!$G$83</definedName>
    <definedName name="sinp_d23_pt">'Sample Pipeline'!$L$83</definedName>
    <definedName name="sinp_d23_stage">'Sample Pipeline'!$F$83</definedName>
    <definedName name="sinp_d23_type">'Sample Pipeline'!$E$83</definedName>
    <definedName name="sinp_d23_value">'Sample Pipeline'!$H$83</definedName>
    <definedName name="sinp_d24_active">'Sample Pipeline'!$M$84</definedName>
    <definedName name="sinp_d24_client">'Sample Pipeline'!$D$84</definedName>
    <definedName name="sinp_d24_close">'Sample Pipeline'!$I$84</definedName>
    <definedName name="sinp_d24_duration">'Sample Pipeline'!$K$84</definedName>
    <definedName name="sinp_d24_name">'Sample Pipeline'!$C$84</definedName>
    <definedName name="sinp_d24_offset">'Sample Pipeline'!$J$84</definedName>
    <definedName name="sinp_d24_prob">'Sample Pipeline'!$G$84</definedName>
    <definedName name="sinp_d24_pt">'Sample Pipeline'!$L$84</definedName>
    <definedName name="sinp_d24_stage">'Sample Pipeline'!$F$84</definedName>
    <definedName name="sinp_d24_type">'Sample Pipeline'!$E$84</definedName>
    <definedName name="sinp_d24_value">'Sample Pipeline'!$H$84</definedName>
    <definedName name="sinp_d25_active">'Sample Pipeline'!$M$85</definedName>
    <definedName name="sinp_d25_client">'Sample Pipeline'!$D$85</definedName>
    <definedName name="sinp_d25_close">'Sample Pipeline'!$I$85</definedName>
    <definedName name="sinp_d25_duration">'Sample Pipeline'!$K$85</definedName>
    <definedName name="sinp_d25_name">'Sample Pipeline'!$C$85</definedName>
    <definedName name="sinp_d25_offset">'Sample Pipeline'!$J$85</definedName>
    <definedName name="sinp_d25_prob">'Sample Pipeline'!$G$85</definedName>
    <definedName name="sinp_d25_pt">'Sample Pipeline'!$L$85</definedName>
    <definedName name="sinp_d25_stage">'Sample Pipeline'!$F$85</definedName>
    <definedName name="sinp_d25_type">'Sample Pipeline'!$E$85</definedName>
    <definedName name="sinp_d25_value">'Sample Pipeline'!$H$85</definedName>
    <definedName name="sinp_d26_active">'Sample Pipeline'!$M$86</definedName>
    <definedName name="sinp_d26_client">'Sample Pipeline'!$D$86</definedName>
    <definedName name="sinp_d26_close">'Sample Pipeline'!$I$86</definedName>
    <definedName name="sinp_d26_duration">'Sample Pipeline'!$K$86</definedName>
    <definedName name="sinp_d26_name">'Sample Pipeline'!$C$86</definedName>
    <definedName name="sinp_d26_offset">'Sample Pipeline'!$J$86</definedName>
    <definedName name="sinp_d26_prob">'Sample Pipeline'!$G$86</definedName>
    <definedName name="sinp_d26_pt">'Sample Pipeline'!$L$86</definedName>
    <definedName name="sinp_d26_stage">'Sample Pipeline'!$F$86</definedName>
    <definedName name="sinp_d26_type">'Sample Pipeline'!$E$86</definedName>
    <definedName name="sinp_d26_value">'Sample Pipeline'!$H$86</definedName>
    <definedName name="sinp_d27_active">'Sample Pipeline'!$M$87</definedName>
    <definedName name="sinp_d27_client">'Sample Pipeline'!$D$87</definedName>
    <definedName name="sinp_d27_close">'Sample Pipeline'!$I$87</definedName>
    <definedName name="sinp_d27_duration">'Sample Pipeline'!$K$87</definedName>
    <definedName name="sinp_d27_name">'Sample Pipeline'!$C$87</definedName>
    <definedName name="sinp_d27_offset">'Sample Pipeline'!$J$87</definedName>
    <definedName name="sinp_d27_prob">'Sample Pipeline'!$G$87</definedName>
    <definedName name="sinp_d27_pt">'Sample Pipeline'!$L$87</definedName>
    <definedName name="sinp_d27_stage">'Sample Pipeline'!$F$87</definedName>
    <definedName name="sinp_d27_type">'Sample Pipeline'!$E$87</definedName>
    <definedName name="sinp_d27_value">'Sample Pipeline'!$H$87</definedName>
    <definedName name="sinp_d28_active">'Sample Pipeline'!$M$88</definedName>
    <definedName name="sinp_d28_client">'Sample Pipeline'!$D$88</definedName>
    <definedName name="sinp_d28_close">'Sample Pipeline'!$I$88</definedName>
    <definedName name="sinp_d28_duration">'Sample Pipeline'!$K$88</definedName>
    <definedName name="sinp_d28_name">'Sample Pipeline'!$C$88</definedName>
    <definedName name="sinp_d28_offset">'Sample Pipeline'!$J$88</definedName>
    <definedName name="sinp_d28_prob">'Sample Pipeline'!$G$88</definedName>
    <definedName name="sinp_d28_pt">'Sample Pipeline'!$L$88</definedName>
    <definedName name="sinp_d28_stage">'Sample Pipeline'!$F$88</definedName>
    <definedName name="sinp_d28_type">'Sample Pipeline'!$E$88</definedName>
    <definedName name="sinp_d28_value">'Sample Pipeline'!$H$88</definedName>
    <definedName name="sinp_d29_active">'Sample Pipeline'!$M$89</definedName>
    <definedName name="sinp_d29_client">'Sample Pipeline'!$D$89</definedName>
    <definedName name="sinp_d29_close">'Sample Pipeline'!$I$89</definedName>
    <definedName name="sinp_d29_duration">'Sample Pipeline'!$K$89</definedName>
    <definedName name="sinp_d29_name">'Sample Pipeline'!$C$89</definedName>
    <definedName name="sinp_d29_offset">'Sample Pipeline'!$J$89</definedName>
    <definedName name="sinp_d29_prob">'Sample Pipeline'!$G$89</definedName>
    <definedName name="sinp_d29_pt">'Sample Pipeline'!$L$89</definedName>
    <definedName name="sinp_d29_stage">'Sample Pipeline'!$F$89</definedName>
    <definedName name="sinp_d29_type">'Sample Pipeline'!$E$89</definedName>
    <definedName name="sinp_d29_value">'Sample Pipeline'!$H$89</definedName>
    <definedName name="sinp_d3_active">'Sample Pipeline'!$M$63</definedName>
    <definedName name="sinp_d3_client">'Sample Pipeline'!$D$63</definedName>
    <definedName name="sinp_d3_close">'Sample Pipeline'!$I$63</definedName>
    <definedName name="sinp_d3_duration">'Sample Pipeline'!$K$63</definedName>
    <definedName name="sinp_d3_name">'Sample Pipeline'!$C$63</definedName>
    <definedName name="sinp_d3_offset">'Sample Pipeline'!$J$63</definedName>
    <definedName name="sinp_d3_prob">'Sample Pipeline'!$G$63</definedName>
    <definedName name="sinp_d3_pt">'Sample Pipeline'!$L$63</definedName>
    <definedName name="sinp_d3_stage">'Sample Pipeline'!$F$63</definedName>
    <definedName name="sinp_d3_type">'Sample Pipeline'!$E$63</definedName>
    <definedName name="sinp_d3_value">'Sample Pipeline'!$H$63</definedName>
    <definedName name="sinp_d30_active">'Sample Pipeline'!$M$90</definedName>
    <definedName name="sinp_d30_client">'Sample Pipeline'!$D$90</definedName>
    <definedName name="sinp_d30_close">'Sample Pipeline'!$I$90</definedName>
    <definedName name="sinp_d30_duration">'Sample Pipeline'!$K$90</definedName>
    <definedName name="sinp_d30_name">'Sample Pipeline'!$C$90</definedName>
    <definedName name="sinp_d30_offset">'Sample Pipeline'!$J$90</definedName>
    <definedName name="sinp_d30_prob">'Sample Pipeline'!$G$90</definedName>
    <definedName name="sinp_d30_pt">'Sample Pipeline'!$L$90</definedName>
    <definedName name="sinp_d30_stage">'Sample Pipeline'!$F$90</definedName>
    <definedName name="sinp_d30_type">'Sample Pipeline'!$E$90</definedName>
    <definedName name="sinp_d30_value">'Sample Pipeline'!$H$90</definedName>
    <definedName name="sinp_d4_active">'Sample Pipeline'!$M$64</definedName>
    <definedName name="sinp_d4_client">'Sample Pipeline'!$D$64</definedName>
    <definedName name="sinp_d4_close">'Sample Pipeline'!$I$64</definedName>
    <definedName name="sinp_d4_duration">'Sample Pipeline'!$K$64</definedName>
    <definedName name="sinp_d4_name">'Sample Pipeline'!$C$64</definedName>
    <definedName name="sinp_d4_offset">'Sample Pipeline'!$J$64</definedName>
    <definedName name="sinp_d4_prob">'Sample Pipeline'!$G$64</definedName>
    <definedName name="sinp_d4_pt">'Sample Pipeline'!$L$64</definedName>
    <definedName name="sinp_d4_stage">'Sample Pipeline'!$F$64</definedName>
    <definedName name="sinp_d4_type">'Sample Pipeline'!$E$64</definedName>
    <definedName name="sinp_d4_value">'Sample Pipeline'!$H$64</definedName>
    <definedName name="sinp_d5_active">'Sample Pipeline'!$M$65</definedName>
    <definedName name="sinp_d5_client">'Sample Pipeline'!$D$65</definedName>
    <definedName name="sinp_d5_close">'Sample Pipeline'!$I$65</definedName>
    <definedName name="sinp_d5_duration">'Sample Pipeline'!$K$65</definedName>
    <definedName name="sinp_d5_name">'Sample Pipeline'!$C$65</definedName>
    <definedName name="sinp_d5_offset">'Sample Pipeline'!$J$65</definedName>
    <definedName name="sinp_d5_prob">'Sample Pipeline'!$G$65</definedName>
    <definedName name="sinp_d5_pt">'Sample Pipeline'!$L$65</definedName>
    <definedName name="sinp_d5_stage">'Sample Pipeline'!$F$65</definedName>
    <definedName name="sinp_d5_type">'Sample Pipeline'!$E$65</definedName>
    <definedName name="sinp_d5_value">'Sample Pipeline'!$H$65</definedName>
    <definedName name="sinp_d6_active">'Sample Pipeline'!$M$66</definedName>
    <definedName name="sinp_d6_client">'Sample Pipeline'!$D$66</definedName>
    <definedName name="sinp_d6_close">'Sample Pipeline'!$I$66</definedName>
    <definedName name="sinp_d6_duration">'Sample Pipeline'!$K$66</definedName>
    <definedName name="sinp_d6_name">'Sample Pipeline'!$C$66</definedName>
    <definedName name="sinp_d6_offset">'Sample Pipeline'!$J$66</definedName>
    <definedName name="sinp_d6_prob">'Sample Pipeline'!$G$66</definedName>
    <definedName name="sinp_d6_pt">'Sample Pipeline'!$L$66</definedName>
    <definedName name="sinp_d6_stage">'Sample Pipeline'!$F$66</definedName>
    <definedName name="sinp_d6_type">'Sample Pipeline'!$E$66</definedName>
    <definedName name="sinp_d6_value">'Sample Pipeline'!$H$66</definedName>
    <definedName name="sinp_d7_active">'Sample Pipeline'!$M$67</definedName>
    <definedName name="sinp_d7_client">'Sample Pipeline'!$D$67</definedName>
    <definedName name="sinp_d7_close">'Sample Pipeline'!$I$67</definedName>
    <definedName name="sinp_d7_duration">'Sample Pipeline'!$K$67</definedName>
    <definedName name="sinp_d7_name">'Sample Pipeline'!$C$67</definedName>
    <definedName name="sinp_d7_offset">'Sample Pipeline'!$J$67</definedName>
    <definedName name="sinp_d7_prob">'Sample Pipeline'!$G$67</definedName>
    <definedName name="sinp_d7_pt">'Sample Pipeline'!$L$67</definedName>
    <definedName name="sinp_d7_stage">'Sample Pipeline'!$F$67</definedName>
    <definedName name="sinp_d7_type">'Sample Pipeline'!$E$67</definedName>
    <definedName name="sinp_d7_value">'Sample Pipeline'!$H$67</definedName>
    <definedName name="sinp_d8_active">'Sample Pipeline'!$M$68</definedName>
    <definedName name="sinp_d8_client">'Sample Pipeline'!$D$68</definedName>
    <definedName name="sinp_d8_close">'Sample Pipeline'!$I$68</definedName>
    <definedName name="sinp_d8_duration">'Sample Pipeline'!$K$68</definedName>
    <definedName name="sinp_d8_name">'Sample Pipeline'!$C$68</definedName>
    <definedName name="sinp_d8_offset">'Sample Pipeline'!$J$68</definedName>
    <definedName name="sinp_d8_prob">'Sample Pipeline'!$G$68</definedName>
    <definedName name="sinp_d8_pt">'Sample Pipeline'!$L$68</definedName>
    <definedName name="sinp_d8_stage">'Sample Pipeline'!$F$68</definedName>
    <definedName name="sinp_d8_type">'Sample Pipeline'!$E$68</definedName>
    <definedName name="sinp_d8_value">'Sample Pipeline'!$H$68</definedName>
    <definedName name="sinp_d9_active">'Sample Pipeline'!$M$69</definedName>
    <definedName name="sinp_d9_client">'Sample Pipeline'!$D$69</definedName>
    <definedName name="sinp_d9_close">'Sample Pipeline'!$I$69</definedName>
    <definedName name="sinp_d9_duration">'Sample Pipeline'!$K$69</definedName>
    <definedName name="sinp_d9_name">'Sample Pipeline'!$C$69</definedName>
    <definedName name="sinp_d9_offset">'Sample Pipeline'!$J$69</definedName>
    <definedName name="sinp_d9_prob">'Sample Pipeline'!$G$69</definedName>
    <definedName name="sinp_d9_pt">'Sample Pipeline'!$L$69</definedName>
    <definedName name="sinp_d9_stage">'Sample Pipeline'!$F$69</definedName>
    <definedName name="sinp_d9_type">'Sample Pipeline'!$E$69</definedName>
    <definedName name="sinp_d9_value">'Sample Pipeline'!$H$69</definedName>
    <definedName name="sinp_forecast_start">'Sample Pipeline'!$C$10</definedName>
    <definedName name="sinp_r1_active">'Sample Pipeline'!$I$94</definedName>
    <definedName name="sinp_r1_client">'Sample Pipeline'!$D$94</definedName>
    <definedName name="sinp_r1_end">'Sample Pipeline'!$G$94</definedName>
    <definedName name="sinp_r1_monthly">'Sample Pipeline'!$E$94</definedName>
    <definedName name="sinp_r1_name">'Sample Pipeline'!$C$94</definedName>
    <definedName name="sinp_r1_pt">'Sample Pipeline'!$H$94</definedName>
    <definedName name="sinp_r1_start">'Sample Pipeline'!$F$94</definedName>
    <definedName name="sinp_r2_active">'Sample Pipeline'!$I$95</definedName>
    <definedName name="sinp_r2_client">'Sample Pipeline'!$D$95</definedName>
    <definedName name="sinp_r2_end">'Sample Pipeline'!$G$95</definedName>
    <definedName name="sinp_r2_monthly">'Sample Pipeline'!$E$95</definedName>
    <definedName name="sinp_r2_name">'Sample Pipeline'!$C$95</definedName>
    <definedName name="sinp_r2_pt">'Sample Pipeline'!$H$95</definedName>
    <definedName name="sinp_r2_start">'Sample Pipeline'!$F$95</definedName>
    <definedName name="sinp_r3_active">'Sample Pipeline'!$I$96</definedName>
    <definedName name="sinp_r3_client">'Sample Pipeline'!$D$96</definedName>
    <definedName name="sinp_r3_end">'Sample Pipeline'!$G$96</definedName>
    <definedName name="sinp_r3_monthly">'Sample Pipeline'!$E$96</definedName>
    <definedName name="sinp_r3_name">'Sample Pipeline'!$C$96</definedName>
    <definedName name="sinp_r3_pt">'Sample Pipeline'!$H$96</definedName>
    <definedName name="sinp_r3_start">'Sample Pipeline'!$F$96</definedName>
    <definedName name="sinp_r4_active">'Sample Pipeline'!$I$97</definedName>
    <definedName name="sinp_r4_client">'Sample Pipeline'!$D$97</definedName>
    <definedName name="sinp_r4_end">'Sample Pipeline'!$G$97</definedName>
    <definedName name="sinp_r4_monthly">'Sample Pipeline'!$E$97</definedName>
    <definedName name="sinp_r4_name">'Sample Pipeline'!$C$97</definedName>
    <definedName name="sinp_r4_pt">'Sample Pipeline'!$H$97</definedName>
    <definedName name="sinp_r4_start">'Sample Pipeline'!$F$97</definedName>
    <definedName name="sinp_r5_active">'Sample Pipeline'!$I$98</definedName>
    <definedName name="sinp_r5_client">'Sample Pipeline'!$D$98</definedName>
    <definedName name="sinp_r5_end">'Sample Pipeline'!$G$98</definedName>
    <definedName name="sinp_r5_monthly">'Sample Pipeline'!$E$98</definedName>
    <definedName name="sinp_r5_name">'Sample Pipeline'!$C$98</definedName>
    <definedName name="sinp_r5_pt">'Sample Pipeline'!$H$98</definedName>
    <definedName name="sinp_r5_start">'Sample Pipeline'!$F$98</definedName>
    <definedName name="sinp_r6_active">'Sample Pipeline'!$I$99</definedName>
    <definedName name="sinp_r6_client">'Sample Pipeline'!$D$99</definedName>
    <definedName name="sinp_r6_end">'Sample Pipeline'!$G$99</definedName>
    <definedName name="sinp_r6_monthly">'Sample Pipeline'!$E$99</definedName>
    <definedName name="sinp_r6_name">'Sample Pipeline'!$C$99</definedName>
    <definedName name="sinp_r6_pt">'Sample Pipeline'!$H$99</definedName>
    <definedName name="sinp_r6_start">'Sample Pipeline'!$F$99</definedName>
    <definedName name="sinp_r7_active">'Sample Pipeline'!$I$100</definedName>
    <definedName name="sinp_r7_client">'Sample Pipeline'!$D$100</definedName>
    <definedName name="sinp_r7_end">'Sample Pipeline'!$G$100</definedName>
    <definedName name="sinp_r7_monthly">'Sample Pipeline'!$E$100</definedName>
    <definedName name="sinp_r7_name">'Sample Pipeline'!$C$100</definedName>
    <definedName name="sinp_r7_pt">'Sample Pipeline'!$H$100</definedName>
    <definedName name="sinp_r7_start">'Sample Pipeline'!$F$100</definedName>
    <definedName name="sinp_r8_active">'Sample Pipeline'!$I$101</definedName>
    <definedName name="sinp_r8_client">'Sample Pipeline'!$D$101</definedName>
    <definedName name="sinp_r8_end">'Sample Pipeline'!$G$101</definedName>
    <definedName name="sinp_r8_monthly">'Sample Pipeline'!$E$101</definedName>
    <definedName name="sinp_r8_name">'Sample Pipeline'!$C$101</definedName>
    <definedName name="sinp_r8_pt">'Sample Pipeline'!$H$101</definedName>
    <definedName name="sinp_r8_start">'Sample Pipeline'!$F$101</definedName>
    <definedName name="sinp_region">'Sample Pipeline'!$C$7</definedName>
    <definedName name="sinp_scenario">'Sample Forecast'!$L$2</definedName>
    <definedName name="sinp_vertical">'Sample Pipeline'!$C$9</definedName>
    <definedName name="smst_pass">'Sample Forecast'!$L$110</definedName>
    <definedName name="sout_cash_6m">'Sample Forecast'!$E$12</definedName>
    <definedName name="sout_cash_m1">'Sample Forecast'!$C$24</definedName>
    <definedName name="sout_cash_m2">'Sample Forecast'!$D$24</definedName>
    <definedName name="sout_cash_m3">'Sample Forecast'!$E$24</definedName>
    <definedName name="sout_cash_m4">'Sample Forecast'!$F$24</definedName>
    <definedName name="sout_cash_m5">'Sample Forecast'!$G$24</definedName>
    <definedName name="sout_cash_m6">'Sample Forecast'!$H$24</definedName>
    <definedName name="sout_cash_m7">'Sample Forecast'!$D$30</definedName>
    <definedName name="sout_cash_m8">'Sample Forecast'!$F$30</definedName>
    <definedName name="sout_cash_tail">'Sample Forecast'!$H$30</definedName>
    <definedName name="sout_cash_total_8m">'Sample Forecast'!$I$30</definedName>
    <definedName name="sout_gap_6m">'Sample Forecast'!$H$12</definedName>
    <definedName name="sout_rev_6m">'Sample Forecast'!$B$12</definedName>
    <definedName name="sout_rev_m1">'Sample Forecast'!$C$20</definedName>
    <definedName name="sout_rev_m2">'Sample Forecast'!$D$20</definedName>
    <definedName name="sout_rev_m3">'Sample Forecast'!$E$20</definedName>
    <definedName name="sout_rev_m4">'Sample Forecast'!$F$20</definedName>
    <definedName name="sout_rev_m5">'Sample Forecast'!$G$20</definedName>
    <definedName name="sout_rev_m6">'Sample Forecast'!$H$20</definedName>
    <definedName name="sout_sens_lag_m1">'Sample Forecast'!$C$73</definedName>
    <definedName name="sout_sens_lag_p0">'Sample Forecast'!$D$73</definedName>
    <definedName name="sout_sens_lag_p1">'Sample Forecast'!$E$73</definedName>
    <definedName name="sout_sens_lag_p2">'Sample Forecast'!$F$73</definedName>
    <definedName name="sout_sens_wr_m15">'Sample Forecast'!$D$68</definedName>
    <definedName name="sout_sens_wr_m30">'Sample Forecast'!$C$68</definedName>
    <definedName name="sout_sens_wr_p0">'Sample Forecast'!$E$68</definedName>
    <definedName name="sout_sens_wr_p10">'Sample Forecast'!$F$68</definedName>
    <definedName name="sout_winrate">'Sample Forecast'!$K$12</definedName>
    <definedName name="sref_pt_names">'Sample Pipeline'!$C$25:'Sample Pipeline'!$C$33</definedName>
    <definedName name="sref_pt_table">'Sample Pipeline'!$C$25:'Sample Pipeline'!$L$33</definedName>
    <definedName name="sref_rd_au_dso">'Sample Pipeline'!$F$55</definedName>
    <definedName name="sref_rd_au_pt">'Sample Pipeline'!$F$54</definedName>
    <definedName name="sref_rd_nz_dso">'Sample Pipeline'!$G$55</definedName>
    <definedName name="sref_rd_nz_pt">'Sample Pipeline'!$G$54</definedName>
    <definedName name="sref_rd_us_dso">'Sample Pipeline'!$H$55</definedName>
    <definedName name="sref_rd_us_pt">'Sample Pipeline'!$H$54</definedName>
    <definedName name="sref_region_default_dso">'Sample Pipeline'!$W$4</definedName>
    <definedName name="sref_region_default_pt">'Sample Pipeline'!$V$4</definedName>
    <definedName name="sref_scn_names">'Sample Pipeline'!$C$37:'Sample Pipeline'!$C$39</definedName>
    <definedName name="sref_scn_table">'Sample Pipeline'!$C$37:'Sample Pipeline'!$F$39</definedName>
    <definedName name="sref_stage_1_name">'Sample Pipeline'!$C$16</definedName>
    <definedName name="sref_stage_1_prob">'Sample Pipeline'!$F$16</definedName>
    <definedName name="sref_stage_2_name">'Sample Pipeline'!$C$17</definedName>
    <definedName name="sref_stage_2_prob">'Sample Pipeline'!$F$17</definedName>
    <definedName name="sref_stage_3_name">'Sample Pipeline'!$C$18</definedName>
    <definedName name="sref_stage_3_prob">'Sample Pipeline'!$F$18</definedName>
    <definedName name="sref_stage_4_name">'Sample Pipeline'!$C$19</definedName>
    <definedName name="sref_stage_4_prob">'Sample Pipeline'!$F$19</definedName>
    <definedName name="sref_stage_5_name">'Sample Pipeline'!$C$20</definedName>
    <definedName name="sref_stage_5_prob">'Sample Pipeline'!$F$20</definedName>
    <definedName name="sref_stage_6_name">'Sample Pipeline'!$C$21</definedName>
    <definedName name="sref_stage_6_prob">'Sample Pipeline'!$F$21</definedName>
    <definedName name="sref_stages_name_col">'Sample Pipeline'!$C$16:'Sample Pipeline'!$C$21</definedName>
    <definedName name="sref_stages_prob_col">'Sample Pipeline'!$F$16:'Sample Pipeline'!$F$21</definedName>
    <definedName name="sref_stages_range">'Sample Pipeline'!$C$16:'Sample Pipeline'!$F$21</definedName>
    <definedName name="sref_vert_cycle_active">'Sample Pipeline'!$U$3</definedName>
    <definedName name="sref_vert_names">'Sample Pipeline'!$C$43:'Sample Pipeline'!$C$50</definedName>
    <definedName name="sref_vert_table">'Sample Pipeline'!$C$43:'Sample Pipeline'!$G$50</definedName>
    <definedName name="sref_vert_winrate_active">'Sample Pipeline'!$T$3</definedName>
    <definedName name="sscn_lag_active">'Sample Pipeline'!$S$3</definedName>
    <definedName name="sscn_size_active">'Sample Pipeline'!$R$3</definedName>
    <definedName name="sscn_winrate_active">'Sample Pipeline'!$Q$3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1" i="3" l="1"/>
  <c r="G81" i="1"/>
  <c r="C12" i="2"/>
  <c r="V4" i="2"/>
  <c r="V4" i="5"/>
  <c r="W4" i="5"/>
  <c r="U4" i="5"/>
  <c r="T4" i="5"/>
  <c r="S4" i="5"/>
  <c r="R4" i="5"/>
  <c r="Q4" i="5"/>
  <c r="K105" i="3"/>
  <c r="K104" i="3"/>
  <c r="J104" i="3"/>
  <c r="K103" i="3"/>
  <c r="J103" i="3"/>
  <c r="K102" i="3"/>
  <c r="J102" i="3"/>
  <c r="G80" i="3"/>
  <c r="H17" i="3"/>
  <c r="G17" i="3"/>
  <c r="F17" i="3"/>
  <c r="E17" i="3"/>
  <c r="D17" i="3"/>
  <c r="C17" i="3"/>
  <c r="K3" i="3"/>
  <c r="H3" i="3"/>
  <c r="C3" i="3"/>
  <c r="J2" i="3"/>
  <c r="V101" i="2"/>
  <c r="U101" i="2"/>
  <c r="Q101" i="2"/>
  <c r="V100" i="2"/>
  <c r="U100" i="2"/>
  <c r="Q100" i="2"/>
  <c r="V99" i="2"/>
  <c r="U99" i="2"/>
  <c r="Q99" i="2"/>
  <c r="V98" i="2"/>
  <c r="U98" i="2"/>
  <c r="Q98" i="2"/>
  <c r="V97" i="2"/>
  <c r="U97" i="2"/>
  <c r="Q97" i="2"/>
  <c r="V96" i="2"/>
  <c r="U96" i="2"/>
  <c r="T96" i="2"/>
  <c r="S96" i="2"/>
  <c r="Q96" i="2"/>
  <c r="V95" i="2"/>
  <c r="U95" i="2"/>
  <c r="Q95" i="2"/>
  <c r="V94" i="2"/>
  <c r="U94" i="2"/>
  <c r="Q94" i="2"/>
  <c r="AD90" i="2"/>
  <c r="AB90" i="2"/>
  <c r="Z90" i="2"/>
  <c r="Y90" i="2"/>
  <c r="T90" i="2"/>
  <c r="R90" i="2"/>
  <c r="Q90" i="2"/>
  <c r="AD89" i="2"/>
  <c r="AB89" i="2"/>
  <c r="Z89" i="2"/>
  <c r="Y89" i="2"/>
  <c r="T89" i="2"/>
  <c r="R89" i="2"/>
  <c r="Q89" i="2"/>
  <c r="AD88" i="2"/>
  <c r="AB88" i="2"/>
  <c r="Z88" i="2"/>
  <c r="Y88" i="2"/>
  <c r="T88" i="2"/>
  <c r="R88" i="2"/>
  <c r="Q88" i="2"/>
  <c r="AD87" i="2"/>
  <c r="AB87" i="2"/>
  <c r="Z87" i="2"/>
  <c r="Y87" i="2"/>
  <c r="T87" i="2"/>
  <c r="R87" i="2"/>
  <c r="Q87" i="2"/>
  <c r="AD86" i="2"/>
  <c r="AB86" i="2"/>
  <c r="Z86" i="2"/>
  <c r="Y86" i="2"/>
  <c r="T86" i="2"/>
  <c r="R86" i="2"/>
  <c r="Q86" i="2"/>
  <c r="AD85" i="2"/>
  <c r="AB85" i="2"/>
  <c r="Z85" i="2"/>
  <c r="Y85" i="2"/>
  <c r="T85" i="2"/>
  <c r="R85" i="2"/>
  <c r="Q85" i="2"/>
  <c r="AD84" i="2"/>
  <c r="AB84" i="2"/>
  <c r="Z84" i="2"/>
  <c r="Y84" i="2"/>
  <c r="T84" i="2"/>
  <c r="R84" i="2"/>
  <c r="Q84" i="2"/>
  <c r="AD83" i="2"/>
  <c r="AB83" i="2"/>
  <c r="Z83" i="2"/>
  <c r="Y83" i="2"/>
  <c r="T83" i="2"/>
  <c r="R83" i="2"/>
  <c r="Q83" i="2"/>
  <c r="AD82" i="2"/>
  <c r="AB82" i="2"/>
  <c r="Z82" i="2"/>
  <c r="Y82" i="2"/>
  <c r="T82" i="2"/>
  <c r="R82" i="2"/>
  <c r="Q82" i="2"/>
  <c r="AD81" i="2"/>
  <c r="AB81" i="2"/>
  <c r="Z81" i="2"/>
  <c r="Y81" i="2"/>
  <c r="T81" i="2"/>
  <c r="R81" i="2"/>
  <c r="Q81" i="2"/>
  <c r="AD80" i="2"/>
  <c r="AB80" i="2"/>
  <c r="Z80" i="2"/>
  <c r="Y80" i="2"/>
  <c r="T80" i="2"/>
  <c r="R80" i="2"/>
  <c r="Q80" i="2"/>
  <c r="AD79" i="2"/>
  <c r="AB79" i="2"/>
  <c r="Z79" i="2"/>
  <c r="Y79" i="2"/>
  <c r="T79" i="2"/>
  <c r="R79" i="2"/>
  <c r="Q79" i="2"/>
  <c r="AD78" i="2"/>
  <c r="AB78" i="2"/>
  <c r="Z78" i="2"/>
  <c r="Y78" i="2"/>
  <c r="T78" i="2"/>
  <c r="R78" i="2"/>
  <c r="Q78" i="2"/>
  <c r="AD77" i="2"/>
  <c r="AB77" i="2"/>
  <c r="Z77" i="2"/>
  <c r="Y77" i="2"/>
  <c r="T77" i="2"/>
  <c r="R77" i="2"/>
  <c r="Q77" i="2"/>
  <c r="AD76" i="2"/>
  <c r="AB76" i="2"/>
  <c r="Z76" i="2"/>
  <c r="Y76" i="2"/>
  <c r="T76" i="2"/>
  <c r="R76" i="2"/>
  <c r="Q76" i="2"/>
  <c r="AD75" i="2"/>
  <c r="AB75" i="2"/>
  <c r="Z75" i="2"/>
  <c r="Y75" i="2"/>
  <c r="T75" i="2"/>
  <c r="R75" i="2"/>
  <c r="Q75" i="2"/>
  <c r="AD74" i="2"/>
  <c r="AB74" i="2"/>
  <c r="Z74" i="2"/>
  <c r="Y74" i="2"/>
  <c r="T74" i="2"/>
  <c r="R74" i="2"/>
  <c r="Q74" i="2"/>
  <c r="AD73" i="2"/>
  <c r="AB73" i="2"/>
  <c r="Z73" i="2"/>
  <c r="Y73" i="2"/>
  <c r="T73" i="2"/>
  <c r="R73" i="2"/>
  <c r="Q73" i="2"/>
  <c r="AD72" i="2"/>
  <c r="AB72" i="2"/>
  <c r="Z72" i="2"/>
  <c r="Y72" i="2"/>
  <c r="T72" i="2"/>
  <c r="R72" i="2"/>
  <c r="Q72" i="2"/>
  <c r="AD71" i="2"/>
  <c r="AB71" i="2"/>
  <c r="Z71" i="2"/>
  <c r="Y71" i="2"/>
  <c r="T71" i="2"/>
  <c r="R71" i="2"/>
  <c r="Q71" i="2"/>
  <c r="AD70" i="2"/>
  <c r="AB70" i="2"/>
  <c r="Z70" i="2"/>
  <c r="Y70" i="2"/>
  <c r="T70" i="2"/>
  <c r="R70" i="2"/>
  <c r="Q70" i="2"/>
  <c r="AD69" i="2"/>
  <c r="AB69" i="2"/>
  <c r="Z69" i="2"/>
  <c r="Y69" i="2"/>
  <c r="T69" i="2"/>
  <c r="R69" i="2"/>
  <c r="Q69" i="2"/>
  <c r="AD68" i="2"/>
  <c r="AB68" i="2"/>
  <c r="Z68" i="2"/>
  <c r="Y68" i="2"/>
  <c r="T68" i="2"/>
  <c r="R68" i="2"/>
  <c r="Q68" i="2"/>
  <c r="AD67" i="2"/>
  <c r="AB67" i="2"/>
  <c r="Z67" i="2"/>
  <c r="Y67" i="2"/>
  <c r="T67" i="2"/>
  <c r="R67" i="2"/>
  <c r="Q67" i="2"/>
  <c r="AD66" i="2"/>
  <c r="AB66" i="2"/>
  <c r="Z66" i="2"/>
  <c r="Y66" i="2"/>
  <c r="T66" i="2"/>
  <c r="R66" i="2"/>
  <c r="Q66" i="2"/>
  <c r="AD65" i="2"/>
  <c r="AB65" i="2"/>
  <c r="Z65" i="2"/>
  <c r="Y65" i="2"/>
  <c r="T65" i="2"/>
  <c r="R65" i="2"/>
  <c r="Q65" i="2"/>
  <c r="AD64" i="2"/>
  <c r="AB64" i="2"/>
  <c r="Z64" i="2"/>
  <c r="Y64" i="2"/>
  <c r="T64" i="2"/>
  <c r="R64" i="2"/>
  <c r="Q64" i="2"/>
  <c r="AD63" i="2"/>
  <c r="AB63" i="2"/>
  <c r="Z63" i="2"/>
  <c r="Y63" i="2"/>
  <c r="T63" i="2"/>
  <c r="R63" i="2"/>
  <c r="Q63" i="2"/>
  <c r="AD62" i="2"/>
  <c r="AB62" i="2"/>
  <c r="Z62" i="2"/>
  <c r="Y62" i="2"/>
  <c r="T62" i="2"/>
  <c r="R62" i="2"/>
  <c r="Q62" i="2"/>
  <c r="AD61" i="2"/>
  <c r="AB61" i="2"/>
  <c r="Z61" i="2"/>
  <c r="Y61" i="2"/>
  <c r="T61" i="2"/>
  <c r="R61" i="2"/>
  <c r="Q61" i="2"/>
  <c r="W4" i="2"/>
  <c r="U4" i="2"/>
  <c r="T4" i="2"/>
  <c r="S4" i="2"/>
  <c r="R4" i="2"/>
  <c r="Q4" i="2"/>
  <c r="K105" i="1"/>
  <c r="K104" i="1"/>
  <c r="J104" i="1"/>
  <c r="K103" i="1"/>
  <c r="J103" i="1"/>
  <c r="K102" i="1"/>
  <c r="J102" i="1"/>
  <c r="H17" i="1"/>
  <c r="G17" i="1"/>
  <c r="F17" i="1"/>
  <c r="E17" i="1"/>
  <c r="D17" i="1"/>
  <c r="C17" i="1"/>
  <c r="K3" i="1"/>
  <c r="H3" i="1"/>
  <c r="C3" i="1"/>
  <c r="J2" i="1"/>
  <c r="G80" i="1" l="1"/>
  <c r="G78" i="1"/>
  <c r="G79" i="3"/>
  <c r="G78" i="3"/>
  <c r="G79" i="1"/>
  <c r="S99" i="2"/>
  <c r="S97" i="2"/>
  <c r="T95" i="2"/>
  <c r="S95" i="2"/>
  <c r="T97" i="2"/>
  <c r="T98" i="2"/>
  <c r="T101" i="2"/>
  <c r="S98" i="2"/>
  <c r="T94" i="2"/>
  <c r="S94" i="2"/>
  <c r="S101" i="2"/>
  <c r="T100" i="2"/>
  <c r="S100" i="2"/>
  <c r="T99" i="2"/>
  <c r="K12" i="3"/>
  <c r="X86" i="2"/>
  <c r="X79" i="2"/>
  <c r="X78" i="2"/>
  <c r="X77" i="2"/>
  <c r="X76" i="2"/>
  <c r="X75" i="2"/>
  <c r="K12" i="1"/>
  <c r="L104" i="3"/>
  <c r="K106" i="3"/>
  <c r="J106" i="3"/>
  <c r="L106" i="3" s="1"/>
  <c r="L103" i="3"/>
  <c r="L102" i="3"/>
  <c r="AK101" i="2"/>
  <c r="AJ101" i="2"/>
  <c r="AI101" i="2"/>
  <c r="AH101" i="2"/>
  <c r="AG101" i="2"/>
  <c r="AF101" i="2"/>
  <c r="X101" i="2"/>
  <c r="W101" i="2"/>
  <c r="AK100" i="2"/>
  <c r="AJ100" i="2"/>
  <c r="AI100" i="2"/>
  <c r="AH100" i="2"/>
  <c r="AG100" i="2"/>
  <c r="AF100" i="2"/>
  <c r="X100" i="2"/>
  <c r="W100" i="2"/>
  <c r="AK99" i="2"/>
  <c r="AJ99" i="2"/>
  <c r="AI99" i="2"/>
  <c r="AH99" i="2"/>
  <c r="AG99" i="2"/>
  <c r="AF99" i="2"/>
  <c r="X99" i="2"/>
  <c r="W99" i="2"/>
  <c r="AK98" i="2"/>
  <c r="AJ98" i="2"/>
  <c r="AI98" i="2"/>
  <c r="AH98" i="2"/>
  <c r="AG98" i="2"/>
  <c r="AF98" i="2"/>
  <c r="AW98" i="2" s="1"/>
  <c r="X98" i="2"/>
  <c r="W98" i="2"/>
  <c r="AK97" i="2"/>
  <c r="AJ97" i="2"/>
  <c r="AI97" i="2"/>
  <c r="AH97" i="2"/>
  <c r="AG97" i="2"/>
  <c r="AF97" i="2"/>
  <c r="X97" i="2"/>
  <c r="W97" i="2"/>
  <c r="AK96" i="2"/>
  <c r="AJ96" i="2"/>
  <c r="AI96" i="2"/>
  <c r="AH96" i="2"/>
  <c r="AG96" i="2"/>
  <c r="AF96" i="2"/>
  <c r="X96" i="2"/>
  <c r="W96" i="2"/>
  <c r="AK95" i="2"/>
  <c r="AJ95" i="2"/>
  <c r="AI95" i="2"/>
  <c r="AH95" i="2"/>
  <c r="AG95" i="2"/>
  <c r="AF95" i="2"/>
  <c r="X95" i="2"/>
  <c r="W95" i="2"/>
  <c r="AK94" i="2"/>
  <c r="AJ94" i="2"/>
  <c r="AI94" i="2"/>
  <c r="AH94" i="2"/>
  <c r="AG94" i="2"/>
  <c r="AF94" i="2"/>
  <c r="X94" i="2"/>
  <c r="W94" i="2"/>
  <c r="AE90" i="2"/>
  <c r="AC90" i="2"/>
  <c r="AA90" i="2"/>
  <c r="X90" i="2"/>
  <c r="U90" i="2"/>
  <c r="S90" i="2"/>
  <c r="W90" i="2" s="1"/>
  <c r="AE89" i="2"/>
  <c r="AC89" i="2"/>
  <c r="AA89" i="2"/>
  <c r="X89" i="2"/>
  <c r="U89" i="2"/>
  <c r="S89" i="2"/>
  <c r="W89" i="2" s="1"/>
  <c r="AE88" i="2"/>
  <c r="AC88" i="2"/>
  <c r="AA88" i="2"/>
  <c r="X88" i="2"/>
  <c r="U88" i="2"/>
  <c r="S88" i="2"/>
  <c r="W88" i="2" s="1"/>
  <c r="AE87" i="2"/>
  <c r="AC87" i="2"/>
  <c r="AA87" i="2"/>
  <c r="X87" i="2"/>
  <c r="U87" i="2"/>
  <c r="S87" i="2"/>
  <c r="W87" i="2" s="1"/>
  <c r="AE86" i="2"/>
  <c r="AC86" i="2"/>
  <c r="AA86" i="2"/>
  <c r="U86" i="2"/>
  <c r="S86" i="2"/>
  <c r="W86" i="2" s="1"/>
  <c r="AC78" i="2"/>
  <c r="U78" i="2"/>
  <c r="S78" i="2"/>
  <c r="W78" i="2" s="1"/>
  <c r="AE77" i="2"/>
  <c r="AC77" i="2"/>
  <c r="AE76" i="2"/>
  <c r="AA76" i="2"/>
  <c r="AE85" i="2"/>
  <c r="AC85" i="2"/>
  <c r="AA85" i="2"/>
  <c r="X85" i="2"/>
  <c r="U85" i="2"/>
  <c r="S85" i="2"/>
  <c r="W85" i="2" s="1"/>
  <c r="AE84" i="2"/>
  <c r="AC84" i="2"/>
  <c r="AA84" i="2"/>
  <c r="X84" i="2"/>
  <c r="U84" i="2"/>
  <c r="S84" i="2"/>
  <c r="W84" i="2" s="1"/>
  <c r="AE83" i="2"/>
  <c r="AC83" i="2"/>
  <c r="AA83" i="2"/>
  <c r="X83" i="2"/>
  <c r="U83" i="2"/>
  <c r="S83" i="2"/>
  <c r="W83" i="2" s="1"/>
  <c r="AE82" i="2"/>
  <c r="AC82" i="2"/>
  <c r="AA82" i="2"/>
  <c r="X82" i="2"/>
  <c r="U82" i="2"/>
  <c r="S82" i="2"/>
  <c r="W82" i="2" s="1"/>
  <c r="AE81" i="2"/>
  <c r="AC81" i="2"/>
  <c r="AA81" i="2"/>
  <c r="X81" i="2"/>
  <c r="U81" i="2"/>
  <c r="S81" i="2"/>
  <c r="W81" i="2" s="1"/>
  <c r="AE80" i="2"/>
  <c r="AC80" i="2"/>
  <c r="AA80" i="2"/>
  <c r="X80" i="2"/>
  <c r="U80" i="2"/>
  <c r="S80" i="2"/>
  <c r="W80" i="2" s="1"/>
  <c r="AE79" i="2"/>
  <c r="AC79" i="2"/>
  <c r="AA79" i="2"/>
  <c r="U79" i="2"/>
  <c r="S79" i="2"/>
  <c r="W79" i="2" s="1"/>
  <c r="AE78" i="2"/>
  <c r="AA78" i="2"/>
  <c r="AA77" i="2"/>
  <c r="U77" i="2"/>
  <c r="S77" i="2"/>
  <c r="W77" i="2" s="1"/>
  <c r="AC76" i="2"/>
  <c r="U76" i="2"/>
  <c r="S76" i="2"/>
  <c r="W76" i="2" s="1"/>
  <c r="AE75" i="2"/>
  <c r="AC75" i="2"/>
  <c r="AA75" i="2"/>
  <c r="U75" i="2"/>
  <c r="S75" i="2"/>
  <c r="W75" i="2" s="1"/>
  <c r="AE74" i="2"/>
  <c r="AC74" i="2"/>
  <c r="AA74" i="2"/>
  <c r="X74" i="2"/>
  <c r="U74" i="2"/>
  <c r="S74" i="2"/>
  <c r="W74" i="2" s="1"/>
  <c r="AE73" i="2"/>
  <c r="AC73" i="2"/>
  <c r="AA73" i="2"/>
  <c r="X73" i="2"/>
  <c r="U73" i="2"/>
  <c r="S73" i="2"/>
  <c r="W73" i="2" s="1"/>
  <c r="AE72" i="2"/>
  <c r="AC72" i="2"/>
  <c r="AA72" i="2"/>
  <c r="X72" i="2"/>
  <c r="U72" i="2"/>
  <c r="S72" i="2"/>
  <c r="W72" i="2" s="1"/>
  <c r="AE71" i="2"/>
  <c r="AC71" i="2"/>
  <c r="AA71" i="2"/>
  <c r="X71" i="2"/>
  <c r="U71" i="2"/>
  <c r="S71" i="2"/>
  <c r="W71" i="2" s="1"/>
  <c r="AE70" i="2"/>
  <c r="AC70" i="2"/>
  <c r="AA70" i="2"/>
  <c r="X70" i="2"/>
  <c r="U70" i="2"/>
  <c r="S70" i="2"/>
  <c r="W70" i="2" s="1"/>
  <c r="AE69" i="2"/>
  <c r="AC69" i="2"/>
  <c r="AA69" i="2"/>
  <c r="X69" i="2"/>
  <c r="U69" i="2"/>
  <c r="S69" i="2"/>
  <c r="W69" i="2" s="1"/>
  <c r="AE68" i="2"/>
  <c r="AC68" i="2"/>
  <c r="AA68" i="2"/>
  <c r="X68" i="2"/>
  <c r="U68" i="2"/>
  <c r="S68" i="2"/>
  <c r="W68" i="2" s="1"/>
  <c r="AE67" i="2"/>
  <c r="AC67" i="2"/>
  <c r="AA67" i="2"/>
  <c r="X67" i="2"/>
  <c r="U67" i="2"/>
  <c r="S67" i="2"/>
  <c r="W67" i="2" s="1"/>
  <c r="AE66" i="2"/>
  <c r="AC66" i="2"/>
  <c r="AA66" i="2"/>
  <c r="X66" i="2"/>
  <c r="U66" i="2"/>
  <c r="S66" i="2"/>
  <c r="W66" i="2" s="1"/>
  <c r="AE65" i="2"/>
  <c r="AC65" i="2"/>
  <c r="AA65" i="2"/>
  <c r="X65" i="2"/>
  <c r="U65" i="2"/>
  <c r="S65" i="2"/>
  <c r="W65" i="2" s="1"/>
  <c r="AE64" i="2"/>
  <c r="AC64" i="2"/>
  <c r="AA64" i="2"/>
  <c r="X64" i="2"/>
  <c r="U64" i="2"/>
  <c r="S64" i="2"/>
  <c r="W64" i="2" s="1"/>
  <c r="AE62" i="2"/>
  <c r="AC62" i="2"/>
  <c r="AA62" i="2"/>
  <c r="X62" i="2"/>
  <c r="U62" i="2"/>
  <c r="S62" i="2"/>
  <c r="W62" i="2" s="1"/>
  <c r="AE61" i="2"/>
  <c r="AC61" i="2"/>
  <c r="AA61" i="2"/>
  <c r="X61" i="2"/>
  <c r="U61" i="2"/>
  <c r="K106" i="1"/>
  <c r="J106" i="1"/>
  <c r="L104" i="1"/>
  <c r="AE63" i="2"/>
  <c r="AC63" i="2"/>
  <c r="AA63" i="2"/>
  <c r="X63" i="2"/>
  <c r="U63" i="2"/>
  <c r="S63" i="2"/>
  <c r="W63" i="2" s="1"/>
  <c r="S61" i="2"/>
  <c r="W61" i="2" s="1"/>
  <c r="L103" i="1"/>
  <c r="L102" i="1"/>
  <c r="F19" i="1" l="1"/>
  <c r="E19" i="1"/>
  <c r="D19" i="1"/>
  <c r="AW99" i="2"/>
  <c r="AW96" i="2"/>
  <c r="AS86" i="2"/>
  <c r="AR86" i="2"/>
  <c r="AR78" i="2"/>
  <c r="AS77" i="2"/>
  <c r="AR77" i="2"/>
  <c r="AS76" i="2"/>
  <c r="AW100" i="2"/>
  <c r="AW97" i="2"/>
  <c r="AW101" i="2"/>
  <c r="G19" i="1"/>
  <c r="AS79" i="2"/>
  <c r="AR79" i="2"/>
  <c r="AS78" i="2"/>
  <c r="AR76" i="2"/>
  <c r="AS75" i="2"/>
  <c r="AR75" i="2"/>
  <c r="H19" i="1"/>
  <c r="I78" i="3"/>
  <c r="E78" i="3"/>
  <c r="L106" i="1"/>
  <c r="AS69" i="2"/>
  <c r="AR69" i="2"/>
  <c r="E78" i="1"/>
  <c r="I78" i="1"/>
  <c r="AL101" i="2"/>
  <c r="AM101" i="2"/>
  <c r="AN101" i="2"/>
  <c r="AO101" i="2"/>
  <c r="AP101" i="2"/>
  <c r="AQ101" i="2"/>
  <c r="AR101" i="2"/>
  <c r="AS101" i="2"/>
  <c r="AL100" i="2"/>
  <c r="AM100" i="2"/>
  <c r="AN100" i="2"/>
  <c r="AO100" i="2"/>
  <c r="AP100" i="2"/>
  <c r="AQ100" i="2"/>
  <c r="AR100" i="2"/>
  <c r="AS100" i="2"/>
  <c r="AL99" i="2"/>
  <c r="AM99" i="2"/>
  <c r="AN99" i="2"/>
  <c r="AO99" i="2"/>
  <c r="AP99" i="2"/>
  <c r="AQ99" i="2"/>
  <c r="AR99" i="2"/>
  <c r="AS99" i="2"/>
  <c r="AL98" i="2"/>
  <c r="AM98" i="2"/>
  <c r="AN98" i="2"/>
  <c r="AO98" i="2"/>
  <c r="AP98" i="2"/>
  <c r="AQ98" i="2"/>
  <c r="AR98" i="2"/>
  <c r="AS98" i="2"/>
  <c r="AL97" i="2"/>
  <c r="AM97" i="2"/>
  <c r="AN97" i="2"/>
  <c r="AO97" i="2"/>
  <c r="AP97" i="2"/>
  <c r="AQ97" i="2"/>
  <c r="AR97" i="2"/>
  <c r="AS97" i="2"/>
  <c r="AL96" i="2"/>
  <c r="AM96" i="2"/>
  <c r="AN96" i="2"/>
  <c r="AO96" i="2"/>
  <c r="AP96" i="2"/>
  <c r="AQ96" i="2"/>
  <c r="AR96" i="2"/>
  <c r="AS96" i="2"/>
  <c r="AL95" i="2"/>
  <c r="AM95" i="2"/>
  <c r="AN95" i="2"/>
  <c r="AO95" i="2"/>
  <c r="AP95" i="2"/>
  <c r="AQ95" i="2"/>
  <c r="AR95" i="2"/>
  <c r="AS95" i="2"/>
  <c r="AW94" i="2"/>
  <c r="C19" i="1"/>
  <c r="J86" i="1"/>
  <c r="AL94" i="2"/>
  <c r="AM94" i="2"/>
  <c r="AN94" i="2"/>
  <c r="AO94" i="2"/>
  <c r="AP94" i="2"/>
  <c r="AQ94" i="2"/>
  <c r="AR94" i="2"/>
  <c r="AS94" i="2"/>
  <c r="V90" i="2"/>
  <c r="AH90" i="2"/>
  <c r="AI90" i="2"/>
  <c r="AJ90" i="2"/>
  <c r="AK90" i="2"/>
  <c r="V89" i="2"/>
  <c r="AI89" i="2"/>
  <c r="AJ89" i="2"/>
  <c r="AK89" i="2"/>
  <c r="V88" i="2"/>
  <c r="AH88" i="2"/>
  <c r="AI88" i="2"/>
  <c r="AJ88" i="2"/>
  <c r="AK88" i="2"/>
  <c r="V87" i="2"/>
  <c r="AI87" i="2"/>
  <c r="AJ87" i="2"/>
  <c r="AK87" i="2"/>
  <c r="V86" i="2"/>
  <c r="AG86" i="2"/>
  <c r="AM86" i="2" s="1"/>
  <c r="AH86" i="2"/>
  <c r="AN86" i="2" s="1"/>
  <c r="AI86" i="2"/>
  <c r="AO86" i="2" s="1"/>
  <c r="AJ86" i="2"/>
  <c r="AP86" i="2" s="1"/>
  <c r="AK86" i="2"/>
  <c r="AQ86" i="2" s="1"/>
  <c r="V78" i="2"/>
  <c r="AF78" i="2"/>
  <c r="AH78" i="2"/>
  <c r="AN78" i="2" s="1"/>
  <c r="AJ78" i="2"/>
  <c r="AP78" i="2" s="1"/>
  <c r="V85" i="2"/>
  <c r="V84" i="2"/>
  <c r="AF84" i="2"/>
  <c r="AG84" i="2"/>
  <c r="AH84" i="2"/>
  <c r="AI84" i="2"/>
  <c r="AJ84" i="2"/>
  <c r="AK84" i="2"/>
  <c r="V83" i="2"/>
  <c r="AH83" i="2"/>
  <c r="AI83" i="2"/>
  <c r="AJ83" i="2"/>
  <c r="AK83" i="2"/>
  <c r="V82" i="2"/>
  <c r="AG82" i="2"/>
  <c r="AH82" i="2"/>
  <c r="AI82" i="2"/>
  <c r="AJ82" i="2"/>
  <c r="AK82" i="2"/>
  <c r="V81" i="2"/>
  <c r="AK81" i="2"/>
  <c r="V80" i="2"/>
  <c r="AI80" i="2"/>
  <c r="AJ80" i="2"/>
  <c r="AK80" i="2"/>
  <c r="V79" i="2"/>
  <c r="AH79" i="2"/>
  <c r="AN79" i="2" s="1"/>
  <c r="AI79" i="2"/>
  <c r="AO79" i="2" s="1"/>
  <c r="AJ79" i="2"/>
  <c r="AP79" i="2" s="1"/>
  <c r="AK79" i="2"/>
  <c r="AQ79" i="2" s="1"/>
  <c r="V77" i="2"/>
  <c r="AF77" i="2"/>
  <c r="AI77" i="2"/>
  <c r="AO77" i="2" s="1"/>
  <c r="AK77" i="2"/>
  <c r="AQ77" i="2" s="1"/>
  <c r="AG77" i="2"/>
  <c r="AM77" i="2" s="1"/>
  <c r="V76" i="2"/>
  <c r="AH76" i="2"/>
  <c r="AN76" i="2" s="1"/>
  <c r="AI76" i="2"/>
  <c r="AO76" i="2" s="1"/>
  <c r="AJ76" i="2"/>
  <c r="AP76" i="2" s="1"/>
  <c r="AG76" i="2"/>
  <c r="AM76" i="2" s="1"/>
  <c r="AK76" i="2"/>
  <c r="AQ76" i="2" s="1"/>
  <c r="V75" i="2"/>
  <c r="AF75" i="2"/>
  <c r="AG75" i="2"/>
  <c r="AM75" i="2" s="1"/>
  <c r="AH75" i="2"/>
  <c r="AN75" i="2" s="1"/>
  <c r="AI75" i="2"/>
  <c r="AO75" i="2" s="1"/>
  <c r="AJ75" i="2"/>
  <c r="AP75" i="2" s="1"/>
  <c r="AK75" i="2"/>
  <c r="AQ75" i="2" s="1"/>
  <c r="AR74" i="2"/>
  <c r="AS74" i="2"/>
  <c r="V74" i="2"/>
  <c r="AF74" i="2"/>
  <c r="AG74" i="2"/>
  <c r="AH74" i="2"/>
  <c r="AI74" i="2"/>
  <c r="AJ74" i="2"/>
  <c r="AK74" i="2"/>
  <c r="V73" i="2"/>
  <c r="AG73" i="2"/>
  <c r="AH73" i="2"/>
  <c r="AI73" i="2"/>
  <c r="AJ73" i="2"/>
  <c r="V72" i="2"/>
  <c r="V71" i="2"/>
  <c r="V70" i="2"/>
  <c r="AF70" i="2"/>
  <c r="AG70" i="2"/>
  <c r="AH70" i="2"/>
  <c r="AI70" i="2"/>
  <c r="AJ70" i="2"/>
  <c r="AK70" i="2"/>
  <c r="V69" i="2"/>
  <c r="AF69" i="2"/>
  <c r="AG69" i="2"/>
  <c r="AM69" i="2" s="1"/>
  <c r="AH69" i="2"/>
  <c r="AN69" i="2" s="1"/>
  <c r="AI69" i="2"/>
  <c r="AO69" i="2" s="1"/>
  <c r="AJ69" i="2"/>
  <c r="AP69" i="2" s="1"/>
  <c r="AK69" i="2"/>
  <c r="AQ69" i="2" s="1"/>
  <c r="V68" i="2"/>
  <c r="AF68" i="2"/>
  <c r="AG68" i="2"/>
  <c r="AH68" i="2"/>
  <c r="AI68" i="2"/>
  <c r="AJ68" i="2"/>
  <c r="AK68" i="2"/>
  <c r="V67" i="2"/>
  <c r="AF67" i="2"/>
  <c r="AG67" i="2"/>
  <c r="AH67" i="2"/>
  <c r="AI67" i="2"/>
  <c r="AJ67" i="2"/>
  <c r="AK67" i="2"/>
  <c r="V66" i="2"/>
  <c r="AF66" i="2"/>
  <c r="AG66" i="2"/>
  <c r="AH66" i="2"/>
  <c r="AI66" i="2"/>
  <c r="AJ66" i="2"/>
  <c r="AK66" i="2"/>
  <c r="V65" i="2"/>
  <c r="AF65" i="2"/>
  <c r="AG65" i="2"/>
  <c r="AH65" i="2"/>
  <c r="AI65" i="2"/>
  <c r="AJ65" i="2"/>
  <c r="AK65" i="2"/>
  <c r="V64" i="2"/>
  <c r="AF64" i="2"/>
  <c r="AG64" i="2"/>
  <c r="AH64" i="2"/>
  <c r="AI64" i="2"/>
  <c r="AJ64" i="2"/>
  <c r="AK64" i="2"/>
  <c r="V62" i="2"/>
  <c r="AF62" i="2"/>
  <c r="AG62" i="2"/>
  <c r="AH62" i="2"/>
  <c r="AI62" i="2"/>
  <c r="AJ62" i="2"/>
  <c r="AK62" i="2"/>
  <c r="V61" i="2"/>
  <c r="AH61" i="2"/>
  <c r="AI61" i="2"/>
  <c r="AJ61" i="2"/>
  <c r="AK61" i="2"/>
  <c r="AR63" i="2"/>
  <c r="AS63" i="2"/>
  <c r="V63" i="2"/>
  <c r="AF63" i="2"/>
  <c r="AG63" i="2"/>
  <c r="AH63" i="2"/>
  <c r="AI63" i="2"/>
  <c r="AJ63" i="2"/>
  <c r="AK63" i="2"/>
  <c r="AS87" i="2"/>
  <c r="AS81" i="2"/>
  <c r="AW95" i="2"/>
  <c r="AR90" i="2"/>
  <c r="AS89" i="2"/>
  <c r="AR88" i="2"/>
  <c r="AS85" i="2"/>
  <c r="AR82" i="2"/>
  <c r="AR81" i="2"/>
  <c r="AR80" i="2"/>
  <c r="AR89" i="2"/>
  <c r="AR85" i="2"/>
  <c r="AS84" i="2"/>
  <c r="AR87" i="2"/>
  <c r="AR83" i="2"/>
  <c r="AS80" i="2"/>
  <c r="AS73" i="2"/>
  <c r="AR73" i="2"/>
  <c r="AS72" i="2"/>
  <c r="AR72" i="2"/>
  <c r="AS71" i="2"/>
  <c r="AR71" i="2"/>
  <c r="AS70" i="2"/>
  <c r="AR70" i="2"/>
  <c r="AS90" i="2"/>
  <c r="AS88" i="2"/>
  <c r="AS83" i="2"/>
  <c r="AS82" i="2"/>
  <c r="AS68" i="2"/>
  <c r="AR68" i="2"/>
  <c r="AS67" i="2"/>
  <c r="AR67" i="2"/>
  <c r="AS66" i="2"/>
  <c r="AR66" i="2"/>
  <c r="AS65" i="2"/>
  <c r="AR65" i="2"/>
  <c r="AS64" i="2"/>
  <c r="AR64" i="2"/>
  <c r="AS62" i="2"/>
  <c r="AR62" i="2"/>
  <c r="AS61" i="2"/>
  <c r="AR84" i="2"/>
  <c r="AH77" i="2" l="1"/>
  <c r="AN77" i="2" s="1"/>
  <c r="AJ77" i="2"/>
  <c r="AP77" i="2" s="1"/>
  <c r="AG89" i="2"/>
  <c r="AG79" i="2"/>
  <c r="AM79" i="2" s="1"/>
  <c r="AH89" i="2"/>
  <c r="AG88" i="2"/>
  <c r="AG83" i="2"/>
  <c r="AJ81" i="2"/>
  <c r="AF71" i="2"/>
  <c r="AG71" i="2"/>
  <c r="AH71" i="2"/>
  <c r="AI71" i="2"/>
  <c r="AJ71" i="2"/>
  <c r="AK71" i="2"/>
  <c r="AF72" i="2"/>
  <c r="AG72" i="2"/>
  <c r="AF83" i="2"/>
  <c r="AH72" i="2"/>
  <c r="AI72" i="2"/>
  <c r="AJ72" i="2"/>
  <c r="AK72" i="2"/>
  <c r="G19" i="3"/>
  <c r="AP70" i="2"/>
  <c r="AO70" i="2"/>
  <c r="AN70" i="2"/>
  <c r="AM70" i="2"/>
  <c r="AL70" i="2"/>
  <c r="AL84" i="2"/>
  <c r="AO83" i="2"/>
  <c r="AP84" i="2"/>
  <c r="AQ82" i="2"/>
  <c r="AO82" i="2"/>
  <c r="AF90" i="2"/>
  <c r="AH87" i="2"/>
  <c r="AH80" i="2"/>
  <c r="AG61" i="2"/>
  <c r="AF85" i="2"/>
  <c r="AG85" i="2"/>
  <c r="AH85" i="2"/>
  <c r="AI85" i="2"/>
  <c r="AJ85" i="2"/>
  <c r="AP85" i="2" s="1"/>
  <c r="AK85" i="2"/>
  <c r="AQ85" i="2" s="1"/>
  <c r="AQ70" i="2"/>
  <c r="AG81" i="2"/>
  <c r="AM81" i="2" s="1"/>
  <c r="AG80" i="2"/>
  <c r="AM80" i="2" s="1"/>
  <c r="AF76" i="2"/>
  <c r="AG90" i="2"/>
  <c r="AG87" i="2"/>
  <c r="AF82" i="2"/>
  <c r="AF81" i="2"/>
  <c r="AI81" i="2"/>
  <c r="AF80" i="2"/>
  <c r="AF79" i="2"/>
  <c r="AF89" i="2"/>
  <c r="AF86" i="2"/>
  <c r="AH81" i="2"/>
  <c r="AF73" i="2"/>
  <c r="AK73" i="2"/>
  <c r="AP80" i="2"/>
  <c r="F23" i="3"/>
  <c r="G23" i="3"/>
  <c r="H23" i="3"/>
  <c r="D23" i="1"/>
  <c r="E23" i="1"/>
  <c r="F23" i="1"/>
  <c r="G23" i="1"/>
  <c r="H23" i="1"/>
  <c r="AO80" i="2"/>
  <c r="AQ81" i="2"/>
  <c r="AP74" i="2"/>
  <c r="AO74" i="2"/>
  <c r="AN74" i="2"/>
  <c r="AM74" i="2"/>
  <c r="AL74" i="2"/>
  <c r="AP73" i="2"/>
  <c r="AO73" i="2"/>
  <c r="AN73" i="2"/>
  <c r="AM73" i="2"/>
  <c r="AO84" i="2"/>
  <c r="AM84" i="2"/>
  <c r="AQ84" i="2"/>
  <c r="AN84" i="2"/>
  <c r="AN83" i="2"/>
  <c r="AM82" i="2"/>
  <c r="AP83" i="2"/>
  <c r="AP82" i="2"/>
  <c r="AR61" i="2"/>
  <c r="AF61" i="2"/>
  <c r="AT101" i="2"/>
  <c r="AU101" i="2"/>
  <c r="AV101" i="2"/>
  <c r="AT100" i="2"/>
  <c r="AU100" i="2"/>
  <c r="AV100" i="2"/>
  <c r="AT99" i="2"/>
  <c r="AU99" i="2"/>
  <c r="AV99" i="2"/>
  <c r="AT98" i="2"/>
  <c r="AU98" i="2"/>
  <c r="AV98" i="2"/>
  <c r="AT97" i="2"/>
  <c r="AU97" i="2"/>
  <c r="AV97" i="2"/>
  <c r="AT96" i="2"/>
  <c r="AU96" i="2"/>
  <c r="AV96" i="2"/>
  <c r="AT95" i="2"/>
  <c r="AU95" i="2"/>
  <c r="AV95" i="2"/>
  <c r="I19" i="1"/>
  <c r="J19" i="1" s="1"/>
  <c r="K86" i="1"/>
  <c r="L86" i="1" s="1"/>
  <c r="AT94" i="2"/>
  <c r="AU94" i="2"/>
  <c r="AV94" i="2"/>
  <c r="C23" i="1"/>
  <c r="AL78" i="2"/>
  <c r="AL77" i="2"/>
  <c r="AL75" i="2"/>
  <c r="AW75" i="2"/>
  <c r="C19" i="3"/>
  <c r="J86" i="3"/>
  <c r="AF88" i="2"/>
  <c r="AG78" i="2"/>
  <c r="AM78" i="2" s="1"/>
  <c r="AI78" i="2"/>
  <c r="AO78" i="2" s="1"/>
  <c r="AK78" i="2"/>
  <c r="AQ78" i="2" s="1"/>
  <c r="AW84" i="2"/>
  <c r="AQ74" i="2"/>
  <c r="AW74" i="2"/>
  <c r="AW70" i="2"/>
  <c r="AW69" i="2"/>
  <c r="AW68" i="2"/>
  <c r="AW67" i="2"/>
  <c r="AW66" i="2"/>
  <c r="AW65" i="2"/>
  <c r="AW64" i="2"/>
  <c r="AW62" i="2"/>
  <c r="AL63" i="2"/>
  <c r="AM63" i="2"/>
  <c r="AN63" i="2"/>
  <c r="AO63" i="2"/>
  <c r="AP63" i="2"/>
  <c r="AQ63" i="2"/>
  <c r="AW63" i="2"/>
  <c r="AF87" i="2"/>
  <c r="AO90" i="2"/>
  <c r="AQ89" i="2"/>
  <c r="AO88" i="2"/>
  <c r="AQ83" i="2"/>
  <c r="AN82" i="2"/>
  <c r="AQ80" i="2"/>
  <c r="AP89" i="2"/>
  <c r="AQ88" i="2"/>
  <c r="AQ87" i="2"/>
  <c r="H19" i="3"/>
  <c r="F19" i="3"/>
  <c r="D19" i="3"/>
  <c r="AP90" i="2"/>
  <c r="AN90" i="2"/>
  <c r="AP88" i="2"/>
  <c r="AN88" i="2"/>
  <c r="AP87" i="2"/>
  <c r="AO87" i="2"/>
  <c r="AL69" i="2"/>
  <c r="AQ68" i="2"/>
  <c r="AP68" i="2"/>
  <c r="AO68" i="2"/>
  <c r="AN68" i="2"/>
  <c r="AM68" i="2"/>
  <c r="AL68" i="2"/>
  <c r="AQ67" i="2"/>
  <c r="AP67" i="2"/>
  <c r="AO67" i="2"/>
  <c r="AN67" i="2"/>
  <c r="AM67" i="2"/>
  <c r="AL67" i="2"/>
  <c r="AQ66" i="2"/>
  <c r="AP66" i="2"/>
  <c r="AO66" i="2"/>
  <c r="AN66" i="2"/>
  <c r="AM66" i="2"/>
  <c r="AL66" i="2"/>
  <c r="AQ65" i="2"/>
  <c r="AP65" i="2"/>
  <c r="AO65" i="2"/>
  <c r="AN65" i="2"/>
  <c r="AM65" i="2"/>
  <c r="AL65" i="2"/>
  <c r="AQ64" i="2"/>
  <c r="AP64" i="2"/>
  <c r="AO64" i="2"/>
  <c r="AN64" i="2"/>
  <c r="AM64" i="2"/>
  <c r="AL64" i="2"/>
  <c r="AQ62" i="2"/>
  <c r="AP62" i="2"/>
  <c r="AO62" i="2"/>
  <c r="AN62" i="2"/>
  <c r="AM62" i="2"/>
  <c r="AL62" i="2"/>
  <c r="F30" i="1"/>
  <c r="AQ61" i="2"/>
  <c r="AP61" i="2"/>
  <c r="AO61" i="2"/>
  <c r="AN61" i="2"/>
  <c r="E19" i="3"/>
  <c r="AQ90" i="2"/>
  <c r="AO89" i="2"/>
  <c r="AP81" i="2" l="1"/>
  <c r="AQ72" i="2"/>
  <c r="AP72" i="2"/>
  <c r="AO72" i="2"/>
  <c r="AN72" i="2"/>
  <c r="AM72" i="2"/>
  <c r="AL72" i="2"/>
  <c r="AQ71" i="2"/>
  <c r="AP71" i="2"/>
  <c r="AO71" i="2"/>
  <c r="AN71" i="2"/>
  <c r="AM71" i="2"/>
  <c r="AL71" i="2"/>
  <c r="AL83" i="2"/>
  <c r="AM83" i="2"/>
  <c r="AW77" i="2"/>
  <c r="AW83" i="2"/>
  <c r="AW72" i="2"/>
  <c r="AW71" i="2"/>
  <c r="AN89" i="2"/>
  <c r="AM88" i="2"/>
  <c r="AM89" i="2"/>
  <c r="C23" i="3"/>
  <c r="D23" i="3"/>
  <c r="AT70" i="2"/>
  <c r="AL90" i="2"/>
  <c r="AM61" i="2"/>
  <c r="AN87" i="2"/>
  <c r="AN80" i="2"/>
  <c r="AO85" i="2"/>
  <c r="AN85" i="2"/>
  <c r="AL85" i="2"/>
  <c r="AM85" i="2"/>
  <c r="AV70" i="2"/>
  <c r="AU70" i="2"/>
  <c r="G18" i="1"/>
  <c r="G20" i="1" s="1"/>
  <c r="AW85" i="2"/>
  <c r="AO81" i="2"/>
  <c r="AN81" i="2"/>
  <c r="AW89" i="2"/>
  <c r="AQ73" i="2"/>
  <c r="AL73" i="2"/>
  <c r="AL82" i="2"/>
  <c r="AW86" i="2"/>
  <c r="AL79" i="2"/>
  <c r="AL76" i="2"/>
  <c r="AW81" i="2"/>
  <c r="AW80" i="2"/>
  <c r="H18" i="1"/>
  <c r="H20" i="1" s="1"/>
  <c r="AL81" i="2"/>
  <c r="AL86" i="2"/>
  <c r="AW79" i="2"/>
  <c r="AW76" i="2"/>
  <c r="AW82" i="2"/>
  <c r="AW73" i="2"/>
  <c r="D18" i="1"/>
  <c r="D20" i="1" s="1"/>
  <c r="E18" i="1"/>
  <c r="E20" i="1" s="1"/>
  <c r="F18" i="1"/>
  <c r="F20" i="1" s="1"/>
  <c r="AW90" i="2"/>
  <c r="AL80" i="2"/>
  <c r="AM90" i="2"/>
  <c r="AL89" i="2"/>
  <c r="AM87" i="2"/>
  <c r="I23" i="1"/>
  <c r="J23" i="1" s="1"/>
  <c r="E23" i="3"/>
  <c r="E18" i="3"/>
  <c r="E20" i="3" s="1"/>
  <c r="F18" i="3"/>
  <c r="F20" i="3" s="1"/>
  <c r="AT74" i="2"/>
  <c r="AV72" i="2"/>
  <c r="AT72" i="2"/>
  <c r="AU71" i="2"/>
  <c r="AW78" i="2"/>
  <c r="AU72" i="2"/>
  <c r="AV71" i="2"/>
  <c r="AT71" i="2"/>
  <c r="AL61" i="2"/>
  <c r="AV61" i="2" s="1"/>
  <c r="AV83" i="2"/>
  <c r="AU83" i="2"/>
  <c r="AT83" i="2"/>
  <c r="AV74" i="2"/>
  <c r="AU74" i="2"/>
  <c r="AV84" i="2"/>
  <c r="AU84" i="2"/>
  <c r="AT84" i="2"/>
  <c r="J85" i="1"/>
  <c r="B12" i="1"/>
  <c r="C18" i="1"/>
  <c r="AW61" i="2"/>
  <c r="D30" i="1"/>
  <c r="AV78" i="2"/>
  <c r="AT78" i="2"/>
  <c r="AU78" i="2"/>
  <c r="AV77" i="2"/>
  <c r="AU77" i="2"/>
  <c r="AT77" i="2"/>
  <c r="AV75" i="2"/>
  <c r="AU75" i="2"/>
  <c r="AT75" i="2"/>
  <c r="I19" i="3"/>
  <c r="J19" i="3" s="1"/>
  <c r="K86" i="3"/>
  <c r="L86" i="3" s="1"/>
  <c r="H18" i="3"/>
  <c r="H20" i="3" s="1"/>
  <c r="J85" i="3"/>
  <c r="C18" i="3"/>
  <c r="B12" i="3"/>
  <c r="D18" i="3"/>
  <c r="D20" i="3" s="1"/>
  <c r="AL88" i="2"/>
  <c r="AW88" i="2"/>
  <c r="AV63" i="2"/>
  <c r="AU63" i="2"/>
  <c r="AT63" i="2"/>
  <c r="AL87" i="2"/>
  <c r="AW87" i="2"/>
  <c r="AT69" i="2"/>
  <c r="AU69" i="2"/>
  <c r="AV69" i="2"/>
  <c r="AT68" i="2"/>
  <c r="AU68" i="2"/>
  <c r="AV68" i="2"/>
  <c r="AT67" i="2"/>
  <c r="AU67" i="2"/>
  <c r="AV67" i="2"/>
  <c r="AT66" i="2"/>
  <c r="AU66" i="2"/>
  <c r="AV66" i="2"/>
  <c r="AT65" i="2"/>
  <c r="AU65" i="2"/>
  <c r="AV65" i="2"/>
  <c r="AT64" i="2"/>
  <c r="AU64" i="2"/>
  <c r="AV64" i="2"/>
  <c r="AT62" i="2"/>
  <c r="AU62" i="2"/>
  <c r="AV62" i="2"/>
  <c r="G18" i="3"/>
  <c r="G20" i="3" s="1"/>
  <c r="K100" i="1" l="1"/>
  <c r="AT61" i="2"/>
  <c r="AU61" i="2"/>
  <c r="G22" i="1"/>
  <c r="G24" i="1" s="1"/>
  <c r="AV85" i="2"/>
  <c r="AT85" i="2"/>
  <c r="AU85" i="2"/>
  <c r="AU73" i="2"/>
  <c r="AV82" i="2"/>
  <c r="AV73" i="2"/>
  <c r="AT73" i="2"/>
  <c r="AU82" i="2"/>
  <c r="AT82" i="2"/>
  <c r="AT79" i="2"/>
  <c r="AU76" i="2"/>
  <c r="AT76" i="2"/>
  <c r="AT90" i="2"/>
  <c r="AT81" i="2"/>
  <c r="AV81" i="2"/>
  <c r="AV80" i="2"/>
  <c r="AU89" i="2"/>
  <c r="F22" i="1"/>
  <c r="F24" i="1" s="1"/>
  <c r="K97" i="1"/>
  <c r="D73" i="1"/>
  <c r="AV86" i="2"/>
  <c r="AU86" i="2"/>
  <c r="AT86" i="2"/>
  <c r="AV79" i="2"/>
  <c r="AU79" i="2"/>
  <c r="AV76" i="2"/>
  <c r="AV90" i="2"/>
  <c r="AU81" i="2"/>
  <c r="AU80" i="2"/>
  <c r="AV89" i="2"/>
  <c r="H22" i="1"/>
  <c r="H24" i="1" s="1"/>
  <c r="K99" i="1"/>
  <c r="K98" i="1"/>
  <c r="C73" i="1"/>
  <c r="AU90" i="2"/>
  <c r="AT80" i="2"/>
  <c r="AT89" i="2"/>
  <c r="K101" i="1"/>
  <c r="E22" i="1"/>
  <c r="E24" i="1" s="1"/>
  <c r="D22" i="1"/>
  <c r="D24" i="1" s="1"/>
  <c r="E68" i="1"/>
  <c r="F73" i="1"/>
  <c r="I23" i="3"/>
  <c r="J23" i="3" s="1"/>
  <c r="C22" i="3"/>
  <c r="C24" i="3" s="1"/>
  <c r="F68" i="3"/>
  <c r="K97" i="3"/>
  <c r="D30" i="3"/>
  <c r="K101" i="3"/>
  <c r="C68" i="3"/>
  <c r="C73" i="3"/>
  <c r="H22" i="3"/>
  <c r="H24" i="3" s="1"/>
  <c r="J101" i="3" s="1"/>
  <c r="E68" i="3"/>
  <c r="E12" i="3"/>
  <c r="G22" i="3"/>
  <c r="G24" i="3" s="1"/>
  <c r="K100" i="3"/>
  <c r="K96" i="3"/>
  <c r="F73" i="3"/>
  <c r="E73" i="3"/>
  <c r="D73" i="3"/>
  <c r="D68" i="3"/>
  <c r="D22" i="3"/>
  <c r="D24" i="3" s="1"/>
  <c r="J97" i="3" s="1"/>
  <c r="F30" i="3"/>
  <c r="C20" i="1"/>
  <c r="I18" i="1"/>
  <c r="J18" i="1" s="1"/>
  <c r="K85" i="1"/>
  <c r="L85" i="1" s="1"/>
  <c r="J89" i="1"/>
  <c r="K87" i="1"/>
  <c r="H30" i="1"/>
  <c r="K92" i="1"/>
  <c r="I18" i="3"/>
  <c r="J18" i="3" s="1"/>
  <c r="C20" i="3"/>
  <c r="K85" i="3"/>
  <c r="L85" i="3" s="1"/>
  <c r="K87" i="3"/>
  <c r="J89" i="3"/>
  <c r="E22" i="3"/>
  <c r="E24" i="3" s="1"/>
  <c r="K98" i="3"/>
  <c r="F22" i="3"/>
  <c r="F24" i="3" s="1"/>
  <c r="K99" i="3"/>
  <c r="AT88" i="2"/>
  <c r="AU88" i="2"/>
  <c r="AV88" i="2"/>
  <c r="AT87" i="2"/>
  <c r="AU87" i="2"/>
  <c r="AV87" i="2"/>
  <c r="K92" i="3"/>
  <c r="D68" i="1"/>
  <c r="F68" i="1"/>
  <c r="F69" i="1" s="1"/>
  <c r="E73" i="1"/>
  <c r="K96" i="1"/>
  <c r="C22" i="1"/>
  <c r="E12" i="1"/>
  <c r="C68" i="1"/>
  <c r="G26" i="1" l="1"/>
  <c r="J100" i="1"/>
  <c r="L100" i="1" s="1"/>
  <c r="C69" i="1"/>
  <c r="I20" i="1"/>
  <c r="J87" i="1"/>
  <c r="L87" i="1" s="1"/>
  <c r="E69" i="1"/>
  <c r="J95" i="1"/>
  <c r="D69" i="1"/>
  <c r="K58" i="1"/>
  <c r="J105" i="1"/>
  <c r="L105" i="1" s="1"/>
  <c r="J94" i="1"/>
  <c r="E74" i="1"/>
  <c r="F74" i="1"/>
  <c r="C74" i="1"/>
  <c r="J56" i="1"/>
  <c r="E59" i="1"/>
  <c r="H26" i="1"/>
  <c r="J101" i="1"/>
  <c r="L101" i="1" s="1"/>
  <c r="H55" i="1"/>
  <c r="K56" i="1"/>
  <c r="H57" i="1"/>
  <c r="F58" i="1"/>
  <c r="D59" i="1"/>
  <c r="J59" i="1"/>
  <c r="G60" i="1"/>
  <c r="F61" i="1"/>
  <c r="D62" i="1"/>
  <c r="H62" i="1"/>
  <c r="I55" i="1"/>
  <c r="F56" i="1"/>
  <c r="F57" i="1"/>
  <c r="E58" i="1"/>
  <c r="E60" i="1"/>
  <c r="G61" i="1"/>
  <c r="G62" i="1"/>
  <c r="F53" i="1"/>
  <c r="F54" i="1"/>
  <c r="L54" i="1"/>
  <c r="J55" i="1"/>
  <c r="G56" i="1"/>
  <c r="G57" i="1"/>
  <c r="D58" i="1"/>
  <c r="C59" i="1"/>
  <c r="G59" i="1"/>
  <c r="F26" i="1"/>
  <c r="J99" i="1"/>
  <c r="L99" i="1" s="1"/>
  <c r="E26" i="1"/>
  <c r="J98" i="1"/>
  <c r="L98" i="1" s="1"/>
  <c r="D26" i="1"/>
  <c r="J97" i="1"/>
  <c r="L97" i="1" s="1"/>
  <c r="H53" i="1"/>
  <c r="D54" i="1"/>
  <c r="C55" i="1"/>
  <c r="D56" i="1"/>
  <c r="H56" i="1"/>
  <c r="E57" i="1"/>
  <c r="C58" i="1"/>
  <c r="J58" i="1"/>
  <c r="H59" i="1"/>
  <c r="D60" i="1"/>
  <c r="L60" i="1"/>
  <c r="L61" i="1"/>
  <c r="K55" i="1"/>
  <c r="L56" i="1"/>
  <c r="L57" i="1"/>
  <c r="L59" i="1"/>
  <c r="C61" i="1"/>
  <c r="F62" i="1"/>
  <c r="C53" i="1"/>
  <c r="L53" i="1"/>
  <c r="I54" i="1"/>
  <c r="F55" i="1"/>
  <c r="E56" i="1"/>
  <c r="D57" i="1"/>
  <c r="K57" i="1"/>
  <c r="G58" i="1"/>
  <c r="I59" i="1"/>
  <c r="D74" i="1"/>
  <c r="L62" i="1"/>
  <c r="D53" i="1"/>
  <c r="E53" i="1"/>
  <c r="G53" i="1"/>
  <c r="J53" i="1"/>
  <c r="K53" i="1"/>
  <c r="C54" i="1"/>
  <c r="E54" i="1"/>
  <c r="G54" i="1"/>
  <c r="J54" i="1"/>
  <c r="K54" i="1"/>
  <c r="E55" i="1"/>
  <c r="G55" i="1"/>
  <c r="C56" i="1"/>
  <c r="I56" i="1"/>
  <c r="J57" i="1"/>
  <c r="F59" i="1"/>
  <c r="H60" i="1"/>
  <c r="K61" i="1"/>
  <c r="J62" i="1"/>
  <c r="I53" i="1"/>
  <c r="H54" i="1"/>
  <c r="D55" i="1"/>
  <c r="L55" i="1"/>
  <c r="C57" i="1"/>
  <c r="I57" i="1"/>
  <c r="H58" i="1"/>
  <c r="K59" i="1"/>
  <c r="C60" i="1"/>
  <c r="F60" i="1"/>
  <c r="I60" i="1"/>
  <c r="J60" i="1"/>
  <c r="K60" i="1"/>
  <c r="D61" i="1"/>
  <c r="E61" i="1"/>
  <c r="C62" i="1"/>
  <c r="E62" i="1"/>
  <c r="J92" i="1"/>
  <c r="D69" i="3"/>
  <c r="L97" i="3"/>
  <c r="H61" i="1"/>
  <c r="I61" i="1"/>
  <c r="J61" i="1"/>
  <c r="H30" i="3"/>
  <c r="G26" i="3"/>
  <c r="J100" i="3"/>
  <c r="L100" i="3" s="1"/>
  <c r="H12" i="3"/>
  <c r="J91" i="3" s="1"/>
  <c r="K91" i="3"/>
  <c r="K93" i="3"/>
  <c r="F74" i="3"/>
  <c r="H26" i="3"/>
  <c r="D26" i="3"/>
  <c r="E74" i="3"/>
  <c r="F69" i="3"/>
  <c r="L101" i="3"/>
  <c r="C69" i="3"/>
  <c r="J94" i="3"/>
  <c r="D74" i="3"/>
  <c r="J95" i="3"/>
  <c r="E69" i="3"/>
  <c r="K95" i="3"/>
  <c r="K94" i="3"/>
  <c r="J90" i="3"/>
  <c r="C74" i="3"/>
  <c r="I20" i="3"/>
  <c r="J87" i="3"/>
  <c r="L87" i="3" s="1"/>
  <c r="K107" i="3"/>
  <c r="C26" i="3"/>
  <c r="L62" i="3"/>
  <c r="I62" i="3"/>
  <c r="H62" i="3"/>
  <c r="F60" i="3"/>
  <c r="G59" i="3"/>
  <c r="I58" i="3"/>
  <c r="E58" i="3"/>
  <c r="K57" i="3"/>
  <c r="H57" i="3"/>
  <c r="C57" i="3"/>
  <c r="I56" i="3"/>
  <c r="E55" i="3"/>
  <c r="G54" i="3"/>
  <c r="F53" i="3"/>
  <c r="J62" i="3"/>
  <c r="G62" i="3"/>
  <c r="F62" i="3"/>
  <c r="E62" i="3"/>
  <c r="D62" i="3"/>
  <c r="C62" i="3"/>
  <c r="K61" i="3"/>
  <c r="J61" i="3"/>
  <c r="I61" i="3"/>
  <c r="G61" i="3"/>
  <c r="F61" i="3"/>
  <c r="D61" i="3"/>
  <c r="L60" i="3"/>
  <c r="J60" i="3"/>
  <c r="G60" i="3"/>
  <c r="E60" i="3"/>
  <c r="C60" i="3"/>
  <c r="K59" i="3"/>
  <c r="I59" i="3"/>
  <c r="E59" i="3"/>
  <c r="C59" i="3"/>
  <c r="K58" i="3"/>
  <c r="H58" i="3"/>
  <c r="F58" i="3"/>
  <c r="D58" i="3"/>
  <c r="C58" i="3"/>
  <c r="L57" i="3"/>
  <c r="J57" i="3"/>
  <c r="I57" i="3"/>
  <c r="G57" i="3"/>
  <c r="F57" i="3"/>
  <c r="E57" i="3"/>
  <c r="D57" i="3"/>
  <c r="L56" i="3"/>
  <c r="K56" i="3"/>
  <c r="J56" i="3"/>
  <c r="H56" i="3"/>
  <c r="C56" i="3"/>
  <c r="K55" i="3"/>
  <c r="I55" i="3"/>
  <c r="F55" i="3"/>
  <c r="C55" i="3"/>
  <c r="J54" i="3"/>
  <c r="E54" i="3"/>
  <c r="K53" i="3"/>
  <c r="G53" i="3"/>
  <c r="C53" i="3"/>
  <c r="K62" i="3"/>
  <c r="L61" i="3"/>
  <c r="H61" i="3"/>
  <c r="E61" i="3"/>
  <c r="C61" i="3"/>
  <c r="K60" i="3"/>
  <c r="I60" i="3"/>
  <c r="H60" i="3"/>
  <c r="D60" i="3"/>
  <c r="L59" i="3"/>
  <c r="J59" i="3"/>
  <c r="H59" i="3"/>
  <c r="F59" i="3"/>
  <c r="D59" i="3"/>
  <c r="L58" i="3"/>
  <c r="J58" i="3"/>
  <c r="G58" i="3"/>
  <c r="G56" i="3"/>
  <c r="F56" i="3"/>
  <c r="D56" i="3"/>
  <c r="L55" i="3"/>
  <c r="J55" i="3"/>
  <c r="G55" i="3"/>
  <c r="K54" i="3"/>
  <c r="H54" i="3"/>
  <c r="D54" i="3"/>
  <c r="L53" i="3"/>
  <c r="I53" i="3"/>
  <c r="H53" i="3"/>
  <c r="D53" i="3"/>
  <c r="E56" i="3"/>
  <c r="H55" i="3"/>
  <c r="D55" i="3"/>
  <c r="L54" i="3"/>
  <c r="I54" i="3"/>
  <c r="F54" i="3"/>
  <c r="C54" i="3"/>
  <c r="J53" i="3"/>
  <c r="E53" i="3"/>
  <c r="J92" i="3"/>
  <c r="L92" i="3" s="1"/>
  <c r="J105" i="3"/>
  <c r="L105" i="3" s="1"/>
  <c r="E26" i="3"/>
  <c r="J98" i="3"/>
  <c r="L98" i="3" s="1"/>
  <c r="F26" i="3"/>
  <c r="J99" i="3"/>
  <c r="L99" i="3" s="1"/>
  <c r="I24" i="3"/>
  <c r="J88" i="3"/>
  <c r="J96" i="3"/>
  <c r="L96" i="3" s="1"/>
  <c r="K88" i="1"/>
  <c r="C24" i="1"/>
  <c r="I22" i="1"/>
  <c r="J22" i="1" s="1"/>
  <c r="K93" i="1"/>
  <c r="K91" i="1"/>
  <c r="H12" i="1"/>
  <c r="J91" i="1" s="1"/>
  <c r="K95" i="1"/>
  <c r="I30" i="1"/>
  <c r="K94" i="1"/>
  <c r="J90" i="1"/>
  <c r="I62" i="1"/>
  <c r="K62" i="1"/>
  <c r="I58" i="1"/>
  <c r="L58" i="1"/>
  <c r="K88" i="3"/>
  <c r="I22" i="3"/>
  <c r="J22" i="3" s="1"/>
  <c r="I30" i="3" l="1"/>
  <c r="J20" i="1"/>
  <c r="K89" i="1"/>
  <c r="L89" i="1" s="1"/>
  <c r="L95" i="1"/>
  <c r="L92" i="1"/>
  <c r="L94" i="1"/>
  <c r="L88" i="3"/>
  <c r="L91" i="3"/>
  <c r="L94" i="3"/>
  <c r="L95" i="3"/>
  <c r="L91" i="1"/>
  <c r="K89" i="3"/>
  <c r="L89" i="3" s="1"/>
  <c r="J20" i="3"/>
  <c r="C27" i="3"/>
  <c r="D27" i="3" s="1"/>
  <c r="E27" i="3" s="1"/>
  <c r="F27" i="3" s="1"/>
  <c r="G27" i="3" s="1"/>
  <c r="H27" i="3" s="1"/>
  <c r="I26" i="3"/>
  <c r="J26" i="3" s="1"/>
  <c r="J107" i="3"/>
  <c r="L107" i="3" s="1"/>
  <c r="K90" i="3"/>
  <c r="L90" i="3" s="1"/>
  <c r="J24" i="3"/>
  <c r="C26" i="1"/>
  <c r="K107" i="1"/>
  <c r="I24" i="1"/>
  <c r="J88" i="1"/>
  <c r="L88" i="1" s="1"/>
  <c r="J96" i="1"/>
  <c r="L96" i="1" s="1"/>
  <c r="I27" i="3" l="1"/>
  <c r="J93" i="3"/>
  <c r="L93" i="3" s="1"/>
  <c r="L110" i="3" s="1"/>
  <c r="J107" i="1"/>
  <c r="L107" i="1" s="1"/>
  <c r="C27" i="1"/>
  <c r="D27" i="1" s="1"/>
  <c r="E27" i="1" s="1"/>
  <c r="F27" i="1" s="1"/>
  <c r="G27" i="1" s="1"/>
  <c r="H27" i="1" s="1"/>
  <c r="I26" i="1"/>
  <c r="J26" i="1" s="1"/>
  <c r="J24" i="1"/>
  <c r="K90" i="1"/>
  <c r="L90" i="1" s="1"/>
  <c r="I27" i="1" l="1"/>
  <c r="J93" i="1"/>
  <c r="L93" i="1" s="1"/>
  <c r="L110" i="1" s="1"/>
</calcChain>
</file>

<file path=xl/sharedStrings.xml><?xml version="1.0" encoding="utf-8"?>
<sst xmlns="http://schemas.openxmlformats.org/spreadsheetml/2006/main" count="1010" uniqueCount="407">
  <si>
    <t>Pipeline-to-Cash Forecast</t>
  </si>
  <si>
    <t>REGION</t>
  </si>
  <si>
    <t>SCENARIO</t>
  </si>
  <si>
    <t>Base</t>
  </si>
  <si>
    <t>INFRAXUS.COM</t>
  </si>
  <si>
    <t>Vertical</t>
  </si>
  <si>
    <t>FORECAST START</t>
  </si>
  <si>
    <t>6-month horizon</t>
  </si>
  <si>
    <t>Forecast both your revenue and your cash from your sales pipeline. See where the gaps are.</t>
  </si>
  <si>
    <t>infraxus.com</t>
  </si>
  <si>
    <t>LEGEND</t>
  </si>
  <si>
    <t>123</t>
  </si>
  <si>
    <t>Input</t>
  </si>
  <si>
    <t>Formula</t>
  </si>
  <si>
    <t>Override</t>
  </si>
  <si>
    <t>(1)</t>
  </si>
  <si>
    <t>Negative</t>
  </si>
  <si>
    <t>GAP</t>
  </si>
  <si>
    <t>Cash gap</t>
  </si>
  <si>
    <t>PASS</t>
  </si>
  <si>
    <t>Reconciled</t>
  </si>
  <si>
    <t>FAIL</t>
  </si>
  <si>
    <t>Check fails</t>
  </si>
  <si>
    <t>6-MONTH WEIGHTED FORECAST · AT A GLANCE</t>
  </si>
  <si>
    <t>6-MONTH WEIGHTED REVENUE</t>
  </si>
  <si>
    <t>6-MONTH CASH RECEIPTS</t>
  </si>
  <si>
    <t>CASH GAP · M1..M6</t>
  </si>
  <si>
    <t>PIPELINE WIN-RATE</t>
  </si>
  <si>
    <t>Weighted pipeline + recurring</t>
  </si>
  <si>
    <t>Pipeline cash + recurring cash</t>
  </si>
  <si>
    <t>Working capital position</t>
  </si>
  <si>
    <t>Value-weighted across pipeline</t>
  </si>
  <si>
    <t>INTEGRATED FORECAST · MONTHLY</t>
  </si>
  <si>
    <t>Revenue and cash · M1..M6</t>
  </si>
  <si>
    <t>Line</t>
  </si>
  <si>
    <t>6-mo total</t>
  </si>
  <si>
    <t>Avg / month</t>
  </si>
  <si>
    <t>Tag</t>
  </si>
  <si>
    <t>Weighted pipeline revenue</t>
  </si>
  <si>
    <t>Σ(deal × probability) recognised in month</t>
  </si>
  <si>
    <t>Recurring revenue (retainers)</t>
  </si>
  <si>
    <t>Contracted recurring revenue</t>
  </si>
  <si>
    <t>Total revenue</t>
  </si>
  <si>
    <t>Pipeline + recurring</t>
  </si>
  <si>
    <t>Cash receipts · pipeline</t>
  </si>
  <si>
    <t>Pipeline cash, lag-shifted per payment terms</t>
  </si>
  <si>
    <t>Cash receipts · recurring</t>
  </si>
  <si>
    <t>Recurring cash, lag-shifted per retainer terms</t>
  </si>
  <si>
    <t>Total cash receipts</t>
  </si>
  <si>
    <t>Cash into bank</t>
  </si>
  <si>
    <t>Cash gap (revenue − receipts)</t>
  </si>
  <si>
    <t>Positive = working capital drag · negative = advance</t>
  </si>
  <si>
    <t>Cumulative cash gap</t>
  </si>
  <si>
    <t>End of M6</t>
  </si>
  <si>
    <t>Cumulative through period</t>
  </si>
  <si>
    <t>Cash receipt tail (M7, M8), lag overflow from in-window revenue</t>
  </si>
  <si>
    <t>Cash tail · M7 + M8</t>
  </si>
  <si>
    <t>M7 cash tail</t>
  </si>
  <si>
    <t>M8 cash tail</t>
  </si>
  <si>
    <t>Tail total</t>
  </si>
  <si>
    <t>Total cash recognised</t>
  </si>
  <si>
    <t>Cash in 8-month forecast window (M1..M8)</t>
  </si>
  <si>
    <t>TRAJECTORY · REVENUE VS CASH OVER 6 MONTHS</t>
  </si>
  <si>
    <t>Dual-line · gap between lines = working capital drag</t>
  </si>
  <si>
    <t>DEAL CRITICALITY · CASH IMPACT NEXT 3 MONTHS</t>
  </si>
  <si>
    <t>Ranked by cash to bank in M1..M3 · not revenue impact</t>
  </si>
  <si>
    <t>Rank</t>
  </si>
  <si>
    <t>Deal name</t>
  </si>
  <si>
    <t>Client</t>
  </si>
  <si>
    <t>Stage</t>
  </si>
  <si>
    <t>Total value</t>
  </si>
  <si>
    <t>Prob.</t>
  </si>
  <si>
    <t>Weighted</t>
  </si>
  <si>
    <t>3-mo cash</t>
  </si>
  <si>
    <t>Payment terms</t>
  </si>
  <si>
    <t>Cash / value</t>
  </si>
  <si>
    <t>Type</t>
  </si>
  <si>
    <t>SENSITIVITY · WIN-RATE</t>
  </si>
  <si>
    <t>6-month total cash · delta to active scenario</t>
  </si>
  <si>
    <t>Win-rate Δ</t>
  </si>
  <si>
    <t>-30%</t>
  </si>
  <si>
    <t>-15%</t>
  </si>
  <si>
    <t>+10%</t>
  </si>
  <si>
    <t>Reading</t>
  </si>
  <si>
    <t>6-month total cash</t>
  </si>
  <si>
    <t>Linear scale on pipeline cash · retainer cash unchanged · scenario-around</t>
  </si>
  <si>
    <t>Δ vs Base</t>
  </si>
  <si>
    <t>SENSITIVITY · COLLECTION LAG</t>
  </si>
  <si>
    <t>6-month cash if collections drift</t>
  </si>
  <si>
    <t>Lag drift</t>
  </si>
  <si>
    <t>-1mo</t>
  </si>
  <si>
    <t>At terms</t>
  </si>
  <si>
    <t>+1mo</t>
  </si>
  <si>
    <t>+2mo</t>
  </si>
  <si>
    <t>Cash schedule shifted by Δ months · milestones and Net-X both move</t>
  </si>
  <si>
    <t>Δ vs At terms</t>
  </si>
  <si>
    <t>INDUSTRY BENCHMARK · WIN-RATE AND SALES CYCLE</t>
  </si>
  <si>
    <t>Vertical benchmark vs your pipeline · context only</t>
  </si>
  <si>
    <t>Metric</t>
  </si>
  <si>
    <t>Your pipeline</t>
  </si>
  <si>
    <t>Vertical benchmark</t>
  </si>
  <si>
    <t>Delta</t>
  </si>
  <si>
    <t>Value-weighted pipeline win-rate</t>
  </si>
  <si>
    <t>Pipeline value-weighted probability vs vertical benchmark.</t>
  </si>
  <si>
    <t>Average sales cycle (vertical)</t>
  </si>
  <si>
    <t>-</t>
  </si>
  <si>
    <t>Pipedrive / HubSpot benchmark, vertical-specific average for the ICP band.</t>
  </si>
  <si>
    <t>Average DSO (regional)</t>
  </si>
  <si>
    <t>Atradius B2B Payment Practices Barometer 2024 · services-business average.</t>
  </si>
  <si>
    <t>Modal payment terms (regional)</t>
  </si>
  <si>
    <t>Industry-modal payment term in services at $2M-$15M, region-specific.</t>
  </si>
  <si>
    <t>RECONCILIATION · LIVE CHECKS</t>
  </si>
  <si>
    <t>All checks must PASS · master PASS aggregates</t>
  </si>
  <si>
    <t>#</t>
  </si>
  <si>
    <t>Check</t>
  </si>
  <si>
    <t>Computed value</t>
  </si>
  <si>
    <t>Expected</t>
  </si>
  <si>
    <t>Status</t>
  </si>
  <si>
    <t>Note</t>
  </si>
  <si>
    <t>Σ deal-row revenue M1..M6 = total weighted pipeline revenue</t>
  </si>
  <si>
    <t>Tile rev = forecast table rev</t>
  </si>
  <si>
    <t>Σ retainer-row revenue M1..M6 = total recurring revenue</t>
  </si>
  <si>
    <t>Retainer revenue tie</t>
  </si>
  <si>
    <t>Total revenue = pipeline + recurring (M1..M6)</t>
  </si>
  <si>
    <t>Revenue subtotal arithmetic</t>
  </si>
  <si>
    <t>Total cash receipts = pipeline cash + recurring cash (M1..M6)</t>
  </si>
  <si>
    <t>Cash subtotal arithmetic</t>
  </si>
  <si>
    <t>KPI tile 6-month revenue = forecast table total</t>
  </si>
  <si>
    <t>KPI tile vs table</t>
  </si>
  <si>
    <t>KPI tile 6-month cash = forecast table total</t>
  </si>
  <si>
    <t>KPI tile cash gap = revenue − receipts</t>
  </si>
  <si>
    <t>Gap arithmetic</t>
  </si>
  <si>
    <t>Net-X+Retainer 8-month cash = Net-X+Retainer 6-month revenue</t>
  </si>
  <si>
    <t>Headline integration · Net-X/Retainer cash ties to revenue exactly</t>
  </si>
  <si>
    <t>Cumulative cash gap (M6) = 6-month rev − 6-month cash</t>
  </si>
  <si>
    <t>Cumulative cash gap arithmetic</t>
  </si>
  <si>
    <t>Lag sensitivity at Δ=0 = base 6-month cash</t>
  </si>
  <si>
    <t>Sensitivity grid sanity</t>
  </si>
  <si>
    <t>Win-rate sensitivity at Δ=0 = base 6-month cash</t>
  </si>
  <si>
    <t>Forecast table M1 cash = engine deal cash M1 + retainer cash M1</t>
  </si>
  <si>
    <t>Per-month cash tie M1</t>
  </si>
  <si>
    <t>Forecast table M2 cash = engine deal cash M2 + retainer cash M2</t>
  </si>
  <si>
    <t>Per-month cash tie M2</t>
  </si>
  <si>
    <t>Forecast table M3 cash = engine deal cash M3 + retainer cash M3</t>
  </si>
  <si>
    <t>Per-month cash tie M3</t>
  </si>
  <si>
    <t>Forecast table M4 cash = engine deal cash M4 + retainer cash M4</t>
  </si>
  <si>
    <t>Per-month cash tie M4</t>
  </si>
  <si>
    <t>Forecast table M5 cash = engine deal cash M5 + retainer cash M5</t>
  </si>
  <si>
    <t>Per-month cash tie M5</t>
  </si>
  <si>
    <t>Forecast table M6 cash = engine deal cash M6 + retainer cash M6</t>
  </si>
  <si>
    <t>Per-month cash tie M6</t>
  </si>
  <si>
    <t>Region resolves to AU, NZ, or US</t>
  </si>
  <si>
    <t>Region validation</t>
  </si>
  <si>
    <t>Scenario resolves to Base, Downside, or Upside</t>
  </si>
  <si>
    <t>Scenario validation</t>
  </si>
  <si>
    <t>Vertical matches a benchmark row</t>
  </si>
  <si>
    <t>Vertical validation</t>
  </si>
  <si>
    <t>Σ 8-month cash never exceeds Σ weighted value (no over-capture)</t>
  </si>
  <si>
    <t>Universal upper bound · cash ≤ weighted value</t>
  </si>
  <si>
    <t>Milestone schedule weights sum to 100% per deal</t>
  </si>
  <si>
    <t>Catalog integrity · weights sum to 1.0 per milestone deal</t>
  </si>
  <si>
    <t>Σ M1..M6 cash gap = Σ Revenue − Σ Cash</t>
  </si>
  <si>
    <t>Cash gap subtotal arithmetic</t>
  </si>
  <si>
    <t>MASTER</t>
  </si>
  <si>
    <t>AND of all checks above, full reconciliation</t>
  </si>
  <si>
    <t>Read this cell first.</t>
  </si>
  <si>
    <t>Infraxus, operator finance · infraxus.com</t>
  </si>
  <si>
    <t>Pipeline_to_Cash_Forecast.xlsx</t>
  </si>
  <si>
    <t>Sales Pipeline</t>
  </si>
  <si>
    <t>1 · BUSINESS CONTEXT</t>
  </si>
  <si>
    <t>Region</t>
  </si>
  <si>
    <t>AU</t>
  </si>
  <si>
    <t>AU · NZ · US. Drives default payment terms, DSO benchmark, and regulatory note.</t>
  </si>
  <si>
    <t>Business name</t>
  </si>
  <si>
    <t>Enter your business name. Appears in the Forecast title.</t>
  </si>
  <si>
    <t>Digital agency</t>
  </si>
  <si>
    <t>Drives the industry benchmark panel (win-rate, sales cycle).</t>
  </si>
  <si>
    <t>Forecast start</t>
  </si>
  <si>
    <t>Jul 2026</t>
  </si>
  <si>
    <t>First month of the 6-month forecast. Type as 'Mmm yyyy'.</t>
  </si>
  <si>
    <t>Reporting currency</t>
  </si>
  <si>
    <t>AUD</t>
  </si>
  <si>
    <t>Display currency for all values. Multi-currency pipelines: enter all deal values in this currency.</t>
  </si>
  <si>
    <t>Active scenario</t>
  </si>
  <si>
    <t>Base · Downside · Upside. Applies win-rate, deal-size, and lag multipliers.</t>
  </si>
  <si>
    <t>2 · PIPELINE STAGES &amp; DEFAULT PROBABILITIES</t>
  </si>
  <si>
    <t>Stage name</t>
  </si>
  <si>
    <t>Probability</t>
  </si>
  <si>
    <t>Notes</t>
  </si>
  <si>
    <t>Discovery</t>
  </si>
  <si>
    <t>Early-stage qualification.</t>
  </si>
  <si>
    <t>Qualified</t>
  </si>
  <si>
    <t>Need + budget + authority validated.</t>
  </si>
  <si>
    <t>Proposal</t>
  </si>
  <si>
    <t>Written proposal delivered.</t>
  </si>
  <si>
    <t>Negotiation</t>
  </si>
  <si>
    <t>Active negotiation on terms.</t>
  </si>
  <si>
    <t>Verbal Yes</t>
  </si>
  <si>
    <t>Client verbally committed; awaiting signature.</t>
  </si>
  <si>
    <t>Contract Out</t>
  </si>
  <si>
    <t>Contract sent for signature.</t>
  </si>
  <si>
    <t>3 · PAYMENT TERMS CATALOG</t>
  </si>
  <si>
    <t>Payment term</t>
  </si>
  <si>
    <t>Net?</t>
  </si>
  <si>
    <t>Lag (mo)</t>
  </si>
  <si>
    <t>Milestone?</t>
  </si>
  <si>
    <t>% 1</t>
  </si>
  <si>
    <t>Off 1</t>
  </si>
  <si>
    <t>% 2</t>
  </si>
  <si>
    <t>Off 2</t>
  </si>
  <si>
    <t>% 3</t>
  </si>
  <si>
    <t>Off 3</t>
  </si>
  <si>
    <t>Net 14</t>
  </si>
  <si>
    <t>Cash arrives 1 month after invoice (month-end issue convention).</t>
  </si>
  <si>
    <t>Net 30</t>
  </si>
  <si>
    <t>Standard B2B services term. Cash arrives 1 month after invoice.</t>
  </si>
  <si>
    <t>Net 45</t>
  </si>
  <si>
    <t>Cash arrives 2 months after invoice.</t>
  </si>
  <si>
    <t>Net 60</t>
  </si>
  <si>
    <t>Long terms. Cash arrives 2 months after invoice.</t>
  </si>
  <si>
    <t>Milestone 50/50</t>
  </si>
  <si>
    <t>50% on signing/delivery start; 50% on completion.</t>
  </si>
  <si>
    <t>Milestone 25/50/25</t>
  </si>
  <si>
    <t>25% on start, 50% mid-delivery, 25% on completion.</t>
  </si>
  <si>
    <t>Milestone 33/33/33</t>
  </si>
  <si>
    <t>Even split: 33% / 33% / 34% across start, mid, completion.</t>
  </si>
  <si>
    <t>Retainer · Net 30</t>
  </si>
  <si>
    <t>Recurring monthly invoice; cash 1 month after each invoice.</t>
  </si>
  <si>
    <t>Retainer · Net 14</t>
  </si>
  <si>
    <t>Recurring monthly invoice; cash within same month / 1 month.</t>
  </si>
  <si>
    <t>4 · SCENARIO MULTIPLIERS</t>
  </si>
  <si>
    <t>Scenario</t>
  </si>
  <si>
    <t>Win-rate ×</t>
  </si>
  <si>
    <t>Deal size ×</t>
  </si>
  <si>
    <t>Lag drift (mo)</t>
  </si>
  <si>
    <t>No adjustment to pipeline weighting or collection timing.</t>
  </si>
  <si>
    <t>Downside</t>
  </si>
  <si>
    <t>Win-rate softens 20%, average deal size drops 10%, lag drifts +1 month.</t>
  </si>
  <si>
    <t>Upside</t>
  </si>
  <si>
    <t>Win-rate +5%, deal size +5%, collection lag holds at terms.</t>
  </si>
  <si>
    <t>5 · VERTICAL BENCHMARKS · WIN-RATE AND SALES CYCLE</t>
  </si>
  <si>
    <t>Avg win-rate</t>
  </si>
  <si>
    <t>Avg cycle (d)</t>
  </si>
  <si>
    <t>Source / notes</t>
  </si>
  <si>
    <t>Pipedrive Pipeline Benchmarks 2024 · digital agency band</t>
  </si>
  <si>
    <t>Management consultancy</t>
  </si>
  <si>
    <t>HubSpot State of Sales 2024 · consulting vertical band</t>
  </si>
  <si>
    <t>IT services / MSP</t>
  </si>
  <si>
    <t>HubSpot State of Sales 2024 · IT services / MSP band</t>
  </si>
  <si>
    <t>Professional services</t>
  </si>
  <si>
    <t>Bridge Group SDR Metrics 2024 · professional services</t>
  </si>
  <si>
    <t>Engineering / technical</t>
  </si>
  <si>
    <t>Pipedrive 2024 · engineering services (longer cycle)</t>
  </si>
  <si>
    <t>Recruiting / staffing</t>
  </si>
  <si>
    <t>Bridge Group 2024 · recruiting / staffing band</t>
  </si>
  <si>
    <t>Specialty trades</t>
  </si>
  <si>
    <t>Pipedrive 2024 · home/specialty trades (high transactional win-rate)</t>
  </si>
  <si>
    <t>Other</t>
  </si>
  <si>
    <t>Blended SMB services benchmark, Pipedrive + HubSpot</t>
  </si>
  <si>
    <t>6 · REGIONAL DEFAULTS · PAYMENT TERMS · DSO · GST/SALES TAX</t>
  </si>
  <si>
    <t>Field</t>
  </si>
  <si>
    <t>NZ</t>
  </si>
  <si>
    <t>US</t>
  </si>
  <si>
    <t>Default payment terms</t>
  </si>
  <si>
    <t>Net 20</t>
  </si>
  <si>
    <t>Industry-modal term in services at $2M-$15M (CPA Australia · Xero SBI · Atradius).</t>
  </si>
  <si>
    <t>Avg DSO (services)</t>
  </si>
  <si>
    <t>GST / sales tax rate</t>
  </si>
  <si>
    <t>ATO / IRD / state. US sales tax is state-variable; modelled at 0 by default.</t>
  </si>
  <si>
    <t>Regulatory cash note</t>
  </si>
  <si>
    <t>GST collected on invoice; remitted quarterly via BAS (calendar quarters). Net cash impact: 10% of invoice held for the BAS cycle.</t>
  </si>
  <si>
    <t>GST collected on invoice; remitted two-monthly. Net cash impact: 15% of invoice held for the GST cycle.</t>
  </si>
  <si>
    <t>Sales tax collected and remitted state-by-state where nexus established. Most services businesses: low or zero sales-tax exposure.</t>
  </si>
  <si>
    <t>Net cash impact note: how GST/sales tax timing affects cash flow.</t>
  </si>
  <si>
    <t>7 · PIPELINE · UP TO 30 DEALS · ROW PER DEAL</t>
  </si>
  <si>
    <t>Close month</t>
  </si>
  <si>
    <t>Start</t>
  </si>
  <si>
    <t>Duration</t>
  </si>
  <si>
    <t>Active</t>
  </si>
  <si>
    <t>N</t>
  </si>
  <si>
    <t>8 · RECURRING REVENUE BASE · UP TO 8 RETAINERS</t>
  </si>
  <si>
    <t>Retainer name</t>
  </si>
  <si>
    <t>Monthly value</t>
  </si>
  <si>
    <t>Start month</t>
  </si>
  <si>
    <t>End month</t>
  </si>
  <si>
    <t>9 · METHODOLOGY NOTES</t>
  </si>
  <si>
    <t>Pipeline weighting: stage-based probability with per-deal override. Stage defaults are research-anchored (HubSpot / Salesforce / Pipedrive benchmarks). Override per deal by entering a probability in column G; blank = use stage default.</t>
  </si>
  <si>
    <t>Delivery profile: each deal has a Close month, Start offset (months after close), and Duration. Weighted revenue is recognised evenly across the delivery window (value × probability × scenario / duration each month).</t>
  </si>
  <si>
    <t>Cash conversion: per-deal Payment terms drive the cash receipt schedule. Net X → lag-shifted by ceil(X/30) months. Milestone → fixed % at start, mid, completion of delivery. Retainer → monthly recurring with stated lag.</t>
  </si>
  <si>
    <t>Scenarios apply multipliers: Base (1.00 × 1.00, 0mo drift), Downside (0.80 × 0.90, +1mo drift), Upside (1.05 × 1.05, 0mo drift). Edit in section 4 if needed.</t>
  </si>
  <si>
    <t>Reconciliation: Forecast sheet shows live PASS/FAIL on every check. Master PASS aggregates. Headline check: cash receipts (M1..M8 inclusive of 2-month tail) tie exactly to weighted pipeline revenue × payment-term schedule.</t>
  </si>
  <si>
    <t>Engine columns Q..AU are hidden. Right-click the column headers and select Unhide to inspect the per-deal weighted revenue stream (AF..AK) and cash receipt stream (AL..AS).</t>
  </si>
  <si>
    <t>Pipeline-to-Cash Forecast · Sample</t>
  </si>
  <si>
    <t>Sample story: this firm forecasts revenue and cash from its weighted sales pipeline. Watch where weighted pipeline converts to cash against the collection lag, and where the cash line dips before deals land.</t>
  </si>
  <si>
    <t>Atlas Digital</t>
  </si>
  <si>
    <t>Appears in the Forecast title.</t>
  </si>
  <si>
    <t>Drives the industry benchmark panel.</t>
  </si>
  <si>
    <t>First month of the 6-month forecast.</t>
  </si>
  <si>
    <t>Display currency for all values.</t>
  </si>
  <si>
    <t>Base · Downside · Upside.</t>
  </si>
  <si>
    <t>Default probability</t>
  </si>
  <si>
    <t>Cash arrives 1 month after invoice.</t>
  </si>
  <si>
    <t>Standard B2B services term.</t>
  </si>
  <si>
    <t>Long terms.</t>
  </si>
  <si>
    <t>50% on signing; 50% on completion.</t>
  </si>
  <si>
    <t>25% start, 50% mid, 25% end.</t>
  </si>
  <si>
    <t>Even split across three milestones.</t>
  </si>
  <si>
    <t>Recurring monthly invoice; 1 month lag.</t>
  </si>
  <si>
    <t>No adjustment.</t>
  </si>
  <si>
    <t>Win-rate softens 20%, deal size −10%, lag drifts +1 month.</t>
  </si>
  <si>
    <t>Win-rate +5%, deal size +5%, lag holds.</t>
  </si>
  <si>
    <t>5 · VERTICAL BENCHMARKS</t>
  </si>
  <si>
    <t>Source</t>
  </si>
  <si>
    <t>Pipedrive 2024 · digital agency band</t>
  </si>
  <si>
    <t>HubSpot 2024 · consulting vertical</t>
  </si>
  <si>
    <t>HubSpot 2024 · IT services / MSP</t>
  </si>
  <si>
    <t>Bridge Group 2024 · professional services</t>
  </si>
  <si>
    <t>Pipedrive 2024 · engineering services</t>
  </si>
  <si>
    <t>Bridge Group 2024 · recruiting</t>
  </si>
  <si>
    <t>Pipedrive 2024 · specialty trades</t>
  </si>
  <si>
    <t>Blended SMB services benchmark</t>
  </si>
  <si>
    <t>6 · REGIONAL DEFAULTS</t>
  </si>
  <si>
    <t>CPA Australia · Xero SBI · Atradius.</t>
  </si>
  <si>
    <t>Atradius B2B Payment Practices Barometer 2024.</t>
  </si>
  <si>
    <t>ATO · IRD · US state.</t>
  </si>
  <si>
    <t>Net cash impact note.</t>
  </si>
  <si>
    <t>7 · PIPELINE · UP TO 30 DEALS</t>
  </si>
  <si>
    <t>Start offset</t>
  </si>
  <si>
    <t>Brand refresh phase 2</t>
  </si>
  <si>
    <t>Meridian Federal</t>
  </si>
  <si>
    <t>Expansion</t>
  </si>
  <si>
    <t>M1</t>
  </si>
  <si>
    <t>Y</t>
  </si>
  <si>
    <t>Govt, guaranteed Net 60</t>
  </si>
  <si>
    <t>Q3 campaign retainer top-up</t>
  </si>
  <si>
    <t>Aurora Health</t>
  </si>
  <si>
    <t>50% on signing</t>
  </si>
  <si>
    <t>Website rebuild · Phase 1</t>
  </si>
  <si>
    <t>Northwind Energy</t>
  </si>
  <si>
    <t>New</t>
  </si>
  <si>
    <t>M2</t>
  </si>
  <si>
    <t>Capital project</t>
  </si>
  <si>
    <t>Performance media · H2</t>
  </si>
  <si>
    <t>BrightLane Retail</t>
  </si>
  <si>
    <t>Renewal</t>
  </si>
  <si>
    <t>Renews from M2</t>
  </si>
  <si>
    <t>CRM strategy advisory</t>
  </si>
  <si>
    <t>Civic Mutual</t>
  </si>
  <si>
    <t>M3</t>
  </si>
  <si>
    <t>Insurance, slow signing</t>
  </si>
  <si>
    <t>Discovery, brand audit</t>
  </si>
  <si>
    <t>Halcyon Foods</t>
  </si>
  <si>
    <t>Long-shot</t>
  </si>
  <si>
    <t>UX research sprint</t>
  </si>
  <si>
    <t>Pulse Logistics</t>
  </si>
  <si>
    <t>Logistics co</t>
  </si>
  <si>
    <t>Customer data platform</t>
  </si>
  <si>
    <t>Westbridge Bank</t>
  </si>
  <si>
    <t>Heavy build · big team</t>
  </si>
  <si>
    <t>Series B website</t>
  </si>
  <si>
    <t>Ember Robotics</t>
  </si>
  <si>
    <t>M4</t>
  </si>
  <si>
    <t>Late-stage startup</t>
  </si>
  <si>
    <t>Brand strategy advisory</t>
  </si>
  <si>
    <t>Halifax Air</t>
  </si>
  <si>
    <t>Aviation</t>
  </si>
  <si>
    <t>Campaign · Spring launch</t>
  </si>
  <si>
    <t>M5</t>
  </si>
  <si>
    <t>Aurora, second deal</t>
  </si>
  <si>
    <t>Annual report design</t>
  </si>
  <si>
    <t>Renews each year</t>
  </si>
  <si>
    <t>Migration · Phase 2</t>
  </si>
  <si>
    <t>M6</t>
  </si>
  <si>
    <t>Phase 2, early talks</t>
  </si>
  <si>
    <t>Brand sprint (lost)</t>
  </si>
  <si>
    <t>Cumulus Cloud</t>
  </si>
  <si>
    <t>Lost · keep for record</t>
  </si>
  <si>
    <t>8 · RECURRING REVENUE BASE</t>
  </si>
  <si>
    <t>Brand + design retainer</t>
  </si>
  <si>
    <t>Media management retainer</t>
  </si>
  <si>
    <t>Content production</t>
  </si>
  <si>
    <t>Ongoing advisory</t>
  </si>
  <si>
    <t>Built by Infraxus, operator finance · infraxus.com</t>
  </si>
  <si>
    <t>06</t>
  </si>
  <si>
    <t>05</t>
  </si>
  <si>
    <t>04</t>
  </si>
  <si>
    <t>03</t>
  </si>
  <si>
    <t>How to use it</t>
  </si>
  <si>
    <t>02</t>
  </si>
  <si>
    <t>What this is</t>
  </si>
  <si>
    <t>01</t>
  </si>
  <si>
    <t>Read Me · Pipeline-to-Cash Forecast</t>
  </si>
  <si>
    <t xml:space="preserve">
A six-month, integrated pipeline-to-cash forecast. You enter your deals (value, stage, expected close, payment terms, delivery profile) and your active retainers. The workbook gives you two forecasts side by side: the weighted revenue you expect to close, and the cash you expect to actually receive, and the gap between them.
Built by Infraxus. Free to use, no attribution required, no email required.</t>
  </si>
  <si>
    <t>The two halves · pipeline → revenue → cash</t>
  </si>
  <si>
    <t>How pipeline weighting works</t>
  </si>
  <si>
    <t>How cash conversion works</t>
  </si>
  <si>
    <t>Free version vs the Control Sprint</t>
  </si>
  <si>
    <t xml:space="preserve">
This free version delivers a complete integrated forecast: weighted revenue × payment terms × delivery profile → monthly cash receipts, fully traceable; three scenarios; win-rate and collection-lag sensitivity; deal criticality by cash impact; industry benchmarks; and 22 live reconciliation checks with a master PASS.
Each month you'd re-key new deals and stage changes from your CRM, reconcile actual cash against forecast, and update retainers by hand.
The Control Sprint adds direct CRM integration (pipeline refreshes weekly), direct accounting integration (cash reconciles automatically), per-deal cash criticality alerts, monthly operator commentary on forecast accuracy, custom logic for your business shape, and a weekly review with the operator.
Pricing: $5,000 fixed-fee Control Sprint, delivered in 10 business days, refunded in full if you don't get the clarity promised. $2,500/month optional Engagement, no annual lock-in. infraxus.com/the-control-sprint.</t>
  </si>
  <si>
    <t>See the revenue you'll close and the cash you'll actually bank, month by month · free to use · no attribution required</t>
  </si>
  <si>
    <t>Enter your deals and retainers, then read the forecast on the Forecast tab · free to use · no attribution required</t>
  </si>
  <si>
    <t xml:space="preserve">
Most owner-operators forecast one or the other but rarely both, and the gap is where cash trouble shows up. Pipeline-to-revenue uses probability weighting: a $200K deal at 60% probability counts as $120K of expected revenue. Revenue-to-cash uses payment terms: that $120K of recognised revenue arrives in your bank one, two, or more months later depending on whether the deal is Net 30, Net 60, or milestone-based. This workbook bridges both, every cash receipt cell traces back to a specific deal and its payment timing.</t>
  </si>
  <si>
    <t xml:space="preserve">
Each sales stage carries a default probability of closing: Discovery 10%, Qualified 20%, Proposal 35%, Negotiation 60%, Verbal Yes 80%, Contract Out 90%. These defaults are research-anchored against HubSpot Sales Hub, Salesforce State of Sales, and Pipedrive benchmarks.
You can override probability per deal, for example, a long-standing client at Proposal stage might carry 60% rather than the 35% stage default. The methodology is the same across every deal: stage-based with explicit per-deal override, so the weighting is consistent and defensible.</t>
  </si>
  <si>
    <t xml:space="preserve">
Each deal has payment terms. Net X terms (Net 14 / 30 / 45 / 60) shift cash receipts forward by ceil(X/30) months, the convention is that invoices are issued at month-end and paid within terms. Milestone terms (50/50, 25/50/25, 33/33/33) schedule payments at fixed percentages on fixed dates within the delivery window. Retainer terms produce monthly recurring cash receipts.
Every cash receipt cell is the sum of per-deal contributions, each traceable to its source deal and timing logic. Generic '30-day lag' is explicitly avoided, the model uses the actual per-deal payment terms you specify.</t>
  </si>
  <si>
    <t xml:space="preserve">
1. Open the Pipeline sheet. Set your region, business name, vertical, forecast start month, and active scenario in section 1.
2. Review the stage defaults in section 2; adjust if your sales process uses different stage names or probability calibration.
3. Review the payment terms catalog in section 3, the standard 9 terms cover most services-business payment structures.
4. Enter your deals in section 7: name, client, value, stage, close month, delivery profile, payment terms.
5. Enter your retainers in section 8: monthly value, start/end month, payment terms.
6. Open the Forecast sheet. Read the visual summary, the integrated 6-month table, the trajectory chart, the deal criticality ranking (by cash-to-bank in the next 3 months, not revenue), the sensitivity grids, and the reconciliation panel. Master PASS confirms the forecast is internally consistent.
7. Weekly: revisit Pipeline, update stage and probability on deals that moved, add new deals, mark won/lost.</t>
  </si>
  <si>
    <t>How to use this template · what the colours mean · what to do if something looks wrong</t>
  </si>
  <si>
    <t/>
  </si>
  <si>
    <t>Want this forecast wired to your CRM and bank, refreshed weekly with the deals to chase flagged for you?  Book a fit call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</si>
</sst>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Red]\(&quot;$&quot;#,##0\);&quot;–&quot;;@"/>
    <numFmt numFmtId="165" formatCode="0.0%;[Red]\-0.0%;&quot;–&quot;;@"/>
    <numFmt numFmtId="166" formatCode="&quot;+$&quot;#,##0;[Red]&quot;-$&quot;#,##0;&quot;–&quot;;@"/>
    <numFmt numFmtId="167" formatCode="&quot;+&quot;0.0%;[Red]\-0.0%;&quot;–&quot;;@"/>
    <numFmt numFmtId="168" formatCode="0&quot; d&quot;;[Red]\-0&quot; d&quot;;&quot;–&quot;;@"/>
    <numFmt numFmtId="169" formatCode="0&quot; mo&quot;;[Red]\-0&quot; mo&quot;;&quot;–&quot;;@"/>
    <numFmt numFmtId="170" formatCode="0;\-0;&quot;–&quot;;@"/>
  </numFmts>
  <fonts count="32" x14ac:knownFonts="1">
    <font>
      <sz val="11"/>
      <color theme="1"/>
      <name val="Calibri"/>
      <family val="2"/>
      <scheme val="minor"/>
    </font>
    <font>
      <b/>
      <sz val="10"/>
      <color rgb="FF1E50FF"/>
      <name val="Consolas"/>
      <family val="2"/>
    </font>
    <font>
      <sz val="11"/>
      <color rgb="FF1E50FF"/>
      <name val="Consolas"/>
      <family val="2"/>
    </font>
    <font>
      <sz val="10"/>
      <color rgb="FF8896B3"/>
      <name val="Consolas"/>
      <family val="2"/>
    </font>
    <font>
      <b/>
      <sz val="10"/>
      <color rgb="FFF2F2F2"/>
      <name val="Consolas"/>
      <family val="2"/>
    </font>
    <font>
      <sz val="10"/>
      <color rgb="FF8896B3"/>
      <name val="Calibri"/>
      <family val="2"/>
    </font>
    <font>
      <b/>
      <sz val="12"/>
      <color rgb="FFF2F2F2"/>
      <name val="Calibri Light"/>
      <family val="2"/>
    </font>
    <font>
      <sz val="11"/>
      <color rgb="FFF2F2F2"/>
      <name val="Calibri"/>
      <family val="2"/>
    </font>
    <font>
      <b/>
      <sz val="10"/>
      <color rgb="FF10B981"/>
      <name val="Consolas"/>
      <family val="2"/>
    </font>
    <font>
      <b/>
      <sz val="10"/>
      <color rgb="FFE5484D"/>
      <name val="Consolas"/>
      <family val="2"/>
    </font>
    <font>
      <b/>
      <sz val="10"/>
      <color rgb="FFFFC857"/>
      <name val="Consolas"/>
      <family val="2"/>
    </font>
    <font>
      <b/>
      <sz val="22"/>
      <color rgb="FFF2F2F2"/>
      <name val="Calibri Light"/>
      <family val="2"/>
    </font>
    <font>
      <b/>
      <sz val="22"/>
      <color rgb="FFFFC857"/>
      <name val="Calibri Light"/>
      <family val="2"/>
    </font>
    <font>
      <b/>
      <sz val="13"/>
      <color rgb="FFF2F2F2"/>
      <name val="Calibri Light"/>
      <family val="2"/>
    </font>
    <font>
      <b/>
      <sz val="10"/>
      <color rgb="FF8896B3"/>
      <name val="Consolas"/>
      <family val="2"/>
    </font>
    <font>
      <sz val="11"/>
      <color rgb="FFF2F2F2"/>
      <name val="Consolas"/>
      <family val="2"/>
    </font>
    <font>
      <i/>
      <sz val="10"/>
      <color rgb="FF8896B3"/>
      <name val="Calibri"/>
      <family val="2"/>
    </font>
    <font>
      <b/>
      <sz val="11"/>
      <color rgb="FFF2F2F2"/>
      <name val="Calibri"/>
      <family val="2"/>
    </font>
    <font>
      <b/>
      <sz val="11"/>
      <color rgb="FFF2F2F2"/>
      <name val="Consolas"/>
      <family val="2"/>
    </font>
    <font>
      <sz val="10"/>
      <color rgb="FFF2F2F2"/>
      <name val="Calibri"/>
      <family val="2"/>
    </font>
    <font>
      <sz val="11"/>
      <color rgb="FF8896B3"/>
      <name val="Consolas"/>
      <family val="2"/>
    </font>
    <font>
      <b/>
      <sz val="13"/>
      <color rgb="FFF2F2F2"/>
      <name val="Consolas"/>
      <family val="2"/>
    </font>
    <font>
      <sz val="10"/>
      <color rgb="FFF2F2F2"/>
      <name val="Consolas"/>
      <family val="2"/>
    </font>
    <font>
      <b/>
      <sz val="11"/>
      <color rgb="FF8896B3"/>
      <name val="Consolas"/>
      <family val="2"/>
    </font>
    <font>
      <b/>
      <sz val="14"/>
      <color rgb="FFF2F2F2"/>
      <name val="Calibri Light"/>
      <family val="2"/>
    </font>
    <font>
      <b/>
      <u/>
      <sz val="10"/>
      <color rgb="FF5B86FF"/>
      <name val="Consolas"/>
      <family val="2"/>
    </font>
    <font>
      <sz val="11"/>
      <color rgb="FFF2F2F2"/>
      <name val="Calibri"/>
      <family val="2"/>
      <scheme val="minor"/>
    </font>
    <font>
      <b/>
      <sz val="16"/>
      <color rgb="FFF2F2F2"/>
      <name val="Calibri Light"/>
      <family val="2"/>
    </font>
    <font>
      <b/>
      <sz val="12"/>
      <color rgb="FF1E50FF"/>
      <name val="Consolas"/>
      <family val="2"/>
    </font>
    <font>
      <b/>
      <sz val="18"/>
      <color rgb="FFF2F2F2"/>
      <name val="Calibri Light"/>
      <family val="2"/>
    </font>
    <font>
      <sz val="10"/>
      <color rgb="FF8896B3"/>
      <name val="Calibri"/>
      <family val="2"/>
      <scheme val="minor"/>
    </font>
    <font>
      <u/>
      <sz val="11"/>
      <color theme="10"/>
      <name val="Calibri"/>
      <family val="2"/>
      <scheme val="minor"/>
    </font>
  </fonts>
  <fills count="9">
    <fill>
      <patternFill patternType="none"/>
    </fill>
    <fill>
      <patternFill patternType="gray125"/>
    </fill>
    <fill>
      <patternFill patternType="solid">
        <fgColor rgb="FF1C1C1E"/>
        <bgColor rgb="FF1C1C1E"/>
      </patternFill>
    </fill>
    <fill>
      <patternFill patternType="solid">
        <fgColor rgb="FF0D0D0D"/>
        <bgColor rgb="FF0D0D0D"/>
      </patternFill>
    </fill>
    <fill>
      <patternFill patternType="solid">
        <fgColor rgb="FF26282B"/>
        <bgColor rgb="FF26282B"/>
      </patternFill>
    </fill>
    <fill>
      <patternFill patternType="solid">
        <fgColor rgb="FF0D0D0D"/>
        <bgColor indexed="64"/>
      </patternFill>
    </fill>
    <fill>
      <patternFill patternType="solid">
        <fgColor rgb="FF1C1C1E"/>
        <bgColor indexed="64"/>
      </patternFill>
    </fill>
    <fill>
      <patternFill patternType="solid">
        <fgColor rgb="FF0D0D0D"/>
        <bgColor rgb="FF1C1C1E"/>
      </patternFill>
    </fill>
    <fill>
      <patternFill patternType="solid">
        <fgColor rgb="FF1C1C1E"/>
        <bgColor rgb="FF0D0D0D"/>
      </patternFill>
    </fill>
  </fills>
  <borders count="8">
    <border>
      <left/>
      <right/>
      <top/>
      <bottom/>
      <diagonal/>
    </border>
    <border>
      <left style="thin">
        <color rgb="FF3A3A3C"/>
      </left>
      <right style="thin">
        <color rgb="FF3A3A3C"/>
      </right>
      <top style="thin">
        <color rgb="FF3A3A3C"/>
      </top>
      <bottom style="thin">
        <color rgb="FF3A3A3C"/>
      </bottom>
      <diagonal/>
    </border>
    <border>
      <left/>
      <right style="thin">
        <color rgb="FF3A3A3C"/>
      </right>
      <top style="thin">
        <color rgb="FF3A3A3C"/>
      </top>
      <bottom style="thin">
        <color rgb="FF3A3A3C"/>
      </bottom>
      <diagonal/>
    </border>
    <border>
      <left/>
      <right/>
      <top/>
      <bottom style="thin">
        <color rgb="FF3A3A3C"/>
      </bottom>
      <diagonal/>
    </border>
    <border>
      <left/>
      <right/>
      <top/>
      <bottom style="thin">
        <color rgb="FF3A3A3C"/>
      </bottom>
      <diagonal/>
    </border>
    <border>
      <left/>
      <right/>
      <top/>
      <bottom style="thin">
        <color rgb="FF3A3A3C"/>
      </bottom>
      <diagonal/>
    </border>
    <border>
      <left/>
      <right/>
      <top style="thin">
        <color rgb="FF3A3A3C"/>
      </top>
      <bottom/>
      <diagonal/>
    </border>
    <border>
      <left/>
      <right/>
      <top style="thin">
        <color rgb="FF3A3A3C"/>
      </top>
      <bottom style="thin">
        <color rgb="FF3A3A3C"/>
      </bottom>
      <diagonal/>
    </border>
  </borders>
  <cellStyleXfs count="2">
    <xf numFmtId="0" fontId="0" fillId="0" borderId="0"/>
    <xf numFmtId="0" fontId="31" fillId="0" borderId="0" applyNumberFormat="0" applyFill="0" applyBorder="0" applyAlignment="0" applyProtection="0"/>
  </cellStyleXfs>
  <cellXfs count="119">
    <xf numFmtId="0" fontId="0" fillId="0" borderId="0" xfId="0"/>
    <xf numFmtId="0" fontId="0" fillId="2" borderId="0" xfId="0" applyFill="1"/>
    <xf numFmtId="0" fontId="0" fillId="3" borderId="0" xfId="0" applyFill="1"/>
    <xf numFmtId="0" fontId="3" fillId="2" borderId="0" xfId="0" applyFont="1" applyFill="1" applyAlignment="1">
      <alignment horizontal="right" vertical="center"/>
    </xf>
    <xf numFmtId="0" fontId="4" fillId="3"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0" fontId="5" fillId="2" borderId="0" xfId="0" applyFont="1" applyFill="1" applyAlignment="1">
      <alignment horizontal="left" vertical="center"/>
    </xf>
    <xf numFmtId="0" fontId="3" fillId="2" borderId="0" xfId="0" applyFont="1" applyFill="1" applyAlignment="1">
      <alignment horizontal="left" vertical="center"/>
    </xf>
    <xf numFmtId="0" fontId="1"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14" fillId="4" borderId="3" xfId="0" applyFont="1" applyFill="1" applyBorder="1" applyAlignment="1">
      <alignment horizontal="left" vertical="center"/>
    </xf>
    <xf numFmtId="0" fontId="14" fillId="4" borderId="3" xfId="0" applyFont="1" applyFill="1" applyBorder="1" applyAlignment="1">
      <alignment horizontal="right" vertical="center"/>
    </xf>
    <xf numFmtId="0" fontId="7" fillId="3" borderId="0" xfId="0" applyFont="1" applyFill="1" applyAlignment="1">
      <alignment horizontal="left" vertical="center" indent="1"/>
    </xf>
    <xf numFmtId="164" fontId="15"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0" fontId="16" fillId="3" borderId="0" xfId="0" applyFont="1" applyFill="1" applyAlignment="1">
      <alignment horizontal="left" vertical="center" wrapText="1"/>
    </xf>
    <xf numFmtId="0" fontId="17" fillId="3" borderId="6" xfId="0" applyFont="1" applyFill="1" applyBorder="1" applyAlignment="1">
      <alignment horizontal="left" vertical="center"/>
    </xf>
    <xf numFmtId="164" fontId="18" fillId="3" borderId="6" xfId="0" applyNumberFormat="1" applyFont="1" applyFill="1" applyBorder="1" applyAlignment="1">
      <alignment horizontal="right" vertical="center"/>
    </xf>
    <xf numFmtId="0" fontId="5" fillId="3" borderId="0" xfId="0" applyFont="1" applyFill="1" applyAlignment="1">
      <alignment horizontal="left" vertical="center"/>
    </xf>
    <xf numFmtId="0" fontId="16" fillId="3" borderId="0" xfId="0" applyFont="1" applyFill="1" applyAlignment="1">
      <alignment horizontal="right" vertical="center"/>
    </xf>
    <xf numFmtId="0" fontId="16" fillId="3" borderId="0" xfId="0" applyFont="1" applyFill="1" applyAlignment="1">
      <alignment horizontal="left" vertical="center"/>
    </xf>
    <xf numFmtId="0" fontId="3" fillId="3" borderId="0" xfId="0" applyFont="1" applyFill="1" applyAlignment="1">
      <alignment horizontal="left" vertical="center"/>
    </xf>
    <xf numFmtId="0" fontId="5" fillId="3" borderId="0" xfId="0" applyFont="1" applyFill="1" applyAlignment="1">
      <alignment horizontal="left" vertical="center" indent="1"/>
    </xf>
    <xf numFmtId="0" fontId="3" fillId="3" borderId="0" xfId="0" applyFont="1" applyFill="1" applyAlignment="1">
      <alignment horizontal="right" vertical="center"/>
    </xf>
    <xf numFmtId="164" fontId="18" fillId="3" borderId="0" xfId="0" applyNumberFormat="1" applyFont="1" applyFill="1" applyAlignment="1">
      <alignment horizontal="right" vertical="center"/>
    </xf>
    <xf numFmtId="0" fontId="14" fillId="4" borderId="3" xfId="0" applyFont="1" applyFill="1" applyBorder="1" applyAlignment="1">
      <alignment horizontal="center" vertical="center"/>
    </xf>
    <xf numFmtId="0" fontId="18" fillId="3" borderId="0" xfId="0" applyFont="1" applyFill="1" applyAlignment="1">
      <alignment horizontal="center" vertical="center"/>
    </xf>
    <xf numFmtId="0" fontId="7" fillId="3" borderId="0" xfId="0" applyFont="1" applyFill="1" applyAlignment="1">
      <alignment horizontal="left" vertical="center"/>
    </xf>
    <xf numFmtId="165" fontId="15" fillId="3" borderId="0" xfId="0" applyNumberFormat="1" applyFont="1" applyFill="1" applyAlignment="1">
      <alignment horizontal="right" vertical="center"/>
    </xf>
    <xf numFmtId="0" fontId="19" fillId="3" borderId="0" xfId="0" applyFont="1" applyFill="1" applyAlignment="1">
      <alignment horizontal="left" vertical="center"/>
    </xf>
    <xf numFmtId="166" fontId="15" fillId="3" borderId="0" xfId="0" applyNumberFormat="1" applyFont="1" applyFill="1" applyAlignment="1">
      <alignment horizontal="right" vertical="center"/>
    </xf>
    <xf numFmtId="167" fontId="15" fillId="3" borderId="0" xfId="0" applyNumberFormat="1" applyFont="1" applyFill="1" applyAlignment="1">
      <alignment horizontal="right" vertical="center"/>
    </xf>
    <xf numFmtId="49" fontId="20" fillId="3" borderId="0" xfId="0" applyNumberFormat="1" applyFont="1" applyFill="1" applyAlignment="1">
      <alignment horizontal="right" vertical="center"/>
    </xf>
    <xf numFmtId="168" fontId="15" fillId="3" borderId="0" xfId="0" applyNumberFormat="1" applyFont="1" applyFill="1" applyAlignment="1">
      <alignment horizontal="right" vertical="center"/>
    </xf>
    <xf numFmtId="0" fontId="4" fillId="3" borderId="0" xfId="0" applyFont="1" applyFill="1" applyAlignment="1">
      <alignment horizontal="center" vertical="center"/>
    </xf>
    <xf numFmtId="0" fontId="14" fillId="3" borderId="0" xfId="0" applyFont="1" applyFill="1" applyAlignment="1">
      <alignment horizontal="center" vertical="center"/>
    </xf>
    <xf numFmtId="0" fontId="21" fillId="3" borderId="1" xfId="0" applyFont="1" applyFill="1" applyBorder="1" applyAlignment="1">
      <alignment horizontal="center" vertical="center"/>
    </xf>
    <xf numFmtId="165" fontId="22" fillId="2" borderId="0" xfId="0" applyNumberFormat="1" applyFont="1" applyFill="1" applyAlignment="1">
      <alignment horizontal="right" vertical="center"/>
    </xf>
    <xf numFmtId="169" fontId="22" fillId="2" borderId="0" xfId="0" applyNumberFormat="1" applyFont="1" applyFill="1" applyAlignment="1">
      <alignment horizontal="right" vertical="center"/>
    </xf>
    <xf numFmtId="168" fontId="22" fillId="2" borderId="0" xfId="0" applyNumberFormat="1" applyFont="1" applyFill="1" applyAlignment="1">
      <alignment horizontal="right" vertical="center"/>
    </xf>
    <xf numFmtId="49" fontId="2" fillId="3" borderId="1" xfId="0" applyNumberFormat="1" applyFont="1" applyFill="1" applyBorder="1" applyAlignment="1">
      <alignment horizontal="left" vertical="center"/>
    </xf>
    <xf numFmtId="165" fontId="2" fillId="3" borderId="1" xfId="0" applyNumberFormat="1" applyFont="1" applyFill="1" applyBorder="1" applyAlignment="1">
      <alignment horizontal="right" vertical="center"/>
    </xf>
    <xf numFmtId="170" fontId="15" fillId="3" borderId="0" xfId="0" applyNumberFormat="1" applyFont="1" applyFill="1" applyAlignment="1">
      <alignment horizontal="center" vertical="center"/>
    </xf>
    <xf numFmtId="169" fontId="15" fillId="3" borderId="0" xfId="0" applyNumberFormat="1" applyFont="1" applyFill="1" applyAlignment="1">
      <alignment horizontal="right" vertical="center"/>
    </xf>
    <xf numFmtId="169" fontId="2" fillId="3" borderId="1" xfId="0" applyNumberFormat="1" applyFont="1" applyFill="1" applyBorder="1" applyAlignment="1">
      <alignment horizontal="right" vertical="center"/>
    </xf>
    <xf numFmtId="168" fontId="2" fillId="3" borderId="1" xfId="0" applyNumberFormat="1" applyFont="1" applyFill="1" applyBorder="1" applyAlignment="1">
      <alignment horizontal="right" vertical="center"/>
    </xf>
    <xf numFmtId="49" fontId="7" fillId="3" borderId="0" xfId="0" applyNumberFormat="1" applyFont="1" applyFill="1" applyAlignment="1">
      <alignment horizontal="center" vertical="center" wrapText="1"/>
    </xf>
    <xf numFmtId="164" fontId="2" fillId="3" borderId="1" xfId="0" applyNumberFormat="1" applyFont="1" applyFill="1" applyBorder="1" applyAlignment="1">
      <alignment horizontal="right" vertical="center"/>
    </xf>
    <xf numFmtId="49" fontId="23" fillId="3" borderId="1" xfId="0" applyNumberFormat="1" applyFont="1" applyFill="1" applyBorder="1" applyAlignment="1">
      <alignment horizontal="center" vertical="center"/>
    </xf>
    <xf numFmtId="170" fontId="22" fillId="3" borderId="0" xfId="0" applyNumberFormat="1" applyFont="1" applyFill="1" applyAlignment="1">
      <alignment horizontal="right" vertical="center"/>
    </xf>
    <xf numFmtId="165" fontId="22" fillId="3" borderId="0" xfId="0" applyNumberFormat="1" applyFont="1" applyFill="1" applyAlignment="1">
      <alignment horizontal="right" vertical="center"/>
    </xf>
    <xf numFmtId="164" fontId="22" fillId="3" borderId="0" xfId="0" applyNumberFormat="1" applyFont="1" applyFill="1" applyAlignment="1">
      <alignment horizontal="right" vertical="center"/>
    </xf>
    <xf numFmtId="169" fontId="22"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0" fillId="5" borderId="0" xfId="0" applyFill="1"/>
    <xf numFmtId="0" fontId="25" fillId="6" borderId="0" xfId="0" applyFont="1" applyFill="1"/>
    <xf numFmtId="0" fontId="0" fillId="7" borderId="0" xfId="0" applyFill="1"/>
    <xf numFmtId="0" fontId="29" fillId="6" borderId="0" xfId="0" applyFont="1" applyFill="1" applyAlignment="1">
      <alignment horizontal="left"/>
    </xf>
    <xf numFmtId="0" fontId="30" fillId="6" borderId="0" xfId="0" applyFont="1" applyFill="1" applyAlignment="1">
      <alignment horizontal="left"/>
    </xf>
    <xf numFmtId="49" fontId="28" fillId="6" borderId="0" xfId="0" applyNumberFormat="1" applyFont="1" applyFill="1" applyAlignment="1">
      <alignment horizontal="left" vertical="center"/>
    </xf>
    <xf numFmtId="0" fontId="27" fillId="6" borderId="0" xfId="0" applyFont="1" applyFill="1"/>
    <xf numFmtId="49" fontId="28" fillId="6" borderId="0" xfId="0" applyNumberFormat="1" applyFont="1" applyFill="1"/>
    <xf numFmtId="49" fontId="28" fillId="6" borderId="0" xfId="0" applyNumberFormat="1" applyFont="1" applyFill="1" applyAlignment="1">
      <alignment horizontal="left" vertical="top" wrapText="1"/>
    </xf>
    <xf numFmtId="0" fontId="3" fillId="6" borderId="0" xfId="0" applyFont="1" applyFill="1"/>
    <xf numFmtId="0" fontId="3" fillId="6" borderId="0" xfId="0" applyFont="1" applyFill="1" applyAlignment="1">
      <alignment horizontal="right"/>
    </xf>
    <xf numFmtId="0" fontId="0" fillId="6" borderId="0" xfId="0" applyFill="1"/>
    <xf numFmtId="0" fontId="1" fillId="6" borderId="0" xfId="0" applyFont="1" applyFill="1" applyAlignment="1">
      <alignment horizontal="left" vertical="center"/>
    </xf>
    <xf numFmtId="0" fontId="7" fillId="6" borderId="0" xfId="0" applyFont="1" applyFill="1" applyAlignment="1">
      <alignment horizontal="left" vertical="top" wrapText="1"/>
    </xf>
    <xf numFmtId="0" fontId="24" fillId="6" borderId="0" xfId="0" applyFont="1" applyFill="1" applyAlignment="1">
      <alignment horizontal="left" vertical="center"/>
    </xf>
    <xf numFmtId="0" fontId="26" fillId="5" borderId="0" xfId="0" applyFont="1" applyFill="1" applyAlignment="1">
      <alignment vertical="top" wrapText="1"/>
    </xf>
    <xf numFmtId="0" fontId="0" fillId="6" borderId="0" xfId="0" applyFill="1" applyAlignment="1">
      <alignment vertical="top" wrapText="1"/>
    </xf>
    <xf numFmtId="0" fontId="27" fillId="6" borderId="0" xfId="0" applyFont="1" applyFill="1" applyAlignment="1">
      <alignment vertical="top" wrapText="1"/>
    </xf>
    <xf numFmtId="0" fontId="24" fillId="7" borderId="0" xfId="0" applyFont="1" applyFill="1" applyAlignment="1">
      <alignment horizontal="left" vertical="center"/>
    </xf>
    <xf numFmtId="0" fontId="7" fillId="7" borderId="0" xfId="0" applyFont="1" applyFill="1" applyAlignment="1">
      <alignment horizontal="left" vertical="top" wrapText="1"/>
    </xf>
    <xf numFmtId="0" fontId="3" fillId="7" borderId="0" xfId="0" applyFont="1" applyFill="1" applyAlignment="1">
      <alignment horizontal="left" vertical="center"/>
    </xf>
    <xf numFmtId="0" fontId="7" fillId="6" borderId="0" xfId="0" applyFont="1" applyFill="1" applyAlignment="1">
      <alignment horizontal="left" vertical="center"/>
    </xf>
    <xf numFmtId="0" fontId="7" fillId="5" borderId="0" xfId="0" applyFont="1" applyFill="1" applyAlignment="1">
      <alignment horizontal="left" vertical="top" wrapText="1"/>
    </xf>
    <xf numFmtId="0" fontId="24" fillId="5" borderId="0" xfId="0" applyFont="1" applyFill="1" applyAlignment="1">
      <alignment horizontal="left" vertical="center"/>
    </xf>
    <xf numFmtId="0" fontId="30" fillId="2" borderId="0" xfId="0" applyFont="1" applyFill="1"/>
    <xf numFmtId="0" fontId="5" fillId="2" borderId="0" xfId="0" applyFont="1" applyFill="1" applyAlignment="1">
      <alignment vertical="center"/>
    </xf>
    <xf numFmtId="0" fontId="0" fillId="8" borderId="0" xfId="0" applyFill="1"/>
    <xf numFmtId="9" fontId="14" fillId="4" borderId="3" xfId="0" applyNumberFormat="1" applyFont="1" applyFill="1" applyBorder="1" applyAlignment="1">
      <alignment horizontal="right" vertical="center"/>
    </xf>
    <xf numFmtId="0" fontId="16" fillId="3" borderId="0" xfId="0" applyFont="1" applyFill="1" applyAlignment="1">
      <alignment horizontal="left" vertical="center" wrapText="1"/>
    </xf>
    <xf numFmtId="0" fontId="0" fillId="3" borderId="0" xfId="0" applyFill="1"/>
    <xf numFmtId="0" fontId="19" fillId="3" borderId="0" xfId="0" applyFont="1" applyFill="1" applyAlignment="1">
      <alignment horizontal="left" vertical="center"/>
    </xf>
    <xf numFmtId="0" fontId="13" fillId="4" borderId="0" xfId="0" applyFont="1" applyFill="1" applyAlignment="1">
      <alignment horizontal="left" vertical="center" indent="1"/>
    </xf>
    <xf numFmtId="0" fontId="3" fillId="4" borderId="0" xfId="0" applyFont="1" applyFill="1" applyAlignment="1">
      <alignment horizontal="right" vertical="center" indent="1"/>
    </xf>
    <xf numFmtId="0" fontId="7" fillId="3" borderId="0" xfId="0" applyFont="1" applyFill="1" applyAlignment="1">
      <alignment horizontal="left" vertical="center" indent="1"/>
    </xf>
    <xf numFmtId="0" fontId="3" fillId="2" borderId="0" xfId="0" applyFont="1" applyFill="1" applyAlignment="1">
      <alignment horizontal="left" vertical="center"/>
    </xf>
    <xf numFmtId="0" fontId="4" fillId="3" borderId="1" xfId="0" applyFont="1" applyFill="1" applyBorder="1" applyAlignment="1">
      <alignment horizontal="center" vertical="center"/>
    </xf>
    <xf numFmtId="0" fontId="0" fillId="3" borderId="2" xfId="0" applyFill="1" applyBorder="1"/>
    <xf numFmtId="0" fontId="14" fillId="4" borderId="4" xfId="0" applyFont="1" applyFill="1" applyBorder="1" applyAlignment="1">
      <alignment horizontal="left" vertical="center"/>
    </xf>
    <xf numFmtId="0" fontId="0" fillId="3" borderId="5" xfId="0" applyFill="1" applyBorder="1"/>
    <xf numFmtId="0" fontId="3" fillId="3" borderId="0" xfId="0" applyFont="1" applyFill="1" applyAlignment="1">
      <alignment horizontal="left" vertical="center" indent="1"/>
    </xf>
    <xf numFmtId="49" fontId="20" fillId="3" borderId="0" xfId="0" applyNumberFormat="1" applyFont="1" applyFill="1" applyAlignment="1">
      <alignment horizontal="right" vertical="center"/>
    </xf>
    <xf numFmtId="164" fontId="12" fillId="3" borderId="0" xfId="0" applyNumberFormat="1" applyFont="1" applyFill="1" applyAlignment="1">
      <alignment horizontal="left" vertical="center" indent="1"/>
    </xf>
    <xf numFmtId="164" fontId="11" fillId="3" borderId="0" xfId="0" applyNumberFormat="1" applyFont="1" applyFill="1" applyAlignment="1">
      <alignment horizontal="left" vertical="center" indent="1"/>
    </xf>
    <xf numFmtId="0" fontId="7" fillId="2" borderId="0" xfId="0" applyFont="1" applyFill="1" applyAlignment="1">
      <alignment horizontal="left" vertical="center"/>
    </xf>
    <xf numFmtId="0" fontId="17" fillId="3" borderId="0" xfId="0" applyFont="1" applyFill="1" applyAlignment="1">
      <alignment horizontal="left" vertical="center"/>
    </xf>
    <xf numFmtId="165" fontId="15" fillId="3" borderId="0" xfId="0" applyNumberFormat="1" applyFont="1" applyFill="1" applyAlignment="1">
      <alignment horizontal="right" vertical="center"/>
    </xf>
    <xf numFmtId="168" fontId="15" fillId="3" borderId="0" xfId="0" applyNumberFormat="1" applyFont="1" applyFill="1" applyAlignment="1">
      <alignment horizontal="right" vertical="center"/>
    </xf>
    <xf numFmtId="0" fontId="3" fillId="3" borderId="0" xfId="0" applyFont="1" applyFill="1" applyAlignment="1">
      <alignment horizontal="left" vertical="center"/>
    </xf>
    <xf numFmtId="165" fontId="11" fillId="3" borderId="0" xfId="0" applyNumberFormat="1" applyFont="1" applyFill="1" applyAlignment="1">
      <alignment horizontal="left" vertical="center" indent="1"/>
    </xf>
    <xf numFmtId="0" fontId="29" fillId="2" borderId="0" xfId="0" applyFont="1" applyFill="1" applyAlignment="1">
      <alignment horizontal="left" vertical="center"/>
    </xf>
    <xf numFmtId="0" fontId="6" fillId="2" borderId="0" xfId="0" applyFont="1" applyFill="1" applyAlignment="1">
      <alignment horizontal="left" vertical="center"/>
    </xf>
    <xf numFmtId="0" fontId="1" fillId="2" borderId="0" xfId="0" applyFont="1" applyFill="1" applyAlignment="1">
      <alignment horizontal="left" vertical="center"/>
    </xf>
    <xf numFmtId="0" fontId="5" fillId="2" borderId="0" xfId="0" applyFont="1" applyFill="1" applyAlignment="1">
      <alignment horizontal="left" vertical="center"/>
    </xf>
    <xf numFmtId="0" fontId="16" fillId="3" borderId="0" xfId="0" applyFont="1" applyFill="1" applyAlignment="1">
      <alignment horizontal="left" vertical="center"/>
    </xf>
    <xf numFmtId="49" fontId="2" fillId="3" borderId="1" xfId="0" applyNumberFormat="1" applyFont="1" applyFill="1" applyBorder="1" applyAlignment="1">
      <alignment horizontal="left" vertical="center"/>
    </xf>
    <xf numFmtId="0" fontId="0" fillId="3" borderId="7" xfId="0" applyFill="1" applyBorder="1"/>
    <xf numFmtId="49" fontId="15" fillId="3" borderId="0" xfId="0" applyNumberFormat="1" applyFont="1" applyFill="1" applyAlignment="1">
      <alignment horizontal="left" vertical="center"/>
    </xf>
    <xf numFmtId="0" fontId="7" fillId="3" borderId="0" xfId="0" applyFont="1" applyFill="1" applyAlignment="1">
      <alignment horizontal="left" vertical="center"/>
    </xf>
    <xf numFmtId="0" fontId="22" fillId="2" borderId="0" xfId="0" applyNumberFormat="1" applyFont="1" applyFill="1" applyAlignment="1">
      <alignment horizontal="center" vertical="center"/>
    </xf>
    <xf numFmtId="0" fontId="15" fillId="3" borderId="0" xfId="0" applyNumberFormat="1" applyFont="1" applyFill="1" applyAlignment="1">
      <alignment horizontal="left" vertical="center"/>
    </xf>
    <xf numFmtId="0" fontId="7" fillId="3" borderId="0" xfId="0" applyNumberFormat="1" applyFont="1" applyFill="1" applyAlignment="1">
      <alignment horizontal="right" vertical="center"/>
    </xf>
    <xf numFmtId="0" fontId="25" fillId="6" borderId="0" xfId="1" applyFont="1" applyFill="1" applyAlignment="1">
      <alignment horizontal="left"/>
    </xf>
    <xf numFmtId="0" fontId="25" fillId="6" borderId="0" xfId="1" applyFont="1" applyFill="1"/>
  </cellXfs>
  <cellStyles count="2">
    <cellStyle name="Hyperlink" xfId="1" builtinId="8"/>
    <cellStyle name="Normal" xfId="0" builtinId="0"/>
  </cellStyles>
  <dxfs count="12">
    <dxf>
      <font>
        <b/>
        <sz val="13"/>
        <color rgb="FFE5484D"/>
        <name val="Consolas"/>
      </font>
      <fill>
        <patternFill patternType="solid">
          <fgColor rgb="FF2E1517"/>
          <bgColor rgb="FF2E1517"/>
        </patternFill>
      </fill>
    </dxf>
    <dxf>
      <font>
        <b/>
        <sz val="13"/>
        <color rgb="FF10B981"/>
        <name val="Consolas"/>
      </font>
      <fill>
        <patternFill patternType="solid">
          <fgColor rgb="FF0B2E25"/>
          <bgColor rgb="FF0B2E25"/>
        </patternFill>
      </fill>
    </dxf>
    <dxf>
      <font>
        <b/>
        <sz val="10"/>
        <color rgb="FFE5484D"/>
        <name val="Consolas"/>
      </font>
      <fill>
        <patternFill patternType="solid">
          <fgColor rgb="FF2E1517"/>
          <bgColor rgb="FF2E1517"/>
        </patternFill>
      </fill>
    </dxf>
    <dxf>
      <font>
        <b/>
        <sz val="10"/>
        <color rgb="FF10B981"/>
        <name val="Consolas"/>
      </font>
      <fill>
        <patternFill patternType="solid">
          <fgColor rgb="FF0B2E25"/>
          <bgColor rgb="FF0B2E25"/>
        </patternFill>
      </fill>
    </dxf>
    <dxf>
      <font>
        <b/>
        <sz val="11"/>
        <color rgb="FF10B981"/>
        <name val="Consolas"/>
      </font>
      <fill>
        <patternFill patternType="solid">
          <fgColor rgb="FF0B2E25"/>
          <bgColor rgb="FF0B2E25"/>
        </patternFill>
      </fill>
    </dxf>
    <dxf>
      <font>
        <b/>
        <sz val="11"/>
        <color rgb="FFFFC857"/>
        <name val="Consolas"/>
      </font>
      <fill>
        <patternFill patternType="solid">
          <fgColor rgb="FF2E2415"/>
          <bgColor rgb="FF2E2415"/>
        </patternFill>
      </fill>
    </dxf>
    <dxf>
      <font>
        <b/>
        <sz val="13"/>
        <color rgb="FFE5484D"/>
        <name val="Consolas"/>
      </font>
      <fill>
        <patternFill patternType="solid">
          <fgColor rgb="FF2E1517"/>
          <bgColor rgb="FF2E1517"/>
        </patternFill>
      </fill>
    </dxf>
    <dxf>
      <font>
        <b/>
        <sz val="13"/>
        <color rgb="FF10B981"/>
        <name val="Consolas"/>
      </font>
      <fill>
        <patternFill patternType="solid">
          <fgColor rgb="FF0B2E25"/>
          <bgColor rgb="FF0B2E25"/>
        </patternFill>
      </fill>
    </dxf>
    <dxf>
      <font>
        <b/>
        <sz val="10"/>
        <color rgb="FFE5484D"/>
        <name val="Consolas"/>
      </font>
      <fill>
        <patternFill patternType="solid">
          <fgColor rgb="FF2E1517"/>
          <bgColor rgb="FF2E1517"/>
        </patternFill>
      </fill>
    </dxf>
    <dxf>
      <font>
        <b/>
        <sz val="10"/>
        <color rgb="FF10B981"/>
        <name val="Consolas"/>
      </font>
      <fill>
        <patternFill patternType="solid">
          <fgColor rgb="FF0B2E25"/>
          <bgColor rgb="FF0B2E25"/>
        </patternFill>
      </fill>
    </dxf>
    <dxf>
      <font>
        <b/>
        <sz val="11"/>
        <color rgb="FF10B981"/>
        <name val="Consolas"/>
      </font>
      <fill>
        <patternFill patternType="solid">
          <fgColor rgb="FF0B2E25"/>
          <bgColor rgb="FF0B2E25"/>
        </patternFill>
      </fill>
    </dxf>
    <dxf>
      <font>
        <b/>
        <sz val="11"/>
        <color rgb="FFFFC857"/>
        <name val="Consolas"/>
      </font>
      <fill>
        <patternFill patternType="solid">
          <fgColor rgb="FF2E2415"/>
          <bgColor rgb="FF2E2415"/>
        </patternFill>
      </fill>
    </dxf>
  </dxfs>
  <tableStyles count="0" defaultTableStyle="TableStyleMedium9" defaultPivotStyle="PivotStyleLight16"/>
  <colors>
    <mruColors>
      <color rgb="FF0D0D0D"/>
      <color rgb="FF1C1C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lineChart>
        <c:grouping val="standard"/>
        <c:varyColors val="1"/>
        <c:ser>
          <c:idx val="0"/>
          <c:order val="0"/>
          <c:tx>
            <c:strRef>
              <c:f>Forecast!$B$20</c:f>
              <c:strCache>
                <c:ptCount val="1"/>
                <c:pt idx="0">
                  <c:v>Total revenue</c:v>
                </c:pt>
              </c:strCache>
            </c:strRef>
          </c:tx>
          <c:spPr>
            <a:ln w="22000">
              <a:solidFill>
                <a:srgbClr val="1E50FF"/>
              </a:solidFill>
              <a:prstDash val="solid"/>
            </a:ln>
          </c:spPr>
          <c:marker>
            <c:symbol val="none"/>
          </c:marker>
          <c:cat>
            <c:strRef>
              <c:f>Forecast!$C$17:$H$17</c:f>
              <c:strCache>
                <c:ptCount val="6"/>
                <c:pt idx="0">
                  <c:v>M1 · Jul 26</c:v>
                </c:pt>
                <c:pt idx="1">
                  <c:v>M2 · Aug 26</c:v>
                </c:pt>
                <c:pt idx="2">
                  <c:v>M3 · Sep 26</c:v>
                </c:pt>
                <c:pt idx="3">
                  <c:v>M4 · Oct 26</c:v>
                </c:pt>
                <c:pt idx="4">
                  <c:v>M5 · Nov 26</c:v>
                </c:pt>
                <c:pt idx="5">
                  <c:v>M6 · Dec 26</c:v>
                </c:pt>
              </c:strCache>
            </c:strRef>
          </c:cat>
          <c:val>
            <c:numRef>
              <c:f>Forecast!$C$20:$H$20</c:f>
              <c:numCache>
                <c:formatCode>"$"#,##0;[Red]\("$"#,##0\);"–";@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0-8E5A-EB49-B225-B044A940B861}"/>
            </c:ext>
          </c:extLst>
        </c:ser>
        <c:ser>
          <c:idx val="1"/>
          <c:order val="1"/>
          <c:tx>
            <c:strRef>
              <c:f>Forecast!$B$24</c:f>
              <c:strCache>
                <c:ptCount val="1"/>
                <c:pt idx="0">
                  <c:v>Total cash receipts</c:v>
                </c:pt>
              </c:strCache>
            </c:strRef>
          </c:tx>
          <c:spPr>
            <a:ln w="22000">
              <a:solidFill>
                <a:srgbClr val="10B981"/>
              </a:solidFill>
              <a:prstDash val="solid"/>
            </a:ln>
          </c:spPr>
          <c:marker>
            <c:symbol val="none"/>
          </c:marker>
          <c:cat>
            <c:strRef>
              <c:f>Forecast!$C$17:$H$17</c:f>
              <c:strCache>
                <c:ptCount val="6"/>
                <c:pt idx="0">
                  <c:v>M1 · Jul 26</c:v>
                </c:pt>
                <c:pt idx="1">
                  <c:v>M2 · Aug 26</c:v>
                </c:pt>
                <c:pt idx="2">
                  <c:v>M3 · Sep 26</c:v>
                </c:pt>
                <c:pt idx="3">
                  <c:v>M4 · Oct 26</c:v>
                </c:pt>
                <c:pt idx="4">
                  <c:v>M5 · Nov 26</c:v>
                </c:pt>
                <c:pt idx="5">
                  <c:v>M6 · Dec 26</c:v>
                </c:pt>
              </c:strCache>
            </c:strRef>
          </c:cat>
          <c:val>
            <c:numRef>
              <c:f>Forecast!$C$24:$H$24</c:f>
              <c:numCache>
                <c:formatCode>"$"#,##0;[Red]\("$"#,##0\);"–";@</c:formatCode>
                <c:ptCount val="6"/>
                <c:pt idx="0">
                  <c:v>0</c:v>
                </c:pt>
                <c:pt idx="1">
                  <c:v>0</c:v>
                </c:pt>
                <c:pt idx="2">
                  <c:v>0</c:v>
                </c:pt>
                <c:pt idx="3">
                  <c:v>0</c:v>
                </c:pt>
                <c:pt idx="4">
                  <c:v>0</c:v>
                </c:pt>
                <c:pt idx="5">
                  <c:v>0</c:v>
                </c:pt>
              </c:numCache>
            </c:numRef>
          </c:val>
          <c:smooth val="1"/>
          <c:extLst>
            <c:ext xmlns:c16="http://schemas.microsoft.com/office/drawing/2014/chart" uri="{C3380CC4-5D6E-409C-BE32-E72D297353CC}">
              <c16:uniqueId val="{00000001-8E5A-EB49-B225-B044A940B86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Red]\(&quot;$&quot;#,##0\);&quot;–&quot;;@"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1"/>
    <c:dispBlanksAs val="gap"/>
    <c:showDLblsOverMax val="1"/>
  </c:chart>
  <c:spPr>
    <a:solidFill>
      <a:srgbClr val="1C1C1E"/>
    </a:solidFill>
    <a:ln>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lineChart>
        <c:grouping val="standard"/>
        <c:varyColors val="1"/>
        <c:ser>
          <c:idx val="0"/>
          <c:order val="0"/>
          <c:tx>
            <c:strRef>
              <c:f>'Sample Forecast'!$B$20</c:f>
              <c:strCache>
                <c:ptCount val="1"/>
                <c:pt idx="0">
                  <c:v>Total revenue</c:v>
                </c:pt>
              </c:strCache>
            </c:strRef>
          </c:tx>
          <c:spPr>
            <a:ln w="22000">
              <a:solidFill>
                <a:srgbClr val="1E50FF"/>
              </a:solidFill>
              <a:prstDash val="solid"/>
            </a:ln>
          </c:spPr>
          <c:marker>
            <c:symbol val="none"/>
          </c:marker>
          <c:cat>
            <c:strRef>
              <c:f>'Sample Forecast'!$C$17:$H$17</c:f>
              <c:strCache>
                <c:ptCount val="6"/>
                <c:pt idx="0">
                  <c:v>M1 · Jul 26</c:v>
                </c:pt>
                <c:pt idx="1">
                  <c:v>M2 · Aug 26</c:v>
                </c:pt>
                <c:pt idx="2">
                  <c:v>M3 · Sep 26</c:v>
                </c:pt>
                <c:pt idx="3">
                  <c:v>M4 · Oct 26</c:v>
                </c:pt>
                <c:pt idx="4">
                  <c:v>M5 · Nov 26</c:v>
                </c:pt>
                <c:pt idx="5">
                  <c:v>M6 · Dec 26</c:v>
                </c:pt>
              </c:strCache>
            </c:strRef>
          </c:cat>
          <c:val>
            <c:numRef>
              <c:f>'Sample Forecast'!$C$20:$H$20</c:f>
              <c:numCache>
                <c:formatCode>"$"#,##0;[Red]\("$"#,##0\);"–";@</c:formatCode>
                <c:ptCount val="6"/>
                <c:pt idx="0">
                  <c:v>168000</c:v>
                </c:pt>
                <c:pt idx="1">
                  <c:v>253600</c:v>
                </c:pt>
                <c:pt idx="2">
                  <c:v>281600</c:v>
                </c:pt>
                <c:pt idx="3">
                  <c:v>246283.33333333331</c:v>
                </c:pt>
                <c:pt idx="4">
                  <c:v>230450</c:v>
                </c:pt>
                <c:pt idx="5">
                  <c:v>141650</c:v>
                </c:pt>
              </c:numCache>
            </c:numRef>
          </c:val>
          <c:smooth val="1"/>
          <c:extLst>
            <c:ext xmlns:c16="http://schemas.microsoft.com/office/drawing/2014/chart" uri="{C3380CC4-5D6E-409C-BE32-E72D297353CC}">
              <c16:uniqueId val="{00000000-D446-6741-887E-D294A7E676A7}"/>
            </c:ext>
          </c:extLst>
        </c:ser>
        <c:ser>
          <c:idx val="1"/>
          <c:order val="1"/>
          <c:tx>
            <c:strRef>
              <c:f>'Sample Forecast'!$B$24</c:f>
              <c:strCache>
                <c:ptCount val="1"/>
                <c:pt idx="0">
                  <c:v>Total cash receipts</c:v>
                </c:pt>
              </c:strCache>
            </c:strRef>
          </c:tx>
          <c:spPr>
            <a:ln w="22000">
              <a:solidFill>
                <a:srgbClr val="10B981"/>
              </a:solidFill>
              <a:prstDash val="solid"/>
            </a:ln>
          </c:spPr>
          <c:marker>
            <c:symbol val="none"/>
          </c:marker>
          <c:cat>
            <c:strRef>
              <c:f>'Sample Forecast'!$C$17:$H$17</c:f>
              <c:strCache>
                <c:ptCount val="6"/>
                <c:pt idx="0">
                  <c:v>M1 · Jul 26</c:v>
                </c:pt>
                <c:pt idx="1">
                  <c:v>M2 · Aug 26</c:v>
                </c:pt>
                <c:pt idx="2">
                  <c:v>M3 · Sep 26</c:v>
                </c:pt>
                <c:pt idx="3">
                  <c:v>M4 · Oct 26</c:v>
                </c:pt>
                <c:pt idx="4">
                  <c:v>M5 · Nov 26</c:v>
                </c:pt>
                <c:pt idx="5">
                  <c:v>M6 · Dec 26</c:v>
                </c:pt>
              </c:strCache>
            </c:strRef>
          </c:cat>
          <c:val>
            <c:numRef>
              <c:f>'Sample Forecast'!$C$24:$H$24</c:f>
              <c:numCache>
                <c:formatCode>"$"#,##0;[Red]\("$"#,##0\);"–";@</c:formatCode>
                <c:ptCount val="6"/>
                <c:pt idx="0">
                  <c:v>54000</c:v>
                </c:pt>
                <c:pt idx="1">
                  <c:v>124000</c:v>
                </c:pt>
                <c:pt idx="2">
                  <c:v>207600</c:v>
                </c:pt>
                <c:pt idx="3">
                  <c:v>390780</c:v>
                </c:pt>
                <c:pt idx="4">
                  <c:v>277283.33333333331</c:v>
                </c:pt>
                <c:pt idx="5">
                  <c:v>125450</c:v>
                </c:pt>
              </c:numCache>
            </c:numRef>
          </c:val>
          <c:smooth val="1"/>
          <c:extLst>
            <c:ext xmlns:c16="http://schemas.microsoft.com/office/drawing/2014/chart" uri="{C3380CC4-5D6E-409C-BE32-E72D297353CC}">
              <c16:uniqueId val="{00000001-D446-6741-887E-D294A7E676A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26282B"/>
              </a:solidFill>
              <a:prstDash val="solid"/>
            </a:ln>
          </c:spPr>
        </c:majorGridlines>
        <c:numFmt formatCode="&quot;$&quot;#,##0;[Red]\(&quot;$&quot;#,##0\);&quot;–&quot;;@" sourceLinked="1"/>
        <c:majorTickMark val="none"/>
        <c:minorTickMark val="none"/>
        <c:tickLblPos val="nextTo"/>
        <c:spPr>
          <a:ln>
            <a:solidFill>
              <a:srgbClr val="3A3A3C"/>
            </a:solidFill>
            <a:prstDash val="solid"/>
          </a:ln>
        </c:spPr>
        <c:txPr>
          <a:bodyPr/>
          <a:lstStyle/>
          <a:p>
            <a:pPr>
              <a:defRPr>
                <a:solidFill>
                  <a:srgbClr val="8896B3"/>
                </a:solidFill>
              </a:defRPr>
            </a:pPr>
            <a:endParaRPr lang="en-US"/>
          </a:p>
        </c:txPr>
        <c:crossAx val="10"/>
        <c:crosses val="autoZero"/>
        <c:crossBetween val="between"/>
      </c:valAx>
      <c:spPr>
        <a:solidFill>
          <a:srgbClr val="1C1C1E"/>
        </a:solidFill>
        <a:ln>
          <a:prstDash val="solid"/>
        </a:ln>
      </c:spPr>
    </c:plotArea>
    <c:legend>
      <c:legendPos val="b"/>
      <c:overlay val="0"/>
      <c:txPr>
        <a:bodyPr/>
        <a:lstStyle/>
        <a:p>
          <a:pPr>
            <a:defRPr>
              <a:solidFill>
                <a:srgbClr val="F2F2F2"/>
              </a:solidFill>
            </a:defRPr>
          </a:pPr>
          <a:endParaRPr lang="en-US"/>
        </a:p>
      </c:txPr>
    </c:legend>
    <c:plotVisOnly val="1"/>
    <c:dispBlanksAs val="gap"/>
    <c:showDLblsOverMax val="1"/>
  </c:chart>
  <c:spPr>
    <a:solidFill>
      <a:srgbClr val="1C1C1E"/>
    </a:solidFill>
    <a:ln>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nfraxus.com"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infraxus.com"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nfraxus.com"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infraxus.com" TargetMode="External"/><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infraxus.com" TargetMode="External"/></Relationships>
</file>

<file path=xl/drawings/drawing1.xml><?xml version="1.0" encoding="utf-8"?>
<xdr:wsDr xmlns:xdr="http://schemas.openxmlformats.org/drawingml/2006/spreadsheetDrawing" xmlns:a="http://schemas.openxmlformats.org/drawingml/2006/main">
  <xdr:oneCellAnchor>
    <xdr:from>
      <xdr:col>0</xdr:col>
      <xdr:colOff>154178</xdr:colOff>
      <xdr:row>1</xdr:row>
      <xdr:rowOff>36</xdr:rowOff>
    </xdr:from>
    <xdr:ext cx="1571625" cy="390525"/>
    <xdr:pic>
      <xdr:nvPicPr>
        <xdr:cNvPr id="2" name="Image 2" descr="Picture">
          <a:hlinkClick xmlns:r="http://schemas.openxmlformats.org/officeDocument/2006/relationships" r:id="rId1"/>
          <a:extLst>
            <a:ext uri="{FF2B5EF4-FFF2-40B4-BE49-F238E27FC236}">
              <a16:creationId xmlns:a16="http://schemas.microsoft.com/office/drawing/2014/main" id="{E2F6BAB6-F591-7843-8AD4-3ED95BFEDA43}"/>
            </a:ext>
          </a:extLst>
        </xdr:cNvPr>
        <xdr:cNvPicPr/>
      </xdr:nvPicPr>
      <xdr:blipFill>
        <a:blip xmlns:r="http://schemas.openxmlformats.org/officeDocument/2006/relationships" r:embed="rId2" cstate="print"/>
        <a:stretch>
          <a:fillRect/>
        </a:stretch>
      </xdr:blipFill>
      <xdr:spPr>
        <a:xfrm>
          <a:off x="154178" y="99822"/>
          <a:ext cx="1571625" cy="390525"/>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32</xdr:row>
      <xdr:rowOff>25400</xdr:rowOff>
    </xdr:from>
    <xdr:ext cx="13906500" cy="30988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1</xdr:row>
      <xdr:rowOff>0</xdr:rowOff>
    </xdr:from>
    <xdr:ext cx="1571625" cy="390525"/>
    <xdr:pic>
      <xdr:nvPicPr>
        <xdr:cNvPr id="3" name="Image 2" descr="Picture">
          <a:hlinkClick xmlns:r="http://schemas.openxmlformats.org/officeDocument/2006/relationships" r:id="rId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32</xdr:row>
      <xdr:rowOff>25400</xdr:rowOff>
    </xdr:from>
    <xdr:ext cx="13906500" cy="30988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1</xdr:row>
      <xdr:rowOff>0</xdr:rowOff>
    </xdr:from>
    <xdr:ext cx="1571625" cy="390525"/>
    <xdr:pic>
      <xdr:nvPicPr>
        <xdr:cNvPr id="3" name="Image 2" descr="Picture">
          <a:hlinkClick xmlns:r="http://schemas.openxmlformats.org/officeDocument/2006/relationships" r:id="rId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rId1"/>
          <a:extLst>
            <a:ext uri="{FF2B5EF4-FFF2-40B4-BE49-F238E27FC236}">
              <a16:creationId xmlns:a16="http://schemas.microsoft.com/office/drawing/2014/main" id="{919CB579-5B4A-B74D-B8A5-4F806F266A0F}"/>
            </a:ext>
          </a:extLst>
        </xdr:cNvPr>
        <xdr:cNvPicPr/>
      </xdr:nvPicPr>
      <xdr:blipFill>
        <a:blip xmlns:r="http://schemas.openxmlformats.org/officeDocument/2006/relationships" r:embed="rId2" cstate="print"/>
        <a:stretch>
          <a:fillRect/>
        </a:stretch>
      </xdr:blipFill>
      <xdr:spPr>
        <a:xfrm>
          <a:off x="152400" y="101600"/>
          <a:ext cx="1571625" cy="390525"/>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2D68E76-B369-D845-B186-1847F46BE0A0}">
  <we:reference id="wa200009404" version="1.0.0.8" store="en-US" storeType="OMEX"/>
  <we:alternateReferences>
    <we:reference id="WA200009404" version="1.0.0.8" store="" storeType="OMEX"/>
  </we:alternateReferences>
  <we:properties>
    <we:property name="claude.fileId" value="&quot;da56fb55-074d-4903-8691-8a320177251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raxus.com/boo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infraxus.com/book"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3"/>
  <sheetViews>
    <sheetView showGridLines="0" tabSelected="1" zoomScale="140" zoomScaleNormal="140" workbookViewId="0">
      <pane xSplit="1" ySplit="4" topLeftCell="B5" activePane="bottomRight" state="frozen"/>
      <selection pane="topRight" activeCell="B1" sqref="B1"/>
      <selection pane="bottomLeft" activeCell="A5" sqref="A5"/>
      <selection pane="bottomRight" activeCell="F5" sqref="F5"/>
    </sheetView>
  </sheetViews>
  <sheetFormatPr baseColWidth="10" defaultColWidth="8.83203125" defaultRowHeight="15" x14ac:dyDescent="0.2"/>
  <cols>
    <col min="1" max="1" width="2" style="56" customWidth="1"/>
    <col min="2" max="2" width="26" style="56" customWidth="1"/>
    <col min="3" max="3" width="136.6640625" style="56" customWidth="1"/>
    <col min="4" max="4" width="3.6640625" style="56" customWidth="1"/>
    <col min="5" max="16384" width="8.83203125" style="56"/>
  </cols>
  <sheetData>
    <row r="1" spans="1:4" ht="8" customHeight="1" x14ac:dyDescent="0.2">
      <c r="A1" s="67"/>
      <c r="B1" s="67"/>
      <c r="C1" s="67"/>
      <c r="D1" s="67"/>
    </row>
    <row r="2" spans="1:4" ht="30" customHeight="1" x14ac:dyDescent="0.3">
      <c r="A2" s="67"/>
      <c r="B2" s="77"/>
      <c r="C2" s="59" t="s">
        <v>391</v>
      </c>
      <c r="D2" s="67"/>
    </row>
    <row r="3" spans="1:4" ht="18" customHeight="1" x14ac:dyDescent="0.2">
      <c r="A3" s="67"/>
      <c r="B3" s="60" t="s">
        <v>404</v>
      </c>
      <c r="C3" s="67"/>
      <c r="D3" s="67"/>
    </row>
    <row r="4" spans="1:4" x14ac:dyDescent="0.2">
      <c r="A4" s="67"/>
      <c r="B4" s="68"/>
      <c r="C4" s="67"/>
      <c r="D4" s="67"/>
    </row>
    <row r="5" spans="1:4" ht="18" customHeight="1" x14ac:dyDescent="0.2">
      <c r="A5" s="67"/>
      <c r="B5" s="67"/>
      <c r="C5" s="67"/>
      <c r="D5" s="67"/>
    </row>
    <row r="6" spans="1:4" ht="28" customHeight="1" x14ac:dyDescent="0.25">
      <c r="A6" s="67"/>
      <c r="B6" s="61" t="s">
        <v>390</v>
      </c>
      <c r="C6" s="62" t="s">
        <v>389</v>
      </c>
      <c r="D6" s="67"/>
    </row>
    <row r="7" spans="1:4" ht="80" x14ac:dyDescent="0.2">
      <c r="A7" s="67"/>
      <c r="C7" s="71" t="s">
        <v>392</v>
      </c>
      <c r="D7" s="67"/>
    </row>
    <row r="8" spans="1:4" ht="19" customHeight="1" x14ac:dyDescent="0.2">
      <c r="A8" s="67"/>
      <c r="B8" s="69"/>
      <c r="C8" s="72"/>
      <c r="D8" s="67"/>
    </row>
    <row r="9" spans="1:4" ht="22" customHeight="1" x14ac:dyDescent="0.2">
      <c r="A9" s="67"/>
      <c r="B9" s="64" t="s">
        <v>388</v>
      </c>
      <c r="C9" s="73" t="s">
        <v>393</v>
      </c>
      <c r="D9" s="67"/>
    </row>
    <row r="10" spans="1:4" ht="73" customHeight="1" x14ac:dyDescent="0.2">
      <c r="A10" s="67"/>
      <c r="C10" s="71" t="s">
        <v>400</v>
      </c>
      <c r="D10" s="67"/>
    </row>
    <row r="11" spans="1:4" ht="21" customHeight="1" x14ac:dyDescent="0.2">
      <c r="A11" s="67"/>
      <c r="B11" s="70"/>
      <c r="C11" s="72"/>
      <c r="D11" s="67"/>
    </row>
    <row r="12" spans="1:4" ht="22" x14ac:dyDescent="0.2">
      <c r="A12" s="67"/>
      <c r="B12" s="63" t="s">
        <v>386</v>
      </c>
      <c r="C12" s="73" t="s">
        <v>394</v>
      </c>
      <c r="D12" s="67"/>
    </row>
    <row r="13" spans="1:4" ht="96" x14ac:dyDescent="0.2">
      <c r="A13" s="67"/>
      <c r="B13" s="78"/>
      <c r="C13" s="71" t="s">
        <v>401</v>
      </c>
      <c r="D13" s="67"/>
    </row>
    <row r="14" spans="1:4" ht="18" customHeight="1" x14ac:dyDescent="0.2">
      <c r="A14" s="67"/>
      <c r="B14" s="67"/>
      <c r="C14" s="72"/>
      <c r="D14" s="67"/>
    </row>
    <row r="15" spans="1:4" ht="28" customHeight="1" x14ac:dyDescent="0.2">
      <c r="A15" s="67"/>
      <c r="B15" s="61" t="s">
        <v>385</v>
      </c>
      <c r="C15" s="73" t="s">
        <v>395</v>
      </c>
      <c r="D15" s="67"/>
    </row>
    <row r="16" spans="1:4" ht="112" x14ac:dyDescent="0.2">
      <c r="A16" s="67"/>
      <c r="C16" s="71" t="s">
        <v>402</v>
      </c>
      <c r="D16" s="67"/>
    </row>
    <row r="17" spans="1:4" ht="22" customHeight="1" x14ac:dyDescent="0.2">
      <c r="A17" s="67"/>
      <c r="B17" s="69"/>
      <c r="C17" s="72"/>
      <c r="D17" s="67"/>
    </row>
    <row r="18" spans="1:4" ht="18" customHeight="1" x14ac:dyDescent="0.2">
      <c r="A18" s="67"/>
      <c r="B18" s="63" t="s">
        <v>384</v>
      </c>
      <c r="C18" s="73" t="s">
        <v>387</v>
      </c>
      <c r="D18" s="67"/>
    </row>
    <row r="19" spans="1:4" ht="144" x14ac:dyDescent="0.2">
      <c r="A19" s="67"/>
      <c r="B19" s="79"/>
      <c r="C19" s="71" t="s">
        <v>403</v>
      </c>
      <c r="D19" s="67"/>
    </row>
    <row r="20" spans="1:4" ht="10" customHeight="1" x14ac:dyDescent="0.2">
      <c r="A20" s="67"/>
      <c r="B20" s="67"/>
      <c r="C20" s="72"/>
      <c r="D20" s="67"/>
    </row>
    <row r="21" spans="1:4" ht="29" customHeight="1" x14ac:dyDescent="0.2">
      <c r="A21" s="67"/>
      <c r="B21" s="64" t="s">
        <v>383</v>
      </c>
      <c r="C21" s="73" t="s">
        <v>396</v>
      </c>
      <c r="D21" s="67"/>
    </row>
    <row r="22" spans="1:4" ht="176" x14ac:dyDescent="0.2">
      <c r="A22" s="67"/>
      <c r="C22" s="71" t="s">
        <v>397</v>
      </c>
      <c r="D22" s="67"/>
    </row>
    <row r="23" spans="1:4" x14ac:dyDescent="0.2">
      <c r="A23" s="67"/>
      <c r="B23" s="65"/>
      <c r="C23" s="66"/>
      <c r="D23" s="67"/>
    </row>
    <row r="24" spans="1:4" x14ac:dyDescent="0.2">
      <c r="A24" s="67"/>
      <c r="B24" s="65" t="s">
        <v>382</v>
      </c>
      <c r="C24" s="66" t="s">
        <v>167</v>
      </c>
      <c r="D24" s="67"/>
    </row>
    <row r="25" spans="1:4" x14ac:dyDescent="0.2">
      <c r="A25" s="67"/>
      <c r="B25" s="69"/>
      <c r="C25" s="66"/>
      <c r="D25" s="67"/>
    </row>
    <row r="26" spans="1:4" ht="18" customHeight="1" x14ac:dyDescent="0.2"/>
    <row r="27" spans="1:4" ht="28" customHeight="1" x14ac:dyDescent="0.2">
      <c r="A27" s="58"/>
      <c r="B27" s="74"/>
      <c r="C27" s="58"/>
    </row>
    <row r="28" spans="1:4" ht="10" customHeight="1" x14ac:dyDescent="0.2">
      <c r="A28" s="58"/>
      <c r="B28" s="58"/>
      <c r="C28" s="58"/>
    </row>
    <row r="29" spans="1:4" ht="409.5" customHeight="1" x14ac:dyDescent="0.2">
      <c r="A29" s="58"/>
      <c r="B29" s="75"/>
      <c r="C29" s="58"/>
    </row>
    <row r="30" spans="1:4" ht="18" customHeight="1" x14ac:dyDescent="0.2">
      <c r="A30" s="58"/>
      <c r="B30" s="58"/>
      <c r="C30" s="58"/>
    </row>
    <row r="31" spans="1:4" x14ac:dyDescent="0.2">
      <c r="A31" s="58"/>
      <c r="B31" s="58"/>
      <c r="C31" s="58"/>
    </row>
    <row r="32" spans="1:4" x14ac:dyDescent="0.2">
      <c r="A32" s="58"/>
      <c r="B32" s="58"/>
      <c r="C32" s="58"/>
    </row>
    <row r="33" spans="1:3" ht="22" customHeight="1" x14ac:dyDescent="0.2">
      <c r="A33" s="58"/>
      <c r="B33" s="76"/>
      <c r="C33" s="58"/>
    </row>
  </sheetData>
  <printOptions horizontalCentered="1"/>
  <pageMargins left="0.4" right="0.4" top="0.5" bottom="0.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50FF"/>
    <pageSetUpPr fitToPage="1"/>
  </sheetPr>
  <dimension ref="A1:AE113"/>
  <sheetViews>
    <sheetView showGridLines="0" zoomScale="140" zoomScaleNormal="140" workbookViewId="0">
      <pane ySplit="15" topLeftCell="A16" activePane="bottomLeft" state="frozen"/>
      <selection pane="bottomLeft" activeCell="AG8" sqref="AG8"/>
    </sheetView>
  </sheetViews>
  <sheetFormatPr baseColWidth="10" defaultColWidth="8.83203125" defaultRowHeight="15" x14ac:dyDescent="0.2"/>
  <cols>
    <col min="1" max="1" width="2" style="56" customWidth="1"/>
    <col min="2" max="2" width="30" style="56" customWidth="1"/>
    <col min="3" max="8" width="12.5" style="56" customWidth="1"/>
    <col min="9" max="9" width="13.5" style="56" customWidth="1"/>
    <col min="10" max="12" width="14" style="56" customWidth="1"/>
    <col min="13" max="13" width="22" style="56" customWidth="1"/>
    <col min="14" max="14" width="2" style="56" customWidth="1"/>
    <col min="15" max="15" width="1" style="56" hidden="1" customWidth="1"/>
    <col min="16" max="31" width="14" style="56" hidden="1" customWidth="1"/>
    <col min="32" max="16384" width="8.83203125" style="56"/>
  </cols>
  <sheetData>
    <row r="1" spans="1:14" ht="8" customHeight="1" x14ac:dyDescent="0.2">
      <c r="A1" s="1"/>
      <c r="B1" s="1"/>
      <c r="C1" s="1"/>
      <c r="D1" s="1"/>
      <c r="E1" s="1"/>
      <c r="F1" s="1"/>
      <c r="G1" s="1"/>
      <c r="H1" s="1"/>
      <c r="I1" s="1"/>
      <c r="J1" s="1"/>
      <c r="K1" s="1"/>
      <c r="L1" s="1"/>
      <c r="M1" s="1"/>
      <c r="N1" s="67"/>
    </row>
    <row r="2" spans="1:14" ht="30" customHeight="1" x14ac:dyDescent="0.2">
      <c r="A2" s="1"/>
      <c r="B2" s="1"/>
      <c r="C2" s="105" t="s">
        <v>0</v>
      </c>
      <c r="D2" s="85"/>
      <c r="E2" s="85"/>
      <c r="F2" s="85"/>
      <c r="G2" s="85"/>
      <c r="H2" s="85"/>
      <c r="I2" s="3" t="s">
        <v>1</v>
      </c>
      <c r="J2" s="4" t="str">
        <f>inp_region</f>
        <v>AU</v>
      </c>
      <c r="K2" s="3" t="s">
        <v>2</v>
      </c>
      <c r="L2" s="5" t="s">
        <v>3</v>
      </c>
      <c r="M2" s="3" t="s">
        <v>4</v>
      </c>
      <c r="N2" s="67"/>
    </row>
    <row r="3" spans="1:14" ht="22" customHeight="1" x14ac:dyDescent="0.2">
      <c r="A3" s="1"/>
      <c r="B3" s="6" t="s">
        <v>398</v>
      </c>
      <c r="C3" s="106" t="str">
        <f>IF(inp_business_name="","your business",inp_business_name)</f>
        <v>your business</v>
      </c>
      <c r="D3" s="85"/>
      <c r="E3" s="85"/>
      <c r="F3" s="85"/>
      <c r="G3" s="6" t="s">
        <v>5</v>
      </c>
      <c r="H3" s="99" t="str">
        <f>inp_vertical</f>
        <v>Digital agency</v>
      </c>
      <c r="I3" s="85"/>
      <c r="J3" s="3" t="s">
        <v>6</v>
      </c>
      <c r="K3" s="91" t="str">
        <f>inp_forecast_start</f>
        <v>Jul 2026</v>
      </c>
      <c r="L3" s="92"/>
      <c r="M3" s="3" t="s">
        <v>7</v>
      </c>
      <c r="N3" s="67"/>
    </row>
    <row r="4" spans="1:14" ht="8" customHeight="1" x14ac:dyDescent="0.2">
      <c r="A4" s="1"/>
      <c r="B4" s="1"/>
      <c r="C4" s="1"/>
      <c r="D4" s="1"/>
      <c r="E4" s="1"/>
      <c r="F4" s="1"/>
      <c r="G4" s="1"/>
      <c r="H4" s="1"/>
      <c r="I4" s="1"/>
      <c r="J4" s="1"/>
      <c r="K4" s="1"/>
      <c r="L4" s="1"/>
      <c r="M4" s="1"/>
      <c r="N4" s="67"/>
    </row>
    <row r="5" spans="1:14" ht="22" customHeight="1" x14ac:dyDescent="0.2">
      <c r="A5" s="1"/>
      <c r="B5" s="108" t="s">
        <v>8</v>
      </c>
      <c r="C5" s="85"/>
      <c r="D5" s="85"/>
      <c r="E5" s="85"/>
      <c r="F5" s="85"/>
      <c r="G5" s="85"/>
      <c r="H5" s="85"/>
      <c r="I5" s="85"/>
      <c r="J5" s="1"/>
      <c r="K5" s="1"/>
      <c r="L5" s="1"/>
      <c r="M5" s="3" t="s">
        <v>9</v>
      </c>
      <c r="N5" s="67"/>
    </row>
    <row r="6" spans="1:14" x14ac:dyDescent="0.2">
      <c r="A6" s="1"/>
      <c r="B6" s="1"/>
      <c r="C6" s="1"/>
      <c r="D6" s="1"/>
      <c r="E6" s="1"/>
      <c r="F6" s="1"/>
      <c r="G6" s="1"/>
      <c r="H6" s="1"/>
      <c r="I6" s="1"/>
      <c r="J6" s="1"/>
      <c r="K6" s="1"/>
      <c r="L6" s="1"/>
      <c r="M6" s="1"/>
      <c r="N6" s="67"/>
    </row>
    <row r="7" spans="1:14" ht="20" customHeight="1" x14ac:dyDescent="0.2">
      <c r="A7" s="1"/>
      <c r="B7" s="90" t="s">
        <v>10</v>
      </c>
      <c r="C7" s="8" t="s">
        <v>11</v>
      </c>
      <c r="D7" s="7" t="s">
        <v>12</v>
      </c>
      <c r="E7" s="4" t="s">
        <v>11</v>
      </c>
      <c r="F7" s="7" t="s">
        <v>13</v>
      </c>
      <c r="G7" s="9" t="s">
        <v>11</v>
      </c>
      <c r="H7" s="7" t="s">
        <v>14</v>
      </c>
      <c r="I7" s="10" t="s">
        <v>15</v>
      </c>
      <c r="J7" s="7" t="s">
        <v>16</v>
      </c>
      <c r="K7" s="1"/>
      <c r="L7" s="1"/>
      <c r="M7" s="1"/>
      <c r="N7" s="67"/>
    </row>
    <row r="8" spans="1:14" ht="20" customHeight="1" x14ac:dyDescent="0.2">
      <c r="A8" s="1"/>
      <c r="B8" s="85"/>
      <c r="C8" s="11" t="s">
        <v>17</v>
      </c>
      <c r="D8" s="7" t="s">
        <v>18</v>
      </c>
      <c r="E8" s="9" t="s">
        <v>19</v>
      </c>
      <c r="F8" s="7" t="s">
        <v>20</v>
      </c>
      <c r="G8" s="10" t="s">
        <v>21</v>
      </c>
      <c r="H8" s="7" t="s">
        <v>22</v>
      </c>
      <c r="I8" s="1"/>
      <c r="J8" s="1"/>
      <c r="K8" s="1"/>
      <c r="L8" s="1"/>
      <c r="M8" s="1"/>
      <c r="N8" s="67"/>
    </row>
    <row r="9" spans="1:14" x14ac:dyDescent="0.2">
      <c r="A9" s="1"/>
      <c r="B9" s="1"/>
      <c r="C9" s="1"/>
      <c r="D9" s="1"/>
      <c r="E9" s="1"/>
      <c r="F9" s="1"/>
      <c r="G9" s="1"/>
      <c r="H9" s="1"/>
      <c r="I9" s="1"/>
      <c r="J9" s="1"/>
      <c r="K9" s="1"/>
      <c r="L9" s="1"/>
      <c r="M9" s="1"/>
      <c r="N9" s="67"/>
    </row>
    <row r="10" spans="1:14" ht="22" customHeight="1" x14ac:dyDescent="0.2">
      <c r="A10" s="1"/>
      <c r="B10" s="107" t="s">
        <v>23</v>
      </c>
      <c r="C10" s="85"/>
      <c r="D10" s="85"/>
      <c r="E10" s="85"/>
      <c r="F10" s="85"/>
      <c r="G10" s="85"/>
      <c r="H10" s="85"/>
      <c r="I10" s="85"/>
      <c r="J10" s="85"/>
      <c r="K10" s="85"/>
      <c r="L10" s="85"/>
      <c r="M10" s="85"/>
      <c r="N10" s="67"/>
    </row>
    <row r="11" spans="1:14" ht="22" customHeight="1" x14ac:dyDescent="0.2">
      <c r="A11" s="1"/>
      <c r="B11" s="95" t="s">
        <v>24</v>
      </c>
      <c r="C11" s="85"/>
      <c r="D11" s="85"/>
      <c r="E11" s="95" t="s">
        <v>25</v>
      </c>
      <c r="F11" s="85"/>
      <c r="G11" s="85"/>
      <c r="H11" s="95" t="s">
        <v>26</v>
      </c>
      <c r="I11" s="85"/>
      <c r="J11" s="85"/>
      <c r="K11" s="95" t="s">
        <v>27</v>
      </c>
      <c r="L11" s="85"/>
      <c r="M11" s="85"/>
      <c r="N11" s="67"/>
    </row>
    <row r="12" spans="1:14" ht="38" customHeight="1" x14ac:dyDescent="0.2">
      <c r="A12" s="1"/>
      <c r="B12" s="98">
        <f>SUM(calc_deal_rev_m1,calc_deal_rev_m2,calc_deal_rev_m3,calc_deal_rev_m4,calc_deal_rev_m5,calc_deal_rev_m6,calc_ret_rev_m1,calc_ret_rev_m2,calc_ret_rev_m3,calc_ret_rev_m4,calc_ret_rev_m5,calc_ret_rev_m6)</f>
        <v>0</v>
      </c>
      <c r="C12" s="85"/>
      <c r="D12" s="85"/>
      <c r="E12" s="98">
        <f>SUM(calc_deal_cash_m1,calc_deal_cash_m2,calc_deal_cash_m3,calc_deal_cash_m4,calc_deal_cash_m5,calc_deal_cash_m6,calc_ret_cash_m1,calc_ret_cash_m2,calc_ret_cash_m3,calc_ret_cash_m4,calc_ret_cash_m5,calc_ret_cash_m6)</f>
        <v>0</v>
      </c>
      <c r="F12" s="85"/>
      <c r="G12" s="85"/>
      <c r="H12" s="97">
        <f>out_rev_6m-out_cash_6m</f>
        <v>0</v>
      </c>
      <c r="I12" s="85"/>
      <c r="J12" s="85"/>
      <c r="K12" s="104">
        <f>IFERROR(SUMPRODUCT(calc_deal_value_col,calc_deal_prob_col,calc_deal_active_col)/MAX(1,SUMPRODUCT(calc_deal_value_col,calc_deal_active_col)),0)</f>
        <v>0</v>
      </c>
      <c r="L12" s="85"/>
      <c r="M12" s="85"/>
      <c r="N12" s="67"/>
    </row>
    <row r="13" spans="1:14" ht="22" customHeight="1" x14ac:dyDescent="0.2">
      <c r="A13" s="1"/>
      <c r="B13" s="95" t="s">
        <v>28</v>
      </c>
      <c r="C13" s="85"/>
      <c r="D13" s="85"/>
      <c r="E13" s="95" t="s">
        <v>29</v>
      </c>
      <c r="F13" s="85"/>
      <c r="G13" s="85"/>
      <c r="H13" s="95" t="s">
        <v>30</v>
      </c>
      <c r="I13" s="85"/>
      <c r="J13" s="85"/>
      <c r="K13" s="95" t="s">
        <v>31</v>
      </c>
      <c r="L13" s="85"/>
      <c r="M13" s="85"/>
      <c r="N13" s="67"/>
    </row>
    <row r="14" spans="1:14" ht="14" customHeight="1" x14ac:dyDescent="0.2">
      <c r="A14" s="1"/>
      <c r="B14" s="2"/>
      <c r="C14" s="2"/>
      <c r="D14" s="2"/>
      <c r="E14" s="2"/>
      <c r="F14" s="2"/>
      <c r="G14" s="2"/>
      <c r="H14" s="2"/>
      <c r="I14" s="2"/>
      <c r="J14" s="2"/>
      <c r="K14" s="2"/>
      <c r="L14" s="2"/>
      <c r="M14" s="2"/>
      <c r="N14" s="67"/>
    </row>
    <row r="15" spans="1:14" x14ac:dyDescent="0.2">
      <c r="A15" s="1"/>
      <c r="B15" s="1"/>
      <c r="C15" s="1"/>
      <c r="D15" s="1"/>
      <c r="E15" s="1"/>
      <c r="F15" s="1"/>
      <c r="G15" s="1"/>
      <c r="H15" s="1"/>
      <c r="I15" s="1"/>
      <c r="J15" s="1"/>
      <c r="K15" s="1"/>
      <c r="L15" s="1"/>
      <c r="M15" s="1"/>
      <c r="N15" s="67"/>
    </row>
    <row r="16" spans="1:14" ht="24" customHeight="1" x14ac:dyDescent="0.2">
      <c r="A16" s="1"/>
      <c r="B16" s="87" t="s">
        <v>32</v>
      </c>
      <c r="C16" s="85"/>
      <c r="D16" s="85"/>
      <c r="E16" s="85"/>
      <c r="F16" s="85"/>
      <c r="G16" s="85"/>
      <c r="H16" s="85"/>
      <c r="I16" s="88" t="s">
        <v>33</v>
      </c>
      <c r="J16" s="85"/>
      <c r="K16" s="85"/>
      <c r="L16" s="85"/>
      <c r="M16" s="85"/>
      <c r="N16" s="67"/>
    </row>
    <row r="17" spans="1:14" ht="22" customHeight="1" x14ac:dyDescent="0.2">
      <c r="A17" s="1"/>
      <c r="B17" s="12" t="s">
        <v>34</v>
      </c>
      <c r="C17" s="13" t="str">
        <f>IFERROR("M1 · "&amp;TEXT(EDATE(DATEVALUE("1 "&amp;inp_forecast_start),0),"mmm yy"),"M1")</f>
        <v>M1 · Jul 26</v>
      </c>
      <c r="D17" s="13" t="str">
        <f>IFERROR("M2 · "&amp;TEXT(EDATE(DATEVALUE("1 "&amp;inp_forecast_start),1),"mmm yy"),"M2")</f>
        <v>M2 · Aug 26</v>
      </c>
      <c r="E17" s="13" t="str">
        <f>IFERROR("M3 · "&amp;TEXT(EDATE(DATEVALUE("1 "&amp;inp_forecast_start),2),"mmm yy"),"M3")</f>
        <v>M3 · Sep 26</v>
      </c>
      <c r="F17" s="13" t="str">
        <f>IFERROR("M4 · "&amp;TEXT(EDATE(DATEVALUE("1 "&amp;inp_forecast_start),3),"mmm yy"),"M4")</f>
        <v>M4 · Oct 26</v>
      </c>
      <c r="G17" s="13" t="str">
        <f>IFERROR("M5 · "&amp;TEXT(EDATE(DATEVALUE("1 "&amp;inp_forecast_start),4),"mmm yy"),"M5")</f>
        <v>M5 · Nov 26</v>
      </c>
      <c r="H17" s="13" t="str">
        <f>IFERROR("M6 · "&amp;TEXT(EDATE(DATEVALUE("1 "&amp;inp_forecast_start),5),"mmm yy"),"M6")</f>
        <v>M6 · Dec 26</v>
      </c>
      <c r="I17" s="13" t="s">
        <v>35</v>
      </c>
      <c r="J17" s="13" t="s">
        <v>36</v>
      </c>
      <c r="K17" s="93" t="s">
        <v>37</v>
      </c>
      <c r="L17" s="94"/>
      <c r="M17" s="94"/>
      <c r="N17" s="67"/>
    </row>
    <row r="18" spans="1:14" ht="22" customHeight="1" x14ac:dyDescent="0.2">
      <c r="A18" s="1"/>
      <c r="B18" s="14" t="s">
        <v>38</v>
      </c>
      <c r="C18" s="15">
        <f>SUM(calc_deal_rev_m1)</f>
        <v>0</v>
      </c>
      <c r="D18" s="15">
        <f>SUM(calc_deal_rev_m2)</f>
        <v>0</v>
      </c>
      <c r="E18" s="15">
        <f>SUM(calc_deal_rev_m3)</f>
        <v>0</v>
      </c>
      <c r="F18" s="15">
        <f>SUM(calc_deal_rev_m4)</f>
        <v>0</v>
      </c>
      <c r="G18" s="15">
        <f>SUM(calc_deal_rev_m5)</f>
        <v>0</v>
      </c>
      <c r="H18" s="15">
        <f>SUM(calc_deal_rev_m6)</f>
        <v>0</v>
      </c>
      <c r="I18" s="15">
        <f>SUM(C18:H18)</f>
        <v>0</v>
      </c>
      <c r="J18" s="16">
        <f>I18/6</f>
        <v>0</v>
      </c>
      <c r="K18" s="84" t="s">
        <v>39</v>
      </c>
      <c r="L18" s="85"/>
      <c r="M18" s="85"/>
      <c r="N18" s="67"/>
    </row>
    <row r="19" spans="1:14" ht="22" customHeight="1" x14ac:dyDescent="0.2">
      <c r="A19" s="1"/>
      <c r="B19" s="14" t="s">
        <v>40</v>
      </c>
      <c r="C19" s="15">
        <f>SUM(calc_ret_rev_m1)</f>
        <v>0</v>
      </c>
      <c r="D19" s="15">
        <f>SUM(calc_ret_rev_m2)</f>
        <v>0</v>
      </c>
      <c r="E19" s="15">
        <f>SUM(calc_ret_rev_m3)</f>
        <v>0</v>
      </c>
      <c r="F19" s="15">
        <f>SUM(calc_ret_rev_m4)</f>
        <v>0</v>
      </c>
      <c r="G19" s="15">
        <f>SUM(calc_ret_rev_m5)</f>
        <v>0</v>
      </c>
      <c r="H19" s="15">
        <f>SUM(calc_ret_rev_m6)</f>
        <v>0</v>
      </c>
      <c r="I19" s="15">
        <f>SUM(C19:H19)</f>
        <v>0</v>
      </c>
      <c r="J19" s="16">
        <f>I19/6</f>
        <v>0</v>
      </c>
      <c r="K19" s="84" t="s">
        <v>41</v>
      </c>
      <c r="L19" s="85"/>
      <c r="M19" s="85"/>
      <c r="N19" s="67"/>
    </row>
    <row r="20" spans="1:14" ht="22" customHeight="1" x14ac:dyDescent="0.2">
      <c r="A20" s="1"/>
      <c r="B20" s="18" t="s">
        <v>42</v>
      </c>
      <c r="C20" s="19">
        <f t="shared" ref="C20:H20" si="0">C18+C19</f>
        <v>0</v>
      </c>
      <c r="D20" s="19">
        <f t="shared" si="0"/>
        <v>0</v>
      </c>
      <c r="E20" s="19">
        <f t="shared" si="0"/>
        <v>0</v>
      </c>
      <c r="F20" s="19">
        <f t="shared" si="0"/>
        <v>0</v>
      </c>
      <c r="G20" s="19">
        <f t="shared" si="0"/>
        <v>0</v>
      </c>
      <c r="H20" s="19">
        <f t="shared" si="0"/>
        <v>0</v>
      </c>
      <c r="I20" s="19">
        <f>SUM(C20:H20)</f>
        <v>0</v>
      </c>
      <c r="J20" s="19">
        <f>I20/6</f>
        <v>0</v>
      </c>
      <c r="K20" s="84" t="s">
        <v>43</v>
      </c>
      <c r="L20" s="85"/>
      <c r="M20" s="85"/>
      <c r="N20" s="67"/>
    </row>
    <row r="21" spans="1:14" ht="8" customHeight="1" x14ac:dyDescent="0.2">
      <c r="A21" s="1"/>
      <c r="B21" s="2"/>
      <c r="C21" s="2"/>
      <c r="D21" s="2"/>
      <c r="E21" s="2"/>
      <c r="F21" s="2"/>
      <c r="G21" s="2"/>
      <c r="H21" s="2"/>
      <c r="I21" s="2"/>
      <c r="J21" s="2"/>
      <c r="K21" s="85"/>
      <c r="L21" s="85"/>
      <c r="M21" s="85"/>
      <c r="N21" s="67"/>
    </row>
    <row r="22" spans="1:14" ht="22" customHeight="1" x14ac:dyDescent="0.2">
      <c r="A22" s="1"/>
      <c r="B22" s="14" t="s">
        <v>44</v>
      </c>
      <c r="C22" s="15">
        <f>SUM(calc_deal_cash_m1)</f>
        <v>0</v>
      </c>
      <c r="D22" s="15">
        <f>SUM(calc_deal_cash_m2)</f>
        <v>0</v>
      </c>
      <c r="E22" s="15">
        <f>SUM(calc_deal_cash_m3)</f>
        <v>0</v>
      </c>
      <c r="F22" s="15">
        <f>SUM(calc_deal_cash_m4)</f>
        <v>0</v>
      </c>
      <c r="G22" s="15">
        <f>SUM(calc_deal_cash_m5)</f>
        <v>0</v>
      </c>
      <c r="H22" s="15">
        <f>SUM(calc_deal_cash_m6)</f>
        <v>0</v>
      </c>
      <c r="I22" s="15">
        <f>SUM(C22:H22)</f>
        <v>0</v>
      </c>
      <c r="J22" s="16">
        <f>I22/6</f>
        <v>0</v>
      </c>
      <c r="K22" s="84" t="s">
        <v>45</v>
      </c>
      <c r="L22" s="85"/>
      <c r="M22" s="85"/>
      <c r="N22" s="67"/>
    </row>
    <row r="23" spans="1:14" ht="22" customHeight="1" x14ac:dyDescent="0.2">
      <c r="A23" s="1"/>
      <c r="B23" s="14" t="s">
        <v>46</v>
      </c>
      <c r="C23" s="15">
        <f>SUM(calc_ret_cash_m1)</f>
        <v>0</v>
      </c>
      <c r="D23" s="15">
        <f>SUM(calc_ret_cash_m2)</f>
        <v>0</v>
      </c>
      <c r="E23" s="15">
        <f>SUM(calc_ret_cash_m3)</f>
        <v>0</v>
      </c>
      <c r="F23" s="15">
        <f>SUM(calc_ret_cash_m4)</f>
        <v>0</v>
      </c>
      <c r="G23" s="15">
        <f>SUM(calc_ret_cash_m5)</f>
        <v>0</v>
      </c>
      <c r="H23" s="15">
        <f>SUM(calc_ret_cash_m6)</f>
        <v>0</v>
      </c>
      <c r="I23" s="15">
        <f>SUM(C23:H23)</f>
        <v>0</v>
      </c>
      <c r="J23" s="16">
        <f>I23/6</f>
        <v>0</v>
      </c>
      <c r="K23" s="84" t="s">
        <v>47</v>
      </c>
      <c r="L23" s="85"/>
      <c r="M23" s="85"/>
      <c r="N23" s="67"/>
    </row>
    <row r="24" spans="1:14" ht="22" customHeight="1" x14ac:dyDescent="0.2">
      <c r="A24" s="1"/>
      <c r="B24" s="18" t="s">
        <v>48</v>
      </c>
      <c r="C24" s="19">
        <f t="shared" ref="C24:H24" si="1">C22+C23</f>
        <v>0</v>
      </c>
      <c r="D24" s="19">
        <f t="shared" si="1"/>
        <v>0</v>
      </c>
      <c r="E24" s="19">
        <f t="shared" si="1"/>
        <v>0</v>
      </c>
      <c r="F24" s="19">
        <f t="shared" si="1"/>
        <v>0</v>
      </c>
      <c r="G24" s="19">
        <f t="shared" si="1"/>
        <v>0</v>
      </c>
      <c r="H24" s="19">
        <f t="shared" si="1"/>
        <v>0</v>
      </c>
      <c r="I24" s="19">
        <f>SUM(C24:H24)</f>
        <v>0</v>
      </c>
      <c r="J24" s="19">
        <f>I24/6</f>
        <v>0</v>
      </c>
      <c r="K24" s="84" t="s">
        <v>49</v>
      </c>
      <c r="L24" s="85"/>
      <c r="M24" s="85"/>
      <c r="N24" s="67"/>
    </row>
    <row r="25" spans="1:14" ht="8" customHeight="1" x14ac:dyDescent="0.2">
      <c r="A25" s="1"/>
      <c r="B25" s="2"/>
      <c r="C25" s="2"/>
      <c r="D25" s="2"/>
      <c r="E25" s="2"/>
      <c r="F25" s="2"/>
      <c r="G25" s="2"/>
      <c r="H25" s="2"/>
      <c r="I25" s="2"/>
      <c r="J25" s="2"/>
      <c r="K25" s="85"/>
      <c r="L25" s="85"/>
      <c r="M25" s="85"/>
      <c r="N25" s="67"/>
    </row>
    <row r="26" spans="1:14" ht="22" customHeight="1" x14ac:dyDescent="0.2">
      <c r="A26" s="1"/>
      <c r="B26" s="18" t="s">
        <v>50</v>
      </c>
      <c r="C26" s="15">
        <f t="shared" ref="C26:H26" si="2">C20-C24</f>
        <v>0</v>
      </c>
      <c r="D26" s="15">
        <f t="shared" si="2"/>
        <v>0</v>
      </c>
      <c r="E26" s="15">
        <f t="shared" si="2"/>
        <v>0</v>
      </c>
      <c r="F26" s="15">
        <f t="shared" si="2"/>
        <v>0</v>
      </c>
      <c r="G26" s="15">
        <f t="shared" si="2"/>
        <v>0</v>
      </c>
      <c r="H26" s="15">
        <f t="shared" si="2"/>
        <v>0</v>
      </c>
      <c r="I26" s="15">
        <f>SUM(C26:H26)</f>
        <v>0</v>
      </c>
      <c r="J26" s="16">
        <f>I26/6</f>
        <v>0</v>
      </c>
      <c r="K26" s="84" t="s">
        <v>51</v>
      </c>
      <c r="L26" s="85"/>
      <c r="M26" s="85"/>
      <c r="N26" s="67"/>
    </row>
    <row r="27" spans="1:14" ht="22" customHeight="1" x14ac:dyDescent="0.2">
      <c r="A27" s="1"/>
      <c r="B27" s="20" t="s">
        <v>52</v>
      </c>
      <c r="C27" s="16">
        <f>C26</f>
        <v>0</v>
      </c>
      <c r="D27" s="16">
        <f>C27+D26</f>
        <v>0</v>
      </c>
      <c r="E27" s="16">
        <f>D27+E26</f>
        <v>0</v>
      </c>
      <c r="F27" s="16">
        <f>E27+F26</f>
        <v>0</v>
      </c>
      <c r="G27" s="16">
        <f>F27+G26</f>
        <v>0</v>
      </c>
      <c r="H27" s="16">
        <f>G27+H26</f>
        <v>0</v>
      </c>
      <c r="I27" s="16">
        <f>H27</f>
        <v>0</v>
      </c>
      <c r="J27" s="21" t="s">
        <v>53</v>
      </c>
      <c r="K27" s="109" t="s">
        <v>54</v>
      </c>
      <c r="L27" s="85"/>
      <c r="M27" s="85"/>
      <c r="N27" s="67"/>
    </row>
    <row r="28" spans="1:14" x14ac:dyDescent="0.2">
      <c r="A28" s="1"/>
      <c r="B28" s="1"/>
      <c r="C28" s="1"/>
      <c r="D28" s="1"/>
      <c r="E28" s="1"/>
      <c r="F28" s="1"/>
      <c r="G28" s="1"/>
      <c r="H28" s="1"/>
      <c r="I28" s="1"/>
      <c r="J28" s="1"/>
      <c r="K28" s="1"/>
      <c r="L28" s="1"/>
      <c r="M28" s="1"/>
      <c r="N28" s="67"/>
    </row>
    <row r="29" spans="1:14" ht="18" customHeight="1" x14ac:dyDescent="0.2">
      <c r="A29" s="1"/>
      <c r="B29" s="103" t="s">
        <v>55</v>
      </c>
      <c r="C29" s="85"/>
      <c r="D29" s="85"/>
      <c r="E29" s="85"/>
      <c r="F29" s="85"/>
      <c r="G29" s="85"/>
      <c r="H29" s="85"/>
      <c r="I29" s="85"/>
      <c r="J29" s="85"/>
      <c r="K29" s="85"/>
      <c r="L29" s="85"/>
      <c r="M29" s="85"/>
      <c r="N29" s="67"/>
    </row>
    <row r="30" spans="1:14" ht="22" customHeight="1" x14ac:dyDescent="0.2">
      <c r="A30" s="1"/>
      <c r="B30" s="24" t="s">
        <v>56</v>
      </c>
      <c r="C30" s="25" t="s">
        <v>57</v>
      </c>
      <c r="D30" s="15">
        <f>SUM(calc_deal_cash_m7)+SUM(calc_ret_cash_m7)</f>
        <v>0</v>
      </c>
      <c r="E30" s="25" t="s">
        <v>58</v>
      </c>
      <c r="F30" s="15">
        <f>SUM(calc_deal_cash_m8)+SUM(calc_ret_cash_m8)</f>
        <v>0</v>
      </c>
      <c r="G30" s="25" t="s">
        <v>59</v>
      </c>
      <c r="H30" s="26">
        <f>D30+F30</f>
        <v>0</v>
      </c>
      <c r="I30" s="19">
        <f>out_cash_6m+H30</f>
        <v>0</v>
      </c>
      <c r="J30" s="21" t="s">
        <v>60</v>
      </c>
      <c r="K30" s="84" t="s">
        <v>61</v>
      </c>
      <c r="L30" s="85"/>
      <c r="M30" s="85"/>
      <c r="N30" s="67"/>
    </row>
    <row r="31" spans="1:14" x14ac:dyDescent="0.2">
      <c r="A31" s="1"/>
      <c r="B31" s="1"/>
      <c r="C31" s="1"/>
      <c r="D31" s="1"/>
      <c r="E31" s="1"/>
      <c r="F31" s="1"/>
      <c r="G31" s="1"/>
      <c r="H31" s="1"/>
      <c r="I31" s="1"/>
      <c r="J31" s="1"/>
      <c r="K31" s="1"/>
      <c r="L31" s="1"/>
      <c r="M31" s="1"/>
      <c r="N31" s="67"/>
    </row>
    <row r="32" spans="1:14" ht="24" customHeight="1" x14ac:dyDescent="0.2">
      <c r="A32" s="1"/>
      <c r="B32" s="87" t="s">
        <v>62</v>
      </c>
      <c r="C32" s="85"/>
      <c r="D32" s="85"/>
      <c r="E32" s="85"/>
      <c r="F32" s="85"/>
      <c r="G32" s="85"/>
      <c r="H32" s="85"/>
      <c r="I32" s="88" t="s">
        <v>63</v>
      </c>
      <c r="J32" s="85"/>
      <c r="K32" s="85"/>
      <c r="L32" s="85"/>
      <c r="M32" s="85"/>
      <c r="N32" s="67"/>
    </row>
    <row r="33" spans="1:14" ht="14" customHeight="1" x14ac:dyDescent="0.2">
      <c r="A33" s="1"/>
      <c r="B33" s="2"/>
      <c r="C33" s="2"/>
      <c r="D33" s="2"/>
      <c r="E33" s="2"/>
      <c r="F33" s="2"/>
      <c r="G33" s="2"/>
      <c r="H33" s="2"/>
      <c r="I33" s="2"/>
      <c r="J33" s="2"/>
      <c r="K33" s="2"/>
      <c r="L33" s="2"/>
      <c r="M33" s="2"/>
      <c r="N33" s="67"/>
    </row>
    <row r="34" spans="1:14" ht="14" customHeight="1" x14ac:dyDescent="0.2">
      <c r="A34" s="1"/>
      <c r="B34" s="2"/>
      <c r="C34" s="2"/>
      <c r="D34" s="2"/>
      <c r="E34" s="2"/>
      <c r="F34" s="2"/>
      <c r="G34" s="2"/>
      <c r="H34" s="2"/>
      <c r="I34" s="2"/>
      <c r="J34" s="2"/>
      <c r="K34" s="2"/>
      <c r="L34" s="2"/>
      <c r="M34" s="2"/>
      <c r="N34" s="67"/>
    </row>
    <row r="35" spans="1:14" ht="14" customHeight="1" x14ac:dyDescent="0.2">
      <c r="A35" s="1"/>
      <c r="B35" s="2"/>
      <c r="C35" s="2"/>
      <c r="D35" s="2"/>
      <c r="E35" s="2"/>
      <c r="F35" s="2"/>
      <c r="G35" s="2"/>
      <c r="H35" s="2"/>
      <c r="I35" s="2"/>
      <c r="J35" s="2"/>
      <c r="K35" s="2"/>
      <c r="L35" s="2"/>
      <c r="M35" s="2"/>
      <c r="N35" s="67"/>
    </row>
    <row r="36" spans="1:14" ht="14" customHeight="1" x14ac:dyDescent="0.2">
      <c r="A36" s="1"/>
      <c r="B36" s="2"/>
      <c r="C36" s="2"/>
      <c r="D36" s="2"/>
      <c r="E36" s="2"/>
      <c r="F36" s="2"/>
      <c r="G36" s="2"/>
      <c r="H36" s="2"/>
      <c r="I36" s="2"/>
      <c r="J36" s="2"/>
      <c r="K36" s="2"/>
      <c r="L36" s="2"/>
      <c r="M36" s="2"/>
      <c r="N36" s="67"/>
    </row>
    <row r="37" spans="1:14" ht="14" customHeight="1" x14ac:dyDescent="0.2">
      <c r="A37" s="1"/>
      <c r="B37" s="2"/>
      <c r="C37" s="2"/>
      <c r="D37" s="2"/>
      <c r="E37" s="2"/>
      <c r="F37" s="2"/>
      <c r="G37" s="2"/>
      <c r="H37" s="2"/>
      <c r="I37" s="2"/>
      <c r="J37" s="2"/>
      <c r="K37" s="2"/>
      <c r="L37" s="2"/>
      <c r="M37" s="2"/>
      <c r="N37" s="67"/>
    </row>
    <row r="38" spans="1:14" ht="14" customHeight="1" x14ac:dyDescent="0.2">
      <c r="A38" s="1"/>
      <c r="B38" s="2"/>
      <c r="C38" s="2"/>
      <c r="D38" s="2"/>
      <c r="E38" s="2"/>
      <c r="F38" s="2"/>
      <c r="G38" s="2"/>
      <c r="H38" s="2"/>
      <c r="I38" s="2"/>
      <c r="J38" s="2"/>
      <c r="K38" s="2"/>
      <c r="L38" s="2"/>
      <c r="M38" s="2"/>
      <c r="N38" s="67"/>
    </row>
    <row r="39" spans="1:14" ht="14" customHeight="1" x14ac:dyDescent="0.2">
      <c r="A39" s="1"/>
      <c r="B39" s="2"/>
      <c r="C39" s="2"/>
      <c r="D39" s="2"/>
      <c r="E39" s="2"/>
      <c r="F39" s="2"/>
      <c r="G39" s="2"/>
      <c r="H39" s="2"/>
      <c r="I39" s="2"/>
      <c r="J39" s="2"/>
      <c r="K39" s="2"/>
      <c r="L39" s="2"/>
      <c r="M39" s="2"/>
      <c r="N39" s="67"/>
    </row>
    <row r="40" spans="1:14" ht="14" customHeight="1" x14ac:dyDescent="0.2">
      <c r="A40" s="1"/>
      <c r="B40" s="2"/>
      <c r="C40" s="2"/>
      <c r="D40" s="2"/>
      <c r="E40" s="2"/>
      <c r="F40" s="2"/>
      <c r="G40" s="2"/>
      <c r="H40" s="2"/>
      <c r="I40" s="2"/>
      <c r="J40" s="2"/>
      <c r="K40" s="2"/>
      <c r="L40" s="2"/>
      <c r="M40" s="2"/>
      <c r="N40" s="67"/>
    </row>
    <row r="41" spans="1:14" ht="14" customHeight="1" x14ac:dyDescent="0.2">
      <c r="A41" s="1"/>
      <c r="B41" s="2"/>
      <c r="C41" s="2"/>
      <c r="D41" s="2"/>
      <c r="E41" s="2"/>
      <c r="F41" s="2"/>
      <c r="G41" s="2"/>
      <c r="H41" s="2"/>
      <c r="I41" s="2"/>
      <c r="J41" s="2"/>
      <c r="K41" s="2"/>
      <c r="L41" s="2"/>
      <c r="M41" s="2"/>
      <c r="N41" s="67"/>
    </row>
    <row r="42" spans="1:14" ht="14" customHeight="1" x14ac:dyDescent="0.2">
      <c r="A42" s="1"/>
      <c r="B42" s="2"/>
      <c r="C42" s="2"/>
      <c r="D42" s="2"/>
      <c r="E42" s="2"/>
      <c r="F42" s="2"/>
      <c r="G42" s="2"/>
      <c r="H42" s="2"/>
      <c r="I42" s="2"/>
      <c r="J42" s="2"/>
      <c r="K42" s="2"/>
      <c r="L42" s="2"/>
      <c r="M42" s="2"/>
      <c r="N42" s="67"/>
    </row>
    <row r="43" spans="1:14" ht="14" customHeight="1" x14ac:dyDescent="0.2">
      <c r="A43" s="1"/>
      <c r="B43" s="2"/>
      <c r="C43" s="2"/>
      <c r="D43" s="2"/>
      <c r="E43" s="2"/>
      <c r="F43" s="2"/>
      <c r="G43" s="2"/>
      <c r="H43" s="2"/>
      <c r="I43" s="2"/>
      <c r="J43" s="2"/>
      <c r="K43" s="2"/>
      <c r="L43" s="2"/>
      <c r="M43" s="2"/>
      <c r="N43" s="67"/>
    </row>
    <row r="44" spans="1:14" ht="14" customHeight="1" x14ac:dyDescent="0.2">
      <c r="A44" s="1"/>
      <c r="B44" s="2"/>
      <c r="C44" s="2"/>
      <c r="D44" s="2"/>
      <c r="E44" s="2"/>
      <c r="F44" s="2"/>
      <c r="G44" s="2"/>
      <c r="H44" s="2"/>
      <c r="I44" s="2"/>
      <c r="J44" s="2"/>
      <c r="K44" s="2"/>
      <c r="L44" s="2"/>
      <c r="M44" s="2"/>
      <c r="N44" s="67"/>
    </row>
    <row r="45" spans="1:14" ht="14" customHeight="1" x14ac:dyDescent="0.2">
      <c r="A45" s="1"/>
      <c r="B45" s="2"/>
      <c r="C45" s="2"/>
      <c r="D45" s="2"/>
      <c r="E45" s="2"/>
      <c r="F45" s="2"/>
      <c r="G45" s="2"/>
      <c r="H45" s="2"/>
      <c r="I45" s="2"/>
      <c r="J45" s="2"/>
      <c r="K45" s="2"/>
      <c r="L45" s="2"/>
      <c r="M45" s="2"/>
      <c r="N45" s="67"/>
    </row>
    <row r="46" spans="1:14" ht="14" customHeight="1" x14ac:dyDescent="0.2">
      <c r="A46" s="1"/>
      <c r="B46" s="2"/>
      <c r="C46" s="2"/>
      <c r="D46" s="2"/>
      <c r="E46" s="2"/>
      <c r="F46" s="2"/>
      <c r="G46" s="2"/>
      <c r="H46" s="2"/>
      <c r="I46" s="2"/>
      <c r="J46" s="2"/>
      <c r="K46" s="2"/>
      <c r="L46" s="2"/>
      <c r="M46" s="2"/>
      <c r="N46" s="67"/>
    </row>
    <row r="47" spans="1:14" ht="14" customHeight="1" x14ac:dyDescent="0.2">
      <c r="A47" s="1"/>
      <c r="B47" s="2"/>
      <c r="C47" s="2"/>
      <c r="D47" s="2"/>
      <c r="E47" s="2"/>
      <c r="F47" s="2"/>
      <c r="G47" s="2"/>
      <c r="H47" s="2"/>
      <c r="I47" s="2"/>
      <c r="J47" s="2"/>
      <c r="K47" s="2"/>
      <c r="L47" s="2"/>
      <c r="M47" s="2"/>
      <c r="N47" s="67"/>
    </row>
    <row r="48" spans="1:14" ht="14" customHeight="1" x14ac:dyDescent="0.2">
      <c r="A48" s="1"/>
      <c r="B48" s="2"/>
      <c r="C48" s="2"/>
      <c r="D48" s="2"/>
      <c r="E48" s="2"/>
      <c r="F48" s="2"/>
      <c r="G48" s="2"/>
      <c r="H48" s="2"/>
      <c r="I48" s="2"/>
      <c r="J48" s="2"/>
      <c r="K48" s="2"/>
      <c r="L48" s="2"/>
      <c r="M48" s="2"/>
      <c r="N48" s="67"/>
    </row>
    <row r="49" spans="1:14" ht="14" customHeight="1" x14ac:dyDescent="0.2">
      <c r="A49" s="1"/>
      <c r="B49" s="2"/>
      <c r="C49" s="2"/>
      <c r="D49" s="2"/>
      <c r="E49" s="2"/>
      <c r="F49" s="2"/>
      <c r="G49" s="2"/>
      <c r="H49" s="2"/>
      <c r="I49" s="2"/>
      <c r="J49" s="2"/>
      <c r="K49" s="2"/>
      <c r="L49" s="2"/>
      <c r="M49" s="2"/>
      <c r="N49" s="67"/>
    </row>
    <row r="50" spans="1:14" x14ac:dyDescent="0.2">
      <c r="A50" s="1"/>
      <c r="B50" s="1"/>
      <c r="C50" s="1"/>
      <c r="D50" s="1"/>
      <c r="E50" s="1"/>
      <c r="F50" s="1"/>
      <c r="G50" s="1"/>
      <c r="H50" s="1"/>
      <c r="I50" s="1"/>
      <c r="J50" s="1"/>
      <c r="K50" s="1"/>
      <c r="L50" s="1"/>
      <c r="M50" s="1"/>
      <c r="N50" s="67"/>
    </row>
    <row r="51" spans="1:14" ht="24" customHeight="1" x14ac:dyDescent="0.2">
      <c r="A51" s="1"/>
      <c r="B51" s="87" t="s">
        <v>64</v>
      </c>
      <c r="C51" s="85"/>
      <c r="D51" s="85"/>
      <c r="E51" s="85"/>
      <c r="F51" s="85"/>
      <c r="G51" s="85"/>
      <c r="H51" s="85"/>
      <c r="I51" s="88" t="s">
        <v>65</v>
      </c>
      <c r="J51" s="85"/>
      <c r="K51" s="85"/>
      <c r="L51" s="85"/>
      <c r="M51" s="85"/>
      <c r="N51" s="67"/>
    </row>
    <row r="52" spans="1:14" ht="22" customHeight="1" x14ac:dyDescent="0.2">
      <c r="A52" s="1"/>
      <c r="B52" s="27" t="s">
        <v>66</v>
      </c>
      <c r="C52" s="12" t="s">
        <v>67</v>
      </c>
      <c r="D52" s="12" t="s">
        <v>68</v>
      </c>
      <c r="E52" s="12" t="s">
        <v>69</v>
      </c>
      <c r="F52" s="13" t="s">
        <v>70</v>
      </c>
      <c r="G52" s="13" t="s">
        <v>71</v>
      </c>
      <c r="H52" s="13" t="s">
        <v>72</v>
      </c>
      <c r="I52" s="13" t="s">
        <v>73</v>
      </c>
      <c r="J52" s="12" t="s">
        <v>74</v>
      </c>
      <c r="K52" s="13" t="s">
        <v>75</v>
      </c>
      <c r="L52" s="12" t="s">
        <v>76</v>
      </c>
      <c r="M52" s="12"/>
      <c r="N52" s="67"/>
    </row>
    <row r="53" spans="1:14" ht="22" customHeight="1" x14ac:dyDescent="0.2">
      <c r="A53" s="1"/>
      <c r="B53" s="28">
        <v>1</v>
      </c>
      <c r="C53" s="29" t="str">
        <f>IFERROR(IF(LARGE(calc_deal_3mcash_col,1)&gt;0,INDEX(calc_deal_name_col,MATCH(LARGE(calc_deal_3mcash_col,1),calc_deal_3mcash_col,0)),"-"),"-")</f>
        <v>-</v>
      </c>
      <c r="D53" s="29" t="str">
        <f>IFERROR(IF(LARGE(calc_deal_3mcash_col,1)&gt;0,INDEX(calc_deal_client_col,MATCH(LARGE(calc_deal_3mcash_col,1),calc_deal_3mcash_col,0)),"-"),"-")</f>
        <v>-</v>
      </c>
      <c r="E53" s="20" t="str">
        <f>IFERROR(IF(LARGE(calc_deal_3mcash_col,1)&gt;0,INDEX(calc_deal_stage_col,MATCH(LARGE(calc_deal_3mcash_col,1),calc_deal_3mcash_col,0)),"-"),"-")</f>
        <v>-</v>
      </c>
      <c r="F53" s="15" t="str">
        <f>IFERROR(IF(LARGE(calc_deal_3mcash_col,1)&gt;0,INDEX(calc_deal_value_col,MATCH(LARGE(calc_deal_3mcash_col,1),calc_deal_3mcash_col,0)),"-"),"-")</f>
        <v>-</v>
      </c>
      <c r="G53" s="30" t="str">
        <f>IFERROR(IF(LARGE(calc_deal_3mcash_col,1)&gt;0,INDEX(calc_deal_prob_col,MATCH(LARGE(calc_deal_3mcash_col,1),calc_deal_3mcash_col,0)),"-"),"-")</f>
        <v>-</v>
      </c>
      <c r="H53" s="15" t="str">
        <f>IFERROR(IF(LARGE(calc_deal_3mcash_col,1)&gt;0,INDEX(calc_deal_weighted_col,MATCH(LARGE(calc_deal_3mcash_col,1),calc_deal_3mcash_col,0)),"-"),"-")</f>
        <v>-</v>
      </c>
      <c r="I53" s="26" t="str">
        <f>IFERROR(IF(LARGE(calc_deal_3mcash_col,1)&gt;0,LARGE(calc_deal_3mcash_col,1),"-"),"-")</f>
        <v>-</v>
      </c>
      <c r="J53" s="31" t="str">
        <f>IFERROR(IF(LARGE(calc_deal_3mcash_col,1)&gt;0,INDEX(calc_deal_pt_col,MATCH(LARGE(calc_deal_3mcash_col,1),calc_deal_3mcash_col,0)),"-"),"-")</f>
        <v>-</v>
      </c>
      <c r="K53" s="30" t="str">
        <f>IFERROR(IF(LARGE(calc_deal_3mcash_col,1)&gt;0,LARGE(calc_deal_3mcash_col,1)/INDEX(calc_deal_weighted_col,MATCH(LARGE(calc_deal_3mcash_col,1),calc_deal_3mcash_col,0)),"-"),"-")</f>
        <v>-</v>
      </c>
      <c r="L53" s="23" t="str">
        <f>IF(LARGE(calc_deal_3mcash_col,1)&gt;0,"Pipeline","")</f>
        <v/>
      </c>
      <c r="M53" s="2"/>
      <c r="N53" s="67"/>
    </row>
    <row r="54" spans="1:14" ht="22" customHeight="1" x14ac:dyDescent="0.2">
      <c r="A54" s="1"/>
      <c r="B54" s="28">
        <v>2</v>
      </c>
      <c r="C54" s="29" t="str">
        <f>IFERROR(IF(LARGE(calc_deal_3mcash_col,2)&gt;0,INDEX(calc_deal_name_col,MATCH(LARGE(calc_deal_3mcash_col,2),calc_deal_3mcash_col,0)),"-"),"-")</f>
        <v>-</v>
      </c>
      <c r="D54" s="29" t="str">
        <f>IFERROR(IF(LARGE(calc_deal_3mcash_col,2)&gt;0,INDEX(calc_deal_client_col,MATCH(LARGE(calc_deal_3mcash_col,2),calc_deal_3mcash_col,0)),"-"),"-")</f>
        <v>-</v>
      </c>
      <c r="E54" s="20" t="str">
        <f>IFERROR(IF(LARGE(calc_deal_3mcash_col,2)&gt;0,INDEX(calc_deal_stage_col,MATCH(LARGE(calc_deal_3mcash_col,2),calc_deal_3mcash_col,0)),"-"),"-")</f>
        <v>-</v>
      </c>
      <c r="F54" s="15" t="str">
        <f>IFERROR(IF(LARGE(calc_deal_3mcash_col,2)&gt;0,INDEX(calc_deal_value_col,MATCH(LARGE(calc_deal_3mcash_col,2),calc_deal_3mcash_col,0)),"-"),"-")</f>
        <v>-</v>
      </c>
      <c r="G54" s="30" t="str">
        <f>IFERROR(IF(LARGE(calc_deal_3mcash_col,2)&gt;0,INDEX(calc_deal_prob_col,MATCH(LARGE(calc_deal_3mcash_col,2),calc_deal_3mcash_col,0)),"-"),"-")</f>
        <v>-</v>
      </c>
      <c r="H54" s="15" t="str">
        <f>IFERROR(IF(LARGE(calc_deal_3mcash_col,2)&gt;0,INDEX(calc_deal_weighted_col,MATCH(LARGE(calc_deal_3mcash_col,2),calc_deal_3mcash_col,0)),"-"),"-")</f>
        <v>-</v>
      </c>
      <c r="I54" s="26" t="str">
        <f>IFERROR(IF(LARGE(calc_deal_3mcash_col,2)&gt;0,LARGE(calc_deal_3mcash_col,2),"-"),"-")</f>
        <v>-</v>
      </c>
      <c r="J54" s="31" t="str">
        <f>IFERROR(IF(LARGE(calc_deal_3mcash_col,2)&gt;0,INDEX(calc_deal_pt_col,MATCH(LARGE(calc_deal_3mcash_col,2),calc_deal_3mcash_col,0)),"-"),"-")</f>
        <v>-</v>
      </c>
      <c r="K54" s="30" t="str">
        <f>IFERROR(IF(LARGE(calc_deal_3mcash_col,2)&gt;0,LARGE(calc_deal_3mcash_col,2)/INDEX(calc_deal_weighted_col,MATCH(LARGE(calc_deal_3mcash_col,2),calc_deal_3mcash_col,0)),"-"),"-")</f>
        <v>-</v>
      </c>
      <c r="L54" s="23" t="str">
        <f>IF(LARGE(calc_deal_3mcash_col,2)&gt;0,"Pipeline","")</f>
        <v/>
      </c>
      <c r="M54" s="2"/>
      <c r="N54" s="67"/>
    </row>
    <row r="55" spans="1:14" ht="22" customHeight="1" x14ac:dyDescent="0.2">
      <c r="A55" s="1"/>
      <c r="B55" s="28">
        <v>3</v>
      </c>
      <c r="C55" s="29" t="str">
        <f>IFERROR(IF(LARGE(calc_deal_3mcash_col,3)&gt;0,INDEX(calc_deal_name_col,MATCH(LARGE(calc_deal_3mcash_col,3),calc_deal_3mcash_col,0)),"-"),"-")</f>
        <v>-</v>
      </c>
      <c r="D55" s="29" t="str">
        <f>IFERROR(IF(LARGE(calc_deal_3mcash_col,3)&gt;0,INDEX(calc_deal_client_col,MATCH(LARGE(calc_deal_3mcash_col,3),calc_deal_3mcash_col,0)),"-"),"-")</f>
        <v>-</v>
      </c>
      <c r="E55" s="20" t="str">
        <f>IFERROR(IF(LARGE(calc_deal_3mcash_col,3)&gt;0,INDEX(calc_deal_stage_col,MATCH(LARGE(calc_deal_3mcash_col,3),calc_deal_3mcash_col,0)),"-"),"-")</f>
        <v>-</v>
      </c>
      <c r="F55" s="15" t="str">
        <f>IFERROR(IF(LARGE(calc_deal_3mcash_col,3)&gt;0,INDEX(calc_deal_value_col,MATCH(LARGE(calc_deal_3mcash_col,3),calc_deal_3mcash_col,0)),"-"),"-")</f>
        <v>-</v>
      </c>
      <c r="G55" s="30" t="str">
        <f>IFERROR(IF(LARGE(calc_deal_3mcash_col,3)&gt;0,INDEX(calc_deal_prob_col,MATCH(LARGE(calc_deal_3mcash_col,3),calc_deal_3mcash_col,0)),"-"),"-")</f>
        <v>-</v>
      </c>
      <c r="H55" s="15" t="str">
        <f>IFERROR(IF(LARGE(calc_deal_3mcash_col,3)&gt;0,INDEX(calc_deal_weighted_col,MATCH(LARGE(calc_deal_3mcash_col,3),calc_deal_3mcash_col,0)),"-"),"-")</f>
        <v>-</v>
      </c>
      <c r="I55" s="26" t="str">
        <f>IFERROR(IF(LARGE(calc_deal_3mcash_col,3)&gt;0,LARGE(calc_deal_3mcash_col,3),"-"),"-")</f>
        <v>-</v>
      </c>
      <c r="J55" s="31" t="str">
        <f>IFERROR(IF(LARGE(calc_deal_3mcash_col,3)&gt;0,INDEX(calc_deal_pt_col,MATCH(LARGE(calc_deal_3mcash_col,3),calc_deal_3mcash_col,0)),"-"),"-")</f>
        <v>-</v>
      </c>
      <c r="K55" s="30" t="str">
        <f>IFERROR(IF(LARGE(calc_deal_3mcash_col,3)&gt;0,LARGE(calc_deal_3mcash_col,3)/INDEX(calc_deal_weighted_col,MATCH(LARGE(calc_deal_3mcash_col,3),calc_deal_3mcash_col,0)),"-"),"-")</f>
        <v>-</v>
      </c>
      <c r="L55" s="23" t="str">
        <f>IF(LARGE(calc_deal_3mcash_col,3)&gt;0,"Pipeline","")</f>
        <v/>
      </c>
      <c r="M55" s="2"/>
      <c r="N55" s="67"/>
    </row>
    <row r="56" spans="1:14" ht="22" customHeight="1" x14ac:dyDescent="0.2">
      <c r="A56" s="1"/>
      <c r="B56" s="28">
        <v>4</v>
      </c>
      <c r="C56" s="29" t="str">
        <f>IFERROR(IF(LARGE(calc_deal_3mcash_col,4)&gt;0,INDEX(calc_deal_name_col,MATCH(LARGE(calc_deal_3mcash_col,4),calc_deal_3mcash_col,0)),"-"),"-")</f>
        <v>-</v>
      </c>
      <c r="D56" s="29" t="str">
        <f>IFERROR(IF(LARGE(calc_deal_3mcash_col,4)&gt;0,INDEX(calc_deal_client_col,MATCH(LARGE(calc_deal_3mcash_col,4),calc_deal_3mcash_col,0)),"-"),"-")</f>
        <v>-</v>
      </c>
      <c r="E56" s="20" t="str">
        <f>IFERROR(IF(LARGE(calc_deal_3mcash_col,4)&gt;0,INDEX(calc_deal_stage_col,MATCH(LARGE(calc_deal_3mcash_col,4),calc_deal_3mcash_col,0)),"-"),"-")</f>
        <v>-</v>
      </c>
      <c r="F56" s="15" t="str">
        <f>IFERROR(IF(LARGE(calc_deal_3mcash_col,4)&gt;0,INDEX(calc_deal_value_col,MATCH(LARGE(calc_deal_3mcash_col,4),calc_deal_3mcash_col,0)),"-"),"-")</f>
        <v>-</v>
      </c>
      <c r="G56" s="30" t="str">
        <f>IFERROR(IF(LARGE(calc_deal_3mcash_col,4)&gt;0,INDEX(calc_deal_prob_col,MATCH(LARGE(calc_deal_3mcash_col,4),calc_deal_3mcash_col,0)),"-"),"-")</f>
        <v>-</v>
      </c>
      <c r="H56" s="15" t="str">
        <f>IFERROR(IF(LARGE(calc_deal_3mcash_col,4)&gt;0,INDEX(calc_deal_weighted_col,MATCH(LARGE(calc_deal_3mcash_col,4),calc_deal_3mcash_col,0)),"-"),"-")</f>
        <v>-</v>
      </c>
      <c r="I56" s="26" t="str">
        <f>IFERROR(IF(LARGE(calc_deal_3mcash_col,4)&gt;0,LARGE(calc_deal_3mcash_col,4),"-"),"-")</f>
        <v>-</v>
      </c>
      <c r="J56" s="31" t="str">
        <f>IFERROR(IF(LARGE(calc_deal_3mcash_col,4)&gt;0,INDEX(calc_deal_pt_col,MATCH(LARGE(calc_deal_3mcash_col,4),calc_deal_3mcash_col,0)),"-"),"-")</f>
        <v>-</v>
      </c>
      <c r="K56" s="30" t="str">
        <f>IFERROR(IF(LARGE(calc_deal_3mcash_col,4)&gt;0,LARGE(calc_deal_3mcash_col,4)/INDEX(calc_deal_weighted_col,MATCH(LARGE(calc_deal_3mcash_col,4),calc_deal_3mcash_col,0)),"-"),"-")</f>
        <v>-</v>
      </c>
      <c r="L56" s="23" t="str">
        <f>IF(LARGE(calc_deal_3mcash_col,4)&gt;0,"Pipeline","")</f>
        <v/>
      </c>
      <c r="M56" s="2"/>
      <c r="N56" s="67"/>
    </row>
    <row r="57" spans="1:14" ht="22" customHeight="1" x14ac:dyDescent="0.2">
      <c r="A57" s="1"/>
      <c r="B57" s="28">
        <v>5</v>
      </c>
      <c r="C57" s="29" t="str">
        <f>IFERROR(IF(LARGE(calc_deal_3mcash_col,5)&gt;0,INDEX(calc_deal_name_col,MATCH(LARGE(calc_deal_3mcash_col,5),calc_deal_3mcash_col,0)),"-"),"-")</f>
        <v>-</v>
      </c>
      <c r="D57" s="29" t="str">
        <f>IFERROR(IF(LARGE(calc_deal_3mcash_col,5)&gt;0,INDEX(calc_deal_client_col,MATCH(LARGE(calc_deal_3mcash_col,5),calc_deal_3mcash_col,0)),"-"),"-")</f>
        <v>-</v>
      </c>
      <c r="E57" s="20" t="str">
        <f>IFERROR(IF(LARGE(calc_deal_3mcash_col,5)&gt;0,INDEX(calc_deal_stage_col,MATCH(LARGE(calc_deal_3mcash_col,5),calc_deal_3mcash_col,0)),"-"),"-")</f>
        <v>-</v>
      </c>
      <c r="F57" s="15" t="str">
        <f>IFERROR(IF(LARGE(calc_deal_3mcash_col,5)&gt;0,INDEX(calc_deal_value_col,MATCH(LARGE(calc_deal_3mcash_col,5),calc_deal_3mcash_col,0)),"-"),"-")</f>
        <v>-</v>
      </c>
      <c r="G57" s="30" t="str">
        <f>IFERROR(IF(LARGE(calc_deal_3mcash_col,5)&gt;0,INDEX(calc_deal_prob_col,MATCH(LARGE(calc_deal_3mcash_col,5),calc_deal_3mcash_col,0)),"-"),"-")</f>
        <v>-</v>
      </c>
      <c r="H57" s="15" t="str">
        <f>IFERROR(IF(LARGE(calc_deal_3mcash_col,5)&gt;0,INDEX(calc_deal_weighted_col,MATCH(LARGE(calc_deal_3mcash_col,5),calc_deal_3mcash_col,0)),"-"),"-")</f>
        <v>-</v>
      </c>
      <c r="I57" s="26" t="str">
        <f>IFERROR(IF(LARGE(calc_deal_3mcash_col,5)&gt;0,LARGE(calc_deal_3mcash_col,5),"-"),"-")</f>
        <v>-</v>
      </c>
      <c r="J57" s="31" t="str">
        <f>IFERROR(IF(LARGE(calc_deal_3mcash_col,5)&gt;0,INDEX(calc_deal_pt_col,MATCH(LARGE(calc_deal_3mcash_col,5),calc_deal_3mcash_col,0)),"-"),"-")</f>
        <v>-</v>
      </c>
      <c r="K57" s="30" t="str">
        <f>IFERROR(IF(LARGE(calc_deal_3mcash_col,5)&gt;0,LARGE(calc_deal_3mcash_col,5)/INDEX(calc_deal_weighted_col,MATCH(LARGE(calc_deal_3mcash_col,5),calc_deal_3mcash_col,0)),"-"),"-")</f>
        <v>-</v>
      </c>
      <c r="L57" s="23" t="str">
        <f>IF(LARGE(calc_deal_3mcash_col,5)&gt;0,"Pipeline","")</f>
        <v/>
      </c>
      <c r="M57" s="2"/>
      <c r="N57" s="67"/>
    </row>
    <row r="58" spans="1:14" ht="22" customHeight="1" x14ac:dyDescent="0.2">
      <c r="A58" s="1"/>
      <c r="B58" s="28">
        <v>6</v>
      </c>
      <c r="C58" s="29" t="str">
        <f>IFERROR(IF(LARGE(calc_deal_3mcash_col,6)&gt;0,INDEX(calc_deal_name_col,MATCH(LARGE(calc_deal_3mcash_col,6),calc_deal_3mcash_col,0)),"-"),"-")</f>
        <v>-</v>
      </c>
      <c r="D58" s="29" t="str">
        <f>IFERROR(IF(LARGE(calc_deal_3mcash_col,6)&gt;0,INDEX(calc_deal_client_col,MATCH(LARGE(calc_deal_3mcash_col,6),calc_deal_3mcash_col,0)),"-"),"-")</f>
        <v>-</v>
      </c>
      <c r="E58" s="20" t="str">
        <f>IFERROR(IF(LARGE(calc_deal_3mcash_col,6)&gt;0,INDEX(calc_deal_stage_col,MATCH(LARGE(calc_deal_3mcash_col,6),calc_deal_3mcash_col,0)),"-"),"-")</f>
        <v>-</v>
      </c>
      <c r="F58" s="15" t="str">
        <f>IFERROR(IF(LARGE(calc_deal_3mcash_col,6)&gt;0,INDEX(calc_deal_value_col,MATCH(LARGE(calc_deal_3mcash_col,6),calc_deal_3mcash_col,0)),"-"),"-")</f>
        <v>-</v>
      </c>
      <c r="G58" s="30" t="str">
        <f>IFERROR(IF(LARGE(calc_deal_3mcash_col,6)&gt;0,INDEX(calc_deal_prob_col,MATCH(LARGE(calc_deal_3mcash_col,6),calc_deal_3mcash_col,0)),"-"),"-")</f>
        <v>-</v>
      </c>
      <c r="H58" s="15" t="str">
        <f>IFERROR(IF(LARGE(calc_deal_3mcash_col,6)&gt;0,INDEX(calc_deal_weighted_col,MATCH(LARGE(calc_deal_3mcash_col,6),calc_deal_3mcash_col,0)),"-"),"-")</f>
        <v>-</v>
      </c>
      <c r="I58" s="26" t="str">
        <f>IFERROR(IF(LARGE(calc_deal_3mcash_col,6)&gt;0,LARGE(calc_deal_3mcash_col,6),"-"),"-")</f>
        <v>-</v>
      </c>
      <c r="J58" s="31" t="str">
        <f>IFERROR(IF(LARGE(calc_deal_3mcash_col,6)&gt;0,INDEX(calc_deal_pt_col,MATCH(LARGE(calc_deal_3mcash_col,6),calc_deal_3mcash_col,0)),"-"),"-")</f>
        <v>-</v>
      </c>
      <c r="K58" s="30" t="str">
        <f>IFERROR(IF(LARGE(calc_deal_3mcash_col,6)&gt;0,LARGE(calc_deal_3mcash_col,6)/INDEX(calc_deal_weighted_col,MATCH(LARGE(calc_deal_3mcash_col,6),calc_deal_3mcash_col,0)),"-"),"-")</f>
        <v>-</v>
      </c>
      <c r="L58" s="23" t="str">
        <f>IF(LARGE(calc_deal_3mcash_col,6)&gt;0,"Pipeline","")</f>
        <v/>
      </c>
      <c r="M58" s="2"/>
      <c r="N58" s="67"/>
    </row>
    <row r="59" spans="1:14" ht="22" customHeight="1" x14ac:dyDescent="0.2">
      <c r="A59" s="1"/>
      <c r="B59" s="28">
        <v>7</v>
      </c>
      <c r="C59" s="29" t="str">
        <f>IFERROR(IF(LARGE(calc_deal_3mcash_col,7)&gt;0,INDEX(calc_deal_name_col,MATCH(LARGE(calc_deal_3mcash_col,7),calc_deal_3mcash_col,0)),"-"),"-")</f>
        <v>-</v>
      </c>
      <c r="D59" s="29" t="str">
        <f>IFERROR(IF(LARGE(calc_deal_3mcash_col,7)&gt;0,INDEX(calc_deal_client_col,MATCH(LARGE(calc_deal_3mcash_col,7),calc_deal_3mcash_col,0)),"-"),"-")</f>
        <v>-</v>
      </c>
      <c r="E59" s="20" t="str">
        <f>IFERROR(IF(LARGE(calc_deal_3mcash_col,7)&gt;0,INDEX(calc_deal_stage_col,MATCH(LARGE(calc_deal_3mcash_col,7),calc_deal_3mcash_col,0)),"-"),"-")</f>
        <v>-</v>
      </c>
      <c r="F59" s="15" t="str">
        <f>IFERROR(IF(LARGE(calc_deal_3mcash_col,7)&gt;0,INDEX(calc_deal_value_col,MATCH(LARGE(calc_deal_3mcash_col,7),calc_deal_3mcash_col,0)),"-"),"-")</f>
        <v>-</v>
      </c>
      <c r="G59" s="30" t="str">
        <f>IFERROR(IF(LARGE(calc_deal_3mcash_col,7)&gt;0,INDEX(calc_deal_prob_col,MATCH(LARGE(calc_deal_3mcash_col,7),calc_deal_3mcash_col,0)),"-"),"-")</f>
        <v>-</v>
      </c>
      <c r="H59" s="15" t="str">
        <f>IFERROR(IF(LARGE(calc_deal_3mcash_col,7)&gt;0,INDEX(calc_deal_weighted_col,MATCH(LARGE(calc_deal_3mcash_col,7),calc_deal_3mcash_col,0)),"-"),"-")</f>
        <v>-</v>
      </c>
      <c r="I59" s="26" t="str">
        <f>IFERROR(IF(LARGE(calc_deal_3mcash_col,7)&gt;0,LARGE(calc_deal_3mcash_col,7),"-"),"-")</f>
        <v>-</v>
      </c>
      <c r="J59" s="31" t="str">
        <f>IFERROR(IF(LARGE(calc_deal_3mcash_col,7)&gt;0,INDEX(calc_deal_pt_col,MATCH(LARGE(calc_deal_3mcash_col,7),calc_deal_3mcash_col,0)),"-"),"-")</f>
        <v>-</v>
      </c>
      <c r="K59" s="30" t="str">
        <f>IFERROR(IF(LARGE(calc_deal_3mcash_col,7)&gt;0,LARGE(calc_deal_3mcash_col,7)/INDEX(calc_deal_weighted_col,MATCH(LARGE(calc_deal_3mcash_col,7),calc_deal_3mcash_col,0)),"-"),"-")</f>
        <v>-</v>
      </c>
      <c r="L59" s="23" t="str">
        <f>IF(LARGE(calc_deal_3mcash_col,7)&gt;0,"Pipeline","")</f>
        <v/>
      </c>
      <c r="M59" s="2"/>
      <c r="N59" s="67"/>
    </row>
    <row r="60" spans="1:14" ht="22" customHeight="1" x14ac:dyDescent="0.2">
      <c r="A60" s="1"/>
      <c r="B60" s="28">
        <v>8</v>
      </c>
      <c r="C60" s="29" t="str">
        <f>IFERROR(IF(LARGE(calc_deal_3mcash_col,8)&gt;0,INDEX(calc_deal_name_col,MATCH(LARGE(calc_deal_3mcash_col,8),calc_deal_3mcash_col,0)),"-"),"-")</f>
        <v>-</v>
      </c>
      <c r="D60" s="29" t="str">
        <f>IFERROR(IF(LARGE(calc_deal_3mcash_col,8)&gt;0,INDEX(calc_deal_client_col,MATCH(LARGE(calc_deal_3mcash_col,8),calc_deal_3mcash_col,0)),"-"),"-")</f>
        <v>-</v>
      </c>
      <c r="E60" s="20" t="str">
        <f>IFERROR(IF(LARGE(calc_deal_3mcash_col,8)&gt;0,INDEX(calc_deal_stage_col,MATCH(LARGE(calc_deal_3mcash_col,8),calc_deal_3mcash_col,0)),"-"),"-")</f>
        <v>-</v>
      </c>
      <c r="F60" s="15" t="str">
        <f>IFERROR(IF(LARGE(calc_deal_3mcash_col,8)&gt;0,INDEX(calc_deal_value_col,MATCH(LARGE(calc_deal_3mcash_col,8),calc_deal_3mcash_col,0)),"-"),"-")</f>
        <v>-</v>
      </c>
      <c r="G60" s="30" t="str">
        <f>IFERROR(IF(LARGE(calc_deal_3mcash_col,8)&gt;0,INDEX(calc_deal_prob_col,MATCH(LARGE(calc_deal_3mcash_col,8),calc_deal_3mcash_col,0)),"-"),"-")</f>
        <v>-</v>
      </c>
      <c r="H60" s="15" t="str">
        <f>IFERROR(IF(LARGE(calc_deal_3mcash_col,8)&gt;0,INDEX(calc_deal_weighted_col,MATCH(LARGE(calc_deal_3mcash_col,8),calc_deal_3mcash_col,0)),"-"),"-")</f>
        <v>-</v>
      </c>
      <c r="I60" s="26" t="str">
        <f>IFERROR(IF(LARGE(calc_deal_3mcash_col,8)&gt;0,LARGE(calc_deal_3mcash_col,8),"-"),"-")</f>
        <v>-</v>
      </c>
      <c r="J60" s="31" t="str">
        <f>IFERROR(IF(LARGE(calc_deal_3mcash_col,8)&gt;0,INDEX(calc_deal_pt_col,MATCH(LARGE(calc_deal_3mcash_col,8),calc_deal_3mcash_col,0)),"-"),"-")</f>
        <v>-</v>
      </c>
      <c r="K60" s="30" t="str">
        <f>IFERROR(IF(LARGE(calc_deal_3mcash_col,8)&gt;0,LARGE(calc_deal_3mcash_col,8)/INDEX(calc_deal_weighted_col,MATCH(LARGE(calc_deal_3mcash_col,8),calc_deal_3mcash_col,0)),"-"),"-")</f>
        <v>-</v>
      </c>
      <c r="L60" s="23" t="str">
        <f>IF(LARGE(calc_deal_3mcash_col,8)&gt;0,"Pipeline","")</f>
        <v/>
      </c>
      <c r="M60" s="2"/>
      <c r="N60" s="67"/>
    </row>
    <row r="61" spans="1:14" ht="22" customHeight="1" x14ac:dyDescent="0.2">
      <c r="A61" s="1"/>
      <c r="B61" s="28">
        <v>9</v>
      </c>
      <c r="C61" s="29" t="str">
        <f>IFERROR(IF(LARGE(calc_deal_3mcash_col,9)&gt;0,INDEX(calc_deal_name_col,MATCH(LARGE(calc_deal_3mcash_col,9),calc_deal_3mcash_col,0)),"-"),"-")</f>
        <v>-</v>
      </c>
      <c r="D61" s="29" t="str">
        <f>IFERROR(IF(LARGE(calc_deal_3mcash_col,9)&gt;0,INDEX(calc_deal_client_col,MATCH(LARGE(calc_deal_3mcash_col,9),calc_deal_3mcash_col,0)),"-"),"-")</f>
        <v>-</v>
      </c>
      <c r="E61" s="20" t="str">
        <f>IFERROR(IF(LARGE(calc_deal_3mcash_col,9)&gt;0,INDEX(calc_deal_stage_col,MATCH(LARGE(calc_deal_3mcash_col,9),calc_deal_3mcash_col,0)),"-"),"-")</f>
        <v>-</v>
      </c>
      <c r="F61" s="15" t="str">
        <f>IFERROR(IF(LARGE(calc_deal_3mcash_col,9)&gt;0,INDEX(calc_deal_value_col,MATCH(LARGE(calc_deal_3mcash_col,9),calc_deal_3mcash_col,0)),"-"),"-")</f>
        <v>-</v>
      </c>
      <c r="G61" s="30" t="str">
        <f>IFERROR(IF(LARGE(calc_deal_3mcash_col,9)&gt;0,INDEX(calc_deal_prob_col,MATCH(LARGE(calc_deal_3mcash_col,9),calc_deal_3mcash_col,0)),"-"),"-")</f>
        <v>-</v>
      </c>
      <c r="H61" s="15" t="str">
        <f>IFERROR(IF(LARGE(calc_deal_3mcash_col,9)&gt;0,INDEX(calc_deal_weighted_col,MATCH(LARGE(calc_deal_3mcash_col,9),calc_deal_3mcash_col,0)),"-"),"-")</f>
        <v>-</v>
      </c>
      <c r="I61" s="26" t="str">
        <f>IFERROR(IF(LARGE(calc_deal_3mcash_col,9)&gt;0,LARGE(calc_deal_3mcash_col,9),"-"),"-")</f>
        <v>-</v>
      </c>
      <c r="J61" s="31" t="str">
        <f>IFERROR(IF(LARGE(calc_deal_3mcash_col,9)&gt;0,INDEX(calc_deal_pt_col,MATCH(LARGE(calc_deal_3mcash_col,9),calc_deal_3mcash_col,0)),"-"),"-")</f>
        <v>-</v>
      </c>
      <c r="K61" s="30" t="str">
        <f>IFERROR(IF(LARGE(calc_deal_3mcash_col,9)&gt;0,LARGE(calc_deal_3mcash_col,9)/INDEX(calc_deal_weighted_col,MATCH(LARGE(calc_deal_3mcash_col,9),calc_deal_3mcash_col,0)),"-"),"-")</f>
        <v>-</v>
      </c>
      <c r="L61" s="23" t="str">
        <f>IF(LARGE(calc_deal_3mcash_col,9)&gt;0,"Pipeline","")</f>
        <v/>
      </c>
      <c r="M61" s="2"/>
      <c r="N61" s="67"/>
    </row>
    <row r="62" spans="1:14" ht="22" customHeight="1" x14ac:dyDescent="0.2">
      <c r="A62" s="1"/>
      <c r="B62" s="28">
        <v>10</v>
      </c>
      <c r="C62" s="29" t="str">
        <f>IFERROR(IF(LARGE(calc_deal_3mcash_col,10)&gt;0,INDEX(calc_deal_name_col,MATCH(LARGE(calc_deal_3mcash_col,10),calc_deal_3mcash_col,0)),"-"),"-")</f>
        <v>-</v>
      </c>
      <c r="D62" s="29" t="str">
        <f>IFERROR(IF(LARGE(calc_deal_3mcash_col,10)&gt;0,INDEX(calc_deal_client_col,MATCH(LARGE(calc_deal_3mcash_col,10),calc_deal_3mcash_col,0)),"-"),"-")</f>
        <v>-</v>
      </c>
      <c r="E62" s="20" t="str">
        <f>IFERROR(IF(LARGE(calc_deal_3mcash_col,10)&gt;0,INDEX(calc_deal_stage_col,MATCH(LARGE(calc_deal_3mcash_col,10),calc_deal_3mcash_col,0)),"-"),"-")</f>
        <v>-</v>
      </c>
      <c r="F62" s="15" t="str">
        <f>IFERROR(IF(LARGE(calc_deal_3mcash_col,10)&gt;0,INDEX(calc_deal_value_col,MATCH(LARGE(calc_deal_3mcash_col,10),calc_deal_3mcash_col,0)),"-"),"-")</f>
        <v>-</v>
      </c>
      <c r="G62" s="30" t="str">
        <f>IFERROR(IF(LARGE(calc_deal_3mcash_col,10)&gt;0,INDEX(calc_deal_prob_col,MATCH(LARGE(calc_deal_3mcash_col,10),calc_deal_3mcash_col,0)),"-"),"-")</f>
        <v>-</v>
      </c>
      <c r="H62" s="15" t="str">
        <f>IFERROR(IF(LARGE(calc_deal_3mcash_col,10)&gt;0,INDEX(calc_deal_weighted_col,MATCH(LARGE(calc_deal_3mcash_col,10),calc_deal_3mcash_col,0)),"-"),"-")</f>
        <v>-</v>
      </c>
      <c r="I62" s="26" t="str">
        <f>IFERROR(IF(LARGE(calc_deal_3mcash_col,10)&gt;0,LARGE(calc_deal_3mcash_col,10),"-"),"-")</f>
        <v>-</v>
      </c>
      <c r="J62" s="31" t="str">
        <f>IFERROR(IF(LARGE(calc_deal_3mcash_col,10)&gt;0,INDEX(calc_deal_pt_col,MATCH(LARGE(calc_deal_3mcash_col,10),calc_deal_3mcash_col,0)),"-"),"-")</f>
        <v>-</v>
      </c>
      <c r="K62" s="30" t="str">
        <f>IFERROR(IF(LARGE(calc_deal_3mcash_col,10)&gt;0,LARGE(calc_deal_3mcash_col,10)/INDEX(calc_deal_weighted_col,MATCH(LARGE(calc_deal_3mcash_col,10),calc_deal_3mcash_col,0)),"-"),"-")</f>
        <v>-</v>
      </c>
      <c r="L62" s="23" t="str">
        <f>IF(LARGE(calc_deal_3mcash_col,10)&gt;0,"Pipeline","")</f>
        <v/>
      </c>
      <c r="M62" s="2"/>
      <c r="N62" s="67"/>
    </row>
    <row r="63" spans="1:14" x14ac:dyDescent="0.2">
      <c r="A63" s="1"/>
      <c r="B63" s="1"/>
      <c r="C63" s="1"/>
      <c r="D63" s="1"/>
      <c r="E63" s="1"/>
      <c r="F63" s="1"/>
      <c r="G63" s="1"/>
      <c r="H63" s="1"/>
      <c r="I63" s="1"/>
      <c r="J63" s="1"/>
      <c r="K63" s="1"/>
      <c r="L63" s="1"/>
      <c r="M63" s="1"/>
      <c r="N63" s="67"/>
    </row>
    <row r="64" spans="1:14" x14ac:dyDescent="0.2">
      <c r="A64" s="1"/>
      <c r="B64" s="118" t="s">
        <v>406</v>
      </c>
      <c r="C64" s="118"/>
      <c r="D64" s="118"/>
      <c r="E64" s="118"/>
      <c r="F64" s="118"/>
      <c r="G64" s="118"/>
      <c r="H64" s="118"/>
      <c r="I64" s="118"/>
      <c r="J64" s="1"/>
      <c r="K64" s="1"/>
      <c r="L64" s="1"/>
      <c r="M64" s="1"/>
      <c r="N64" s="67"/>
    </row>
    <row r="65" spans="1:14" x14ac:dyDescent="0.2">
      <c r="A65" s="1"/>
      <c r="B65" s="57"/>
      <c r="C65" s="1"/>
      <c r="D65" s="1"/>
      <c r="E65" s="1"/>
      <c r="F65" s="1"/>
      <c r="G65" s="1"/>
      <c r="H65" s="1"/>
      <c r="I65" s="1"/>
      <c r="J65" s="1"/>
      <c r="K65" s="1"/>
      <c r="L65" s="1"/>
      <c r="M65" s="1"/>
      <c r="N65" s="67"/>
    </row>
    <row r="66" spans="1:14" ht="24" customHeight="1" x14ac:dyDescent="0.2">
      <c r="A66" s="1"/>
      <c r="B66" s="87" t="s">
        <v>77</v>
      </c>
      <c r="C66" s="85"/>
      <c r="D66" s="85"/>
      <c r="E66" s="85"/>
      <c r="F66" s="85"/>
      <c r="G66" s="85"/>
      <c r="H66" s="85"/>
      <c r="I66" s="88" t="s">
        <v>78</v>
      </c>
      <c r="J66" s="85"/>
      <c r="K66" s="85"/>
      <c r="L66" s="85"/>
      <c r="M66" s="85"/>
      <c r="N66" s="67"/>
    </row>
    <row r="67" spans="1:14" ht="22" customHeight="1" x14ac:dyDescent="0.2">
      <c r="A67" s="1"/>
      <c r="B67" s="12" t="s">
        <v>79</v>
      </c>
      <c r="C67" s="13" t="s">
        <v>80</v>
      </c>
      <c r="D67" s="13" t="s">
        <v>81</v>
      </c>
      <c r="E67" s="13" t="s">
        <v>3</v>
      </c>
      <c r="F67" s="13" t="s">
        <v>82</v>
      </c>
      <c r="G67" s="93" t="s">
        <v>83</v>
      </c>
      <c r="H67" s="94"/>
      <c r="I67" s="94"/>
      <c r="J67" s="94"/>
      <c r="K67" s="94"/>
      <c r="L67" s="94"/>
      <c r="M67" s="94"/>
      <c r="N67" s="67"/>
    </row>
    <row r="68" spans="1:14" ht="22" customHeight="1" x14ac:dyDescent="0.2">
      <c r="A68" s="1"/>
      <c r="B68" s="24" t="s">
        <v>84</v>
      </c>
      <c r="C68" s="15">
        <f>(SUM(calc_deal_cash_m1,calc_deal_cash_m2,calc_deal_cash_m3,calc_deal_cash_m4,calc_deal_cash_m5,calc_deal_cash_m6))*(1+-0.3)+(SUM(calc_ret_cash_m1,calc_ret_cash_m2,calc_ret_cash_m3,calc_ret_cash_m4,calc_ret_cash_m5,calc_ret_cash_m6))</f>
        <v>0</v>
      </c>
      <c r="D68" s="15">
        <f>(SUM(calc_deal_cash_m1,calc_deal_cash_m2,calc_deal_cash_m3,calc_deal_cash_m4,calc_deal_cash_m5,calc_deal_cash_m6))*(1+-0.15)+(SUM(calc_ret_cash_m1,calc_ret_cash_m2,calc_ret_cash_m3,calc_ret_cash_m4,calc_ret_cash_m5,calc_ret_cash_m6))</f>
        <v>0</v>
      </c>
      <c r="E68" s="26">
        <f>(SUM(calc_deal_cash_m1,calc_deal_cash_m2,calc_deal_cash_m3,calc_deal_cash_m4,calc_deal_cash_m5,calc_deal_cash_m6))*(1+0)+(SUM(calc_ret_cash_m1,calc_ret_cash_m2,calc_ret_cash_m3,calc_ret_cash_m4,calc_ret_cash_m5,calc_ret_cash_m6))</f>
        <v>0</v>
      </c>
      <c r="F68" s="15">
        <f>(SUM(calc_deal_cash_m1,calc_deal_cash_m2,calc_deal_cash_m3,calc_deal_cash_m4,calc_deal_cash_m5,calc_deal_cash_m6))*(1+0.1)+(SUM(calc_ret_cash_m1,calc_ret_cash_m2,calc_ret_cash_m3,calc_ret_cash_m4,calc_ret_cash_m5,calc_ret_cash_m6))</f>
        <v>0</v>
      </c>
      <c r="G68" s="84" t="s">
        <v>85</v>
      </c>
      <c r="H68" s="85"/>
      <c r="I68" s="85"/>
      <c r="J68" s="85"/>
      <c r="K68" s="85"/>
      <c r="L68" s="85"/>
      <c r="M68" s="85"/>
      <c r="N68" s="67"/>
    </row>
    <row r="69" spans="1:14" ht="22" customHeight="1" x14ac:dyDescent="0.2">
      <c r="A69" s="1"/>
      <c r="B69" s="24" t="s">
        <v>86</v>
      </c>
      <c r="C69" s="32">
        <f>C68-E68</f>
        <v>0</v>
      </c>
      <c r="D69" s="32">
        <f>D68-E68</f>
        <v>0</v>
      </c>
      <c r="E69" s="32">
        <f>E68-E68</f>
        <v>0</v>
      </c>
      <c r="F69" s="32">
        <f>F68-E68</f>
        <v>0</v>
      </c>
      <c r="G69" s="85"/>
      <c r="H69" s="85"/>
      <c r="I69" s="85"/>
      <c r="J69" s="85"/>
      <c r="K69" s="85"/>
      <c r="L69" s="85"/>
      <c r="M69" s="85"/>
      <c r="N69" s="67"/>
    </row>
    <row r="70" spans="1:14" x14ac:dyDescent="0.2">
      <c r="A70" s="1"/>
      <c r="B70" s="1"/>
      <c r="C70" s="1"/>
      <c r="D70" s="1"/>
      <c r="E70" s="1"/>
      <c r="F70" s="1"/>
      <c r="G70" s="1"/>
      <c r="H70" s="1"/>
      <c r="I70" s="1"/>
      <c r="J70" s="1"/>
      <c r="K70" s="1"/>
      <c r="L70" s="1"/>
      <c r="M70" s="1"/>
      <c r="N70" s="67"/>
    </row>
    <row r="71" spans="1:14" ht="24" customHeight="1" x14ac:dyDescent="0.2">
      <c r="A71" s="1"/>
      <c r="B71" s="87" t="s">
        <v>87</v>
      </c>
      <c r="C71" s="85"/>
      <c r="D71" s="85"/>
      <c r="E71" s="85"/>
      <c r="F71" s="85"/>
      <c r="G71" s="85"/>
      <c r="H71" s="85"/>
      <c r="I71" s="88" t="s">
        <v>88</v>
      </c>
      <c r="J71" s="85"/>
      <c r="K71" s="85"/>
      <c r="L71" s="85"/>
      <c r="M71" s="85"/>
      <c r="N71" s="67"/>
    </row>
    <row r="72" spans="1:14" ht="22" customHeight="1" x14ac:dyDescent="0.2">
      <c r="A72" s="1"/>
      <c r="B72" s="12" t="s">
        <v>89</v>
      </c>
      <c r="C72" s="13" t="s">
        <v>90</v>
      </c>
      <c r="D72" s="13" t="s">
        <v>91</v>
      </c>
      <c r="E72" s="13" t="s">
        <v>92</v>
      </c>
      <c r="F72" s="13" t="s">
        <v>93</v>
      </c>
      <c r="G72" s="93" t="s">
        <v>83</v>
      </c>
      <c r="H72" s="94"/>
      <c r="I72" s="94"/>
      <c r="J72" s="94"/>
      <c r="K72" s="94"/>
      <c r="L72" s="94"/>
      <c r="M72" s="94"/>
      <c r="N72" s="67"/>
    </row>
    <row r="73" spans="1:14" ht="22" customHeight="1" x14ac:dyDescent="0.2">
      <c r="A73" s="1"/>
      <c r="B73" s="24" t="s">
        <v>84</v>
      </c>
      <c r="C73" s="15">
        <f>SUM(calc_deal_cash_m2,calc_ret_cash_m2,calc_deal_cash_m3,calc_ret_cash_m3,calc_deal_cash_m4,calc_ret_cash_m4,calc_deal_cash_m5,calc_ret_cash_m5,calc_deal_cash_m6,calc_ret_cash_m6,calc_deal_cash_m7,calc_ret_cash_m7)</f>
        <v>0</v>
      </c>
      <c r="D73" s="26">
        <f>SUM(calc_deal_cash_m1,calc_ret_cash_m1,calc_deal_cash_m2,calc_ret_cash_m2,calc_deal_cash_m3,calc_ret_cash_m3,calc_deal_cash_m4,calc_ret_cash_m4,calc_deal_cash_m5,calc_ret_cash_m5,calc_deal_cash_m6,calc_ret_cash_m6)</f>
        <v>0</v>
      </c>
      <c r="E73" s="15">
        <f>SUM(calc_deal_cash_m1,calc_ret_cash_m1,calc_deal_cash_m2,calc_ret_cash_m2,calc_deal_cash_m3,calc_ret_cash_m3,calc_deal_cash_m4,calc_ret_cash_m4,calc_deal_cash_m5,calc_ret_cash_m5)</f>
        <v>0</v>
      </c>
      <c r="F73" s="15">
        <f>SUM(calc_deal_cash_m1,calc_ret_cash_m1,calc_deal_cash_m2,calc_ret_cash_m2,calc_deal_cash_m3,calc_ret_cash_m3,calc_deal_cash_m4,calc_ret_cash_m4)</f>
        <v>0</v>
      </c>
      <c r="G73" s="84" t="s">
        <v>94</v>
      </c>
      <c r="H73" s="85"/>
      <c r="I73" s="85"/>
      <c r="J73" s="85"/>
      <c r="K73" s="85"/>
      <c r="L73" s="85"/>
      <c r="M73" s="85"/>
      <c r="N73" s="67"/>
    </row>
    <row r="74" spans="1:14" ht="22" customHeight="1" x14ac:dyDescent="0.2">
      <c r="A74" s="1"/>
      <c r="B74" s="24" t="s">
        <v>95</v>
      </c>
      <c r="C74" s="32">
        <f>C73-D73</f>
        <v>0</v>
      </c>
      <c r="D74" s="32">
        <f>D73-D73</f>
        <v>0</v>
      </c>
      <c r="E74" s="32">
        <f>E73-D73</f>
        <v>0</v>
      </c>
      <c r="F74" s="32">
        <f>F73-D73</f>
        <v>0</v>
      </c>
      <c r="G74" s="85"/>
      <c r="H74" s="85"/>
      <c r="I74" s="85"/>
      <c r="J74" s="85"/>
      <c r="K74" s="85"/>
      <c r="L74" s="85"/>
      <c r="M74" s="85"/>
      <c r="N74" s="67"/>
    </row>
    <row r="75" spans="1:14" x14ac:dyDescent="0.2">
      <c r="A75" s="1"/>
      <c r="B75" s="1"/>
      <c r="C75" s="1"/>
      <c r="D75" s="1"/>
      <c r="E75" s="1"/>
      <c r="F75" s="1"/>
      <c r="G75" s="1"/>
      <c r="H75" s="1"/>
      <c r="I75" s="1"/>
      <c r="J75" s="1"/>
      <c r="K75" s="1"/>
      <c r="L75" s="1"/>
      <c r="M75" s="1"/>
      <c r="N75" s="67"/>
    </row>
    <row r="76" spans="1:14" ht="24" customHeight="1" x14ac:dyDescent="0.2">
      <c r="A76" s="1"/>
      <c r="B76" s="87" t="s">
        <v>96</v>
      </c>
      <c r="C76" s="85"/>
      <c r="D76" s="85"/>
      <c r="E76" s="85"/>
      <c r="F76" s="85"/>
      <c r="G76" s="85"/>
      <c r="H76" s="85"/>
      <c r="I76" s="88" t="s">
        <v>97</v>
      </c>
      <c r="J76" s="85"/>
      <c r="K76" s="85"/>
      <c r="L76" s="85"/>
      <c r="M76" s="85"/>
      <c r="N76" s="67"/>
    </row>
    <row r="77" spans="1:14" ht="22" customHeight="1" x14ac:dyDescent="0.2">
      <c r="A77" s="1"/>
      <c r="B77" s="12" t="s">
        <v>98</v>
      </c>
      <c r="C77" s="1"/>
      <c r="D77" s="1"/>
      <c r="E77" s="13" t="s">
        <v>99</v>
      </c>
      <c r="F77" s="1"/>
      <c r="G77" s="13" t="s">
        <v>100</v>
      </c>
      <c r="H77" s="1"/>
      <c r="I77" s="13" t="s">
        <v>101</v>
      </c>
      <c r="J77" s="93" t="s">
        <v>83</v>
      </c>
      <c r="K77" s="94"/>
      <c r="L77" s="94"/>
      <c r="M77" s="94"/>
      <c r="N77" s="67"/>
    </row>
    <row r="78" spans="1:14" ht="22" customHeight="1" x14ac:dyDescent="0.2">
      <c r="A78" s="1"/>
      <c r="B78" s="89" t="s">
        <v>102</v>
      </c>
      <c r="C78" s="85"/>
      <c r="D78" s="85"/>
      <c r="E78" s="101">
        <f>out_winrate</f>
        <v>0</v>
      </c>
      <c r="F78" s="85"/>
      <c r="G78" s="101">
        <f>ref_vert_winrate_active</f>
        <v>0.25</v>
      </c>
      <c r="H78" s="85"/>
      <c r="I78" s="33">
        <f>out_winrate-ref_vert_winrate_active</f>
        <v>-0.25</v>
      </c>
      <c r="J78" s="84" t="s">
        <v>103</v>
      </c>
      <c r="K78" s="85"/>
      <c r="L78" s="85"/>
      <c r="M78" s="85"/>
      <c r="N78" s="67"/>
    </row>
    <row r="79" spans="1:14" ht="22" customHeight="1" x14ac:dyDescent="0.2">
      <c r="A79" s="1"/>
      <c r="B79" s="89" t="s">
        <v>104</v>
      </c>
      <c r="C79" s="85"/>
      <c r="D79" s="85"/>
      <c r="E79" s="96" t="s">
        <v>105</v>
      </c>
      <c r="F79" s="85"/>
      <c r="G79" s="102">
        <f>ref_vert_cycle_active</f>
        <v>62</v>
      </c>
      <c r="H79" s="85"/>
      <c r="I79" s="34" t="s">
        <v>105</v>
      </c>
      <c r="J79" s="84" t="s">
        <v>106</v>
      </c>
      <c r="K79" s="85"/>
      <c r="L79" s="85"/>
      <c r="M79" s="85"/>
      <c r="N79" s="67"/>
    </row>
    <row r="80" spans="1:14" ht="22" customHeight="1" x14ac:dyDescent="0.2">
      <c r="A80" s="1"/>
      <c r="B80" s="89" t="s">
        <v>107</v>
      </c>
      <c r="C80" s="85"/>
      <c r="D80" s="85"/>
      <c r="E80" s="96" t="s">
        <v>105</v>
      </c>
      <c r="F80" s="85"/>
      <c r="G80" s="102">
        <f>ref_region_default_dso</f>
        <v>38</v>
      </c>
      <c r="H80" s="85"/>
      <c r="I80" s="34" t="s">
        <v>105</v>
      </c>
      <c r="J80" s="84" t="s">
        <v>108</v>
      </c>
      <c r="K80" s="85"/>
      <c r="L80" s="85"/>
      <c r="M80" s="85"/>
      <c r="N80" s="67"/>
    </row>
    <row r="81" spans="1:14" ht="22" customHeight="1" x14ac:dyDescent="0.2">
      <c r="A81" s="1"/>
      <c r="B81" s="89" t="s">
        <v>109</v>
      </c>
      <c r="C81" s="85"/>
      <c r="D81" s="85"/>
      <c r="E81" s="96" t="s">
        <v>105</v>
      </c>
      <c r="F81" s="85"/>
      <c r="G81" s="116" t="str">
        <f>ref_region_default_pt</f>
        <v>Net 30</v>
      </c>
      <c r="H81" s="85"/>
      <c r="I81" s="34" t="s">
        <v>105</v>
      </c>
      <c r="J81" s="84" t="s">
        <v>110</v>
      </c>
      <c r="K81" s="85"/>
      <c r="L81" s="85"/>
      <c r="M81" s="85"/>
      <c r="N81" s="67"/>
    </row>
    <row r="82" spans="1:14" x14ac:dyDescent="0.2">
      <c r="A82" s="1"/>
      <c r="B82" s="1"/>
      <c r="C82" s="1"/>
      <c r="D82" s="1"/>
      <c r="E82" s="1"/>
      <c r="F82" s="1"/>
      <c r="G82" s="1"/>
      <c r="H82" s="1"/>
      <c r="I82" s="1"/>
      <c r="J82" s="1"/>
      <c r="K82" s="1"/>
      <c r="L82" s="1"/>
      <c r="M82" s="1"/>
      <c r="N82" s="67"/>
    </row>
    <row r="83" spans="1:14" ht="24" customHeight="1" x14ac:dyDescent="0.2">
      <c r="A83" s="1"/>
      <c r="B83" s="87" t="s">
        <v>111</v>
      </c>
      <c r="C83" s="85"/>
      <c r="D83" s="85"/>
      <c r="E83" s="85"/>
      <c r="F83" s="85"/>
      <c r="G83" s="85"/>
      <c r="H83" s="85"/>
      <c r="I83" s="88" t="s">
        <v>112</v>
      </c>
      <c r="J83" s="85"/>
      <c r="K83" s="85"/>
      <c r="L83" s="85"/>
      <c r="M83" s="85"/>
      <c r="N83" s="67"/>
    </row>
    <row r="84" spans="1:14" ht="22" customHeight="1" x14ac:dyDescent="0.2">
      <c r="A84" s="1"/>
      <c r="B84" s="13" t="s">
        <v>113</v>
      </c>
      <c r="C84" s="93" t="s">
        <v>114</v>
      </c>
      <c r="D84" s="94"/>
      <c r="E84" s="94"/>
      <c r="F84" s="94"/>
      <c r="G84" s="94"/>
      <c r="H84" s="94"/>
      <c r="I84" s="94"/>
      <c r="J84" s="13" t="s">
        <v>115</v>
      </c>
      <c r="K84" s="13" t="s">
        <v>116</v>
      </c>
      <c r="L84" s="27" t="s">
        <v>117</v>
      </c>
      <c r="M84" s="12" t="s">
        <v>118</v>
      </c>
      <c r="N84" s="67"/>
    </row>
    <row r="85" spans="1:14" ht="22" customHeight="1" x14ac:dyDescent="0.2">
      <c r="A85" s="1"/>
      <c r="B85" s="25">
        <v>1</v>
      </c>
      <c r="C85" s="86" t="s">
        <v>119</v>
      </c>
      <c r="D85" s="85"/>
      <c r="E85" s="85"/>
      <c r="F85" s="85"/>
      <c r="G85" s="85"/>
      <c r="H85" s="85"/>
      <c r="I85" s="85"/>
      <c r="J85" s="16">
        <f>SUM(calc_deal_rev_m1,calc_deal_rev_m2,calc_deal_rev_m3,calc_deal_rev_m4,calc_deal_rev_m5,calc_deal_rev_m6)</f>
        <v>0</v>
      </c>
      <c r="K85" s="16">
        <f>SUM(C18:H18)</f>
        <v>0</v>
      </c>
      <c r="L85" s="36" t="str">
        <f t="shared" ref="L85:L101" si="3">IF(ABS(J85-K85)&lt;=0.5,"PASS","FAIL")</f>
        <v>PASS</v>
      </c>
      <c r="M85" s="17" t="s">
        <v>120</v>
      </c>
      <c r="N85" s="67"/>
    </row>
    <row r="86" spans="1:14" ht="22" customHeight="1" x14ac:dyDescent="0.2">
      <c r="A86" s="1"/>
      <c r="B86" s="25">
        <v>2</v>
      </c>
      <c r="C86" s="86" t="s">
        <v>121</v>
      </c>
      <c r="D86" s="85"/>
      <c r="E86" s="85"/>
      <c r="F86" s="85"/>
      <c r="G86" s="85"/>
      <c r="H86" s="85"/>
      <c r="I86" s="85"/>
      <c r="J86" s="16">
        <f>SUM(calc_ret_rev_m1,calc_ret_rev_m2,calc_ret_rev_m3,calc_ret_rev_m4,calc_ret_rev_m5,calc_ret_rev_m6)</f>
        <v>0</v>
      </c>
      <c r="K86" s="16">
        <f>SUM(C19:H19)</f>
        <v>0</v>
      </c>
      <c r="L86" s="36" t="str">
        <f t="shared" si="3"/>
        <v>PASS</v>
      </c>
      <c r="M86" s="17" t="s">
        <v>122</v>
      </c>
      <c r="N86" s="67"/>
    </row>
    <row r="87" spans="1:14" ht="22" customHeight="1" x14ac:dyDescent="0.2">
      <c r="A87" s="1"/>
      <c r="B87" s="25">
        <v>3</v>
      </c>
      <c r="C87" s="86" t="s">
        <v>123</v>
      </c>
      <c r="D87" s="85"/>
      <c r="E87" s="85"/>
      <c r="F87" s="85"/>
      <c r="G87" s="85"/>
      <c r="H87" s="85"/>
      <c r="I87" s="85"/>
      <c r="J87" s="16">
        <f>SUM(C20:H20)</f>
        <v>0</v>
      </c>
      <c r="K87" s="16">
        <f>SUM(C18:H18)+SUM(C19:H19)</f>
        <v>0</v>
      </c>
      <c r="L87" s="36" t="str">
        <f t="shared" si="3"/>
        <v>PASS</v>
      </c>
      <c r="M87" s="17" t="s">
        <v>124</v>
      </c>
      <c r="N87" s="67"/>
    </row>
    <row r="88" spans="1:14" ht="22" customHeight="1" x14ac:dyDescent="0.2">
      <c r="A88" s="1"/>
      <c r="B88" s="25">
        <v>4</v>
      </c>
      <c r="C88" s="86" t="s">
        <v>125</v>
      </c>
      <c r="D88" s="85"/>
      <c r="E88" s="85"/>
      <c r="F88" s="85"/>
      <c r="G88" s="85"/>
      <c r="H88" s="85"/>
      <c r="I88" s="85"/>
      <c r="J88" s="16">
        <f>SUM(C24:H24)</f>
        <v>0</v>
      </c>
      <c r="K88" s="16">
        <f>SUM(C22:H22)+SUM(C23:H23)</f>
        <v>0</v>
      </c>
      <c r="L88" s="36" t="str">
        <f t="shared" si="3"/>
        <v>PASS</v>
      </c>
      <c r="M88" s="17" t="s">
        <v>126</v>
      </c>
      <c r="N88" s="67"/>
    </row>
    <row r="89" spans="1:14" ht="22" customHeight="1" x14ac:dyDescent="0.2">
      <c r="A89" s="1"/>
      <c r="B89" s="25">
        <v>5</v>
      </c>
      <c r="C89" s="86" t="s">
        <v>127</v>
      </c>
      <c r="D89" s="85"/>
      <c r="E89" s="85"/>
      <c r="F89" s="85"/>
      <c r="G89" s="85"/>
      <c r="H89" s="85"/>
      <c r="I89" s="85"/>
      <c r="J89" s="16">
        <f>out_rev_6m</f>
        <v>0</v>
      </c>
      <c r="K89" s="16">
        <f>I20</f>
        <v>0</v>
      </c>
      <c r="L89" s="36" t="str">
        <f t="shared" si="3"/>
        <v>PASS</v>
      </c>
      <c r="M89" s="17" t="s">
        <v>128</v>
      </c>
      <c r="N89" s="67"/>
    </row>
    <row r="90" spans="1:14" ht="22" customHeight="1" x14ac:dyDescent="0.2">
      <c r="A90" s="1"/>
      <c r="B90" s="25">
        <v>6</v>
      </c>
      <c r="C90" s="86" t="s">
        <v>129</v>
      </c>
      <c r="D90" s="85"/>
      <c r="E90" s="85"/>
      <c r="F90" s="85"/>
      <c r="G90" s="85"/>
      <c r="H90" s="85"/>
      <c r="I90" s="85"/>
      <c r="J90" s="16">
        <f>out_cash_6m</f>
        <v>0</v>
      </c>
      <c r="K90" s="16">
        <f>I24</f>
        <v>0</v>
      </c>
      <c r="L90" s="36" t="str">
        <f t="shared" si="3"/>
        <v>PASS</v>
      </c>
      <c r="M90" s="17" t="s">
        <v>128</v>
      </c>
      <c r="N90" s="67"/>
    </row>
    <row r="91" spans="1:14" ht="22" customHeight="1" x14ac:dyDescent="0.2">
      <c r="A91" s="1"/>
      <c r="B91" s="25">
        <v>7</v>
      </c>
      <c r="C91" s="86" t="s">
        <v>130</v>
      </c>
      <c r="D91" s="85"/>
      <c r="E91" s="85"/>
      <c r="F91" s="85"/>
      <c r="G91" s="85"/>
      <c r="H91" s="85"/>
      <c r="I91" s="85"/>
      <c r="J91" s="16">
        <f>out_gap_6m</f>
        <v>0</v>
      </c>
      <c r="K91" s="16">
        <f>out_rev_6m-out_cash_6m</f>
        <v>0</v>
      </c>
      <c r="L91" s="36" t="str">
        <f t="shared" si="3"/>
        <v>PASS</v>
      </c>
      <c r="M91" s="17" t="s">
        <v>131</v>
      </c>
      <c r="N91" s="67"/>
    </row>
    <row r="92" spans="1:14" ht="22" customHeight="1" x14ac:dyDescent="0.2">
      <c r="A92" s="1"/>
      <c r="B92" s="25">
        <v>8</v>
      </c>
      <c r="C92" s="86" t="s">
        <v>132</v>
      </c>
      <c r="D92" s="85"/>
      <c r="E92" s="85"/>
      <c r="F92" s="85"/>
      <c r="G92" s="85"/>
      <c r="H92" s="85"/>
      <c r="I92" s="85"/>
      <c r="J92" s="16">
        <f>SUMPRODUCT((1-calc_deal_ismsmask_col)*calc_deal_8mcash_col)+SUM(calc_ret_8mcash_col)</f>
        <v>0</v>
      </c>
      <c r="K92" s="16">
        <f>SUMPRODUCT((1-calc_deal_ismsmask_col)*calc_deal_6mrev_col)+SUM(calc_ret_6mrev_col)</f>
        <v>0</v>
      </c>
      <c r="L92" s="36" t="str">
        <f t="shared" si="3"/>
        <v>PASS</v>
      </c>
      <c r="M92" s="17" t="s">
        <v>133</v>
      </c>
      <c r="N92" s="67"/>
    </row>
    <row r="93" spans="1:14" ht="22" customHeight="1" x14ac:dyDescent="0.2">
      <c r="A93" s="1"/>
      <c r="B93" s="25">
        <v>9</v>
      </c>
      <c r="C93" s="86" t="s">
        <v>134</v>
      </c>
      <c r="D93" s="85"/>
      <c r="E93" s="85"/>
      <c r="F93" s="85"/>
      <c r="G93" s="85"/>
      <c r="H93" s="85"/>
      <c r="I93" s="85"/>
      <c r="J93" s="16">
        <f>H27</f>
        <v>0</v>
      </c>
      <c r="K93" s="16">
        <f>out_rev_6m-out_cash_6m</f>
        <v>0</v>
      </c>
      <c r="L93" s="36" t="str">
        <f t="shared" si="3"/>
        <v>PASS</v>
      </c>
      <c r="M93" s="17" t="s">
        <v>135</v>
      </c>
      <c r="N93" s="67"/>
    </row>
    <row r="94" spans="1:14" ht="22" customHeight="1" x14ac:dyDescent="0.2">
      <c r="A94" s="1"/>
      <c r="B94" s="25">
        <v>10</v>
      </c>
      <c r="C94" s="86" t="s">
        <v>136</v>
      </c>
      <c r="D94" s="85"/>
      <c r="E94" s="85"/>
      <c r="F94" s="85"/>
      <c r="G94" s="85"/>
      <c r="H94" s="85"/>
      <c r="I94" s="85"/>
      <c r="J94" s="16">
        <f>D73</f>
        <v>0</v>
      </c>
      <c r="K94" s="16">
        <f>out_cash_6m</f>
        <v>0</v>
      </c>
      <c r="L94" s="36" t="str">
        <f t="shared" si="3"/>
        <v>PASS</v>
      </c>
      <c r="M94" s="17" t="s">
        <v>137</v>
      </c>
      <c r="N94" s="67"/>
    </row>
    <row r="95" spans="1:14" ht="22" customHeight="1" x14ac:dyDescent="0.2">
      <c r="A95" s="1"/>
      <c r="B95" s="25">
        <v>11</v>
      </c>
      <c r="C95" s="86" t="s">
        <v>138</v>
      </c>
      <c r="D95" s="85"/>
      <c r="E95" s="85"/>
      <c r="F95" s="85"/>
      <c r="G95" s="85"/>
      <c r="H95" s="85"/>
      <c r="I95" s="85"/>
      <c r="J95" s="16">
        <f>E68</f>
        <v>0</v>
      </c>
      <c r="K95" s="16">
        <f>out_cash_6m</f>
        <v>0</v>
      </c>
      <c r="L95" s="36" t="str">
        <f t="shared" si="3"/>
        <v>PASS</v>
      </c>
      <c r="M95" s="17" t="s">
        <v>137</v>
      </c>
      <c r="N95" s="67"/>
    </row>
    <row r="96" spans="1:14" ht="22" customHeight="1" x14ac:dyDescent="0.2">
      <c r="A96" s="1"/>
      <c r="B96" s="25">
        <v>12</v>
      </c>
      <c r="C96" s="86" t="s">
        <v>139</v>
      </c>
      <c r="D96" s="85"/>
      <c r="E96" s="85"/>
      <c r="F96" s="85"/>
      <c r="G96" s="85"/>
      <c r="H96" s="85"/>
      <c r="I96" s="85"/>
      <c r="J96" s="16">
        <f>C24</f>
        <v>0</v>
      </c>
      <c r="K96" s="16">
        <f>SUM(calc_deal_cash_m1)+SUM(calc_ret_cash_m1)</f>
        <v>0</v>
      </c>
      <c r="L96" s="36" t="str">
        <f t="shared" si="3"/>
        <v>PASS</v>
      </c>
      <c r="M96" s="17" t="s">
        <v>140</v>
      </c>
      <c r="N96" s="67"/>
    </row>
    <row r="97" spans="1:14" ht="22" customHeight="1" x14ac:dyDescent="0.2">
      <c r="A97" s="1"/>
      <c r="B97" s="25">
        <v>13</v>
      </c>
      <c r="C97" s="86" t="s">
        <v>141</v>
      </c>
      <c r="D97" s="85"/>
      <c r="E97" s="85"/>
      <c r="F97" s="85"/>
      <c r="G97" s="85"/>
      <c r="H97" s="85"/>
      <c r="I97" s="85"/>
      <c r="J97" s="16">
        <f>D24</f>
        <v>0</v>
      </c>
      <c r="K97" s="16">
        <f>SUM(calc_deal_cash_m2)+SUM(calc_ret_cash_m2)</f>
        <v>0</v>
      </c>
      <c r="L97" s="36" t="str">
        <f t="shared" si="3"/>
        <v>PASS</v>
      </c>
      <c r="M97" s="17" t="s">
        <v>142</v>
      </c>
      <c r="N97" s="67"/>
    </row>
    <row r="98" spans="1:14" ht="22" customHeight="1" x14ac:dyDescent="0.2">
      <c r="A98" s="1"/>
      <c r="B98" s="25">
        <v>14</v>
      </c>
      <c r="C98" s="86" t="s">
        <v>143</v>
      </c>
      <c r="D98" s="85"/>
      <c r="E98" s="85"/>
      <c r="F98" s="85"/>
      <c r="G98" s="85"/>
      <c r="H98" s="85"/>
      <c r="I98" s="85"/>
      <c r="J98" s="16">
        <f>E24</f>
        <v>0</v>
      </c>
      <c r="K98" s="16">
        <f>SUM(calc_deal_cash_m3)+SUM(calc_ret_cash_m3)</f>
        <v>0</v>
      </c>
      <c r="L98" s="36" t="str">
        <f t="shared" si="3"/>
        <v>PASS</v>
      </c>
      <c r="M98" s="17" t="s">
        <v>144</v>
      </c>
      <c r="N98" s="67"/>
    </row>
    <row r="99" spans="1:14" ht="22" customHeight="1" x14ac:dyDescent="0.2">
      <c r="A99" s="1"/>
      <c r="B99" s="25">
        <v>15</v>
      </c>
      <c r="C99" s="86" t="s">
        <v>145</v>
      </c>
      <c r="D99" s="85"/>
      <c r="E99" s="85"/>
      <c r="F99" s="85"/>
      <c r="G99" s="85"/>
      <c r="H99" s="85"/>
      <c r="I99" s="85"/>
      <c r="J99" s="16">
        <f>F24</f>
        <v>0</v>
      </c>
      <c r="K99" s="16">
        <f>SUM(calc_deal_cash_m4)+SUM(calc_ret_cash_m4)</f>
        <v>0</v>
      </c>
      <c r="L99" s="36" t="str">
        <f t="shared" si="3"/>
        <v>PASS</v>
      </c>
      <c r="M99" s="17" t="s">
        <v>146</v>
      </c>
      <c r="N99" s="67"/>
    </row>
    <row r="100" spans="1:14" ht="22" customHeight="1" x14ac:dyDescent="0.2">
      <c r="A100" s="1"/>
      <c r="B100" s="25">
        <v>16</v>
      </c>
      <c r="C100" s="86" t="s">
        <v>147</v>
      </c>
      <c r="D100" s="85"/>
      <c r="E100" s="85"/>
      <c r="F100" s="85"/>
      <c r="G100" s="85"/>
      <c r="H100" s="85"/>
      <c r="I100" s="85"/>
      <c r="J100" s="16">
        <f>G24</f>
        <v>0</v>
      </c>
      <c r="K100" s="16">
        <f>SUM(calc_deal_cash_m5)+SUM(calc_ret_cash_m5)</f>
        <v>0</v>
      </c>
      <c r="L100" s="36" t="str">
        <f t="shared" si="3"/>
        <v>PASS</v>
      </c>
      <c r="M100" s="17" t="s">
        <v>148</v>
      </c>
      <c r="N100" s="67"/>
    </row>
    <row r="101" spans="1:14" ht="22" customHeight="1" x14ac:dyDescent="0.2">
      <c r="A101" s="1"/>
      <c r="B101" s="25">
        <v>17</v>
      </c>
      <c r="C101" s="86" t="s">
        <v>149</v>
      </c>
      <c r="D101" s="85"/>
      <c r="E101" s="85"/>
      <c r="F101" s="85"/>
      <c r="G101" s="85"/>
      <c r="H101" s="85"/>
      <c r="I101" s="85"/>
      <c r="J101" s="16">
        <f>H24</f>
        <v>0</v>
      </c>
      <c r="K101" s="16">
        <f>SUM(calc_deal_cash_m6)+SUM(calc_ret_cash_m6)</f>
        <v>0</v>
      </c>
      <c r="L101" s="36" t="str">
        <f t="shared" si="3"/>
        <v>PASS</v>
      </c>
      <c r="M101" s="17" t="s">
        <v>150</v>
      </c>
      <c r="N101" s="67"/>
    </row>
    <row r="102" spans="1:14" ht="22" customHeight="1" x14ac:dyDescent="0.2">
      <c r="A102" s="1"/>
      <c r="B102" s="25">
        <v>18</v>
      </c>
      <c r="C102" s="86" t="s">
        <v>151</v>
      </c>
      <c r="D102" s="85"/>
      <c r="E102" s="85"/>
      <c r="F102" s="85"/>
      <c r="G102" s="85"/>
      <c r="H102" s="85"/>
      <c r="I102" s="85"/>
      <c r="J102" s="16">
        <f>1*((inp_region="AU")+(inp_region="NZ")+(inp_region="US"))</f>
        <v>1</v>
      </c>
      <c r="K102" s="16">
        <f>1</f>
        <v>1</v>
      </c>
      <c r="L102" s="36" t="str">
        <f>IF(ABS(J102-K102)&lt;=0.01,"PASS","FAIL")</f>
        <v>PASS</v>
      </c>
      <c r="M102" s="17" t="s">
        <v>152</v>
      </c>
      <c r="N102" s="67"/>
    </row>
    <row r="103" spans="1:14" ht="22" customHeight="1" x14ac:dyDescent="0.2">
      <c r="A103" s="1"/>
      <c r="B103" s="25">
        <v>19</v>
      </c>
      <c r="C103" s="86" t="s">
        <v>153</v>
      </c>
      <c r="D103" s="85"/>
      <c r="E103" s="85"/>
      <c r="F103" s="85"/>
      <c r="G103" s="85"/>
      <c r="H103" s="85"/>
      <c r="I103" s="85"/>
      <c r="J103" s="16">
        <f>1*((inp_scenario="Base")+(inp_scenario="Downside")+(inp_scenario="Upside"))</f>
        <v>1</v>
      </c>
      <c r="K103" s="16">
        <f>1</f>
        <v>1</v>
      </c>
      <c r="L103" s="36" t="str">
        <f>IF(ABS(J103-K103)&lt;=0.01,"PASS","FAIL")</f>
        <v>PASS</v>
      </c>
      <c r="M103" s="17" t="s">
        <v>154</v>
      </c>
      <c r="N103" s="67"/>
    </row>
    <row r="104" spans="1:14" ht="22" customHeight="1" x14ac:dyDescent="0.2">
      <c r="A104" s="1"/>
      <c r="B104" s="25">
        <v>20</v>
      </c>
      <c r="C104" s="86" t="s">
        <v>155</v>
      </c>
      <c r="D104" s="85"/>
      <c r="E104" s="85"/>
      <c r="F104" s="85"/>
      <c r="G104" s="85"/>
      <c r="H104" s="85"/>
      <c r="I104" s="85"/>
      <c r="J104" s="16">
        <f>COUNTIF(ref_vert_names,inp_vertical)</f>
        <v>1</v>
      </c>
      <c r="K104" s="16">
        <f>1</f>
        <v>1</v>
      </c>
      <c r="L104" s="36" t="str">
        <f>IF(ABS(J104-K104)&lt;=0.01,"PASS","FAIL")</f>
        <v>PASS</v>
      </c>
      <c r="M104" s="17" t="s">
        <v>156</v>
      </c>
      <c r="N104" s="67"/>
    </row>
    <row r="105" spans="1:14" ht="22" customHeight="1" x14ac:dyDescent="0.2">
      <c r="A105" s="1"/>
      <c r="B105" s="25">
        <v>21</v>
      </c>
      <c r="C105" s="86" t="s">
        <v>157</v>
      </c>
      <c r="D105" s="85"/>
      <c r="E105" s="85"/>
      <c r="F105" s="85"/>
      <c r="G105" s="85"/>
      <c r="H105" s="85"/>
      <c r="I105" s="85"/>
      <c r="J105" s="16">
        <f>MAX(0,SUM(calc_deal_8mcash_col)+SUM(calc_ret_8mcash_col)-SUM(calc_deal_weighted_col)-SUM(calc_ret_weighted_col))</f>
        <v>0</v>
      </c>
      <c r="K105" s="16">
        <f>0</f>
        <v>0</v>
      </c>
      <c r="L105" s="36" t="str">
        <f>IF(ABS(J105-K105)&lt;=0.5,"PASS","FAIL")</f>
        <v>PASS</v>
      </c>
      <c r="M105" s="17" t="s">
        <v>158</v>
      </c>
      <c r="N105" s="67"/>
    </row>
    <row r="106" spans="1:14" ht="22" customHeight="1" x14ac:dyDescent="0.2">
      <c r="A106" s="1"/>
      <c r="B106" s="25">
        <v>22</v>
      </c>
      <c r="C106" s="86" t="s">
        <v>159</v>
      </c>
      <c r="D106" s="85"/>
      <c r="E106" s="85"/>
      <c r="F106" s="85"/>
      <c r="G106" s="85"/>
      <c r="H106" s="85"/>
      <c r="I106" s="85"/>
      <c r="J106" s="16">
        <f>SUMPRODUCT(calc_deal_ismsmask_col,calc_deal_ms_w1_col)+SUMPRODUCT(calc_deal_ismsmask_col,calc_deal_ms_w2_col)+SUMPRODUCT(calc_deal_ismsmask_col,calc_deal_ms_w3_col)</f>
        <v>0</v>
      </c>
      <c r="K106" s="16">
        <f>SUM(calc_deal_ismsmask_col)</f>
        <v>0</v>
      </c>
      <c r="L106" s="36" t="str">
        <f>IF(ABS(J106-K106)&lt;=0.1,"PASS","FAIL")</f>
        <v>PASS</v>
      </c>
      <c r="M106" s="17" t="s">
        <v>160</v>
      </c>
      <c r="N106" s="67"/>
    </row>
    <row r="107" spans="1:14" ht="22" customHeight="1" x14ac:dyDescent="0.2">
      <c r="A107" s="1"/>
      <c r="B107" s="25">
        <v>23</v>
      </c>
      <c r="C107" s="86" t="s">
        <v>161</v>
      </c>
      <c r="D107" s="85"/>
      <c r="E107" s="85"/>
      <c r="F107" s="85"/>
      <c r="G107" s="85"/>
      <c r="H107" s="85"/>
      <c r="I107" s="85"/>
      <c r="J107" s="16">
        <f>SUM(C26:H26)</f>
        <v>0</v>
      </c>
      <c r="K107" s="16">
        <f>SUM(C20:H20)-SUM(C24:H24)</f>
        <v>0</v>
      </c>
      <c r="L107" s="36" t="str">
        <f>IF(ABS(J107-K107)&lt;=0.5,"PASS","FAIL")</f>
        <v>PASS</v>
      </c>
      <c r="M107" s="17" t="s">
        <v>162</v>
      </c>
      <c r="N107" s="67"/>
    </row>
    <row r="108" spans="1:14" ht="22" customHeight="1" x14ac:dyDescent="0.2">
      <c r="A108" s="1"/>
      <c r="B108" s="2"/>
      <c r="C108" s="2"/>
      <c r="D108" s="2"/>
      <c r="E108" s="2"/>
      <c r="F108" s="2"/>
      <c r="G108" s="2"/>
      <c r="H108" s="2"/>
      <c r="I108" s="2"/>
      <c r="J108" s="2"/>
      <c r="K108" s="2"/>
      <c r="L108" s="2"/>
      <c r="M108" s="2"/>
      <c r="N108" s="67"/>
    </row>
    <row r="109" spans="1:14" ht="22" customHeight="1" x14ac:dyDescent="0.2">
      <c r="A109" s="1"/>
      <c r="B109" s="2"/>
      <c r="C109" s="2"/>
      <c r="D109" s="2"/>
      <c r="E109" s="2"/>
      <c r="F109" s="2"/>
      <c r="G109" s="2"/>
      <c r="H109" s="2"/>
      <c r="I109" s="2"/>
      <c r="J109" s="2"/>
      <c r="K109" s="2"/>
      <c r="L109" s="2"/>
      <c r="M109" s="2"/>
      <c r="N109" s="67"/>
    </row>
    <row r="110" spans="1:14" ht="28" customHeight="1" x14ac:dyDescent="0.2">
      <c r="A110" s="1"/>
      <c r="B110" s="37" t="s">
        <v>163</v>
      </c>
      <c r="C110" s="100" t="s">
        <v>164</v>
      </c>
      <c r="D110" s="85"/>
      <c r="E110" s="85"/>
      <c r="F110" s="85"/>
      <c r="G110" s="85"/>
      <c r="H110" s="85"/>
      <c r="I110" s="85"/>
      <c r="J110" s="85"/>
      <c r="K110" s="85"/>
      <c r="L110" s="38" t="str">
        <f>IF(AND(L85="PASS",L86="PASS",L87="PASS",L88="PASS",L89="PASS",L90="PASS",L91="PASS",L92="PASS",L93="PASS",L94="PASS",L95="PASS",L96="PASS",L97="PASS",L98="PASS",L99="PASS",L100="PASS",L101="PASS",L102="PASS",L103="PASS",L104="PASS",L105="PASS",L106="PASS",L107="PASS"),"PASS","FAIL")</f>
        <v>PASS</v>
      </c>
      <c r="M110" s="22" t="s">
        <v>165</v>
      </c>
      <c r="N110" s="67"/>
    </row>
    <row r="111" spans="1:14" x14ac:dyDescent="0.2">
      <c r="A111" s="1"/>
      <c r="B111" s="1"/>
      <c r="C111" s="1"/>
      <c r="D111" s="1"/>
      <c r="E111" s="1"/>
      <c r="F111" s="1"/>
      <c r="G111" s="1"/>
      <c r="H111" s="1"/>
      <c r="I111" s="1"/>
      <c r="J111" s="1"/>
      <c r="K111" s="1"/>
      <c r="L111" s="1"/>
      <c r="M111" s="1"/>
      <c r="N111" s="67"/>
    </row>
    <row r="112" spans="1:14" ht="22" customHeight="1" x14ac:dyDescent="0.2">
      <c r="A112" s="1"/>
      <c r="B112" s="90" t="s">
        <v>166</v>
      </c>
      <c r="C112" s="85"/>
      <c r="D112" s="85"/>
      <c r="E112" s="85"/>
      <c r="F112" s="85"/>
      <c r="G112" s="85"/>
      <c r="H112" s="1"/>
      <c r="I112" s="1"/>
      <c r="J112" s="1"/>
      <c r="K112" s="1"/>
      <c r="L112" s="1"/>
      <c r="M112" s="3" t="s">
        <v>167</v>
      </c>
      <c r="N112" s="67"/>
    </row>
    <row r="113" spans="1:14" x14ac:dyDescent="0.2">
      <c r="A113" s="67"/>
      <c r="B113" s="67"/>
      <c r="C113" s="67"/>
      <c r="D113" s="67"/>
      <c r="E113" s="67"/>
      <c r="F113" s="67"/>
      <c r="G113" s="67"/>
      <c r="H113" s="67"/>
      <c r="I113" s="67"/>
      <c r="J113" s="67"/>
      <c r="K113" s="67"/>
      <c r="L113" s="67"/>
      <c r="M113" s="67"/>
      <c r="N113" s="67"/>
    </row>
  </sheetData>
  <mergeCells count="96">
    <mergeCell ref="K19:M19"/>
    <mergeCell ref="K30:M30"/>
    <mergeCell ref="G72:M72"/>
    <mergeCell ref="B11:D11"/>
    <mergeCell ref="E13:G13"/>
    <mergeCell ref="B66:H66"/>
    <mergeCell ref="B51:H51"/>
    <mergeCell ref="H11:J11"/>
    <mergeCell ref="B32:H32"/>
    <mergeCell ref="K27:M27"/>
    <mergeCell ref="I32:M32"/>
    <mergeCell ref="H12:J12"/>
    <mergeCell ref="B16:H16"/>
    <mergeCell ref="B64:I64"/>
    <mergeCell ref="G69:M69"/>
    <mergeCell ref="E78:F78"/>
    <mergeCell ref="I51:M51"/>
    <mergeCell ref="G78:H78"/>
    <mergeCell ref="B80:D80"/>
    <mergeCell ref="G74:M74"/>
    <mergeCell ref="G73:M73"/>
    <mergeCell ref="J78:M78"/>
    <mergeCell ref="B112:G112"/>
    <mergeCell ref="K25:M25"/>
    <mergeCell ref="B5:I5"/>
    <mergeCell ref="C97:I97"/>
    <mergeCell ref="K20:M20"/>
    <mergeCell ref="K11:M11"/>
    <mergeCell ref="I76:M76"/>
    <mergeCell ref="G67:M67"/>
    <mergeCell ref="G79:H79"/>
    <mergeCell ref="K22:M22"/>
    <mergeCell ref="C93:I93"/>
    <mergeCell ref="K12:M12"/>
    <mergeCell ref="C105:I105"/>
    <mergeCell ref="C110:K110"/>
    <mergeCell ref="C85:I85"/>
    <mergeCell ref="B7:B8"/>
    <mergeCell ref="C2:H2"/>
    <mergeCell ref="C3:F3"/>
    <mergeCell ref="B10:M10"/>
    <mergeCell ref="C104:I104"/>
    <mergeCell ref="K23:M23"/>
    <mergeCell ref="C88:I88"/>
    <mergeCell ref="B83:H83"/>
    <mergeCell ref="B78:D78"/>
    <mergeCell ref="J79:M79"/>
    <mergeCell ref="K18:M18"/>
    <mergeCell ref="C87:I87"/>
    <mergeCell ref="C102:I102"/>
    <mergeCell ref="C96:I96"/>
    <mergeCell ref="H3:I3"/>
    <mergeCell ref="C86:I86"/>
    <mergeCell ref="I66:M66"/>
    <mergeCell ref="K3:L3"/>
    <mergeCell ref="J77:M77"/>
    <mergeCell ref="B76:H76"/>
    <mergeCell ref="B13:D13"/>
    <mergeCell ref="E11:G11"/>
    <mergeCell ref="H13:J13"/>
    <mergeCell ref="K13:M13"/>
    <mergeCell ref="E12:G12"/>
    <mergeCell ref="G68:M68"/>
    <mergeCell ref="K24:M24"/>
    <mergeCell ref="K21:M21"/>
    <mergeCell ref="K26:M26"/>
    <mergeCell ref="B12:D12"/>
    <mergeCell ref="B29:M29"/>
    <mergeCell ref="I16:M16"/>
    <mergeCell ref="K17:M17"/>
    <mergeCell ref="C91:I91"/>
    <mergeCell ref="J80:M80"/>
    <mergeCell ref="B81:D81"/>
    <mergeCell ref="C99:I99"/>
    <mergeCell ref="C95:I95"/>
    <mergeCell ref="J81:M81"/>
    <mergeCell ref="C92:I92"/>
    <mergeCell ref="C94:I94"/>
    <mergeCell ref="C84:I84"/>
    <mergeCell ref="E81:F81"/>
    <mergeCell ref="C107:I107"/>
    <mergeCell ref="B71:H71"/>
    <mergeCell ref="I71:M71"/>
    <mergeCell ref="C103:I103"/>
    <mergeCell ref="E80:F80"/>
    <mergeCell ref="C106:I106"/>
    <mergeCell ref="G80:H80"/>
    <mergeCell ref="E79:F79"/>
    <mergeCell ref="C90:I90"/>
    <mergeCell ref="G81:H81"/>
    <mergeCell ref="C101:I101"/>
    <mergeCell ref="B79:D79"/>
    <mergeCell ref="I83:M83"/>
    <mergeCell ref="C98:I98"/>
    <mergeCell ref="C89:I89"/>
    <mergeCell ref="C100:I100"/>
  </mergeCells>
  <conditionalFormatting sqref="C26:H26">
    <cfRule type="cellIs" dxfId="11" priority="1" operator="greaterThan">
      <formula>0</formula>
    </cfRule>
    <cfRule type="cellIs" dxfId="10" priority="2" operator="lessThan">
      <formula>0</formula>
    </cfRule>
  </conditionalFormatting>
  <conditionalFormatting sqref="L85:L107">
    <cfRule type="expression" dxfId="9" priority="13">
      <formula>L85="PASS"</formula>
    </cfRule>
    <cfRule type="expression" dxfId="8" priority="14">
      <formula>L85="FAIL"</formula>
    </cfRule>
  </conditionalFormatting>
  <conditionalFormatting sqref="L110">
    <cfRule type="expression" dxfId="7" priority="59">
      <formula>L110="PASS"</formula>
    </cfRule>
    <cfRule type="expression" dxfId="6" priority="60">
      <formula>L110="FAIL"</formula>
    </cfRule>
  </conditionalFormatting>
  <dataValidations count="1">
    <dataValidation type="list" sqref="L2" xr:uid="{00000000-0002-0000-0000-000000000000}">
      <formula1>"Base,Downside,Upside"</formula1>
    </dataValidation>
  </dataValidations>
  <hyperlinks>
    <hyperlink ref="B64" r:id="rId1" tooltip="Book a fit call · Infraxus" xr:uid="{7C225BF7-E989-5E47-B373-3ED5455A51F8}"/>
  </hyperlinks>
  <printOptions horizontalCentered="1"/>
  <pageMargins left="0.4" right="0.4" top="0.5" bottom="0.5" header="0.3" footer="0.3"/>
  <pageSetup fitToHeight="0"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E50FF"/>
    <pageSetUpPr fitToPage="1"/>
  </sheetPr>
  <dimension ref="A1:AX112"/>
  <sheetViews>
    <sheetView showGridLines="0" zoomScale="140" zoomScaleNormal="140" workbookViewId="0">
      <pane xSplit="2" ySplit="5" topLeftCell="C6" activePane="bottomRight" state="frozen"/>
      <selection pane="topRight"/>
      <selection pane="bottomLeft"/>
      <selection pane="bottomRight" activeCell="AZ14" sqref="AZ14"/>
    </sheetView>
  </sheetViews>
  <sheetFormatPr baseColWidth="10" defaultColWidth="8.83203125" defaultRowHeight="15" outlineLevelCol="1" x14ac:dyDescent="0.2"/>
  <cols>
    <col min="1" max="1" width="2" style="56" customWidth="1"/>
    <col min="2" max="2" width="17" style="56" customWidth="1"/>
    <col min="3" max="3" width="22" style="56" customWidth="1"/>
    <col min="4" max="4" width="16" style="56" customWidth="1"/>
    <col min="5" max="5" width="12" style="56" customWidth="1"/>
    <col min="6" max="6" width="15" style="56" customWidth="1"/>
    <col min="7" max="7" width="10" style="56" customWidth="1"/>
    <col min="8" max="8" width="14" style="56" customWidth="1"/>
    <col min="9" max="9" width="11" style="56" customWidth="1"/>
    <col min="10" max="11" width="9.5" style="56" customWidth="1"/>
    <col min="12" max="12" width="18" style="56" customWidth="1"/>
    <col min="13" max="13" width="8.5" style="56" customWidth="1"/>
    <col min="14" max="14" width="22" style="56" customWidth="1"/>
    <col min="15" max="15" width="2" style="56" customWidth="1"/>
    <col min="16" max="16" width="1.5" style="56" hidden="1" customWidth="1"/>
    <col min="17" max="25" width="13" style="56" hidden="1" customWidth="1"/>
    <col min="26" max="47" width="13" style="56" hidden="1" customWidth="1" outlineLevel="1"/>
    <col min="48" max="49" width="8.83203125" style="56" hidden="1" customWidth="1" outlineLevel="1"/>
    <col min="50" max="50" width="8.83203125" style="56" collapsed="1"/>
    <col min="51" max="16384" width="8.83203125" style="56"/>
  </cols>
  <sheetData>
    <row r="1" spans="1:49" ht="8" customHeight="1" x14ac:dyDescent="0.2">
      <c r="A1" s="1"/>
      <c r="B1" s="1"/>
      <c r="C1" s="1"/>
      <c r="D1" s="1"/>
      <c r="E1" s="1"/>
      <c r="F1" s="1"/>
      <c r="G1" s="1"/>
      <c r="H1" s="1"/>
      <c r="I1" s="1"/>
      <c r="J1" s="1"/>
      <c r="K1" s="1"/>
      <c r="L1" s="1"/>
      <c r="M1" s="1"/>
      <c r="N1" s="1"/>
      <c r="O1" s="8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row>
    <row r="2" spans="1:49" ht="30" customHeight="1" x14ac:dyDescent="0.2">
      <c r="A2" s="1"/>
      <c r="B2" s="1"/>
      <c r="C2" s="1"/>
      <c r="D2" s="105" t="s">
        <v>168</v>
      </c>
      <c r="E2" s="85"/>
      <c r="F2" s="85"/>
      <c r="G2" s="85"/>
      <c r="H2" s="85"/>
      <c r="I2" s="85"/>
      <c r="J2" s="85"/>
      <c r="K2" s="85"/>
      <c r="L2" s="1"/>
      <c r="M2" s="3"/>
      <c r="N2" s="1"/>
      <c r="O2" s="8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spans="1:49" ht="22" customHeight="1" x14ac:dyDescent="0.2">
      <c r="A3" s="1"/>
      <c r="B3" s="80" t="s">
        <v>399</v>
      </c>
      <c r="C3" s="1"/>
      <c r="D3" s="81"/>
      <c r="E3" s="82"/>
      <c r="F3" s="82"/>
      <c r="G3" s="82"/>
      <c r="H3" s="82"/>
      <c r="I3" s="82"/>
      <c r="J3" s="82"/>
      <c r="K3" s="82"/>
      <c r="L3" s="82"/>
      <c r="M3" s="1"/>
      <c r="N3" s="1"/>
      <c r="O3" s="8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spans="1:49" ht="8" customHeight="1" x14ac:dyDescent="0.2">
      <c r="A4" s="1"/>
      <c r="B4" s="1"/>
      <c r="C4" s="1"/>
      <c r="D4" s="1"/>
      <c r="E4" s="1"/>
      <c r="F4" s="1"/>
      <c r="G4" s="1"/>
      <c r="H4" s="1"/>
      <c r="I4" s="1"/>
      <c r="J4" s="1"/>
      <c r="K4" s="1"/>
      <c r="L4" s="1"/>
      <c r="M4" s="1"/>
      <c r="N4" s="1"/>
      <c r="O4" s="82"/>
      <c r="P4" s="2"/>
      <c r="Q4" s="39">
        <f>VLOOKUP(inp_scenario,ref_scn_table,2,FALSE)</f>
        <v>1</v>
      </c>
      <c r="R4" s="39">
        <f>VLOOKUP(inp_scenario,ref_scn_table,3,FALSE)</f>
        <v>1</v>
      </c>
      <c r="S4" s="40">
        <f>VLOOKUP(inp_scenario,ref_scn_table,4,FALSE)</f>
        <v>0</v>
      </c>
      <c r="T4" s="39">
        <f>VLOOKUP(inp_vertical,ref_vert_table,4,FALSE)</f>
        <v>0.25</v>
      </c>
      <c r="U4" s="41">
        <f>VLOOKUP(inp_vertical,ref_vert_table,5,FALSE)</f>
        <v>62</v>
      </c>
      <c r="V4" s="114" t="str">
        <f>CHOOSE(MATCH(inp_region,{"AU","NZ","US"},0),ref_rd_au_pt,ref_rd_nz_pt,ref_rd_us_pt)</f>
        <v>Net 30</v>
      </c>
      <c r="W4" s="41">
        <f>CHOOSE(MATCH(inp_region,{"AU","NZ","US"},0),ref_rd_au_dso,ref_rd_nz_dso,ref_rd_us_dso)</f>
        <v>38</v>
      </c>
      <c r="X4" s="2"/>
      <c r="Y4" s="2"/>
      <c r="Z4" s="2"/>
      <c r="AA4" s="2"/>
      <c r="AB4" s="2"/>
      <c r="AC4" s="2"/>
      <c r="AD4" s="2"/>
      <c r="AE4" s="2"/>
      <c r="AF4" s="2"/>
      <c r="AG4" s="2"/>
      <c r="AH4" s="2"/>
      <c r="AI4" s="2"/>
      <c r="AJ4" s="2"/>
      <c r="AK4" s="2"/>
      <c r="AL4" s="2"/>
      <c r="AM4" s="2"/>
      <c r="AN4" s="2"/>
      <c r="AO4" s="2"/>
      <c r="AP4" s="2"/>
      <c r="AQ4" s="2"/>
      <c r="AR4" s="2"/>
      <c r="AS4" s="2"/>
      <c r="AT4" s="2"/>
      <c r="AU4" s="2"/>
      <c r="AV4" s="2"/>
      <c r="AW4" s="2"/>
    </row>
    <row r="5" spans="1:49" x14ac:dyDescent="0.2">
      <c r="A5" s="1"/>
      <c r="B5" s="1"/>
      <c r="C5" s="1"/>
      <c r="D5" s="1"/>
      <c r="E5" s="1"/>
      <c r="F5" s="1"/>
      <c r="G5" s="1"/>
      <c r="H5" s="1"/>
      <c r="I5" s="1"/>
      <c r="J5" s="1"/>
      <c r="K5" s="1"/>
      <c r="L5" s="1"/>
      <c r="M5" s="1"/>
      <c r="N5" s="1"/>
      <c r="O5" s="8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49" ht="22" customHeight="1" x14ac:dyDescent="0.2">
      <c r="A6" s="1"/>
      <c r="B6" s="107" t="s">
        <v>169</v>
      </c>
      <c r="C6" s="85"/>
      <c r="D6" s="85"/>
      <c r="E6" s="85"/>
      <c r="F6" s="85"/>
      <c r="G6" s="85"/>
      <c r="H6" s="85"/>
      <c r="I6" s="85"/>
      <c r="J6" s="85"/>
      <c r="K6" s="85"/>
      <c r="L6" s="85"/>
      <c r="M6" s="85"/>
      <c r="N6" s="85"/>
      <c r="O6" s="8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22" customHeight="1" x14ac:dyDescent="0.2">
      <c r="A7" s="1"/>
      <c r="B7" s="29" t="s">
        <v>170</v>
      </c>
      <c r="C7" s="110" t="s">
        <v>171</v>
      </c>
      <c r="D7" s="92"/>
      <c r="E7" s="84" t="s">
        <v>172</v>
      </c>
      <c r="F7" s="85"/>
      <c r="G7" s="85"/>
      <c r="H7" s="85"/>
      <c r="I7" s="85"/>
      <c r="J7" s="85"/>
      <c r="K7" s="85"/>
      <c r="L7" s="85"/>
      <c r="M7" s="85"/>
      <c r="N7" s="85"/>
      <c r="O7" s="8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ht="22" customHeight="1" x14ac:dyDescent="0.2">
      <c r="A8" s="1"/>
      <c r="B8" s="29" t="s">
        <v>173</v>
      </c>
      <c r="C8" s="110"/>
      <c r="D8" s="92"/>
      <c r="E8" s="84" t="s">
        <v>174</v>
      </c>
      <c r="F8" s="85"/>
      <c r="G8" s="85"/>
      <c r="H8" s="85"/>
      <c r="I8" s="85"/>
      <c r="J8" s="85"/>
      <c r="K8" s="85"/>
      <c r="L8" s="85"/>
      <c r="M8" s="85"/>
      <c r="N8" s="85"/>
      <c r="O8" s="8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49" ht="22" customHeight="1" x14ac:dyDescent="0.2">
      <c r="A9" s="1"/>
      <c r="B9" s="29" t="s">
        <v>5</v>
      </c>
      <c r="C9" s="110" t="s">
        <v>175</v>
      </c>
      <c r="D9" s="92"/>
      <c r="E9" s="84" t="s">
        <v>176</v>
      </c>
      <c r="F9" s="85"/>
      <c r="G9" s="85"/>
      <c r="H9" s="85"/>
      <c r="I9" s="85"/>
      <c r="J9" s="85"/>
      <c r="K9" s="85"/>
      <c r="L9" s="85"/>
      <c r="M9" s="85"/>
      <c r="N9" s="85"/>
      <c r="O9" s="8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ht="22" customHeight="1" x14ac:dyDescent="0.2">
      <c r="A10" s="1"/>
      <c r="B10" s="29" t="s">
        <v>177</v>
      </c>
      <c r="C10" s="110" t="s">
        <v>178</v>
      </c>
      <c r="D10" s="92"/>
      <c r="E10" s="84" t="s">
        <v>179</v>
      </c>
      <c r="F10" s="85"/>
      <c r="G10" s="85"/>
      <c r="H10" s="85"/>
      <c r="I10" s="85"/>
      <c r="J10" s="85"/>
      <c r="K10" s="85"/>
      <c r="L10" s="85"/>
      <c r="M10" s="85"/>
      <c r="N10" s="85"/>
      <c r="O10" s="8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49" ht="22" customHeight="1" x14ac:dyDescent="0.2">
      <c r="A11" s="1"/>
      <c r="B11" s="29" t="s">
        <v>180</v>
      </c>
      <c r="C11" s="110" t="s">
        <v>181</v>
      </c>
      <c r="D11" s="92"/>
      <c r="E11" s="84" t="s">
        <v>182</v>
      </c>
      <c r="F11" s="85"/>
      <c r="G11" s="85"/>
      <c r="H11" s="85"/>
      <c r="I11" s="85"/>
      <c r="J11" s="85"/>
      <c r="K11" s="85"/>
      <c r="L11" s="85"/>
      <c r="M11" s="85"/>
      <c r="N11" s="85"/>
      <c r="O11" s="8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49" ht="22" customHeight="1" x14ac:dyDescent="0.2">
      <c r="A12" s="1"/>
      <c r="B12" s="29" t="s">
        <v>183</v>
      </c>
      <c r="C12" s="115" t="str">
        <f>inp_scenario</f>
        <v>Base</v>
      </c>
      <c r="D12" s="85"/>
      <c r="E12" s="84" t="s">
        <v>184</v>
      </c>
      <c r="F12" s="85"/>
      <c r="G12" s="85"/>
      <c r="H12" s="85"/>
      <c r="I12" s="85"/>
      <c r="J12" s="85"/>
      <c r="K12" s="85"/>
      <c r="L12" s="85"/>
      <c r="M12" s="85"/>
      <c r="N12" s="85"/>
      <c r="O12" s="8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row>
    <row r="13" spans="1:49" x14ac:dyDescent="0.2">
      <c r="A13" s="1"/>
      <c r="B13" s="1"/>
      <c r="C13" s="1"/>
      <c r="D13" s="1"/>
      <c r="E13" s="1"/>
      <c r="F13" s="1"/>
      <c r="G13" s="1"/>
      <c r="H13" s="1"/>
      <c r="I13" s="1"/>
      <c r="J13" s="1"/>
      <c r="K13" s="1"/>
      <c r="L13" s="1"/>
      <c r="M13" s="1"/>
      <c r="N13" s="1"/>
      <c r="O13" s="8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49" ht="22" customHeight="1" x14ac:dyDescent="0.2">
      <c r="A14" s="1"/>
      <c r="B14" s="107" t="s">
        <v>185</v>
      </c>
      <c r="C14" s="85"/>
      <c r="D14" s="85"/>
      <c r="E14" s="85"/>
      <c r="F14" s="85"/>
      <c r="G14" s="85"/>
      <c r="H14" s="85"/>
      <c r="I14" s="85"/>
      <c r="J14" s="85"/>
      <c r="K14" s="85"/>
      <c r="L14" s="85"/>
      <c r="M14" s="85"/>
      <c r="N14" s="85"/>
      <c r="O14" s="8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49" ht="20" customHeight="1" x14ac:dyDescent="0.2">
      <c r="A15" s="1"/>
      <c r="B15" s="13" t="s">
        <v>113</v>
      </c>
      <c r="C15" s="93" t="s">
        <v>186</v>
      </c>
      <c r="D15" s="94"/>
      <c r="E15" s="94"/>
      <c r="F15" s="13" t="s">
        <v>187</v>
      </c>
      <c r="G15" s="93" t="s">
        <v>188</v>
      </c>
      <c r="H15" s="94"/>
      <c r="I15" s="94"/>
      <c r="J15" s="94"/>
      <c r="K15" s="94"/>
      <c r="L15" s="94"/>
      <c r="M15" s="94"/>
      <c r="N15" s="94"/>
      <c r="O15" s="8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49" ht="20" customHeight="1" x14ac:dyDescent="0.2">
      <c r="A16" s="1"/>
      <c r="B16" s="25">
        <v>1</v>
      </c>
      <c r="C16" s="110" t="s">
        <v>189</v>
      </c>
      <c r="D16" s="111"/>
      <c r="E16" s="92"/>
      <c r="F16" s="43">
        <v>0.1</v>
      </c>
      <c r="G16" s="84" t="s">
        <v>190</v>
      </c>
      <c r="H16" s="85"/>
      <c r="I16" s="85"/>
      <c r="J16" s="85"/>
      <c r="K16" s="85"/>
      <c r="L16" s="85"/>
      <c r="M16" s="85"/>
      <c r="N16" s="85"/>
      <c r="O16" s="8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row>
    <row r="17" spans="1:49" ht="20" customHeight="1" x14ac:dyDescent="0.2">
      <c r="A17" s="1"/>
      <c r="B17" s="25">
        <v>2</v>
      </c>
      <c r="C17" s="110" t="s">
        <v>191</v>
      </c>
      <c r="D17" s="111"/>
      <c r="E17" s="92"/>
      <c r="F17" s="43">
        <v>0.2</v>
      </c>
      <c r="G17" s="84" t="s">
        <v>192</v>
      </c>
      <c r="H17" s="85"/>
      <c r="I17" s="85"/>
      <c r="J17" s="85"/>
      <c r="K17" s="85"/>
      <c r="L17" s="85"/>
      <c r="M17" s="85"/>
      <c r="N17" s="85"/>
      <c r="O17" s="8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49" ht="20" customHeight="1" x14ac:dyDescent="0.2">
      <c r="A18" s="1"/>
      <c r="B18" s="25">
        <v>3</v>
      </c>
      <c r="C18" s="110" t="s">
        <v>193</v>
      </c>
      <c r="D18" s="111"/>
      <c r="E18" s="92"/>
      <c r="F18" s="43">
        <v>0.35</v>
      </c>
      <c r="G18" s="84" t="s">
        <v>194</v>
      </c>
      <c r="H18" s="85"/>
      <c r="I18" s="85"/>
      <c r="J18" s="85"/>
      <c r="K18" s="85"/>
      <c r="L18" s="85"/>
      <c r="M18" s="85"/>
      <c r="N18" s="85"/>
      <c r="O18" s="8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row>
    <row r="19" spans="1:49" ht="20" customHeight="1" x14ac:dyDescent="0.2">
      <c r="A19" s="1"/>
      <c r="B19" s="25">
        <v>4</v>
      </c>
      <c r="C19" s="110" t="s">
        <v>195</v>
      </c>
      <c r="D19" s="111"/>
      <c r="E19" s="92"/>
      <c r="F19" s="43">
        <v>0.6</v>
      </c>
      <c r="G19" s="84" t="s">
        <v>196</v>
      </c>
      <c r="H19" s="85"/>
      <c r="I19" s="85"/>
      <c r="J19" s="85"/>
      <c r="K19" s="85"/>
      <c r="L19" s="85"/>
      <c r="M19" s="85"/>
      <c r="N19" s="85"/>
      <c r="O19" s="8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20" customHeight="1" x14ac:dyDescent="0.2">
      <c r="A20" s="1"/>
      <c r="B20" s="25">
        <v>5</v>
      </c>
      <c r="C20" s="110" t="s">
        <v>197</v>
      </c>
      <c r="D20" s="111"/>
      <c r="E20" s="92"/>
      <c r="F20" s="43">
        <v>0.8</v>
      </c>
      <c r="G20" s="84" t="s">
        <v>198</v>
      </c>
      <c r="H20" s="85"/>
      <c r="I20" s="85"/>
      <c r="J20" s="85"/>
      <c r="K20" s="85"/>
      <c r="L20" s="85"/>
      <c r="M20" s="85"/>
      <c r="N20" s="85"/>
      <c r="O20" s="8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ht="20" customHeight="1" x14ac:dyDescent="0.2">
      <c r="A21" s="1"/>
      <c r="B21" s="25">
        <v>6</v>
      </c>
      <c r="C21" s="110" t="s">
        <v>199</v>
      </c>
      <c r="D21" s="111"/>
      <c r="E21" s="92"/>
      <c r="F21" s="43">
        <v>0.9</v>
      </c>
      <c r="G21" s="84" t="s">
        <v>200</v>
      </c>
      <c r="H21" s="85"/>
      <c r="I21" s="85"/>
      <c r="J21" s="85"/>
      <c r="K21" s="85"/>
      <c r="L21" s="85"/>
      <c r="M21" s="85"/>
      <c r="N21" s="85"/>
      <c r="O21" s="8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x14ac:dyDescent="0.2">
      <c r="A22" s="1"/>
      <c r="B22" s="1"/>
      <c r="C22" s="1"/>
      <c r="D22" s="1"/>
      <c r="E22" s="1"/>
      <c r="F22" s="1"/>
      <c r="G22" s="1"/>
      <c r="H22" s="1"/>
      <c r="I22" s="1"/>
      <c r="J22" s="1"/>
      <c r="K22" s="1"/>
      <c r="L22" s="1"/>
      <c r="M22" s="1"/>
      <c r="N22" s="1"/>
      <c r="O22" s="8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49" ht="22" customHeight="1" x14ac:dyDescent="0.2">
      <c r="A23" s="1"/>
      <c r="B23" s="107" t="s">
        <v>201</v>
      </c>
      <c r="C23" s="85"/>
      <c r="D23" s="85"/>
      <c r="E23" s="85"/>
      <c r="F23" s="85"/>
      <c r="G23" s="85"/>
      <c r="H23" s="85"/>
      <c r="I23" s="85"/>
      <c r="J23" s="85"/>
      <c r="K23" s="85"/>
      <c r="L23" s="85"/>
      <c r="M23" s="85"/>
      <c r="N23" s="85"/>
      <c r="O23" s="8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ht="20" customHeight="1" x14ac:dyDescent="0.2">
      <c r="A24" s="1"/>
      <c r="B24" s="13" t="s">
        <v>113</v>
      </c>
      <c r="C24" s="12" t="s">
        <v>202</v>
      </c>
      <c r="D24" s="27" t="s">
        <v>203</v>
      </c>
      <c r="E24" s="13" t="s">
        <v>204</v>
      </c>
      <c r="F24" s="27" t="s">
        <v>205</v>
      </c>
      <c r="G24" s="13" t="s">
        <v>206</v>
      </c>
      <c r="H24" s="13" t="s">
        <v>207</v>
      </c>
      <c r="I24" s="13" t="s">
        <v>208</v>
      </c>
      <c r="J24" s="13" t="s">
        <v>209</v>
      </c>
      <c r="K24" s="13" t="s">
        <v>210</v>
      </c>
      <c r="L24" s="13" t="s">
        <v>211</v>
      </c>
      <c r="M24" s="93" t="s">
        <v>83</v>
      </c>
      <c r="N24" s="94"/>
      <c r="O24" s="8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row>
    <row r="25" spans="1:49" ht="45" customHeight="1" x14ac:dyDescent="0.2">
      <c r="A25" s="1"/>
      <c r="B25" s="25">
        <v>1</v>
      </c>
      <c r="C25" s="42" t="s">
        <v>212</v>
      </c>
      <c r="D25" s="44">
        <v>1</v>
      </c>
      <c r="E25" s="45">
        <v>1</v>
      </c>
      <c r="F25" s="44">
        <v>0</v>
      </c>
      <c r="G25" s="30">
        <v>0</v>
      </c>
      <c r="H25" s="30">
        <v>0</v>
      </c>
      <c r="I25" s="30">
        <v>0</v>
      </c>
      <c r="J25" s="30">
        <v>0</v>
      </c>
      <c r="K25" s="30">
        <v>0</v>
      </c>
      <c r="L25" s="30">
        <v>0</v>
      </c>
      <c r="M25" s="84" t="s">
        <v>213</v>
      </c>
      <c r="N25" s="85"/>
      <c r="O25" s="8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row>
    <row r="26" spans="1:49" ht="45" customHeight="1" x14ac:dyDescent="0.2">
      <c r="A26" s="1"/>
      <c r="B26" s="25">
        <v>2</v>
      </c>
      <c r="C26" s="42" t="s">
        <v>214</v>
      </c>
      <c r="D26" s="44">
        <v>1</v>
      </c>
      <c r="E26" s="45">
        <v>1</v>
      </c>
      <c r="F26" s="44">
        <v>0</v>
      </c>
      <c r="G26" s="30">
        <v>0</v>
      </c>
      <c r="H26" s="30">
        <v>0</v>
      </c>
      <c r="I26" s="30">
        <v>0</v>
      </c>
      <c r="J26" s="30">
        <v>0</v>
      </c>
      <c r="K26" s="30">
        <v>0</v>
      </c>
      <c r="L26" s="30">
        <v>0</v>
      </c>
      <c r="M26" s="84" t="s">
        <v>215</v>
      </c>
      <c r="N26" s="85"/>
      <c r="O26" s="8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row>
    <row r="27" spans="1:49" ht="32" customHeight="1" x14ac:dyDescent="0.2">
      <c r="A27" s="1"/>
      <c r="B27" s="25">
        <v>3</v>
      </c>
      <c r="C27" s="42" t="s">
        <v>216</v>
      </c>
      <c r="D27" s="44">
        <v>1</v>
      </c>
      <c r="E27" s="45">
        <v>2</v>
      </c>
      <c r="F27" s="44">
        <v>0</v>
      </c>
      <c r="G27" s="30">
        <v>0</v>
      </c>
      <c r="H27" s="30">
        <v>0</v>
      </c>
      <c r="I27" s="30">
        <v>0</v>
      </c>
      <c r="J27" s="30">
        <v>0</v>
      </c>
      <c r="K27" s="30">
        <v>0</v>
      </c>
      <c r="L27" s="30">
        <v>0</v>
      </c>
      <c r="M27" s="84" t="s">
        <v>217</v>
      </c>
      <c r="N27" s="85"/>
      <c r="O27" s="8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49" ht="32" customHeight="1" x14ac:dyDescent="0.2">
      <c r="A28" s="1"/>
      <c r="B28" s="25">
        <v>4</v>
      </c>
      <c r="C28" s="42" t="s">
        <v>218</v>
      </c>
      <c r="D28" s="44">
        <v>1</v>
      </c>
      <c r="E28" s="45">
        <v>2</v>
      </c>
      <c r="F28" s="44">
        <v>0</v>
      </c>
      <c r="G28" s="30">
        <v>0</v>
      </c>
      <c r="H28" s="30">
        <v>0</v>
      </c>
      <c r="I28" s="30">
        <v>0</v>
      </c>
      <c r="J28" s="30">
        <v>0</v>
      </c>
      <c r="K28" s="30">
        <v>0</v>
      </c>
      <c r="L28" s="30">
        <v>0</v>
      </c>
      <c r="M28" s="84" t="s">
        <v>219</v>
      </c>
      <c r="N28" s="85"/>
      <c r="O28" s="8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row>
    <row r="29" spans="1:49" ht="32" customHeight="1" x14ac:dyDescent="0.2">
      <c r="A29" s="1"/>
      <c r="B29" s="25">
        <v>5</v>
      </c>
      <c r="C29" s="42" t="s">
        <v>220</v>
      </c>
      <c r="D29" s="44">
        <v>0</v>
      </c>
      <c r="E29" s="45">
        <v>0</v>
      </c>
      <c r="F29" s="44">
        <v>1</v>
      </c>
      <c r="G29" s="30">
        <v>0.5</v>
      </c>
      <c r="H29" s="30">
        <v>0</v>
      </c>
      <c r="I29" s="30">
        <v>0.5</v>
      </c>
      <c r="J29" s="30">
        <v>1</v>
      </c>
      <c r="K29" s="30">
        <v>0</v>
      </c>
      <c r="L29" s="30">
        <v>0</v>
      </c>
      <c r="M29" s="84" t="s">
        <v>221</v>
      </c>
      <c r="N29" s="85"/>
      <c r="O29" s="8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row>
    <row r="30" spans="1:49" ht="32" customHeight="1" x14ac:dyDescent="0.2">
      <c r="A30" s="1"/>
      <c r="B30" s="25">
        <v>6</v>
      </c>
      <c r="C30" s="42" t="s">
        <v>222</v>
      </c>
      <c r="D30" s="44">
        <v>0</v>
      </c>
      <c r="E30" s="45">
        <v>0</v>
      </c>
      <c r="F30" s="44">
        <v>1</v>
      </c>
      <c r="G30" s="30">
        <v>0.25</v>
      </c>
      <c r="H30" s="30">
        <v>0</v>
      </c>
      <c r="I30" s="30">
        <v>0.5</v>
      </c>
      <c r="J30" s="30">
        <v>0.5</v>
      </c>
      <c r="K30" s="30">
        <v>0.25</v>
      </c>
      <c r="L30" s="30">
        <v>1</v>
      </c>
      <c r="M30" s="84" t="s">
        <v>223</v>
      </c>
      <c r="N30" s="85"/>
      <c r="O30" s="8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row>
    <row r="31" spans="1:49" ht="32" customHeight="1" x14ac:dyDescent="0.2">
      <c r="A31" s="1"/>
      <c r="B31" s="25">
        <v>7</v>
      </c>
      <c r="C31" s="42" t="s">
        <v>224</v>
      </c>
      <c r="D31" s="44">
        <v>0</v>
      </c>
      <c r="E31" s="45">
        <v>0</v>
      </c>
      <c r="F31" s="44">
        <v>1</v>
      </c>
      <c r="G31" s="30">
        <v>0.33</v>
      </c>
      <c r="H31" s="30">
        <v>0</v>
      </c>
      <c r="I31" s="30">
        <v>0.33</v>
      </c>
      <c r="J31" s="30">
        <v>0.5</v>
      </c>
      <c r="K31" s="30">
        <v>0.34</v>
      </c>
      <c r="L31" s="30">
        <v>1</v>
      </c>
      <c r="M31" s="84" t="s">
        <v>225</v>
      </c>
      <c r="N31" s="85"/>
      <c r="O31" s="8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row>
    <row r="32" spans="1:49" ht="32" customHeight="1" x14ac:dyDescent="0.2">
      <c r="A32" s="1"/>
      <c r="B32" s="25">
        <v>8</v>
      </c>
      <c r="C32" s="42" t="s">
        <v>226</v>
      </c>
      <c r="D32" s="44">
        <v>1</v>
      </c>
      <c r="E32" s="45">
        <v>1</v>
      </c>
      <c r="F32" s="44">
        <v>0</v>
      </c>
      <c r="G32" s="30">
        <v>0</v>
      </c>
      <c r="H32" s="30">
        <v>0</v>
      </c>
      <c r="I32" s="30">
        <v>0</v>
      </c>
      <c r="J32" s="30">
        <v>0</v>
      </c>
      <c r="K32" s="30">
        <v>0</v>
      </c>
      <c r="L32" s="30">
        <v>0</v>
      </c>
      <c r="M32" s="84" t="s">
        <v>227</v>
      </c>
      <c r="N32" s="85"/>
      <c r="O32" s="8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49" ht="32" customHeight="1" x14ac:dyDescent="0.2">
      <c r="A33" s="1"/>
      <c r="B33" s="25">
        <v>9</v>
      </c>
      <c r="C33" s="42" t="s">
        <v>228</v>
      </c>
      <c r="D33" s="44">
        <v>1</v>
      </c>
      <c r="E33" s="45">
        <v>1</v>
      </c>
      <c r="F33" s="44">
        <v>0</v>
      </c>
      <c r="G33" s="30">
        <v>0</v>
      </c>
      <c r="H33" s="30">
        <v>0</v>
      </c>
      <c r="I33" s="30">
        <v>0</v>
      </c>
      <c r="J33" s="30">
        <v>0</v>
      </c>
      <c r="K33" s="30">
        <v>0</v>
      </c>
      <c r="L33" s="30">
        <v>0</v>
      </c>
      <c r="M33" s="84" t="s">
        <v>229</v>
      </c>
      <c r="N33" s="85"/>
      <c r="O33" s="8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row>
    <row r="34" spans="1:49" x14ac:dyDescent="0.2">
      <c r="A34" s="1"/>
      <c r="B34" s="1"/>
      <c r="C34" s="1"/>
      <c r="D34" s="1"/>
      <c r="E34" s="1"/>
      <c r="F34" s="1"/>
      <c r="G34" s="1"/>
      <c r="H34" s="1"/>
      <c r="I34" s="1"/>
      <c r="J34" s="1"/>
      <c r="K34" s="1"/>
      <c r="L34" s="1"/>
      <c r="M34" s="1"/>
      <c r="N34" s="1"/>
      <c r="O34" s="8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49" ht="22" customHeight="1" x14ac:dyDescent="0.2">
      <c r="A35" s="1"/>
      <c r="B35" s="107" t="s">
        <v>230</v>
      </c>
      <c r="C35" s="85"/>
      <c r="D35" s="85"/>
      <c r="E35" s="85"/>
      <c r="F35" s="85"/>
      <c r="G35" s="85"/>
      <c r="H35" s="85"/>
      <c r="I35" s="85"/>
      <c r="J35" s="85"/>
      <c r="K35" s="85"/>
      <c r="L35" s="85"/>
      <c r="M35" s="85"/>
      <c r="N35" s="85"/>
      <c r="O35" s="8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ht="20" customHeight="1" x14ac:dyDescent="0.2">
      <c r="A36" s="1"/>
      <c r="B36" s="13" t="s">
        <v>113</v>
      </c>
      <c r="C36" s="12" t="s">
        <v>231</v>
      </c>
      <c r="D36" s="13" t="s">
        <v>232</v>
      </c>
      <c r="E36" s="13" t="s">
        <v>233</v>
      </c>
      <c r="F36" s="13" t="s">
        <v>234</v>
      </c>
      <c r="G36" s="93" t="s">
        <v>83</v>
      </c>
      <c r="H36" s="94"/>
      <c r="I36" s="94"/>
      <c r="J36" s="94"/>
      <c r="K36" s="94"/>
      <c r="L36" s="94"/>
      <c r="M36" s="94"/>
      <c r="N36" s="94"/>
      <c r="O36" s="8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49" ht="20" customHeight="1" x14ac:dyDescent="0.2">
      <c r="A37" s="1"/>
      <c r="B37" s="25">
        <v>1</v>
      </c>
      <c r="C37" s="42" t="s">
        <v>3</v>
      </c>
      <c r="D37" s="43">
        <v>1</v>
      </c>
      <c r="E37" s="43">
        <v>1</v>
      </c>
      <c r="F37" s="46">
        <v>0</v>
      </c>
      <c r="G37" s="84" t="s">
        <v>235</v>
      </c>
      <c r="H37" s="85"/>
      <c r="I37" s="85"/>
      <c r="J37" s="85"/>
      <c r="K37" s="85"/>
      <c r="L37" s="85"/>
      <c r="M37" s="85"/>
      <c r="N37" s="85"/>
      <c r="O37" s="8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49" ht="20" customHeight="1" x14ac:dyDescent="0.2">
      <c r="A38" s="1"/>
      <c r="B38" s="25">
        <v>2</v>
      </c>
      <c r="C38" s="42" t="s">
        <v>236</v>
      </c>
      <c r="D38" s="43">
        <v>0.8</v>
      </c>
      <c r="E38" s="43">
        <v>0.9</v>
      </c>
      <c r="F38" s="46">
        <v>1</v>
      </c>
      <c r="G38" s="84" t="s">
        <v>237</v>
      </c>
      <c r="H38" s="85"/>
      <c r="I38" s="85"/>
      <c r="J38" s="85"/>
      <c r="K38" s="85"/>
      <c r="L38" s="85"/>
      <c r="M38" s="85"/>
      <c r="N38" s="85"/>
      <c r="O38" s="8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ht="20" customHeight="1" x14ac:dyDescent="0.2">
      <c r="A39" s="1"/>
      <c r="B39" s="25">
        <v>3</v>
      </c>
      <c r="C39" s="42" t="s">
        <v>238</v>
      </c>
      <c r="D39" s="43">
        <v>1.05</v>
      </c>
      <c r="E39" s="43">
        <v>1.05</v>
      </c>
      <c r="F39" s="46">
        <v>0</v>
      </c>
      <c r="G39" s="84" t="s">
        <v>239</v>
      </c>
      <c r="H39" s="85"/>
      <c r="I39" s="85"/>
      <c r="J39" s="85"/>
      <c r="K39" s="85"/>
      <c r="L39" s="85"/>
      <c r="M39" s="85"/>
      <c r="N39" s="85"/>
      <c r="O39" s="8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x14ac:dyDescent="0.2">
      <c r="A40" s="1"/>
      <c r="B40" s="1"/>
      <c r="C40" s="1"/>
      <c r="D40" s="1"/>
      <c r="E40" s="1"/>
      <c r="F40" s="1"/>
      <c r="G40" s="1"/>
      <c r="H40" s="1"/>
      <c r="I40" s="1"/>
      <c r="J40" s="1"/>
      <c r="K40" s="1"/>
      <c r="L40" s="1"/>
      <c r="M40" s="1"/>
      <c r="N40" s="1"/>
      <c r="O40" s="8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49" ht="22" customHeight="1" x14ac:dyDescent="0.2">
      <c r="A41" s="1"/>
      <c r="B41" s="107" t="s">
        <v>240</v>
      </c>
      <c r="C41" s="85"/>
      <c r="D41" s="85"/>
      <c r="E41" s="85"/>
      <c r="F41" s="85"/>
      <c r="G41" s="85"/>
      <c r="H41" s="85"/>
      <c r="I41" s="85"/>
      <c r="J41" s="85"/>
      <c r="K41" s="85"/>
      <c r="L41" s="85"/>
      <c r="M41" s="85"/>
      <c r="N41" s="85"/>
      <c r="O41" s="8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ht="20" customHeight="1" x14ac:dyDescent="0.2">
      <c r="A42" s="1"/>
      <c r="B42" s="13" t="s">
        <v>113</v>
      </c>
      <c r="C42" s="93" t="s">
        <v>5</v>
      </c>
      <c r="D42" s="94"/>
      <c r="E42" s="94"/>
      <c r="F42" s="13" t="s">
        <v>241</v>
      </c>
      <c r="G42" s="13" t="s">
        <v>242</v>
      </c>
      <c r="H42" s="93" t="s">
        <v>243</v>
      </c>
      <c r="I42" s="94"/>
      <c r="J42" s="94"/>
      <c r="K42" s="94"/>
      <c r="L42" s="94"/>
      <c r="M42" s="94"/>
      <c r="N42" s="94"/>
      <c r="O42" s="8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49" ht="20" customHeight="1" x14ac:dyDescent="0.2">
      <c r="A43" s="1"/>
      <c r="B43" s="25">
        <v>1</v>
      </c>
      <c r="C43" s="110" t="s">
        <v>175</v>
      </c>
      <c r="D43" s="111"/>
      <c r="E43" s="92"/>
      <c r="F43" s="43">
        <v>0.25</v>
      </c>
      <c r="G43" s="47">
        <v>62</v>
      </c>
      <c r="H43" s="84" t="s">
        <v>244</v>
      </c>
      <c r="I43" s="85"/>
      <c r="J43" s="85"/>
      <c r="K43" s="85"/>
      <c r="L43" s="85"/>
      <c r="M43" s="85"/>
      <c r="N43" s="85"/>
      <c r="O43" s="8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row>
    <row r="44" spans="1:49" ht="20" customHeight="1" x14ac:dyDescent="0.2">
      <c r="A44" s="1"/>
      <c r="B44" s="25">
        <v>2</v>
      </c>
      <c r="C44" s="110" t="s">
        <v>245</v>
      </c>
      <c r="D44" s="111"/>
      <c r="E44" s="92"/>
      <c r="F44" s="43">
        <v>0.22</v>
      </c>
      <c r="G44" s="47">
        <v>80</v>
      </c>
      <c r="H44" s="84" t="s">
        <v>246</v>
      </c>
      <c r="I44" s="85"/>
      <c r="J44" s="85"/>
      <c r="K44" s="85"/>
      <c r="L44" s="85"/>
      <c r="M44" s="85"/>
      <c r="N44" s="85"/>
      <c r="O44" s="8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row>
    <row r="45" spans="1:49" ht="20" customHeight="1" x14ac:dyDescent="0.2">
      <c r="A45" s="1"/>
      <c r="B45" s="25">
        <v>3</v>
      </c>
      <c r="C45" s="110" t="s">
        <v>247</v>
      </c>
      <c r="D45" s="111"/>
      <c r="E45" s="92"/>
      <c r="F45" s="43">
        <v>0.27</v>
      </c>
      <c r="G45" s="47">
        <v>55</v>
      </c>
      <c r="H45" s="84" t="s">
        <v>248</v>
      </c>
      <c r="I45" s="85"/>
      <c r="J45" s="85"/>
      <c r="K45" s="85"/>
      <c r="L45" s="85"/>
      <c r="M45" s="85"/>
      <c r="N45" s="85"/>
      <c r="O45" s="8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row>
    <row r="46" spans="1:49" ht="20" customHeight="1" x14ac:dyDescent="0.2">
      <c r="A46" s="1"/>
      <c r="B46" s="25">
        <v>4</v>
      </c>
      <c r="C46" s="110" t="s">
        <v>249</v>
      </c>
      <c r="D46" s="111"/>
      <c r="E46" s="92"/>
      <c r="F46" s="43">
        <v>0.3</v>
      </c>
      <c r="G46" s="47">
        <v>70</v>
      </c>
      <c r="H46" s="84" t="s">
        <v>250</v>
      </c>
      <c r="I46" s="85"/>
      <c r="J46" s="85"/>
      <c r="K46" s="85"/>
      <c r="L46" s="85"/>
      <c r="M46" s="85"/>
      <c r="N46" s="85"/>
      <c r="O46" s="8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ht="20" customHeight="1" x14ac:dyDescent="0.2">
      <c r="A47" s="1"/>
      <c r="B47" s="25">
        <v>5</v>
      </c>
      <c r="C47" s="110" t="s">
        <v>251</v>
      </c>
      <c r="D47" s="111"/>
      <c r="E47" s="92"/>
      <c r="F47" s="43">
        <v>0.2</v>
      </c>
      <c r="G47" s="47">
        <v>90</v>
      </c>
      <c r="H47" s="84" t="s">
        <v>252</v>
      </c>
      <c r="I47" s="85"/>
      <c r="J47" s="85"/>
      <c r="K47" s="85"/>
      <c r="L47" s="85"/>
      <c r="M47" s="85"/>
      <c r="N47" s="85"/>
      <c r="O47" s="8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row>
    <row r="48" spans="1:49" ht="20" customHeight="1" x14ac:dyDescent="0.2">
      <c r="A48" s="1"/>
      <c r="B48" s="25">
        <v>6</v>
      </c>
      <c r="C48" s="110" t="s">
        <v>253</v>
      </c>
      <c r="D48" s="111"/>
      <c r="E48" s="92"/>
      <c r="F48" s="43">
        <v>0.32</v>
      </c>
      <c r="G48" s="47">
        <v>45</v>
      </c>
      <c r="H48" s="84" t="s">
        <v>254</v>
      </c>
      <c r="I48" s="85"/>
      <c r="J48" s="85"/>
      <c r="K48" s="85"/>
      <c r="L48" s="85"/>
      <c r="M48" s="85"/>
      <c r="N48" s="85"/>
      <c r="O48" s="8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pans="1:49" ht="20" customHeight="1" x14ac:dyDescent="0.2">
      <c r="A49" s="1"/>
      <c r="B49" s="25">
        <v>7</v>
      </c>
      <c r="C49" s="110" t="s">
        <v>255</v>
      </c>
      <c r="D49" s="111"/>
      <c r="E49" s="92"/>
      <c r="F49" s="43">
        <v>0.35</v>
      </c>
      <c r="G49" s="47">
        <v>38</v>
      </c>
      <c r="H49" s="84" t="s">
        <v>256</v>
      </c>
      <c r="I49" s="85"/>
      <c r="J49" s="85"/>
      <c r="K49" s="85"/>
      <c r="L49" s="85"/>
      <c r="M49" s="85"/>
      <c r="N49" s="85"/>
      <c r="O49" s="8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0" spans="1:49" ht="20" customHeight="1" x14ac:dyDescent="0.2">
      <c r="A50" s="1"/>
      <c r="B50" s="25">
        <v>8</v>
      </c>
      <c r="C50" s="110" t="s">
        <v>257</v>
      </c>
      <c r="D50" s="111"/>
      <c r="E50" s="92"/>
      <c r="F50" s="43">
        <v>0.25</v>
      </c>
      <c r="G50" s="47">
        <v>65</v>
      </c>
      <c r="H50" s="84" t="s">
        <v>258</v>
      </c>
      <c r="I50" s="85"/>
      <c r="J50" s="85"/>
      <c r="K50" s="85"/>
      <c r="L50" s="85"/>
      <c r="M50" s="85"/>
      <c r="N50" s="85"/>
      <c r="O50" s="8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row>
    <row r="51" spans="1:49" x14ac:dyDescent="0.2">
      <c r="A51" s="1"/>
      <c r="B51" s="1"/>
      <c r="C51" s="1"/>
      <c r="D51" s="1"/>
      <c r="E51" s="1"/>
      <c r="F51" s="1"/>
      <c r="G51" s="1"/>
      <c r="H51" s="1"/>
      <c r="I51" s="1"/>
      <c r="J51" s="1"/>
      <c r="K51" s="1"/>
      <c r="L51" s="1"/>
      <c r="M51" s="1"/>
      <c r="N51" s="1"/>
      <c r="O51" s="8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row>
    <row r="52" spans="1:49" ht="22" customHeight="1" x14ac:dyDescent="0.2">
      <c r="A52" s="1"/>
      <c r="B52" s="107" t="s">
        <v>259</v>
      </c>
      <c r="C52" s="85"/>
      <c r="D52" s="85"/>
      <c r="E52" s="85"/>
      <c r="F52" s="85"/>
      <c r="G52" s="85"/>
      <c r="H52" s="85"/>
      <c r="I52" s="85"/>
      <c r="J52" s="85"/>
      <c r="K52" s="85"/>
      <c r="L52" s="85"/>
      <c r="M52" s="85"/>
      <c r="N52" s="85"/>
      <c r="O52" s="8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row>
    <row r="53" spans="1:49" ht="20" customHeight="1" x14ac:dyDescent="0.2">
      <c r="A53" s="1"/>
      <c r="B53" s="13" t="s">
        <v>113</v>
      </c>
      <c r="C53" s="93" t="s">
        <v>260</v>
      </c>
      <c r="D53" s="94"/>
      <c r="E53" s="94"/>
      <c r="F53" s="27" t="s">
        <v>171</v>
      </c>
      <c r="G53" s="27" t="s">
        <v>261</v>
      </c>
      <c r="H53" s="27" t="s">
        <v>262</v>
      </c>
      <c r="I53" s="93" t="s">
        <v>243</v>
      </c>
      <c r="J53" s="94"/>
      <c r="K53" s="94"/>
      <c r="L53" s="94"/>
      <c r="M53" s="94"/>
      <c r="N53" s="94"/>
      <c r="O53" s="8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row>
    <row r="54" spans="1:49" ht="24" customHeight="1" x14ac:dyDescent="0.2">
      <c r="A54" s="1"/>
      <c r="B54" s="25">
        <v>1</v>
      </c>
      <c r="C54" s="113" t="s">
        <v>263</v>
      </c>
      <c r="D54" s="85"/>
      <c r="E54" s="85"/>
      <c r="F54" s="48" t="s">
        <v>214</v>
      </c>
      <c r="G54" s="48" t="s">
        <v>264</v>
      </c>
      <c r="H54" s="48" t="s">
        <v>214</v>
      </c>
      <c r="I54" s="84" t="s">
        <v>265</v>
      </c>
      <c r="J54" s="85"/>
      <c r="K54" s="85"/>
      <c r="L54" s="85"/>
      <c r="M54" s="85"/>
      <c r="N54" s="85"/>
      <c r="O54" s="8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ht="24" customHeight="1" x14ac:dyDescent="0.2">
      <c r="A55" s="1"/>
      <c r="B55" s="25">
        <v>2</v>
      </c>
      <c r="C55" s="113" t="s">
        <v>266</v>
      </c>
      <c r="D55" s="85"/>
      <c r="E55" s="85"/>
      <c r="F55" s="35">
        <v>38</v>
      </c>
      <c r="G55" s="35">
        <v>40</v>
      </c>
      <c r="H55" s="35">
        <v>45</v>
      </c>
      <c r="I55" s="84" t="s">
        <v>108</v>
      </c>
      <c r="J55" s="85"/>
      <c r="K55" s="85"/>
      <c r="L55" s="85"/>
      <c r="M55" s="85"/>
      <c r="N55" s="85"/>
      <c r="O55" s="8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row>
    <row r="56" spans="1:49" ht="24" customHeight="1" x14ac:dyDescent="0.2">
      <c r="A56" s="1"/>
      <c r="B56" s="25">
        <v>3</v>
      </c>
      <c r="C56" s="113" t="s">
        <v>267</v>
      </c>
      <c r="D56" s="85"/>
      <c r="E56" s="85"/>
      <c r="F56" s="30">
        <v>0.1</v>
      </c>
      <c r="G56" s="30">
        <v>0.15</v>
      </c>
      <c r="H56" s="30">
        <v>0</v>
      </c>
      <c r="I56" s="84" t="s">
        <v>268</v>
      </c>
      <c r="J56" s="85"/>
      <c r="K56" s="85"/>
      <c r="L56" s="85"/>
      <c r="M56" s="85"/>
      <c r="N56" s="85"/>
      <c r="O56" s="8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ht="24" customHeight="1" x14ac:dyDescent="0.2">
      <c r="A57" s="1"/>
      <c r="B57" s="25">
        <v>4</v>
      </c>
      <c r="C57" s="113" t="s">
        <v>269</v>
      </c>
      <c r="D57" s="85"/>
      <c r="E57" s="85"/>
      <c r="F57" s="48" t="s">
        <v>270</v>
      </c>
      <c r="G57" s="48" t="s">
        <v>271</v>
      </c>
      <c r="H57" s="48" t="s">
        <v>272</v>
      </c>
      <c r="I57" s="84" t="s">
        <v>273</v>
      </c>
      <c r="J57" s="85"/>
      <c r="K57" s="85"/>
      <c r="L57" s="85"/>
      <c r="M57" s="85"/>
      <c r="N57" s="85"/>
      <c r="O57" s="8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row>
    <row r="58" spans="1:49" x14ac:dyDescent="0.2">
      <c r="A58" s="1"/>
      <c r="B58" s="1"/>
      <c r="C58" s="1"/>
      <c r="D58" s="1"/>
      <c r="E58" s="1"/>
      <c r="F58" s="1"/>
      <c r="G58" s="1"/>
      <c r="H58" s="1"/>
      <c r="I58" s="1"/>
      <c r="J58" s="1"/>
      <c r="K58" s="1"/>
      <c r="L58" s="1"/>
      <c r="M58" s="1"/>
      <c r="N58" s="1"/>
      <c r="O58" s="8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row>
    <row r="59" spans="1:49" ht="24" customHeight="1" x14ac:dyDescent="0.2">
      <c r="A59" s="1"/>
      <c r="B59" s="107" t="s">
        <v>274</v>
      </c>
      <c r="C59" s="85"/>
      <c r="D59" s="85"/>
      <c r="E59" s="85"/>
      <c r="F59" s="85"/>
      <c r="G59" s="85"/>
      <c r="H59" s="85"/>
      <c r="I59" s="85"/>
      <c r="J59" s="85"/>
      <c r="K59" s="85"/>
      <c r="L59" s="85"/>
      <c r="M59" s="85"/>
      <c r="N59" s="85"/>
      <c r="O59" s="8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row>
    <row r="60" spans="1:49" ht="30" customHeight="1" x14ac:dyDescent="0.2">
      <c r="A60" s="1"/>
      <c r="B60" s="13" t="s">
        <v>113</v>
      </c>
      <c r="C60" s="12" t="s">
        <v>67</v>
      </c>
      <c r="D60" s="12" t="s">
        <v>68</v>
      </c>
      <c r="E60" s="12" t="s">
        <v>76</v>
      </c>
      <c r="F60" s="12" t="s">
        <v>69</v>
      </c>
      <c r="G60" s="13" t="s">
        <v>71</v>
      </c>
      <c r="H60" s="13" t="s">
        <v>70</v>
      </c>
      <c r="I60" s="27" t="s">
        <v>275</v>
      </c>
      <c r="J60" s="27" t="s">
        <v>276</v>
      </c>
      <c r="K60" s="27" t="s">
        <v>277</v>
      </c>
      <c r="L60" s="12" t="s">
        <v>74</v>
      </c>
      <c r="M60" s="27" t="s">
        <v>278</v>
      </c>
      <c r="N60" s="12" t="s">
        <v>188</v>
      </c>
      <c r="O60" s="8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ht="22" customHeight="1" x14ac:dyDescent="0.2">
      <c r="A61" s="1"/>
      <c r="B61" s="25">
        <v>1</v>
      </c>
      <c r="C61" s="42"/>
      <c r="D61" s="42"/>
      <c r="E61" s="42"/>
      <c r="F61" s="42"/>
      <c r="G61" s="43"/>
      <c r="H61" s="49"/>
      <c r="I61" s="5"/>
      <c r="J61" s="46">
        <v>0</v>
      </c>
      <c r="K61" s="46">
        <v>1</v>
      </c>
      <c r="L61" s="42"/>
      <c r="M61" s="50" t="s">
        <v>279</v>
      </c>
      <c r="N61" s="17"/>
      <c r="O61" s="82"/>
      <c r="P61" s="2"/>
      <c r="Q61" s="51">
        <f t="shared" ref="Q61:Q90" si="0">IFERROR(IF(M61="Y",1,0),0)</f>
        <v>0</v>
      </c>
      <c r="R61" s="52">
        <f t="shared" ref="R61:R90" si="1">IFERROR(IF(G61="",IFERROR(VLOOKUP(F61,ref_stages_range,4,FALSE),0),G61),0)</f>
        <v>0</v>
      </c>
      <c r="S61" s="53">
        <f t="shared" ref="S61:S90" si="2">IFERROR(IF(H61="",0,H61)*R61*scn_winrate_active*scn_size_active*Q61,0)</f>
        <v>0</v>
      </c>
      <c r="T61" s="51">
        <f>IFERROR(MATCH(I61,{"M1","M2","M3","M4","M5","M6"},0),0)</f>
        <v>0</v>
      </c>
      <c r="U61" s="51">
        <f t="shared" ref="U61:U90" si="3">IFERROR(IF(T61=0,0,T61+MAX(0,J61)),0)</f>
        <v>0</v>
      </c>
      <c r="V61" s="51">
        <f t="shared" ref="V61:V90" si="4">IFERROR(IF(U61=0,0,U61+MAX(1,K61)-1),0)</f>
        <v>0</v>
      </c>
      <c r="W61" s="53">
        <f t="shared" ref="W61:W90" si="5">IFERROR(IF(MAX(1,K61)=0,0,S61/MAX(1,K61)),0)</f>
        <v>0</v>
      </c>
      <c r="X61" s="54">
        <f t="shared" ref="X61:X90" si="6">IFERROR(IF(L61="",0,VLOOKUP(L61,ref_pt_table,3,FALSE))+scn_lag_active,0)</f>
        <v>0</v>
      </c>
      <c r="Y61" s="51">
        <f t="shared" ref="Y61:Y90" si="7">IFERROR(IF(L61="",0,VLOOKUP(L61,ref_pt_table,4,FALSE)),0)</f>
        <v>0</v>
      </c>
      <c r="Z61" s="55">
        <f t="shared" ref="Z61:Z90" si="8">IFERROR(IF(L61="",0,VLOOKUP(L61,ref_pt_table,5,FALSE)),0)</f>
        <v>0</v>
      </c>
      <c r="AA61" s="51">
        <f t="shared" ref="AA61:AA90" si="9">IFERROR(IF(Y61=0,0,U61+ROUND(VLOOKUP(L61,ref_pt_table,6,FALSE)*(MAX(1,K61)-1),0)),0)</f>
        <v>0</v>
      </c>
      <c r="AB61" s="55">
        <f t="shared" ref="AB61:AB90" si="10">IFERROR(IF(L61="",0,VLOOKUP(L61,ref_pt_table,7,FALSE)),0)</f>
        <v>0</v>
      </c>
      <c r="AC61" s="51">
        <f t="shared" ref="AC61:AC90" si="11">IFERROR(IF(Y61=0,0,U61+ROUND(VLOOKUP(L61,ref_pt_table,8,FALSE)*(MAX(1,K61)-1),0)),0)</f>
        <v>0</v>
      </c>
      <c r="AD61" s="55">
        <f t="shared" ref="AD61:AD90" si="12">IFERROR(IF(L61="",0,VLOOKUP(L61,ref_pt_table,9,FALSE)),0)</f>
        <v>0</v>
      </c>
      <c r="AE61" s="51">
        <f t="shared" ref="AE61:AE90" si="13">IFERROR(IF(Y61=0,0,U61+ROUND(VLOOKUP(L61,ref_pt_table,10,FALSE)*(MAX(1,K61)-1),0)),0)</f>
        <v>0</v>
      </c>
      <c r="AF61" s="53">
        <f t="shared" ref="AF61:AF90" si="14">IFERROR(IF(AND(U61&gt;0,U61&lt;=1,V61&gt;=1),W61,0),0)</f>
        <v>0</v>
      </c>
      <c r="AG61" s="53">
        <f t="shared" ref="AG61:AG90" si="15">IFERROR(IF(AND(U61&gt;0,U61&lt;=2,V61&gt;=2),W61,0),0)</f>
        <v>0</v>
      </c>
      <c r="AH61" s="53">
        <f t="shared" ref="AH61:AH90" si="16">IFERROR(IF(AND(U61&gt;0,U61&lt;=3,V61&gt;=3),W61,0),0)</f>
        <v>0</v>
      </c>
      <c r="AI61" s="53">
        <f t="shared" ref="AI61:AI90" si="17">IFERROR(IF(AND(U61&gt;0,U61&lt;=4,V61&gt;=4),W61,0),0)</f>
        <v>0</v>
      </c>
      <c r="AJ61" s="53">
        <f t="shared" ref="AJ61:AJ90" si="18">IFERROR(IF(AND(U61&gt;0,U61&lt;=5,V61&gt;=5),W61,0),0)</f>
        <v>0</v>
      </c>
      <c r="AK61" s="53">
        <f t="shared" ref="AK61:AK90" si="19">IFERROR(IF(AND(U61&gt;0,U61&lt;=6,V61&gt;=6),W61,0),0)</f>
        <v>0</v>
      </c>
      <c r="AL61" s="53">
        <f t="shared" ref="AL61:AL90" si="20">IFERROR(IF(Y61=1,Z61*S61*IF(AA61=1,1,0)+AB61*S61*IF(AC61=1,1,0)+AD61*S61*IF(AE61=1,1,0),IFERROR(IF(AND(1-X61&gt;=1,1-X61&lt;=6),INDEX(AF61:AK61,1-X61),0),0)),0)</f>
        <v>0</v>
      </c>
      <c r="AM61" s="53">
        <f t="shared" ref="AM61:AM90" si="21">IFERROR(IF(Y61=1,Z61*S61*IF(AA61=2,1,0)+AB61*S61*IF(AC61=2,1,0)+AD61*S61*IF(AE61=2,1,0),IFERROR(IF(AND(2-X61&gt;=1,2-X61&lt;=6),INDEX(AF61:AK61,2-X61),0),0)),0)</f>
        <v>0</v>
      </c>
      <c r="AN61" s="53">
        <f t="shared" ref="AN61:AN90" si="22">IFERROR(IF(Y61=1,Z61*S61*IF(AA61=3,1,0)+AB61*S61*IF(AC61=3,1,0)+AD61*S61*IF(AE61=3,1,0),IFERROR(IF(AND(3-X61&gt;=1,3-X61&lt;=6),INDEX(AF61:AK61,3-X61),0),0)),0)</f>
        <v>0</v>
      </c>
      <c r="AO61" s="53">
        <f t="shared" ref="AO61:AO90" si="23">IFERROR(IF(Y61=1,Z61*S61*IF(AA61=4,1,0)+AB61*S61*IF(AC61=4,1,0)+AD61*S61*IF(AE61=4,1,0),IFERROR(IF(AND(4-X61&gt;=1,4-X61&lt;=6),INDEX(AF61:AK61,4-X61),0),0)),0)</f>
        <v>0</v>
      </c>
      <c r="AP61" s="53">
        <f t="shared" ref="AP61:AP90" si="24">IFERROR(IF(Y61=1,Z61*S61*IF(AA61=5,1,0)+AB61*S61*IF(AC61=5,1,0)+AD61*S61*IF(AE61=5,1,0),IFERROR(IF(AND(5-X61&gt;=1,5-X61&lt;=6),INDEX(AF61:AK61,5-X61),0),0)),0)</f>
        <v>0</v>
      </c>
      <c r="AQ61" s="53">
        <f t="shared" ref="AQ61:AQ90" si="25">IFERROR(IF(Y61=1,Z61*S61*IF(AA61=6,1,0)+AB61*S61*IF(AC61=6,1,0)+AD61*S61*IF(AE61=6,1,0),IFERROR(IF(AND(6-X61&gt;=1,6-X61&lt;=6),INDEX(AF61:AK61,6-X61),0),0)),0)</f>
        <v>0</v>
      </c>
      <c r="AR61" s="53">
        <f t="shared" ref="AR61:AR90" si="26">IFERROR(IF(Y61=1,Z61*S61*IF(AA61=7,1,0)+AB61*S61*IF(AC61=7,1,0)+AD61*S61*IF(AE61=7,1,0),IFERROR(IF(AND(7-X61&gt;=1,7-X61&lt;=6),INDEX(AF61:AK61,7-X61),0),0)),0)</f>
        <v>0</v>
      </c>
      <c r="AS61" s="53">
        <f t="shared" ref="AS61:AS90" si="27">IFERROR(IF(Y61=1,Z61*S61*IF(AA61=8,1,0)+AB61*S61*IF(AC61=8,1,0)+AD61*S61*IF(AE61=8,1,0),IFERROR(IF(AND(8-X61&gt;=1,8-X61&lt;=6),INDEX(AF61:AK61,8-X61),0),0)),0)</f>
        <v>0</v>
      </c>
      <c r="AT61" s="53">
        <f t="shared" ref="AT61:AT90" si="28">SUM(AL61:AN61)</f>
        <v>0</v>
      </c>
      <c r="AU61" s="53">
        <f t="shared" ref="AU61:AU90" si="29">SUM(AL61:AQ61)</f>
        <v>0</v>
      </c>
      <c r="AV61" s="53">
        <f>SUM(AL61:AS61)</f>
        <v>0</v>
      </c>
      <c r="AW61" s="53">
        <f t="shared" ref="AW61:AW90" si="30">SUM(AF61:AK61)</f>
        <v>0</v>
      </c>
    </row>
    <row r="62" spans="1:49" ht="22" customHeight="1" x14ac:dyDescent="0.2">
      <c r="A62" s="1"/>
      <c r="B62" s="25">
        <v>2</v>
      </c>
      <c r="C62" s="42"/>
      <c r="D62" s="42"/>
      <c r="E62" s="42"/>
      <c r="F62" s="42"/>
      <c r="G62" s="43"/>
      <c r="H62" s="49"/>
      <c r="I62" s="5"/>
      <c r="J62" s="46">
        <v>0</v>
      </c>
      <c r="K62" s="46">
        <v>1</v>
      </c>
      <c r="L62" s="42"/>
      <c r="M62" s="50" t="s">
        <v>279</v>
      </c>
      <c r="N62" s="17"/>
      <c r="O62" s="82"/>
      <c r="P62" s="2"/>
      <c r="Q62" s="51">
        <f t="shared" si="0"/>
        <v>0</v>
      </c>
      <c r="R62" s="52">
        <f t="shared" si="1"/>
        <v>0</v>
      </c>
      <c r="S62" s="53">
        <f t="shared" si="2"/>
        <v>0</v>
      </c>
      <c r="T62" s="51">
        <f>IFERROR(MATCH(I62,{"M1","M2","M3","M4","M5","M6"},0),0)</f>
        <v>0</v>
      </c>
      <c r="U62" s="51">
        <f t="shared" si="3"/>
        <v>0</v>
      </c>
      <c r="V62" s="51">
        <f t="shared" si="4"/>
        <v>0</v>
      </c>
      <c r="W62" s="53">
        <f t="shared" si="5"/>
        <v>0</v>
      </c>
      <c r="X62" s="54">
        <f t="shared" si="6"/>
        <v>0</v>
      </c>
      <c r="Y62" s="51">
        <f t="shared" si="7"/>
        <v>0</v>
      </c>
      <c r="Z62" s="55">
        <f t="shared" si="8"/>
        <v>0</v>
      </c>
      <c r="AA62" s="51">
        <f t="shared" si="9"/>
        <v>0</v>
      </c>
      <c r="AB62" s="55">
        <f t="shared" si="10"/>
        <v>0</v>
      </c>
      <c r="AC62" s="51">
        <f t="shared" si="11"/>
        <v>0</v>
      </c>
      <c r="AD62" s="55">
        <f t="shared" si="12"/>
        <v>0</v>
      </c>
      <c r="AE62" s="51">
        <f t="shared" si="13"/>
        <v>0</v>
      </c>
      <c r="AF62" s="53">
        <f t="shared" si="14"/>
        <v>0</v>
      </c>
      <c r="AG62" s="53">
        <f t="shared" si="15"/>
        <v>0</v>
      </c>
      <c r="AH62" s="53">
        <f t="shared" si="16"/>
        <v>0</v>
      </c>
      <c r="AI62" s="53">
        <f t="shared" si="17"/>
        <v>0</v>
      </c>
      <c r="AJ62" s="53">
        <f t="shared" si="18"/>
        <v>0</v>
      </c>
      <c r="AK62" s="53">
        <f t="shared" si="19"/>
        <v>0</v>
      </c>
      <c r="AL62" s="53">
        <f t="shared" si="20"/>
        <v>0</v>
      </c>
      <c r="AM62" s="53">
        <f t="shared" si="21"/>
        <v>0</v>
      </c>
      <c r="AN62" s="53">
        <f t="shared" si="22"/>
        <v>0</v>
      </c>
      <c r="AO62" s="53">
        <f t="shared" si="23"/>
        <v>0</v>
      </c>
      <c r="AP62" s="53">
        <f t="shared" si="24"/>
        <v>0</v>
      </c>
      <c r="AQ62" s="53">
        <f t="shared" si="25"/>
        <v>0</v>
      </c>
      <c r="AR62" s="53">
        <f t="shared" si="26"/>
        <v>0</v>
      </c>
      <c r="AS62" s="53">
        <f t="shared" si="27"/>
        <v>0</v>
      </c>
      <c r="AT62" s="53">
        <f t="shared" si="28"/>
        <v>0</v>
      </c>
      <c r="AU62" s="53">
        <f t="shared" si="29"/>
        <v>0</v>
      </c>
      <c r="AV62" s="53">
        <f t="shared" ref="AV62:AV90" si="31">SUM(AL62:AS62)</f>
        <v>0</v>
      </c>
      <c r="AW62" s="53">
        <f t="shared" si="30"/>
        <v>0</v>
      </c>
    </row>
    <row r="63" spans="1:49" ht="22" customHeight="1" x14ac:dyDescent="0.2">
      <c r="A63" s="1"/>
      <c r="B63" s="25">
        <v>3</v>
      </c>
      <c r="C63" s="42"/>
      <c r="D63" s="42"/>
      <c r="E63" s="42"/>
      <c r="F63" s="42"/>
      <c r="G63" s="43"/>
      <c r="H63" s="49"/>
      <c r="I63" s="5"/>
      <c r="J63" s="46">
        <v>0</v>
      </c>
      <c r="K63" s="46">
        <v>1</v>
      </c>
      <c r="L63" s="42"/>
      <c r="M63" s="50" t="s">
        <v>279</v>
      </c>
      <c r="N63" s="17"/>
      <c r="O63" s="82"/>
      <c r="P63" s="2"/>
      <c r="Q63" s="51">
        <f t="shared" si="0"/>
        <v>0</v>
      </c>
      <c r="R63" s="52">
        <f t="shared" si="1"/>
        <v>0</v>
      </c>
      <c r="S63" s="53">
        <f t="shared" si="2"/>
        <v>0</v>
      </c>
      <c r="T63" s="51">
        <f>IFERROR(MATCH(I63,{"M1","M2","M3","M4","M5","M6"},0),0)</f>
        <v>0</v>
      </c>
      <c r="U63" s="51">
        <f t="shared" si="3"/>
        <v>0</v>
      </c>
      <c r="V63" s="51">
        <f t="shared" si="4"/>
        <v>0</v>
      </c>
      <c r="W63" s="53">
        <f t="shared" si="5"/>
        <v>0</v>
      </c>
      <c r="X63" s="54">
        <f t="shared" si="6"/>
        <v>0</v>
      </c>
      <c r="Y63" s="51">
        <f t="shared" si="7"/>
        <v>0</v>
      </c>
      <c r="Z63" s="55">
        <f t="shared" si="8"/>
        <v>0</v>
      </c>
      <c r="AA63" s="51">
        <f t="shared" si="9"/>
        <v>0</v>
      </c>
      <c r="AB63" s="55">
        <f t="shared" si="10"/>
        <v>0</v>
      </c>
      <c r="AC63" s="51">
        <f t="shared" si="11"/>
        <v>0</v>
      </c>
      <c r="AD63" s="55">
        <f t="shared" si="12"/>
        <v>0</v>
      </c>
      <c r="AE63" s="51">
        <f t="shared" si="13"/>
        <v>0</v>
      </c>
      <c r="AF63" s="53">
        <f t="shared" si="14"/>
        <v>0</v>
      </c>
      <c r="AG63" s="53">
        <f t="shared" si="15"/>
        <v>0</v>
      </c>
      <c r="AH63" s="53">
        <f t="shared" si="16"/>
        <v>0</v>
      </c>
      <c r="AI63" s="53">
        <f t="shared" si="17"/>
        <v>0</v>
      </c>
      <c r="AJ63" s="53">
        <f t="shared" si="18"/>
        <v>0</v>
      </c>
      <c r="AK63" s="53">
        <f t="shared" si="19"/>
        <v>0</v>
      </c>
      <c r="AL63" s="53">
        <f t="shared" si="20"/>
        <v>0</v>
      </c>
      <c r="AM63" s="53">
        <f t="shared" si="21"/>
        <v>0</v>
      </c>
      <c r="AN63" s="53">
        <f t="shared" si="22"/>
        <v>0</v>
      </c>
      <c r="AO63" s="53">
        <f t="shared" si="23"/>
        <v>0</v>
      </c>
      <c r="AP63" s="53">
        <f t="shared" si="24"/>
        <v>0</v>
      </c>
      <c r="AQ63" s="53">
        <f t="shared" si="25"/>
        <v>0</v>
      </c>
      <c r="AR63" s="53">
        <f t="shared" si="26"/>
        <v>0</v>
      </c>
      <c r="AS63" s="53">
        <f t="shared" si="27"/>
        <v>0</v>
      </c>
      <c r="AT63" s="53">
        <f t="shared" si="28"/>
        <v>0</v>
      </c>
      <c r="AU63" s="53">
        <f t="shared" si="29"/>
        <v>0</v>
      </c>
      <c r="AV63" s="53">
        <f t="shared" si="31"/>
        <v>0</v>
      </c>
      <c r="AW63" s="53">
        <f t="shared" si="30"/>
        <v>0</v>
      </c>
    </row>
    <row r="64" spans="1:49" ht="22" customHeight="1" x14ac:dyDescent="0.2">
      <c r="A64" s="1"/>
      <c r="B64" s="25">
        <v>4</v>
      </c>
      <c r="C64" s="42"/>
      <c r="D64" s="42"/>
      <c r="E64" s="42"/>
      <c r="F64" s="42"/>
      <c r="G64" s="43"/>
      <c r="H64" s="49"/>
      <c r="I64" s="5"/>
      <c r="J64" s="46">
        <v>0</v>
      </c>
      <c r="K64" s="46">
        <v>1</v>
      </c>
      <c r="L64" s="42"/>
      <c r="M64" s="50" t="s">
        <v>279</v>
      </c>
      <c r="N64" s="17"/>
      <c r="O64" s="82"/>
      <c r="P64" s="2"/>
      <c r="Q64" s="51">
        <f t="shared" si="0"/>
        <v>0</v>
      </c>
      <c r="R64" s="52">
        <f t="shared" si="1"/>
        <v>0</v>
      </c>
      <c r="S64" s="53">
        <f t="shared" si="2"/>
        <v>0</v>
      </c>
      <c r="T64" s="51">
        <f>IFERROR(MATCH(I64,{"M1","M2","M3","M4","M5","M6"},0),0)</f>
        <v>0</v>
      </c>
      <c r="U64" s="51">
        <f t="shared" si="3"/>
        <v>0</v>
      </c>
      <c r="V64" s="51">
        <f t="shared" si="4"/>
        <v>0</v>
      </c>
      <c r="W64" s="53">
        <f t="shared" si="5"/>
        <v>0</v>
      </c>
      <c r="X64" s="54">
        <f t="shared" si="6"/>
        <v>0</v>
      </c>
      <c r="Y64" s="51">
        <f t="shared" si="7"/>
        <v>0</v>
      </c>
      <c r="Z64" s="55">
        <f t="shared" si="8"/>
        <v>0</v>
      </c>
      <c r="AA64" s="51">
        <f t="shared" si="9"/>
        <v>0</v>
      </c>
      <c r="AB64" s="55">
        <f t="shared" si="10"/>
        <v>0</v>
      </c>
      <c r="AC64" s="51">
        <f t="shared" si="11"/>
        <v>0</v>
      </c>
      <c r="AD64" s="55">
        <f t="shared" si="12"/>
        <v>0</v>
      </c>
      <c r="AE64" s="51">
        <f t="shared" si="13"/>
        <v>0</v>
      </c>
      <c r="AF64" s="53">
        <f t="shared" si="14"/>
        <v>0</v>
      </c>
      <c r="AG64" s="53">
        <f t="shared" si="15"/>
        <v>0</v>
      </c>
      <c r="AH64" s="53">
        <f t="shared" si="16"/>
        <v>0</v>
      </c>
      <c r="AI64" s="53">
        <f t="shared" si="17"/>
        <v>0</v>
      </c>
      <c r="AJ64" s="53">
        <f t="shared" si="18"/>
        <v>0</v>
      </c>
      <c r="AK64" s="53">
        <f t="shared" si="19"/>
        <v>0</v>
      </c>
      <c r="AL64" s="53">
        <f t="shared" si="20"/>
        <v>0</v>
      </c>
      <c r="AM64" s="53">
        <f t="shared" si="21"/>
        <v>0</v>
      </c>
      <c r="AN64" s="53">
        <f t="shared" si="22"/>
        <v>0</v>
      </c>
      <c r="AO64" s="53">
        <f t="shared" si="23"/>
        <v>0</v>
      </c>
      <c r="AP64" s="53">
        <f t="shared" si="24"/>
        <v>0</v>
      </c>
      <c r="AQ64" s="53">
        <f t="shared" si="25"/>
        <v>0</v>
      </c>
      <c r="AR64" s="53">
        <f t="shared" si="26"/>
        <v>0</v>
      </c>
      <c r="AS64" s="53">
        <f t="shared" si="27"/>
        <v>0</v>
      </c>
      <c r="AT64" s="53">
        <f t="shared" si="28"/>
        <v>0</v>
      </c>
      <c r="AU64" s="53">
        <f t="shared" si="29"/>
        <v>0</v>
      </c>
      <c r="AV64" s="53">
        <f t="shared" si="31"/>
        <v>0</v>
      </c>
      <c r="AW64" s="53">
        <f t="shared" si="30"/>
        <v>0</v>
      </c>
    </row>
    <row r="65" spans="1:49" ht="22" customHeight="1" x14ac:dyDescent="0.2">
      <c r="A65" s="1"/>
      <c r="B65" s="25">
        <v>5</v>
      </c>
      <c r="C65" s="42"/>
      <c r="D65" s="42"/>
      <c r="E65" s="42"/>
      <c r="F65" s="42"/>
      <c r="G65" s="43"/>
      <c r="H65" s="49"/>
      <c r="I65" s="5"/>
      <c r="J65" s="46">
        <v>0</v>
      </c>
      <c r="K65" s="46">
        <v>1</v>
      </c>
      <c r="L65" s="42"/>
      <c r="M65" s="50" t="s">
        <v>279</v>
      </c>
      <c r="N65" s="17"/>
      <c r="O65" s="82"/>
      <c r="P65" s="2"/>
      <c r="Q65" s="51">
        <f t="shared" si="0"/>
        <v>0</v>
      </c>
      <c r="R65" s="52">
        <f t="shared" si="1"/>
        <v>0</v>
      </c>
      <c r="S65" s="53">
        <f t="shared" si="2"/>
        <v>0</v>
      </c>
      <c r="T65" s="51">
        <f>IFERROR(MATCH(I65,{"M1","M2","M3","M4","M5","M6"},0),0)</f>
        <v>0</v>
      </c>
      <c r="U65" s="51">
        <f t="shared" si="3"/>
        <v>0</v>
      </c>
      <c r="V65" s="51">
        <f t="shared" si="4"/>
        <v>0</v>
      </c>
      <c r="W65" s="53">
        <f t="shared" si="5"/>
        <v>0</v>
      </c>
      <c r="X65" s="54">
        <f t="shared" si="6"/>
        <v>0</v>
      </c>
      <c r="Y65" s="51">
        <f t="shared" si="7"/>
        <v>0</v>
      </c>
      <c r="Z65" s="55">
        <f t="shared" si="8"/>
        <v>0</v>
      </c>
      <c r="AA65" s="51">
        <f t="shared" si="9"/>
        <v>0</v>
      </c>
      <c r="AB65" s="55">
        <f t="shared" si="10"/>
        <v>0</v>
      </c>
      <c r="AC65" s="51">
        <f t="shared" si="11"/>
        <v>0</v>
      </c>
      <c r="AD65" s="55">
        <f t="shared" si="12"/>
        <v>0</v>
      </c>
      <c r="AE65" s="51">
        <f t="shared" si="13"/>
        <v>0</v>
      </c>
      <c r="AF65" s="53">
        <f t="shared" si="14"/>
        <v>0</v>
      </c>
      <c r="AG65" s="53">
        <f t="shared" si="15"/>
        <v>0</v>
      </c>
      <c r="AH65" s="53">
        <f t="shared" si="16"/>
        <v>0</v>
      </c>
      <c r="AI65" s="53">
        <f t="shared" si="17"/>
        <v>0</v>
      </c>
      <c r="AJ65" s="53">
        <f t="shared" si="18"/>
        <v>0</v>
      </c>
      <c r="AK65" s="53">
        <f t="shared" si="19"/>
        <v>0</v>
      </c>
      <c r="AL65" s="53">
        <f t="shared" si="20"/>
        <v>0</v>
      </c>
      <c r="AM65" s="53">
        <f t="shared" si="21"/>
        <v>0</v>
      </c>
      <c r="AN65" s="53">
        <f t="shared" si="22"/>
        <v>0</v>
      </c>
      <c r="AO65" s="53">
        <f t="shared" si="23"/>
        <v>0</v>
      </c>
      <c r="AP65" s="53">
        <f t="shared" si="24"/>
        <v>0</v>
      </c>
      <c r="AQ65" s="53">
        <f t="shared" si="25"/>
        <v>0</v>
      </c>
      <c r="AR65" s="53">
        <f t="shared" si="26"/>
        <v>0</v>
      </c>
      <c r="AS65" s="53">
        <f t="shared" si="27"/>
        <v>0</v>
      </c>
      <c r="AT65" s="53">
        <f t="shared" si="28"/>
        <v>0</v>
      </c>
      <c r="AU65" s="53">
        <f t="shared" si="29"/>
        <v>0</v>
      </c>
      <c r="AV65" s="53">
        <f t="shared" si="31"/>
        <v>0</v>
      </c>
      <c r="AW65" s="53">
        <f t="shared" si="30"/>
        <v>0</v>
      </c>
    </row>
    <row r="66" spans="1:49" ht="22" customHeight="1" x14ac:dyDescent="0.2">
      <c r="A66" s="1"/>
      <c r="B66" s="25">
        <v>6</v>
      </c>
      <c r="C66" s="42"/>
      <c r="D66" s="42"/>
      <c r="E66" s="42"/>
      <c r="F66" s="42"/>
      <c r="G66" s="43"/>
      <c r="H66" s="49"/>
      <c r="I66" s="5"/>
      <c r="J66" s="46">
        <v>0</v>
      </c>
      <c r="K66" s="46">
        <v>1</v>
      </c>
      <c r="L66" s="42"/>
      <c r="M66" s="50" t="s">
        <v>279</v>
      </c>
      <c r="N66" s="17"/>
      <c r="O66" s="82"/>
      <c r="P66" s="2"/>
      <c r="Q66" s="51">
        <f t="shared" si="0"/>
        <v>0</v>
      </c>
      <c r="R66" s="52">
        <f t="shared" si="1"/>
        <v>0</v>
      </c>
      <c r="S66" s="53">
        <f t="shared" si="2"/>
        <v>0</v>
      </c>
      <c r="T66" s="51">
        <f>IFERROR(MATCH(I66,{"M1","M2","M3","M4","M5","M6"},0),0)</f>
        <v>0</v>
      </c>
      <c r="U66" s="51">
        <f t="shared" si="3"/>
        <v>0</v>
      </c>
      <c r="V66" s="51">
        <f t="shared" si="4"/>
        <v>0</v>
      </c>
      <c r="W66" s="53">
        <f t="shared" si="5"/>
        <v>0</v>
      </c>
      <c r="X66" s="54">
        <f t="shared" si="6"/>
        <v>0</v>
      </c>
      <c r="Y66" s="51">
        <f t="shared" si="7"/>
        <v>0</v>
      </c>
      <c r="Z66" s="55">
        <f t="shared" si="8"/>
        <v>0</v>
      </c>
      <c r="AA66" s="51">
        <f t="shared" si="9"/>
        <v>0</v>
      </c>
      <c r="AB66" s="55">
        <f t="shared" si="10"/>
        <v>0</v>
      </c>
      <c r="AC66" s="51">
        <f t="shared" si="11"/>
        <v>0</v>
      </c>
      <c r="AD66" s="55">
        <f t="shared" si="12"/>
        <v>0</v>
      </c>
      <c r="AE66" s="51">
        <f t="shared" si="13"/>
        <v>0</v>
      </c>
      <c r="AF66" s="53">
        <f t="shared" si="14"/>
        <v>0</v>
      </c>
      <c r="AG66" s="53">
        <f t="shared" si="15"/>
        <v>0</v>
      </c>
      <c r="AH66" s="53">
        <f t="shared" si="16"/>
        <v>0</v>
      </c>
      <c r="AI66" s="53">
        <f t="shared" si="17"/>
        <v>0</v>
      </c>
      <c r="AJ66" s="53">
        <f t="shared" si="18"/>
        <v>0</v>
      </c>
      <c r="AK66" s="53">
        <f t="shared" si="19"/>
        <v>0</v>
      </c>
      <c r="AL66" s="53">
        <f t="shared" si="20"/>
        <v>0</v>
      </c>
      <c r="AM66" s="53">
        <f t="shared" si="21"/>
        <v>0</v>
      </c>
      <c r="AN66" s="53">
        <f t="shared" si="22"/>
        <v>0</v>
      </c>
      <c r="AO66" s="53">
        <f t="shared" si="23"/>
        <v>0</v>
      </c>
      <c r="AP66" s="53">
        <f t="shared" si="24"/>
        <v>0</v>
      </c>
      <c r="AQ66" s="53">
        <f t="shared" si="25"/>
        <v>0</v>
      </c>
      <c r="AR66" s="53">
        <f t="shared" si="26"/>
        <v>0</v>
      </c>
      <c r="AS66" s="53">
        <f t="shared" si="27"/>
        <v>0</v>
      </c>
      <c r="AT66" s="53">
        <f t="shared" si="28"/>
        <v>0</v>
      </c>
      <c r="AU66" s="53">
        <f t="shared" si="29"/>
        <v>0</v>
      </c>
      <c r="AV66" s="53">
        <f t="shared" si="31"/>
        <v>0</v>
      </c>
      <c r="AW66" s="53">
        <f t="shared" si="30"/>
        <v>0</v>
      </c>
    </row>
    <row r="67" spans="1:49" ht="22" customHeight="1" x14ac:dyDescent="0.2">
      <c r="A67" s="1"/>
      <c r="B67" s="25">
        <v>7</v>
      </c>
      <c r="C67" s="42"/>
      <c r="D67" s="42"/>
      <c r="E67" s="42"/>
      <c r="F67" s="42"/>
      <c r="G67" s="43"/>
      <c r="H67" s="49"/>
      <c r="I67" s="5"/>
      <c r="J67" s="46">
        <v>0</v>
      </c>
      <c r="K67" s="46">
        <v>1</v>
      </c>
      <c r="L67" s="42"/>
      <c r="M67" s="50" t="s">
        <v>279</v>
      </c>
      <c r="N67" s="17"/>
      <c r="O67" s="82"/>
      <c r="P67" s="2"/>
      <c r="Q67" s="51">
        <f t="shared" si="0"/>
        <v>0</v>
      </c>
      <c r="R67" s="52">
        <f t="shared" si="1"/>
        <v>0</v>
      </c>
      <c r="S67" s="53">
        <f t="shared" si="2"/>
        <v>0</v>
      </c>
      <c r="T67" s="51">
        <f>IFERROR(MATCH(I67,{"M1","M2","M3","M4","M5","M6"},0),0)</f>
        <v>0</v>
      </c>
      <c r="U67" s="51">
        <f t="shared" si="3"/>
        <v>0</v>
      </c>
      <c r="V67" s="51">
        <f t="shared" si="4"/>
        <v>0</v>
      </c>
      <c r="W67" s="53">
        <f t="shared" si="5"/>
        <v>0</v>
      </c>
      <c r="X67" s="54">
        <f t="shared" si="6"/>
        <v>0</v>
      </c>
      <c r="Y67" s="51">
        <f t="shared" si="7"/>
        <v>0</v>
      </c>
      <c r="Z67" s="55">
        <f t="shared" si="8"/>
        <v>0</v>
      </c>
      <c r="AA67" s="51">
        <f t="shared" si="9"/>
        <v>0</v>
      </c>
      <c r="AB67" s="55">
        <f t="shared" si="10"/>
        <v>0</v>
      </c>
      <c r="AC67" s="51">
        <f t="shared" si="11"/>
        <v>0</v>
      </c>
      <c r="AD67" s="55">
        <f t="shared" si="12"/>
        <v>0</v>
      </c>
      <c r="AE67" s="51">
        <f t="shared" si="13"/>
        <v>0</v>
      </c>
      <c r="AF67" s="53">
        <f t="shared" si="14"/>
        <v>0</v>
      </c>
      <c r="AG67" s="53">
        <f t="shared" si="15"/>
        <v>0</v>
      </c>
      <c r="AH67" s="53">
        <f t="shared" si="16"/>
        <v>0</v>
      </c>
      <c r="AI67" s="53">
        <f t="shared" si="17"/>
        <v>0</v>
      </c>
      <c r="AJ67" s="53">
        <f t="shared" si="18"/>
        <v>0</v>
      </c>
      <c r="AK67" s="53">
        <f t="shared" si="19"/>
        <v>0</v>
      </c>
      <c r="AL67" s="53">
        <f t="shared" si="20"/>
        <v>0</v>
      </c>
      <c r="AM67" s="53">
        <f t="shared" si="21"/>
        <v>0</v>
      </c>
      <c r="AN67" s="53">
        <f t="shared" si="22"/>
        <v>0</v>
      </c>
      <c r="AO67" s="53">
        <f t="shared" si="23"/>
        <v>0</v>
      </c>
      <c r="AP67" s="53">
        <f t="shared" si="24"/>
        <v>0</v>
      </c>
      <c r="AQ67" s="53">
        <f t="shared" si="25"/>
        <v>0</v>
      </c>
      <c r="AR67" s="53">
        <f t="shared" si="26"/>
        <v>0</v>
      </c>
      <c r="AS67" s="53">
        <f t="shared" si="27"/>
        <v>0</v>
      </c>
      <c r="AT67" s="53">
        <f t="shared" si="28"/>
        <v>0</v>
      </c>
      <c r="AU67" s="53">
        <f t="shared" si="29"/>
        <v>0</v>
      </c>
      <c r="AV67" s="53">
        <f t="shared" si="31"/>
        <v>0</v>
      </c>
      <c r="AW67" s="53">
        <f t="shared" si="30"/>
        <v>0</v>
      </c>
    </row>
    <row r="68" spans="1:49" ht="22" customHeight="1" x14ac:dyDescent="0.2">
      <c r="A68" s="1"/>
      <c r="B68" s="25">
        <v>8</v>
      </c>
      <c r="C68" s="42"/>
      <c r="D68" s="42"/>
      <c r="E68" s="42"/>
      <c r="F68" s="42"/>
      <c r="G68" s="43"/>
      <c r="H68" s="49"/>
      <c r="I68" s="5"/>
      <c r="J68" s="46">
        <v>0</v>
      </c>
      <c r="K68" s="46">
        <v>1</v>
      </c>
      <c r="L68" s="42"/>
      <c r="M68" s="50" t="s">
        <v>279</v>
      </c>
      <c r="N68" s="17"/>
      <c r="O68" s="82"/>
      <c r="P68" s="2"/>
      <c r="Q68" s="51">
        <f t="shared" si="0"/>
        <v>0</v>
      </c>
      <c r="R68" s="52">
        <f t="shared" si="1"/>
        <v>0</v>
      </c>
      <c r="S68" s="53">
        <f t="shared" si="2"/>
        <v>0</v>
      </c>
      <c r="T68" s="51">
        <f>IFERROR(MATCH(I68,{"M1","M2","M3","M4","M5","M6"},0),0)</f>
        <v>0</v>
      </c>
      <c r="U68" s="51">
        <f t="shared" si="3"/>
        <v>0</v>
      </c>
      <c r="V68" s="51">
        <f t="shared" si="4"/>
        <v>0</v>
      </c>
      <c r="W68" s="53">
        <f t="shared" si="5"/>
        <v>0</v>
      </c>
      <c r="X68" s="54">
        <f t="shared" si="6"/>
        <v>0</v>
      </c>
      <c r="Y68" s="51">
        <f t="shared" si="7"/>
        <v>0</v>
      </c>
      <c r="Z68" s="55">
        <f t="shared" si="8"/>
        <v>0</v>
      </c>
      <c r="AA68" s="51">
        <f t="shared" si="9"/>
        <v>0</v>
      </c>
      <c r="AB68" s="55">
        <f t="shared" si="10"/>
        <v>0</v>
      </c>
      <c r="AC68" s="51">
        <f t="shared" si="11"/>
        <v>0</v>
      </c>
      <c r="AD68" s="55">
        <f t="shared" si="12"/>
        <v>0</v>
      </c>
      <c r="AE68" s="51">
        <f t="shared" si="13"/>
        <v>0</v>
      </c>
      <c r="AF68" s="53">
        <f t="shared" si="14"/>
        <v>0</v>
      </c>
      <c r="AG68" s="53">
        <f t="shared" si="15"/>
        <v>0</v>
      </c>
      <c r="AH68" s="53">
        <f t="shared" si="16"/>
        <v>0</v>
      </c>
      <c r="AI68" s="53">
        <f t="shared" si="17"/>
        <v>0</v>
      </c>
      <c r="AJ68" s="53">
        <f t="shared" si="18"/>
        <v>0</v>
      </c>
      <c r="AK68" s="53">
        <f t="shared" si="19"/>
        <v>0</v>
      </c>
      <c r="AL68" s="53">
        <f t="shared" si="20"/>
        <v>0</v>
      </c>
      <c r="AM68" s="53">
        <f t="shared" si="21"/>
        <v>0</v>
      </c>
      <c r="AN68" s="53">
        <f t="shared" si="22"/>
        <v>0</v>
      </c>
      <c r="AO68" s="53">
        <f t="shared" si="23"/>
        <v>0</v>
      </c>
      <c r="AP68" s="53">
        <f t="shared" si="24"/>
        <v>0</v>
      </c>
      <c r="AQ68" s="53">
        <f t="shared" si="25"/>
        <v>0</v>
      </c>
      <c r="AR68" s="53">
        <f t="shared" si="26"/>
        <v>0</v>
      </c>
      <c r="AS68" s="53">
        <f t="shared" si="27"/>
        <v>0</v>
      </c>
      <c r="AT68" s="53">
        <f t="shared" si="28"/>
        <v>0</v>
      </c>
      <c r="AU68" s="53">
        <f t="shared" si="29"/>
        <v>0</v>
      </c>
      <c r="AV68" s="53">
        <f t="shared" si="31"/>
        <v>0</v>
      </c>
      <c r="AW68" s="53">
        <f t="shared" si="30"/>
        <v>0</v>
      </c>
    </row>
    <row r="69" spans="1:49" ht="22" customHeight="1" x14ac:dyDescent="0.2">
      <c r="A69" s="1"/>
      <c r="B69" s="25">
        <v>9</v>
      </c>
      <c r="C69" s="42"/>
      <c r="D69" s="42"/>
      <c r="E69" s="42"/>
      <c r="F69" s="42"/>
      <c r="G69" s="43"/>
      <c r="H69" s="49"/>
      <c r="I69" s="5"/>
      <c r="J69" s="46">
        <v>0</v>
      </c>
      <c r="K69" s="46">
        <v>1</v>
      </c>
      <c r="L69" s="42"/>
      <c r="M69" s="50" t="s">
        <v>279</v>
      </c>
      <c r="N69" s="17"/>
      <c r="O69" s="82"/>
      <c r="P69" s="2"/>
      <c r="Q69" s="51">
        <f t="shared" si="0"/>
        <v>0</v>
      </c>
      <c r="R69" s="52">
        <f t="shared" si="1"/>
        <v>0</v>
      </c>
      <c r="S69" s="53">
        <f t="shared" si="2"/>
        <v>0</v>
      </c>
      <c r="T69" s="51">
        <f>IFERROR(MATCH(I69,{"M1","M2","M3","M4","M5","M6"},0),0)</f>
        <v>0</v>
      </c>
      <c r="U69" s="51">
        <f t="shared" si="3"/>
        <v>0</v>
      </c>
      <c r="V69" s="51">
        <f t="shared" si="4"/>
        <v>0</v>
      </c>
      <c r="W69" s="53">
        <f t="shared" si="5"/>
        <v>0</v>
      </c>
      <c r="X69" s="54">
        <f t="shared" si="6"/>
        <v>0</v>
      </c>
      <c r="Y69" s="51">
        <f t="shared" si="7"/>
        <v>0</v>
      </c>
      <c r="Z69" s="55">
        <f t="shared" si="8"/>
        <v>0</v>
      </c>
      <c r="AA69" s="51">
        <f t="shared" si="9"/>
        <v>0</v>
      </c>
      <c r="AB69" s="55">
        <f t="shared" si="10"/>
        <v>0</v>
      </c>
      <c r="AC69" s="51">
        <f t="shared" si="11"/>
        <v>0</v>
      </c>
      <c r="AD69" s="55">
        <f t="shared" si="12"/>
        <v>0</v>
      </c>
      <c r="AE69" s="51">
        <f t="shared" si="13"/>
        <v>0</v>
      </c>
      <c r="AF69" s="53">
        <f t="shared" si="14"/>
        <v>0</v>
      </c>
      <c r="AG69" s="53">
        <f t="shared" si="15"/>
        <v>0</v>
      </c>
      <c r="AH69" s="53">
        <f t="shared" si="16"/>
        <v>0</v>
      </c>
      <c r="AI69" s="53">
        <f t="shared" si="17"/>
        <v>0</v>
      </c>
      <c r="AJ69" s="53">
        <f t="shared" si="18"/>
        <v>0</v>
      </c>
      <c r="AK69" s="53">
        <f t="shared" si="19"/>
        <v>0</v>
      </c>
      <c r="AL69" s="53">
        <f t="shared" si="20"/>
        <v>0</v>
      </c>
      <c r="AM69" s="53">
        <f t="shared" si="21"/>
        <v>0</v>
      </c>
      <c r="AN69" s="53">
        <f t="shared" si="22"/>
        <v>0</v>
      </c>
      <c r="AO69" s="53">
        <f t="shared" si="23"/>
        <v>0</v>
      </c>
      <c r="AP69" s="53">
        <f t="shared" si="24"/>
        <v>0</v>
      </c>
      <c r="AQ69" s="53">
        <f t="shared" si="25"/>
        <v>0</v>
      </c>
      <c r="AR69" s="53">
        <f t="shared" si="26"/>
        <v>0</v>
      </c>
      <c r="AS69" s="53">
        <f t="shared" si="27"/>
        <v>0</v>
      </c>
      <c r="AT69" s="53">
        <f t="shared" si="28"/>
        <v>0</v>
      </c>
      <c r="AU69" s="53">
        <f t="shared" si="29"/>
        <v>0</v>
      </c>
      <c r="AV69" s="53">
        <f t="shared" si="31"/>
        <v>0</v>
      </c>
      <c r="AW69" s="53">
        <f t="shared" si="30"/>
        <v>0</v>
      </c>
    </row>
    <row r="70" spans="1:49" ht="22" customHeight="1" x14ac:dyDescent="0.2">
      <c r="A70" s="1"/>
      <c r="B70" s="25">
        <v>10</v>
      </c>
      <c r="C70" s="42"/>
      <c r="D70" s="42"/>
      <c r="E70" s="42"/>
      <c r="F70" s="42"/>
      <c r="G70" s="43"/>
      <c r="H70" s="49"/>
      <c r="I70" s="5"/>
      <c r="J70" s="46">
        <v>0</v>
      </c>
      <c r="K70" s="46">
        <v>1</v>
      </c>
      <c r="L70" s="42"/>
      <c r="M70" s="50" t="s">
        <v>279</v>
      </c>
      <c r="N70" s="17"/>
      <c r="O70" s="82"/>
      <c r="P70" s="2"/>
      <c r="Q70" s="51">
        <f t="shared" si="0"/>
        <v>0</v>
      </c>
      <c r="R70" s="52">
        <f t="shared" si="1"/>
        <v>0</v>
      </c>
      <c r="S70" s="53">
        <f t="shared" si="2"/>
        <v>0</v>
      </c>
      <c r="T70" s="51">
        <f>IFERROR(MATCH(I70,{"M1","M2","M3","M4","M5","M6"},0),0)</f>
        <v>0</v>
      </c>
      <c r="U70" s="51">
        <f t="shared" si="3"/>
        <v>0</v>
      </c>
      <c r="V70" s="51">
        <f t="shared" si="4"/>
        <v>0</v>
      </c>
      <c r="W70" s="53">
        <f t="shared" si="5"/>
        <v>0</v>
      </c>
      <c r="X70" s="54">
        <f t="shared" si="6"/>
        <v>0</v>
      </c>
      <c r="Y70" s="51">
        <f t="shared" si="7"/>
        <v>0</v>
      </c>
      <c r="Z70" s="55">
        <f t="shared" si="8"/>
        <v>0</v>
      </c>
      <c r="AA70" s="51">
        <f t="shared" si="9"/>
        <v>0</v>
      </c>
      <c r="AB70" s="55">
        <f t="shared" si="10"/>
        <v>0</v>
      </c>
      <c r="AC70" s="51">
        <f t="shared" si="11"/>
        <v>0</v>
      </c>
      <c r="AD70" s="55">
        <f t="shared" si="12"/>
        <v>0</v>
      </c>
      <c r="AE70" s="51">
        <f t="shared" si="13"/>
        <v>0</v>
      </c>
      <c r="AF70" s="53">
        <f t="shared" si="14"/>
        <v>0</v>
      </c>
      <c r="AG70" s="53">
        <f t="shared" si="15"/>
        <v>0</v>
      </c>
      <c r="AH70" s="53">
        <f t="shared" si="16"/>
        <v>0</v>
      </c>
      <c r="AI70" s="53">
        <f t="shared" si="17"/>
        <v>0</v>
      </c>
      <c r="AJ70" s="53">
        <f t="shared" si="18"/>
        <v>0</v>
      </c>
      <c r="AK70" s="53">
        <f t="shared" si="19"/>
        <v>0</v>
      </c>
      <c r="AL70" s="53">
        <f t="shared" si="20"/>
        <v>0</v>
      </c>
      <c r="AM70" s="53">
        <f t="shared" si="21"/>
        <v>0</v>
      </c>
      <c r="AN70" s="53">
        <f t="shared" si="22"/>
        <v>0</v>
      </c>
      <c r="AO70" s="53">
        <f t="shared" si="23"/>
        <v>0</v>
      </c>
      <c r="AP70" s="53">
        <f t="shared" si="24"/>
        <v>0</v>
      </c>
      <c r="AQ70" s="53">
        <f t="shared" si="25"/>
        <v>0</v>
      </c>
      <c r="AR70" s="53">
        <f t="shared" si="26"/>
        <v>0</v>
      </c>
      <c r="AS70" s="53">
        <f t="shared" si="27"/>
        <v>0</v>
      </c>
      <c r="AT70" s="53">
        <f t="shared" si="28"/>
        <v>0</v>
      </c>
      <c r="AU70" s="53">
        <f t="shared" si="29"/>
        <v>0</v>
      </c>
      <c r="AV70" s="53">
        <f t="shared" si="31"/>
        <v>0</v>
      </c>
      <c r="AW70" s="53">
        <f t="shared" si="30"/>
        <v>0</v>
      </c>
    </row>
    <row r="71" spans="1:49" ht="22" customHeight="1" x14ac:dyDescent="0.2">
      <c r="A71" s="1"/>
      <c r="B71" s="25">
        <v>11</v>
      </c>
      <c r="C71" s="42"/>
      <c r="D71" s="42"/>
      <c r="E71" s="42"/>
      <c r="F71" s="42"/>
      <c r="G71" s="43"/>
      <c r="H71" s="49"/>
      <c r="I71" s="5"/>
      <c r="J71" s="46">
        <v>0</v>
      </c>
      <c r="K71" s="46">
        <v>1</v>
      </c>
      <c r="L71" s="42"/>
      <c r="M71" s="50" t="s">
        <v>279</v>
      </c>
      <c r="N71" s="17"/>
      <c r="O71" s="82"/>
      <c r="P71" s="2"/>
      <c r="Q71" s="51">
        <f t="shared" si="0"/>
        <v>0</v>
      </c>
      <c r="R71" s="52">
        <f t="shared" si="1"/>
        <v>0</v>
      </c>
      <c r="S71" s="53">
        <f t="shared" si="2"/>
        <v>0</v>
      </c>
      <c r="T71" s="51">
        <f>IFERROR(MATCH(I71,{"M1","M2","M3","M4","M5","M6"},0),0)</f>
        <v>0</v>
      </c>
      <c r="U71" s="51">
        <f t="shared" si="3"/>
        <v>0</v>
      </c>
      <c r="V71" s="51">
        <f t="shared" si="4"/>
        <v>0</v>
      </c>
      <c r="W71" s="53">
        <f t="shared" si="5"/>
        <v>0</v>
      </c>
      <c r="X71" s="54">
        <f t="shared" si="6"/>
        <v>0</v>
      </c>
      <c r="Y71" s="51">
        <f t="shared" si="7"/>
        <v>0</v>
      </c>
      <c r="Z71" s="55">
        <f t="shared" si="8"/>
        <v>0</v>
      </c>
      <c r="AA71" s="51">
        <f t="shared" si="9"/>
        <v>0</v>
      </c>
      <c r="AB71" s="55">
        <f t="shared" si="10"/>
        <v>0</v>
      </c>
      <c r="AC71" s="51">
        <f t="shared" si="11"/>
        <v>0</v>
      </c>
      <c r="AD71" s="55">
        <f t="shared" si="12"/>
        <v>0</v>
      </c>
      <c r="AE71" s="51">
        <f t="shared" si="13"/>
        <v>0</v>
      </c>
      <c r="AF71" s="53">
        <f t="shared" si="14"/>
        <v>0</v>
      </c>
      <c r="AG71" s="53">
        <f t="shared" si="15"/>
        <v>0</v>
      </c>
      <c r="AH71" s="53">
        <f t="shared" si="16"/>
        <v>0</v>
      </c>
      <c r="AI71" s="53">
        <f t="shared" si="17"/>
        <v>0</v>
      </c>
      <c r="AJ71" s="53">
        <f t="shared" si="18"/>
        <v>0</v>
      </c>
      <c r="AK71" s="53">
        <f t="shared" si="19"/>
        <v>0</v>
      </c>
      <c r="AL71" s="53">
        <f t="shared" si="20"/>
        <v>0</v>
      </c>
      <c r="AM71" s="53">
        <f t="shared" si="21"/>
        <v>0</v>
      </c>
      <c r="AN71" s="53">
        <f t="shared" si="22"/>
        <v>0</v>
      </c>
      <c r="AO71" s="53">
        <f t="shared" si="23"/>
        <v>0</v>
      </c>
      <c r="AP71" s="53">
        <f t="shared" si="24"/>
        <v>0</v>
      </c>
      <c r="AQ71" s="53">
        <f t="shared" si="25"/>
        <v>0</v>
      </c>
      <c r="AR71" s="53">
        <f t="shared" si="26"/>
        <v>0</v>
      </c>
      <c r="AS71" s="53">
        <f t="shared" si="27"/>
        <v>0</v>
      </c>
      <c r="AT71" s="53">
        <f t="shared" si="28"/>
        <v>0</v>
      </c>
      <c r="AU71" s="53">
        <f t="shared" si="29"/>
        <v>0</v>
      </c>
      <c r="AV71" s="53">
        <f t="shared" si="31"/>
        <v>0</v>
      </c>
      <c r="AW71" s="53">
        <f t="shared" si="30"/>
        <v>0</v>
      </c>
    </row>
    <row r="72" spans="1:49" ht="22" customHeight="1" x14ac:dyDescent="0.2">
      <c r="A72" s="1"/>
      <c r="B72" s="25">
        <v>12</v>
      </c>
      <c r="C72" s="42"/>
      <c r="D72" s="42"/>
      <c r="E72" s="42"/>
      <c r="F72" s="42"/>
      <c r="G72" s="43"/>
      <c r="H72" s="49"/>
      <c r="I72" s="5"/>
      <c r="J72" s="46">
        <v>0</v>
      </c>
      <c r="K72" s="46">
        <v>1</v>
      </c>
      <c r="L72" s="42"/>
      <c r="M72" s="50" t="s">
        <v>279</v>
      </c>
      <c r="N72" s="17"/>
      <c r="O72" s="82"/>
      <c r="P72" s="2"/>
      <c r="Q72" s="51">
        <f t="shared" si="0"/>
        <v>0</v>
      </c>
      <c r="R72" s="52">
        <f t="shared" si="1"/>
        <v>0</v>
      </c>
      <c r="S72" s="53">
        <f t="shared" si="2"/>
        <v>0</v>
      </c>
      <c r="T72" s="51">
        <f>IFERROR(MATCH(I72,{"M1","M2","M3","M4","M5","M6"},0),0)</f>
        <v>0</v>
      </c>
      <c r="U72" s="51">
        <f t="shared" si="3"/>
        <v>0</v>
      </c>
      <c r="V72" s="51">
        <f t="shared" si="4"/>
        <v>0</v>
      </c>
      <c r="W72" s="53">
        <f t="shared" si="5"/>
        <v>0</v>
      </c>
      <c r="X72" s="54">
        <f t="shared" si="6"/>
        <v>0</v>
      </c>
      <c r="Y72" s="51">
        <f t="shared" si="7"/>
        <v>0</v>
      </c>
      <c r="Z72" s="55">
        <f t="shared" si="8"/>
        <v>0</v>
      </c>
      <c r="AA72" s="51">
        <f t="shared" si="9"/>
        <v>0</v>
      </c>
      <c r="AB72" s="55">
        <f t="shared" si="10"/>
        <v>0</v>
      </c>
      <c r="AC72" s="51">
        <f t="shared" si="11"/>
        <v>0</v>
      </c>
      <c r="AD72" s="55">
        <f t="shared" si="12"/>
        <v>0</v>
      </c>
      <c r="AE72" s="51">
        <f t="shared" si="13"/>
        <v>0</v>
      </c>
      <c r="AF72" s="53">
        <f t="shared" si="14"/>
        <v>0</v>
      </c>
      <c r="AG72" s="53">
        <f t="shared" si="15"/>
        <v>0</v>
      </c>
      <c r="AH72" s="53">
        <f t="shared" si="16"/>
        <v>0</v>
      </c>
      <c r="AI72" s="53">
        <f t="shared" si="17"/>
        <v>0</v>
      </c>
      <c r="AJ72" s="53">
        <f t="shared" si="18"/>
        <v>0</v>
      </c>
      <c r="AK72" s="53">
        <f t="shared" si="19"/>
        <v>0</v>
      </c>
      <c r="AL72" s="53">
        <f t="shared" si="20"/>
        <v>0</v>
      </c>
      <c r="AM72" s="53">
        <f t="shared" si="21"/>
        <v>0</v>
      </c>
      <c r="AN72" s="53">
        <f t="shared" si="22"/>
        <v>0</v>
      </c>
      <c r="AO72" s="53">
        <f t="shared" si="23"/>
        <v>0</v>
      </c>
      <c r="AP72" s="53">
        <f t="shared" si="24"/>
        <v>0</v>
      </c>
      <c r="AQ72" s="53">
        <f t="shared" si="25"/>
        <v>0</v>
      </c>
      <c r="AR72" s="53">
        <f t="shared" si="26"/>
        <v>0</v>
      </c>
      <c r="AS72" s="53">
        <f t="shared" si="27"/>
        <v>0</v>
      </c>
      <c r="AT72" s="53">
        <f t="shared" si="28"/>
        <v>0</v>
      </c>
      <c r="AU72" s="53">
        <f t="shared" si="29"/>
        <v>0</v>
      </c>
      <c r="AV72" s="53">
        <f t="shared" si="31"/>
        <v>0</v>
      </c>
      <c r="AW72" s="53">
        <f t="shared" si="30"/>
        <v>0</v>
      </c>
    </row>
    <row r="73" spans="1:49" ht="22" customHeight="1" x14ac:dyDescent="0.2">
      <c r="A73" s="1"/>
      <c r="B73" s="25">
        <v>13</v>
      </c>
      <c r="C73" s="42"/>
      <c r="D73" s="42"/>
      <c r="E73" s="42"/>
      <c r="F73" s="42"/>
      <c r="G73" s="43"/>
      <c r="H73" s="49"/>
      <c r="I73" s="5"/>
      <c r="J73" s="46">
        <v>0</v>
      </c>
      <c r="K73" s="46">
        <v>1</v>
      </c>
      <c r="L73" s="42"/>
      <c r="M73" s="50" t="s">
        <v>279</v>
      </c>
      <c r="N73" s="17"/>
      <c r="O73" s="82"/>
      <c r="P73" s="2"/>
      <c r="Q73" s="51">
        <f t="shared" si="0"/>
        <v>0</v>
      </c>
      <c r="R73" s="52">
        <f t="shared" si="1"/>
        <v>0</v>
      </c>
      <c r="S73" s="53">
        <f t="shared" si="2"/>
        <v>0</v>
      </c>
      <c r="T73" s="51">
        <f>IFERROR(MATCH(I73,{"M1","M2","M3","M4","M5","M6"},0),0)</f>
        <v>0</v>
      </c>
      <c r="U73" s="51">
        <f t="shared" si="3"/>
        <v>0</v>
      </c>
      <c r="V73" s="51">
        <f t="shared" si="4"/>
        <v>0</v>
      </c>
      <c r="W73" s="53">
        <f t="shared" si="5"/>
        <v>0</v>
      </c>
      <c r="X73" s="54">
        <f t="shared" si="6"/>
        <v>0</v>
      </c>
      <c r="Y73" s="51">
        <f t="shared" si="7"/>
        <v>0</v>
      </c>
      <c r="Z73" s="55">
        <f t="shared" si="8"/>
        <v>0</v>
      </c>
      <c r="AA73" s="51">
        <f t="shared" si="9"/>
        <v>0</v>
      </c>
      <c r="AB73" s="55">
        <f t="shared" si="10"/>
        <v>0</v>
      </c>
      <c r="AC73" s="51">
        <f t="shared" si="11"/>
        <v>0</v>
      </c>
      <c r="AD73" s="55">
        <f t="shared" si="12"/>
        <v>0</v>
      </c>
      <c r="AE73" s="51">
        <f t="shared" si="13"/>
        <v>0</v>
      </c>
      <c r="AF73" s="53">
        <f t="shared" si="14"/>
        <v>0</v>
      </c>
      <c r="AG73" s="53">
        <f t="shared" si="15"/>
        <v>0</v>
      </c>
      <c r="AH73" s="53">
        <f t="shared" si="16"/>
        <v>0</v>
      </c>
      <c r="AI73" s="53">
        <f t="shared" si="17"/>
        <v>0</v>
      </c>
      <c r="AJ73" s="53">
        <f t="shared" si="18"/>
        <v>0</v>
      </c>
      <c r="AK73" s="53">
        <f t="shared" si="19"/>
        <v>0</v>
      </c>
      <c r="AL73" s="53">
        <f t="shared" si="20"/>
        <v>0</v>
      </c>
      <c r="AM73" s="53">
        <f t="shared" si="21"/>
        <v>0</v>
      </c>
      <c r="AN73" s="53">
        <f t="shared" si="22"/>
        <v>0</v>
      </c>
      <c r="AO73" s="53">
        <f t="shared" si="23"/>
        <v>0</v>
      </c>
      <c r="AP73" s="53">
        <f t="shared" si="24"/>
        <v>0</v>
      </c>
      <c r="AQ73" s="53">
        <f t="shared" si="25"/>
        <v>0</v>
      </c>
      <c r="AR73" s="53">
        <f t="shared" si="26"/>
        <v>0</v>
      </c>
      <c r="AS73" s="53">
        <f t="shared" si="27"/>
        <v>0</v>
      </c>
      <c r="AT73" s="53">
        <f t="shared" si="28"/>
        <v>0</v>
      </c>
      <c r="AU73" s="53">
        <f t="shared" si="29"/>
        <v>0</v>
      </c>
      <c r="AV73" s="53">
        <f t="shared" si="31"/>
        <v>0</v>
      </c>
      <c r="AW73" s="53">
        <f t="shared" si="30"/>
        <v>0</v>
      </c>
    </row>
    <row r="74" spans="1:49" ht="22" customHeight="1" x14ac:dyDescent="0.2">
      <c r="A74" s="1"/>
      <c r="B74" s="25">
        <v>14</v>
      </c>
      <c r="C74" s="42"/>
      <c r="D74" s="42"/>
      <c r="E74" s="42"/>
      <c r="F74" s="42"/>
      <c r="G74" s="43"/>
      <c r="H74" s="49"/>
      <c r="I74" s="5"/>
      <c r="J74" s="46">
        <v>0</v>
      </c>
      <c r="K74" s="46">
        <v>1</v>
      </c>
      <c r="L74" s="42"/>
      <c r="M74" s="50" t="s">
        <v>279</v>
      </c>
      <c r="N74" s="17"/>
      <c r="O74" s="82"/>
      <c r="P74" s="2"/>
      <c r="Q74" s="51">
        <f t="shared" si="0"/>
        <v>0</v>
      </c>
      <c r="R74" s="52">
        <f t="shared" si="1"/>
        <v>0</v>
      </c>
      <c r="S74" s="53">
        <f t="shared" si="2"/>
        <v>0</v>
      </c>
      <c r="T74" s="51">
        <f>IFERROR(MATCH(I74,{"M1","M2","M3","M4","M5","M6"},0),0)</f>
        <v>0</v>
      </c>
      <c r="U74" s="51">
        <f t="shared" si="3"/>
        <v>0</v>
      </c>
      <c r="V74" s="51">
        <f t="shared" si="4"/>
        <v>0</v>
      </c>
      <c r="W74" s="53">
        <f t="shared" si="5"/>
        <v>0</v>
      </c>
      <c r="X74" s="54">
        <f t="shared" si="6"/>
        <v>0</v>
      </c>
      <c r="Y74" s="51">
        <f t="shared" si="7"/>
        <v>0</v>
      </c>
      <c r="Z74" s="55">
        <f t="shared" si="8"/>
        <v>0</v>
      </c>
      <c r="AA74" s="51">
        <f t="shared" si="9"/>
        <v>0</v>
      </c>
      <c r="AB74" s="55">
        <f t="shared" si="10"/>
        <v>0</v>
      </c>
      <c r="AC74" s="51">
        <f t="shared" si="11"/>
        <v>0</v>
      </c>
      <c r="AD74" s="55">
        <f t="shared" si="12"/>
        <v>0</v>
      </c>
      <c r="AE74" s="51">
        <f t="shared" si="13"/>
        <v>0</v>
      </c>
      <c r="AF74" s="53">
        <f t="shared" si="14"/>
        <v>0</v>
      </c>
      <c r="AG74" s="53">
        <f t="shared" si="15"/>
        <v>0</v>
      </c>
      <c r="AH74" s="53">
        <f t="shared" si="16"/>
        <v>0</v>
      </c>
      <c r="AI74" s="53">
        <f t="shared" si="17"/>
        <v>0</v>
      </c>
      <c r="AJ74" s="53">
        <f t="shared" si="18"/>
        <v>0</v>
      </c>
      <c r="AK74" s="53">
        <f t="shared" si="19"/>
        <v>0</v>
      </c>
      <c r="AL74" s="53">
        <f t="shared" si="20"/>
        <v>0</v>
      </c>
      <c r="AM74" s="53">
        <f t="shared" si="21"/>
        <v>0</v>
      </c>
      <c r="AN74" s="53">
        <f t="shared" si="22"/>
        <v>0</v>
      </c>
      <c r="AO74" s="53">
        <f t="shared" si="23"/>
        <v>0</v>
      </c>
      <c r="AP74" s="53">
        <f t="shared" si="24"/>
        <v>0</v>
      </c>
      <c r="AQ74" s="53">
        <f t="shared" si="25"/>
        <v>0</v>
      </c>
      <c r="AR74" s="53">
        <f t="shared" si="26"/>
        <v>0</v>
      </c>
      <c r="AS74" s="53">
        <f t="shared" si="27"/>
        <v>0</v>
      </c>
      <c r="AT74" s="53">
        <f t="shared" si="28"/>
        <v>0</v>
      </c>
      <c r="AU74" s="53">
        <f t="shared" si="29"/>
        <v>0</v>
      </c>
      <c r="AV74" s="53">
        <f t="shared" si="31"/>
        <v>0</v>
      </c>
      <c r="AW74" s="53">
        <f t="shared" si="30"/>
        <v>0</v>
      </c>
    </row>
    <row r="75" spans="1:49" ht="22" customHeight="1" x14ac:dyDescent="0.2">
      <c r="A75" s="1"/>
      <c r="B75" s="25">
        <v>15</v>
      </c>
      <c r="C75" s="42"/>
      <c r="D75" s="42"/>
      <c r="E75" s="42"/>
      <c r="F75" s="42"/>
      <c r="G75" s="43"/>
      <c r="H75" s="49"/>
      <c r="I75" s="5"/>
      <c r="J75" s="46">
        <v>0</v>
      </c>
      <c r="K75" s="46">
        <v>1</v>
      </c>
      <c r="L75" s="42"/>
      <c r="M75" s="50" t="s">
        <v>279</v>
      </c>
      <c r="N75" s="17"/>
      <c r="O75" s="82"/>
      <c r="P75" s="2"/>
      <c r="Q75" s="51">
        <f t="shared" si="0"/>
        <v>0</v>
      </c>
      <c r="R75" s="52">
        <f t="shared" si="1"/>
        <v>0</v>
      </c>
      <c r="S75" s="53">
        <f t="shared" si="2"/>
        <v>0</v>
      </c>
      <c r="T75" s="51">
        <f>IFERROR(MATCH(I75,{"M1","M2","M3","M4","M5","M6"},0),0)</f>
        <v>0</v>
      </c>
      <c r="U75" s="51">
        <f t="shared" si="3"/>
        <v>0</v>
      </c>
      <c r="V75" s="51">
        <f t="shared" si="4"/>
        <v>0</v>
      </c>
      <c r="W75" s="53">
        <f t="shared" si="5"/>
        <v>0</v>
      </c>
      <c r="X75" s="54">
        <f t="shared" si="6"/>
        <v>0</v>
      </c>
      <c r="Y75" s="51">
        <f t="shared" si="7"/>
        <v>0</v>
      </c>
      <c r="Z75" s="55">
        <f t="shared" si="8"/>
        <v>0</v>
      </c>
      <c r="AA75" s="51">
        <f t="shared" si="9"/>
        <v>0</v>
      </c>
      <c r="AB75" s="55">
        <f t="shared" si="10"/>
        <v>0</v>
      </c>
      <c r="AC75" s="51">
        <f t="shared" si="11"/>
        <v>0</v>
      </c>
      <c r="AD75" s="55">
        <f t="shared" si="12"/>
        <v>0</v>
      </c>
      <c r="AE75" s="51">
        <f t="shared" si="13"/>
        <v>0</v>
      </c>
      <c r="AF75" s="53">
        <f t="shared" si="14"/>
        <v>0</v>
      </c>
      <c r="AG75" s="53">
        <f t="shared" si="15"/>
        <v>0</v>
      </c>
      <c r="AH75" s="53">
        <f t="shared" si="16"/>
        <v>0</v>
      </c>
      <c r="AI75" s="53">
        <f t="shared" si="17"/>
        <v>0</v>
      </c>
      <c r="AJ75" s="53">
        <f t="shared" si="18"/>
        <v>0</v>
      </c>
      <c r="AK75" s="53">
        <f t="shared" si="19"/>
        <v>0</v>
      </c>
      <c r="AL75" s="53">
        <f t="shared" si="20"/>
        <v>0</v>
      </c>
      <c r="AM75" s="53">
        <f t="shared" si="21"/>
        <v>0</v>
      </c>
      <c r="AN75" s="53">
        <f t="shared" si="22"/>
        <v>0</v>
      </c>
      <c r="AO75" s="53">
        <f t="shared" si="23"/>
        <v>0</v>
      </c>
      <c r="AP75" s="53">
        <f t="shared" si="24"/>
        <v>0</v>
      </c>
      <c r="AQ75" s="53">
        <f t="shared" si="25"/>
        <v>0</v>
      </c>
      <c r="AR75" s="53">
        <f t="shared" si="26"/>
        <v>0</v>
      </c>
      <c r="AS75" s="53">
        <f t="shared" si="27"/>
        <v>0</v>
      </c>
      <c r="AT75" s="53">
        <f t="shared" si="28"/>
        <v>0</v>
      </c>
      <c r="AU75" s="53">
        <f t="shared" si="29"/>
        <v>0</v>
      </c>
      <c r="AV75" s="53">
        <f t="shared" si="31"/>
        <v>0</v>
      </c>
      <c r="AW75" s="53">
        <f t="shared" si="30"/>
        <v>0</v>
      </c>
    </row>
    <row r="76" spans="1:49" ht="22" customHeight="1" x14ac:dyDescent="0.2">
      <c r="A76" s="1"/>
      <c r="B76" s="25">
        <v>16</v>
      </c>
      <c r="C76" s="42"/>
      <c r="D76" s="42"/>
      <c r="E76" s="42"/>
      <c r="F76" s="42"/>
      <c r="G76" s="43"/>
      <c r="H76" s="49"/>
      <c r="I76" s="5"/>
      <c r="J76" s="46">
        <v>0</v>
      </c>
      <c r="K76" s="46">
        <v>1</v>
      </c>
      <c r="L76" s="42"/>
      <c r="M76" s="50" t="s">
        <v>279</v>
      </c>
      <c r="N76" s="17"/>
      <c r="O76" s="82"/>
      <c r="P76" s="2"/>
      <c r="Q76" s="51">
        <f t="shared" si="0"/>
        <v>0</v>
      </c>
      <c r="R76" s="52">
        <f t="shared" si="1"/>
        <v>0</v>
      </c>
      <c r="S76" s="53">
        <f t="shared" si="2"/>
        <v>0</v>
      </c>
      <c r="T76" s="51">
        <f>IFERROR(MATCH(I76,{"M1","M2","M3","M4","M5","M6"},0),0)</f>
        <v>0</v>
      </c>
      <c r="U76" s="51">
        <f t="shared" si="3"/>
        <v>0</v>
      </c>
      <c r="V76" s="51">
        <f t="shared" si="4"/>
        <v>0</v>
      </c>
      <c r="W76" s="53">
        <f t="shared" si="5"/>
        <v>0</v>
      </c>
      <c r="X76" s="54">
        <f t="shared" si="6"/>
        <v>0</v>
      </c>
      <c r="Y76" s="51">
        <f t="shared" si="7"/>
        <v>0</v>
      </c>
      <c r="Z76" s="55">
        <f t="shared" si="8"/>
        <v>0</v>
      </c>
      <c r="AA76" s="51">
        <f t="shared" si="9"/>
        <v>0</v>
      </c>
      <c r="AB76" s="55">
        <f t="shared" si="10"/>
        <v>0</v>
      </c>
      <c r="AC76" s="51">
        <f t="shared" si="11"/>
        <v>0</v>
      </c>
      <c r="AD76" s="55">
        <f t="shared" si="12"/>
        <v>0</v>
      </c>
      <c r="AE76" s="51">
        <f t="shared" si="13"/>
        <v>0</v>
      </c>
      <c r="AF76" s="53">
        <f t="shared" si="14"/>
        <v>0</v>
      </c>
      <c r="AG76" s="53">
        <f t="shared" si="15"/>
        <v>0</v>
      </c>
      <c r="AH76" s="53">
        <f t="shared" si="16"/>
        <v>0</v>
      </c>
      <c r="AI76" s="53">
        <f t="shared" si="17"/>
        <v>0</v>
      </c>
      <c r="AJ76" s="53">
        <f t="shared" si="18"/>
        <v>0</v>
      </c>
      <c r="AK76" s="53">
        <f t="shared" si="19"/>
        <v>0</v>
      </c>
      <c r="AL76" s="53">
        <f t="shared" si="20"/>
        <v>0</v>
      </c>
      <c r="AM76" s="53">
        <f t="shared" si="21"/>
        <v>0</v>
      </c>
      <c r="AN76" s="53">
        <f t="shared" si="22"/>
        <v>0</v>
      </c>
      <c r="AO76" s="53">
        <f t="shared" si="23"/>
        <v>0</v>
      </c>
      <c r="AP76" s="53">
        <f t="shared" si="24"/>
        <v>0</v>
      </c>
      <c r="AQ76" s="53">
        <f t="shared" si="25"/>
        <v>0</v>
      </c>
      <c r="AR76" s="53">
        <f t="shared" si="26"/>
        <v>0</v>
      </c>
      <c r="AS76" s="53">
        <f t="shared" si="27"/>
        <v>0</v>
      </c>
      <c r="AT76" s="53">
        <f t="shared" si="28"/>
        <v>0</v>
      </c>
      <c r="AU76" s="53">
        <f t="shared" si="29"/>
        <v>0</v>
      </c>
      <c r="AV76" s="53">
        <f t="shared" si="31"/>
        <v>0</v>
      </c>
      <c r="AW76" s="53">
        <f t="shared" si="30"/>
        <v>0</v>
      </c>
    </row>
    <row r="77" spans="1:49" ht="22" customHeight="1" x14ac:dyDescent="0.2">
      <c r="A77" s="1"/>
      <c r="B77" s="25">
        <v>17</v>
      </c>
      <c r="C77" s="42"/>
      <c r="D77" s="42"/>
      <c r="E77" s="42"/>
      <c r="F77" s="42"/>
      <c r="G77" s="43"/>
      <c r="H77" s="49"/>
      <c r="I77" s="5"/>
      <c r="J77" s="46">
        <v>0</v>
      </c>
      <c r="K77" s="46">
        <v>1</v>
      </c>
      <c r="L77" s="42"/>
      <c r="M77" s="50" t="s">
        <v>279</v>
      </c>
      <c r="N77" s="17"/>
      <c r="O77" s="82"/>
      <c r="P77" s="2"/>
      <c r="Q77" s="51">
        <f t="shared" si="0"/>
        <v>0</v>
      </c>
      <c r="R77" s="52">
        <f t="shared" si="1"/>
        <v>0</v>
      </c>
      <c r="S77" s="53">
        <f t="shared" si="2"/>
        <v>0</v>
      </c>
      <c r="T77" s="51">
        <f>IFERROR(MATCH(I77,{"M1","M2","M3","M4","M5","M6"},0),0)</f>
        <v>0</v>
      </c>
      <c r="U77" s="51">
        <f t="shared" si="3"/>
        <v>0</v>
      </c>
      <c r="V77" s="51">
        <f t="shared" si="4"/>
        <v>0</v>
      </c>
      <c r="W77" s="53">
        <f t="shared" si="5"/>
        <v>0</v>
      </c>
      <c r="X77" s="54">
        <f t="shared" si="6"/>
        <v>0</v>
      </c>
      <c r="Y77" s="51">
        <f t="shared" si="7"/>
        <v>0</v>
      </c>
      <c r="Z77" s="55">
        <f t="shared" si="8"/>
        <v>0</v>
      </c>
      <c r="AA77" s="51">
        <f t="shared" si="9"/>
        <v>0</v>
      </c>
      <c r="AB77" s="55">
        <f t="shared" si="10"/>
        <v>0</v>
      </c>
      <c r="AC77" s="51">
        <f t="shared" si="11"/>
        <v>0</v>
      </c>
      <c r="AD77" s="55">
        <f t="shared" si="12"/>
        <v>0</v>
      </c>
      <c r="AE77" s="51">
        <f t="shared" si="13"/>
        <v>0</v>
      </c>
      <c r="AF77" s="53">
        <f t="shared" si="14"/>
        <v>0</v>
      </c>
      <c r="AG77" s="53">
        <f t="shared" si="15"/>
        <v>0</v>
      </c>
      <c r="AH77" s="53">
        <f t="shared" si="16"/>
        <v>0</v>
      </c>
      <c r="AI77" s="53">
        <f t="shared" si="17"/>
        <v>0</v>
      </c>
      <c r="AJ77" s="53">
        <f t="shared" si="18"/>
        <v>0</v>
      </c>
      <c r="AK77" s="53">
        <f t="shared" si="19"/>
        <v>0</v>
      </c>
      <c r="AL77" s="53">
        <f t="shared" si="20"/>
        <v>0</v>
      </c>
      <c r="AM77" s="53">
        <f t="shared" si="21"/>
        <v>0</v>
      </c>
      <c r="AN77" s="53">
        <f t="shared" si="22"/>
        <v>0</v>
      </c>
      <c r="AO77" s="53">
        <f t="shared" si="23"/>
        <v>0</v>
      </c>
      <c r="AP77" s="53">
        <f t="shared" si="24"/>
        <v>0</v>
      </c>
      <c r="AQ77" s="53">
        <f t="shared" si="25"/>
        <v>0</v>
      </c>
      <c r="AR77" s="53">
        <f t="shared" si="26"/>
        <v>0</v>
      </c>
      <c r="AS77" s="53">
        <f t="shared" si="27"/>
        <v>0</v>
      </c>
      <c r="AT77" s="53">
        <f t="shared" si="28"/>
        <v>0</v>
      </c>
      <c r="AU77" s="53">
        <f t="shared" si="29"/>
        <v>0</v>
      </c>
      <c r="AV77" s="53">
        <f t="shared" si="31"/>
        <v>0</v>
      </c>
      <c r="AW77" s="53">
        <f t="shared" si="30"/>
        <v>0</v>
      </c>
    </row>
    <row r="78" spans="1:49" ht="22" customHeight="1" x14ac:dyDescent="0.2">
      <c r="A78" s="1"/>
      <c r="B78" s="25">
        <v>18</v>
      </c>
      <c r="C78" s="42"/>
      <c r="D78" s="42"/>
      <c r="E78" s="42"/>
      <c r="F78" s="42"/>
      <c r="G78" s="43"/>
      <c r="H78" s="49"/>
      <c r="I78" s="5"/>
      <c r="J78" s="46">
        <v>0</v>
      </c>
      <c r="K78" s="46">
        <v>1</v>
      </c>
      <c r="L78" s="42"/>
      <c r="M78" s="50" t="s">
        <v>279</v>
      </c>
      <c r="N78" s="17"/>
      <c r="O78" s="82"/>
      <c r="P78" s="2"/>
      <c r="Q78" s="51">
        <f t="shared" si="0"/>
        <v>0</v>
      </c>
      <c r="R78" s="52">
        <f t="shared" si="1"/>
        <v>0</v>
      </c>
      <c r="S78" s="53">
        <f t="shared" si="2"/>
        <v>0</v>
      </c>
      <c r="T78" s="51">
        <f>IFERROR(MATCH(I78,{"M1","M2","M3","M4","M5","M6"},0),0)</f>
        <v>0</v>
      </c>
      <c r="U78" s="51">
        <f t="shared" si="3"/>
        <v>0</v>
      </c>
      <c r="V78" s="51">
        <f t="shared" si="4"/>
        <v>0</v>
      </c>
      <c r="W78" s="53">
        <f t="shared" si="5"/>
        <v>0</v>
      </c>
      <c r="X78" s="54">
        <f t="shared" si="6"/>
        <v>0</v>
      </c>
      <c r="Y78" s="51">
        <f t="shared" si="7"/>
        <v>0</v>
      </c>
      <c r="Z78" s="55">
        <f t="shared" si="8"/>
        <v>0</v>
      </c>
      <c r="AA78" s="51">
        <f t="shared" si="9"/>
        <v>0</v>
      </c>
      <c r="AB78" s="55">
        <f t="shared" si="10"/>
        <v>0</v>
      </c>
      <c r="AC78" s="51">
        <f t="shared" si="11"/>
        <v>0</v>
      </c>
      <c r="AD78" s="55">
        <f t="shared" si="12"/>
        <v>0</v>
      </c>
      <c r="AE78" s="51">
        <f t="shared" si="13"/>
        <v>0</v>
      </c>
      <c r="AF78" s="53">
        <f t="shared" si="14"/>
        <v>0</v>
      </c>
      <c r="AG78" s="53">
        <f t="shared" si="15"/>
        <v>0</v>
      </c>
      <c r="AH78" s="53">
        <f t="shared" si="16"/>
        <v>0</v>
      </c>
      <c r="AI78" s="53">
        <f t="shared" si="17"/>
        <v>0</v>
      </c>
      <c r="AJ78" s="53">
        <f t="shared" si="18"/>
        <v>0</v>
      </c>
      <c r="AK78" s="53">
        <f t="shared" si="19"/>
        <v>0</v>
      </c>
      <c r="AL78" s="53">
        <f t="shared" si="20"/>
        <v>0</v>
      </c>
      <c r="AM78" s="53">
        <f t="shared" si="21"/>
        <v>0</v>
      </c>
      <c r="AN78" s="53">
        <f t="shared" si="22"/>
        <v>0</v>
      </c>
      <c r="AO78" s="53">
        <f t="shared" si="23"/>
        <v>0</v>
      </c>
      <c r="AP78" s="53">
        <f t="shared" si="24"/>
        <v>0</v>
      </c>
      <c r="AQ78" s="53">
        <f t="shared" si="25"/>
        <v>0</v>
      </c>
      <c r="AR78" s="53">
        <f t="shared" si="26"/>
        <v>0</v>
      </c>
      <c r="AS78" s="53">
        <f t="shared" si="27"/>
        <v>0</v>
      </c>
      <c r="AT78" s="53">
        <f t="shared" si="28"/>
        <v>0</v>
      </c>
      <c r="AU78" s="53">
        <f t="shared" si="29"/>
        <v>0</v>
      </c>
      <c r="AV78" s="53">
        <f t="shared" si="31"/>
        <v>0</v>
      </c>
      <c r="AW78" s="53">
        <f t="shared" si="30"/>
        <v>0</v>
      </c>
    </row>
    <row r="79" spans="1:49" ht="22" customHeight="1" x14ac:dyDescent="0.2">
      <c r="A79" s="1"/>
      <c r="B79" s="25">
        <v>19</v>
      </c>
      <c r="C79" s="42"/>
      <c r="D79" s="42"/>
      <c r="E79" s="42"/>
      <c r="F79" s="42"/>
      <c r="G79" s="43"/>
      <c r="H79" s="49"/>
      <c r="I79" s="5"/>
      <c r="J79" s="46">
        <v>0</v>
      </c>
      <c r="K79" s="46">
        <v>1</v>
      </c>
      <c r="L79" s="42"/>
      <c r="M79" s="50" t="s">
        <v>279</v>
      </c>
      <c r="N79" s="17"/>
      <c r="O79" s="82"/>
      <c r="P79" s="2"/>
      <c r="Q79" s="51">
        <f t="shared" si="0"/>
        <v>0</v>
      </c>
      <c r="R79" s="52">
        <f t="shared" si="1"/>
        <v>0</v>
      </c>
      <c r="S79" s="53">
        <f t="shared" si="2"/>
        <v>0</v>
      </c>
      <c r="T79" s="51">
        <f>IFERROR(MATCH(I79,{"M1","M2","M3","M4","M5","M6"},0),0)</f>
        <v>0</v>
      </c>
      <c r="U79" s="51">
        <f t="shared" si="3"/>
        <v>0</v>
      </c>
      <c r="V79" s="51">
        <f t="shared" si="4"/>
        <v>0</v>
      </c>
      <c r="W79" s="53">
        <f t="shared" si="5"/>
        <v>0</v>
      </c>
      <c r="X79" s="54">
        <f t="shared" si="6"/>
        <v>0</v>
      </c>
      <c r="Y79" s="51">
        <f t="shared" si="7"/>
        <v>0</v>
      </c>
      <c r="Z79" s="55">
        <f t="shared" si="8"/>
        <v>0</v>
      </c>
      <c r="AA79" s="51">
        <f t="shared" si="9"/>
        <v>0</v>
      </c>
      <c r="AB79" s="55">
        <f t="shared" si="10"/>
        <v>0</v>
      </c>
      <c r="AC79" s="51">
        <f t="shared" si="11"/>
        <v>0</v>
      </c>
      <c r="AD79" s="55">
        <f t="shared" si="12"/>
        <v>0</v>
      </c>
      <c r="AE79" s="51">
        <f t="shared" si="13"/>
        <v>0</v>
      </c>
      <c r="AF79" s="53">
        <f t="shared" si="14"/>
        <v>0</v>
      </c>
      <c r="AG79" s="53">
        <f t="shared" si="15"/>
        <v>0</v>
      </c>
      <c r="AH79" s="53">
        <f t="shared" si="16"/>
        <v>0</v>
      </c>
      <c r="AI79" s="53">
        <f t="shared" si="17"/>
        <v>0</v>
      </c>
      <c r="AJ79" s="53">
        <f t="shared" si="18"/>
        <v>0</v>
      </c>
      <c r="AK79" s="53">
        <f t="shared" si="19"/>
        <v>0</v>
      </c>
      <c r="AL79" s="53">
        <f t="shared" si="20"/>
        <v>0</v>
      </c>
      <c r="AM79" s="53">
        <f t="shared" si="21"/>
        <v>0</v>
      </c>
      <c r="AN79" s="53">
        <f t="shared" si="22"/>
        <v>0</v>
      </c>
      <c r="AO79" s="53">
        <f t="shared" si="23"/>
        <v>0</v>
      </c>
      <c r="AP79" s="53">
        <f t="shared" si="24"/>
        <v>0</v>
      </c>
      <c r="AQ79" s="53">
        <f t="shared" si="25"/>
        <v>0</v>
      </c>
      <c r="AR79" s="53">
        <f t="shared" si="26"/>
        <v>0</v>
      </c>
      <c r="AS79" s="53">
        <f t="shared" si="27"/>
        <v>0</v>
      </c>
      <c r="AT79" s="53">
        <f t="shared" si="28"/>
        <v>0</v>
      </c>
      <c r="AU79" s="53">
        <f t="shared" si="29"/>
        <v>0</v>
      </c>
      <c r="AV79" s="53">
        <f t="shared" si="31"/>
        <v>0</v>
      </c>
      <c r="AW79" s="53">
        <f t="shared" si="30"/>
        <v>0</v>
      </c>
    </row>
    <row r="80" spans="1:49" ht="22" customHeight="1" x14ac:dyDescent="0.2">
      <c r="A80" s="1"/>
      <c r="B80" s="25">
        <v>20</v>
      </c>
      <c r="C80" s="42"/>
      <c r="D80" s="42"/>
      <c r="E80" s="42"/>
      <c r="F80" s="42"/>
      <c r="G80" s="43"/>
      <c r="H80" s="49"/>
      <c r="I80" s="5"/>
      <c r="J80" s="46">
        <v>0</v>
      </c>
      <c r="K80" s="46">
        <v>1</v>
      </c>
      <c r="L80" s="42"/>
      <c r="M80" s="50" t="s">
        <v>279</v>
      </c>
      <c r="N80" s="17"/>
      <c r="O80" s="82"/>
      <c r="P80" s="2"/>
      <c r="Q80" s="51">
        <f t="shared" si="0"/>
        <v>0</v>
      </c>
      <c r="R80" s="52">
        <f t="shared" si="1"/>
        <v>0</v>
      </c>
      <c r="S80" s="53">
        <f t="shared" si="2"/>
        <v>0</v>
      </c>
      <c r="T80" s="51">
        <f>IFERROR(MATCH(I80,{"M1","M2","M3","M4","M5","M6"},0),0)</f>
        <v>0</v>
      </c>
      <c r="U80" s="51">
        <f t="shared" si="3"/>
        <v>0</v>
      </c>
      <c r="V80" s="51">
        <f t="shared" si="4"/>
        <v>0</v>
      </c>
      <c r="W80" s="53">
        <f t="shared" si="5"/>
        <v>0</v>
      </c>
      <c r="X80" s="54">
        <f t="shared" si="6"/>
        <v>0</v>
      </c>
      <c r="Y80" s="51">
        <f t="shared" si="7"/>
        <v>0</v>
      </c>
      <c r="Z80" s="55">
        <f t="shared" si="8"/>
        <v>0</v>
      </c>
      <c r="AA80" s="51">
        <f t="shared" si="9"/>
        <v>0</v>
      </c>
      <c r="AB80" s="55">
        <f t="shared" si="10"/>
        <v>0</v>
      </c>
      <c r="AC80" s="51">
        <f t="shared" si="11"/>
        <v>0</v>
      </c>
      <c r="AD80" s="55">
        <f t="shared" si="12"/>
        <v>0</v>
      </c>
      <c r="AE80" s="51">
        <f t="shared" si="13"/>
        <v>0</v>
      </c>
      <c r="AF80" s="53">
        <f t="shared" si="14"/>
        <v>0</v>
      </c>
      <c r="AG80" s="53">
        <f t="shared" si="15"/>
        <v>0</v>
      </c>
      <c r="AH80" s="53">
        <f t="shared" si="16"/>
        <v>0</v>
      </c>
      <c r="AI80" s="53">
        <f t="shared" si="17"/>
        <v>0</v>
      </c>
      <c r="AJ80" s="53">
        <f t="shared" si="18"/>
        <v>0</v>
      </c>
      <c r="AK80" s="53">
        <f t="shared" si="19"/>
        <v>0</v>
      </c>
      <c r="AL80" s="53">
        <f t="shared" si="20"/>
        <v>0</v>
      </c>
      <c r="AM80" s="53">
        <f t="shared" si="21"/>
        <v>0</v>
      </c>
      <c r="AN80" s="53">
        <f t="shared" si="22"/>
        <v>0</v>
      </c>
      <c r="AO80" s="53">
        <f t="shared" si="23"/>
        <v>0</v>
      </c>
      <c r="AP80" s="53">
        <f t="shared" si="24"/>
        <v>0</v>
      </c>
      <c r="AQ80" s="53">
        <f t="shared" si="25"/>
        <v>0</v>
      </c>
      <c r="AR80" s="53">
        <f t="shared" si="26"/>
        <v>0</v>
      </c>
      <c r="AS80" s="53">
        <f t="shared" si="27"/>
        <v>0</v>
      </c>
      <c r="AT80" s="53">
        <f t="shared" si="28"/>
        <v>0</v>
      </c>
      <c r="AU80" s="53">
        <f t="shared" si="29"/>
        <v>0</v>
      </c>
      <c r="AV80" s="53">
        <f t="shared" si="31"/>
        <v>0</v>
      </c>
      <c r="AW80" s="53">
        <f t="shared" si="30"/>
        <v>0</v>
      </c>
    </row>
    <row r="81" spans="1:49" ht="22" customHeight="1" x14ac:dyDescent="0.2">
      <c r="A81" s="1"/>
      <c r="B81" s="25">
        <v>21</v>
      </c>
      <c r="C81" s="42"/>
      <c r="D81" s="42"/>
      <c r="E81" s="42"/>
      <c r="F81" s="42"/>
      <c r="G81" s="43"/>
      <c r="H81" s="49"/>
      <c r="I81" s="5"/>
      <c r="J81" s="46">
        <v>0</v>
      </c>
      <c r="K81" s="46">
        <v>1</v>
      </c>
      <c r="L81" s="42"/>
      <c r="M81" s="50" t="s">
        <v>279</v>
      </c>
      <c r="N81" s="17"/>
      <c r="O81" s="82"/>
      <c r="P81" s="2"/>
      <c r="Q81" s="51">
        <f t="shared" si="0"/>
        <v>0</v>
      </c>
      <c r="R81" s="52">
        <f t="shared" si="1"/>
        <v>0</v>
      </c>
      <c r="S81" s="53">
        <f t="shared" si="2"/>
        <v>0</v>
      </c>
      <c r="T81" s="51">
        <f>IFERROR(MATCH(I81,{"M1","M2","M3","M4","M5","M6"},0),0)</f>
        <v>0</v>
      </c>
      <c r="U81" s="51">
        <f t="shared" si="3"/>
        <v>0</v>
      </c>
      <c r="V81" s="51">
        <f t="shared" si="4"/>
        <v>0</v>
      </c>
      <c r="W81" s="53">
        <f t="shared" si="5"/>
        <v>0</v>
      </c>
      <c r="X81" s="54">
        <f t="shared" si="6"/>
        <v>0</v>
      </c>
      <c r="Y81" s="51">
        <f t="shared" si="7"/>
        <v>0</v>
      </c>
      <c r="Z81" s="55">
        <f t="shared" si="8"/>
        <v>0</v>
      </c>
      <c r="AA81" s="51">
        <f t="shared" si="9"/>
        <v>0</v>
      </c>
      <c r="AB81" s="55">
        <f t="shared" si="10"/>
        <v>0</v>
      </c>
      <c r="AC81" s="51">
        <f t="shared" si="11"/>
        <v>0</v>
      </c>
      <c r="AD81" s="55">
        <f t="shared" si="12"/>
        <v>0</v>
      </c>
      <c r="AE81" s="51">
        <f t="shared" si="13"/>
        <v>0</v>
      </c>
      <c r="AF81" s="53">
        <f t="shared" si="14"/>
        <v>0</v>
      </c>
      <c r="AG81" s="53">
        <f t="shared" si="15"/>
        <v>0</v>
      </c>
      <c r="AH81" s="53">
        <f t="shared" si="16"/>
        <v>0</v>
      </c>
      <c r="AI81" s="53">
        <f t="shared" si="17"/>
        <v>0</v>
      </c>
      <c r="AJ81" s="53">
        <f t="shared" si="18"/>
        <v>0</v>
      </c>
      <c r="AK81" s="53">
        <f t="shared" si="19"/>
        <v>0</v>
      </c>
      <c r="AL81" s="53">
        <f t="shared" si="20"/>
        <v>0</v>
      </c>
      <c r="AM81" s="53">
        <f t="shared" si="21"/>
        <v>0</v>
      </c>
      <c r="AN81" s="53">
        <f t="shared" si="22"/>
        <v>0</v>
      </c>
      <c r="AO81" s="53">
        <f t="shared" si="23"/>
        <v>0</v>
      </c>
      <c r="AP81" s="53">
        <f t="shared" si="24"/>
        <v>0</v>
      </c>
      <c r="AQ81" s="53">
        <f t="shared" si="25"/>
        <v>0</v>
      </c>
      <c r="AR81" s="53">
        <f t="shared" si="26"/>
        <v>0</v>
      </c>
      <c r="AS81" s="53">
        <f t="shared" si="27"/>
        <v>0</v>
      </c>
      <c r="AT81" s="53">
        <f t="shared" si="28"/>
        <v>0</v>
      </c>
      <c r="AU81" s="53">
        <f t="shared" si="29"/>
        <v>0</v>
      </c>
      <c r="AV81" s="53">
        <f t="shared" si="31"/>
        <v>0</v>
      </c>
      <c r="AW81" s="53">
        <f t="shared" si="30"/>
        <v>0</v>
      </c>
    </row>
    <row r="82" spans="1:49" ht="22" customHeight="1" x14ac:dyDescent="0.2">
      <c r="A82" s="1"/>
      <c r="B82" s="25">
        <v>22</v>
      </c>
      <c r="C82" s="42"/>
      <c r="D82" s="42"/>
      <c r="E82" s="42"/>
      <c r="F82" s="42"/>
      <c r="G82" s="43"/>
      <c r="H82" s="49"/>
      <c r="I82" s="5"/>
      <c r="J82" s="46">
        <v>0</v>
      </c>
      <c r="K82" s="46">
        <v>1</v>
      </c>
      <c r="L82" s="42"/>
      <c r="M82" s="50" t="s">
        <v>279</v>
      </c>
      <c r="N82" s="17"/>
      <c r="O82" s="82"/>
      <c r="P82" s="2"/>
      <c r="Q82" s="51">
        <f t="shared" si="0"/>
        <v>0</v>
      </c>
      <c r="R82" s="52">
        <f t="shared" si="1"/>
        <v>0</v>
      </c>
      <c r="S82" s="53">
        <f t="shared" si="2"/>
        <v>0</v>
      </c>
      <c r="T82" s="51">
        <f>IFERROR(MATCH(I82,{"M1","M2","M3","M4","M5","M6"},0),0)</f>
        <v>0</v>
      </c>
      <c r="U82" s="51">
        <f t="shared" si="3"/>
        <v>0</v>
      </c>
      <c r="V82" s="51">
        <f t="shared" si="4"/>
        <v>0</v>
      </c>
      <c r="W82" s="53">
        <f t="shared" si="5"/>
        <v>0</v>
      </c>
      <c r="X82" s="54">
        <f t="shared" si="6"/>
        <v>0</v>
      </c>
      <c r="Y82" s="51">
        <f t="shared" si="7"/>
        <v>0</v>
      </c>
      <c r="Z82" s="55">
        <f t="shared" si="8"/>
        <v>0</v>
      </c>
      <c r="AA82" s="51">
        <f t="shared" si="9"/>
        <v>0</v>
      </c>
      <c r="AB82" s="55">
        <f t="shared" si="10"/>
        <v>0</v>
      </c>
      <c r="AC82" s="51">
        <f t="shared" si="11"/>
        <v>0</v>
      </c>
      <c r="AD82" s="55">
        <f t="shared" si="12"/>
        <v>0</v>
      </c>
      <c r="AE82" s="51">
        <f t="shared" si="13"/>
        <v>0</v>
      </c>
      <c r="AF82" s="53">
        <f t="shared" si="14"/>
        <v>0</v>
      </c>
      <c r="AG82" s="53">
        <f t="shared" si="15"/>
        <v>0</v>
      </c>
      <c r="AH82" s="53">
        <f t="shared" si="16"/>
        <v>0</v>
      </c>
      <c r="AI82" s="53">
        <f t="shared" si="17"/>
        <v>0</v>
      </c>
      <c r="AJ82" s="53">
        <f t="shared" si="18"/>
        <v>0</v>
      </c>
      <c r="AK82" s="53">
        <f t="shared" si="19"/>
        <v>0</v>
      </c>
      <c r="AL82" s="53">
        <f t="shared" si="20"/>
        <v>0</v>
      </c>
      <c r="AM82" s="53">
        <f t="shared" si="21"/>
        <v>0</v>
      </c>
      <c r="AN82" s="53">
        <f t="shared" si="22"/>
        <v>0</v>
      </c>
      <c r="AO82" s="53">
        <f t="shared" si="23"/>
        <v>0</v>
      </c>
      <c r="AP82" s="53">
        <f t="shared" si="24"/>
        <v>0</v>
      </c>
      <c r="AQ82" s="53">
        <f t="shared" si="25"/>
        <v>0</v>
      </c>
      <c r="AR82" s="53">
        <f t="shared" si="26"/>
        <v>0</v>
      </c>
      <c r="AS82" s="53">
        <f t="shared" si="27"/>
        <v>0</v>
      </c>
      <c r="AT82" s="53">
        <f t="shared" si="28"/>
        <v>0</v>
      </c>
      <c r="AU82" s="53">
        <f t="shared" si="29"/>
        <v>0</v>
      </c>
      <c r="AV82" s="53">
        <f t="shared" si="31"/>
        <v>0</v>
      </c>
      <c r="AW82" s="53">
        <f t="shared" si="30"/>
        <v>0</v>
      </c>
    </row>
    <row r="83" spans="1:49" ht="22" customHeight="1" x14ac:dyDescent="0.2">
      <c r="A83" s="1"/>
      <c r="B83" s="25">
        <v>23</v>
      </c>
      <c r="C83" s="42"/>
      <c r="D83" s="42"/>
      <c r="E83" s="42"/>
      <c r="F83" s="42"/>
      <c r="G83" s="43"/>
      <c r="H83" s="49"/>
      <c r="I83" s="5"/>
      <c r="J83" s="46">
        <v>0</v>
      </c>
      <c r="K83" s="46">
        <v>1</v>
      </c>
      <c r="L83" s="42"/>
      <c r="M83" s="50" t="s">
        <v>279</v>
      </c>
      <c r="N83" s="17"/>
      <c r="O83" s="82"/>
      <c r="P83" s="2"/>
      <c r="Q83" s="51">
        <f t="shared" si="0"/>
        <v>0</v>
      </c>
      <c r="R83" s="52">
        <f t="shared" si="1"/>
        <v>0</v>
      </c>
      <c r="S83" s="53">
        <f t="shared" si="2"/>
        <v>0</v>
      </c>
      <c r="T83" s="51">
        <f>IFERROR(MATCH(I83,{"M1","M2","M3","M4","M5","M6"},0),0)</f>
        <v>0</v>
      </c>
      <c r="U83" s="51">
        <f t="shared" si="3"/>
        <v>0</v>
      </c>
      <c r="V83" s="51">
        <f t="shared" si="4"/>
        <v>0</v>
      </c>
      <c r="W83" s="53">
        <f t="shared" si="5"/>
        <v>0</v>
      </c>
      <c r="X83" s="54">
        <f t="shared" si="6"/>
        <v>0</v>
      </c>
      <c r="Y83" s="51">
        <f t="shared" si="7"/>
        <v>0</v>
      </c>
      <c r="Z83" s="55">
        <f t="shared" si="8"/>
        <v>0</v>
      </c>
      <c r="AA83" s="51">
        <f t="shared" si="9"/>
        <v>0</v>
      </c>
      <c r="AB83" s="55">
        <f t="shared" si="10"/>
        <v>0</v>
      </c>
      <c r="AC83" s="51">
        <f t="shared" si="11"/>
        <v>0</v>
      </c>
      <c r="AD83" s="55">
        <f t="shared" si="12"/>
        <v>0</v>
      </c>
      <c r="AE83" s="51">
        <f t="shared" si="13"/>
        <v>0</v>
      </c>
      <c r="AF83" s="53">
        <f t="shared" si="14"/>
        <v>0</v>
      </c>
      <c r="AG83" s="53">
        <f t="shared" si="15"/>
        <v>0</v>
      </c>
      <c r="AH83" s="53">
        <f t="shared" si="16"/>
        <v>0</v>
      </c>
      <c r="AI83" s="53">
        <f t="shared" si="17"/>
        <v>0</v>
      </c>
      <c r="AJ83" s="53">
        <f t="shared" si="18"/>
        <v>0</v>
      </c>
      <c r="AK83" s="53">
        <f t="shared" si="19"/>
        <v>0</v>
      </c>
      <c r="AL83" s="53">
        <f t="shared" si="20"/>
        <v>0</v>
      </c>
      <c r="AM83" s="53">
        <f t="shared" si="21"/>
        <v>0</v>
      </c>
      <c r="AN83" s="53">
        <f t="shared" si="22"/>
        <v>0</v>
      </c>
      <c r="AO83" s="53">
        <f t="shared" si="23"/>
        <v>0</v>
      </c>
      <c r="AP83" s="53">
        <f t="shared" si="24"/>
        <v>0</v>
      </c>
      <c r="AQ83" s="53">
        <f t="shared" si="25"/>
        <v>0</v>
      </c>
      <c r="AR83" s="53">
        <f t="shared" si="26"/>
        <v>0</v>
      </c>
      <c r="AS83" s="53">
        <f t="shared" si="27"/>
        <v>0</v>
      </c>
      <c r="AT83" s="53">
        <f t="shared" si="28"/>
        <v>0</v>
      </c>
      <c r="AU83" s="53">
        <f t="shared" si="29"/>
        <v>0</v>
      </c>
      <c r="AV83" s="53">
        <f t="shared" si="31"/>
        <v>0</v>
      </c>
      <c r="AW83" s="53">
        <f t="shared" si="30"/>
        <v>0</v>
      </c>
    </row>
    <row r="84" spans="1:49" ht="22" customHeight="1" x14ac:dyDescent="0.2">
      <c r="A84" s="1"/>
      <c r="B84" s="25">
        <v>24</v>
      </c>
      <c r="C84" s="42"/>
      <c r="D84" s="42"/>
      <c r="E84" s="42"/>
      <c r="F84" s="42"/>
      <c r="G84" s="43"/>
      <c r="H84" s="49"/>
      <c r="I84" s="5"/>
      <c r="J84" s="46">
        <v>0</v>
      </c>
      <c r="K84" s="46">
        <v>1</v>
      </c>
      <c r="L84" s="42"/>
      <c r="M84" s="50" t="s">
        <v>279</v>
      </c>
      <c r="N84" s="17"/>
      <c r="O84" s="82"/>
      <c r="P84" s="2"/>
      <c r="Q84" s="51">
        <f t="shared" si="0"/>
        <v>0</v>
      </c>
      <c r="R84" s="52">
        <f t="shared" si="1"/>
        <v>0</v>
      </c>
      <c r="S84" s="53">
        <f t="shared" si="2"/>
        <v>0</v>
      </c>
      <c r="T84" s="51">
        <f>IFERROR(MATCH(I84,{"M1","M2","M3","M4","M5","M6"},0),0)</f>
        <v>0</v>
      </c>
      <c r="U84" s="51">
        <f t="shared" si="3"/>
        <v>0</v>
      </c>
      <c r="V84" s="51">
        <f t="shared" si="4"/>
        <v>0</v>
      </c>
      <c r="W84" s="53">
        <f t="shared" si="5"/>
        <v>0</v>
      </c>
      <c r="X84" s="54">
        <f t="shared" si="6"/>
        <v>0</v>
      </c>
      <c r="Y84" s="51">
        <f t="shared" si="7"/>
        <v>0</v>
      </c>
      <c r="Z84" s="55">
        <f t="shared" si="8"/>
        <v>0</v>
      </c>
      <c r="AA84" s="51">
        <f t="shared" si="9"/>
        <v>0</v>
      </c>
      <c r="AB84" s="55">
        <f t="shared" si="10"/>
        <v>0</v>
      </c>
      <c r="AC84" s="51">
        <f t="shared" si="11"/>
        <v>0</v>
      </c>
      <c r="AD84" s="55">
        <f t="shared" si="12"/>
        <v>0</v>
      </c>
      <c r="AE84" s="51">
        <f t="shared" si="13"/>
        <v>0</v>
      </c>
      <c r="AF84" s="53">
        <f t="shared" si="14"/>
        <v>0</v>
      </c>
      <c r="AG84" s="53">
        <f t="shared" si="15"/>
        <v>0</v>
      </c>
      <c r="AH84" s="53">
        <f t="shared" si="16"/>
        <v>0</v>
      </c>
      <c r="AI84" s="53">
        <f t="shared" si="17"/>
        <v>0</v>
      </c>
      <c r="AJ84" s="53">
        <f t="shared" si="18"/>
        <v>0</v>
      </c>
      <c r="AK84" s="53">
        <f t="shared" si="19"/>
        <v>0</v>
      </c>
      <c r="AL84" s="53">
        <f t="shared" si="20"/>
        <v>0</v>
      </c>
      <c r="AM84" s="53">
        <f t="shared" si="21"/>
        <v>0</v>
      </c>
      <c r="AN84" s="53">
        <f t="shared" si="22"/>
        <v>0</v>
      </c>
      <c r="AO84" s="53">
        <f t="shared" si="23"/>
        <v>0</v>
      </c>
      <c r="AP84" s="53">
        <f t="shared" si="24"/>
        <v>0</v>
      </c>
      <c r="AQ84" s="53">
        <f t="shared" si="25"/>
        <v>0</v>
      </c>
      <c r="AR84" s="53">
        <f t="shared" si="26"/>
        <v>0</v>
      </c>
      <c r="AS84" s="53">
        <f t="shared" si="27"/>
        <v>0</v>
      </c>
      <c r="AT84" s="53">
        <f t="shared" si="28"/>
        <v>0</v>
      </c>
      <c r="AU84" s="53">
        <f t="shared" si="29"/>
        <v>0</v>
      </c>
      <c r="AV84" s="53">
        <f t="shared" si="31"/>
        <v>0</v>
      </c>
      <c r="AW84" s="53">
        <f t="shared" si="30"/>
        <v>0</v>
      </c>
    </row>
    <row r="85" spans="1:49" ht="22" customHeight="1" x14ac:dyDescent="0.2">
      <c r="A85" s="1"/>
      <c r="B85" s="25">
        <v>25</v>
      </c>
      <c r="C85" s="42"/>
      <c r="D85" s="42"/>
      <c r="E85" s="42"/>
      <c r="F85" s="42"/>
      <c r="G85" s="43"/>
      <c r="H85" s="49"/>
      <c r="I85" s="5"/>
      <c r="J85" s="46">
        <v>0</v>
      </c>
      <c r="K85" s="46">
        <v>1</v>
      </c>
      <c r="L85" s="42"/>
      <c r="M85" s="50" t="s">
        <v>279</v>
      </c>
      <c r="N85" s="17"/>
      <c r="O85" s="82"/>
      <c r="P85" s="2"/>
      <c r="Q85" s="51">
        <f t="shared" si="0"/>
        <v>0</v>
      </c>
      <c r="R85" s="52">
        <f t="shared" si="1"/>
        <v>0</v>
      </c>
      <c r="S85" s="53">
        <f t="shared" si="2"/>
        <v>0</v>
      </c>
      <c r="T85" s="51">
        <f>IFERROR(MATCH(I85,{"M1","M2","M3","M4","M5","M6"},0),0)</f>
        <v>0</v>
      </c>
      <c r="U85" s="51">
        <f t="shared" si="3"/>
        <v>0</v>
      </c>
      <c r="V85" s="51">
        <f t="shared" si="4"/>
        <v>0</v>
      </c>
      <c r="W85" s="53">
        <f t="shared" si="5"/>
        <v>0</v>
      </c>
      <c r="X85" s="54">
        <f t="shared" si="6"/>
        <v>0</v>
      </c>
      <c r="Y85" s="51">
        <f t="shared" si="7"/>
        <v>0</v>
      </c>
      <c r="Z85" s="55">
        <f t="shared" si="8"/>
        <v>0</v>
      </c>
      <c r="AA85" s="51">
        <f t="shared" si="9"/>
        <v>0</v>
      </c>
      <c r="AB85" s="55">
        <f t="shared" si="10"/>
        <v>0</v>
      </c>
      <c r="AC85" s="51">
        <f t="shared" si="11"/>
        <v>0</v>
      </c>
      <c r="AD85" s="55">
        <f t="shared" si="12"/>
        <v>0</v>
      </c>
      <c r="AE85" s="51">
        <f t="shared" si="13"/>
        <v>0</v>
      </c>
      <c r="AF85" s="53">
        <f t="shared" si="14"/>
        <v>0</v>
      </c>
      <c r="AG85" s="53">
        <f t="shared" si="15"/>
        <v>0</v>
      </c>
      <c r="AH85" s="53">
        <f t="shared" si="16"/>
        <v>0</v>
      </c>
      <c r="AI85" s="53">
        <f t="shared" si="17"/>
        <v>0</v>
      </c>
      <c r="AJ85" s="53">
        <f t="shared" si="18"/>
        <v>0</v>
      </c>
      <c r="AK85" s="53">
        <f t="shared" si="19"/>
        <v>0</v>
      </c>
      <c r="AL85" s="53">
        <f t="shared" si="20"/>
        <v>0</v>
      </c>
      <c r="AM85" s="53">
        <f t="shared" si="21"/>
        <v>0</v>
      </c>
      <c r="AN85" s="53">
        <f t="shared" si="22"/>
        <v>0</v>
      </c>
      <c r="AO85" s="53">
        <f t="shared" si="23"/>
        <v>0</v>
      </c>
      <c r="AP85" s="53">
        <f t="shared" si="24"/>
        <v>0</v>
      </c>
      <c r="AQ85" s="53">
        <f t="shared" si="25"/>
        <v>0</v>
      </c>
      <c r="AR85" s="53">
        <f t="shared" si="26"/>
        <v>0</v>
      </c>
      <c r="AS85" s="53">
        <f t="shared" si="27"/>
        <v>0</v>
      </c>
      <c r="AT85" s="53">
        <f t="shared" si="28"/>
        <v>0</v>
      </c>
      <c r="AU85" s="53">
        <f t="shared" si="29"/>
        <v>0</v>
      </c>
      <c r="AV85" s="53">
        <f t="shared" si="31"/>
        <v>0</v>
      </c>
      <c r="AW85" s="53">
        <f t="shared" si="30"/>
        <v>0</v>
      </c>
    </row>
    <row r="86" spans="1:49" ht="22" customHeight="1" x14ac:dyDescent="0.2">
      <c r="A86" s="1"/>
      <c r="B86" s="25">
        <v>26</v>
      </c>
      <c r="C86" s="42"/>
      <c r="D86" s="42"/>
      <c r="E86" s="42"/>
      <c r="F86" s="42"/>
      <c r="G86" s="43"/>
      <c r="H86" s="49"/>
      <c r="I86" s="5"/>
      <c r="J86" s="46">
        <v>0</v>
      </c>
      <c r="K86" s="46">
        <v>1</v>
      </c>
      <c r="L86" s="42"/>
      <c r="M86" s="50" t="s">
        <v>279</v>
      </c>
      <c r="N86" s="17"/>
      <c r="O86" s="82"/>
      <c r="P86" s="2"/>
      <c r="Q86" s="51">
        <f t="shared" si="0"/>
        <v>0</v>
      </c>
      <c r="R86" s="52">
        <f t="shared" si="1"/>
        <v>0</v>
      </c>
      <c r="S86" s="53">
        <f t="shared" si="2"/>
        <v>0</v>
      </c>
      <c r="T86" s="51">
        <f>IFERROR(MATCH(I86,{"M1","M2","M3","M4","M5","M6"},0),0)</f>
        <v>0</v>
      </c>
      <c r="U86" s="51">
        <f t="shared" si="3"/>
        <v>0</v>
      </c>
      <c r="V86" s="51">
        <f t="shared" si="4"/>
        <v>0</v>
      </c>
      <c r="W86" s="53">
        <f t="shared" si="5"/>
        <v>0</v>
      </c>
      <c r="X86" s="54">
        <f t="shared" si="6"/>
        <v>0</v>
      </c>
      <c r="Y86" s="51">
        <f t="shared" si="7"/>
        <v>0</v>
      </c>
      <c r="Z86" s="55">
        <f t="shared" si="8"/>
        <v>0</v>
      </c>
      <c r="AA86" s="51">
        <f t="shared" si="9"/>
        <v>0</v>
      </c>
      <c r="AB86" s="55">
        <f t="shared" si="10"/>
        <v>0</v>
      </c>
      <c r="AC86" s="51">
        <f t="shared" si="11"/>
        <v>0</v>
      </c>
      <c r="AD86" s="55">
        <f t="shared" si="12"/>
        <v>0</v>
      </c>
      <c r="AE86" s="51">
        <f t="shared" si="13"/>
        <v>0</v>
      </c>
      <c r="AF86" s="53">
        <f t="shared" si="14"/>
        <v>0</v>
      </c>
      <c r="AG86" s="53">
        <f t="shared" si="15"/>
        <v>0</v>
      </c>
      <c r="AH86" s="53">
        <f t="shared" si="16"/>
        <v>0</v>
      </c>
      <c r="AI86" s="53">
        <f t="shared" si="17"/>
        <v>0</v>
      </c>
      <c r="AJ86" s="53">
        <f t="shared" si="18"/>
        <v>0</v>
      </c>
      <c r="AK86" s="53">
        <f t="shared" si="19"/>
        <v>0</v>
      </c>
      <c r="AL86" s="53">
        <f t="shared" si="20"/>
        <v>0</v>
      </c>
      <c r="AM86" s="53">
        <f t="shared" si="21"/>
        <v>0</v>
      </c>
      <c r="AN86" s="53">
        <f t="shared" si="22"/>
        <v>0</v>
      </c>
      <c r="AO86" s="53">
        <f t="shared" si="23"/>
        <v>0</v>
      </c>
      <c r="AP86" s="53">
        <f t="shared" si="24"/>
        <v>0</v>
      </c>
      <c r="AQ86" s="53">
        <f t="shared" si="25"/>
        <v>0</v>
      </c>
      <c r="AR86" s="53">
        <f t="shared" si="26"/>
        <v>0</v>
      </c>
      <c r="AS86" s="53">
        <f t="shared" si="27"/>
        <v>0</v>
      </c>
      <c r="AT86" s="53">
        <f t="shared" si="28"/>
        <v>0</v>
      </c>
      <c r="AU86" s="53">
        <f t="shared" si="29"/>
        <v>0</v>
      </c>
      <c r="AV86" s="53">
        <f t="shared" si="31"/>
        <v>0</v>
      </c>
      <c r="AW86" s="53">
        <f t="shared" si="30"/>
        <v>0</v>
      </c>
    </row>
    <row r="87" spans="1:49" ht="22" customHeight="1" x14ac:dyDescent="0.2">
      <c r="A87" s="1"/>
      <c r="B87" s="25">
        <v>27</v>
      </c>
      <c r="C87" s="42"/>
      <c r="D87" s="42"/>
      <c r="E87" s="42"/>
      <c r="F87" s="42"/>
      <c r="G87" s="43"/>
      <c r="H87" s="49"/>
      <c r="I87" s="5"/>
      <c r="J87" s="46">
        <v>0</v>
      </c>
      <c r="K87" s="46">
        <v>1</v>
      </c>
      <c r="L87" s="42"/>
      <c r="M87" s="50" t="s">
        <v>279</v>
      </c>
      <c r="N87" s="17"/>
      <c r="O87" s="82"/>
      <c r="P87" s="2"/>
      <c r="Q87" s="51">
        <f t="shared" si="0"/>
        <v>0</v>
      </c>
      <c r="R87" s="52">
        <f t="shared" si="1"/>
        <v>0</v>
      </c>
      <c r="S87" s="53">
        <f t="shared" si="2"/>
        <v>0</v>
      </c>
      <c r="T87" s="51">
        <f>IFERROR(MATCH(I87,{"M1","M2","M3","M4","M5","M6"},0),0)</f>
        <v>0</v>
      </c>
      <c r="U87" s="51">
        <f t="shared" si="3"/>
        <v>0</v>
      </c>
      <c r="V87" s="51">
        <f t="shared" si="4"/>
        <v>0</v>
      </c>
      <c r="W87" s="53">
        <f t="shared" si="5"/>
        <v>0</v>
      </c>
      <c r="X87" s="54">
        <f t="shared" si="6"/>
        <v>0</v>
      </c>
      <c r="Y87" s="51">
        <f t="shared" si="7"/>
        <v>0</v>
      </c>
      <c r="Z87" s="55">
        <f t="shared" si="8"/>
        <v>0</v>
      </c>
      <c r="AA87" s="51">
        <f t="shared" si="9"/>
        <v>0</v>
      </c>
      <c r="AB87" s="55">
        <f t="shared" si="10"/>
        <v>0</v>
      </c>
      <c r="AC87" s="51">
        <f t="shared" si="11"/>
        <v>0</v>
      </c>
      <c r="AD87" s="55">
        <f t="shared" si="12"/>
        <v>0</v>
      </c>
      <c r="AE87" s="51">
        <f t="shared" si="13"/>
        <v>0</v>
      </c>
      <c r="AF87" s="53">
        <f t="shared" si="14"/>
        <v>0</v>
      </c>
      <c r="AG87" s="53">
        <f t="shared" si="15"/>
        <v>0</v>
      </c>
      <c r="AH87" s="53">
        <f t="shared" si="16"/>
        <v>0</v>
      </c>
      <c r="AI87" s="53">
        <f t="shared" si="17"/>
        <v>0</v>
      </c>
      <c r="AJ87" s="53">
        <f t="shared" si="18"/>
        <v>0</v>
      </c>
      <c r="AK87" s="53">
        <f t="shared" si="19"/>
        <v>0</v>
      </c>
      <c r="AL87" s="53">
        <f t="shared" si="20"/>
        <v>0</v>
      </c>
      <c r="AM87" s="53">
        <f t="shared" si="21"/>
        <v>0</v>
      </c>
      <c r="AN87" s="53">
        <f t="shared" si="22"/>
        <v>0</v>
      </c>
      <c r="AO87" s="53">
        <f t="shared" si="23"/>
        <v>0</v>
      </c>
      <c r="AP87" s="53">
        <f t="shared" si="24"/>
        <v>0</v>
      </c>
      <c r="AQ87" s="53">
        <f t="shared" si="25"/>
        <v>0</v>
      </c>
      <c r="AR87" s="53">
        <f t="shared" si="26"/>
        <v>0</v>
      </c>
      <c r="AS87" s="53">
        <f t="shared" si="27"/>
        <v>0</v>
      </c>
      <c r="AT87" s="53">
        <f t="shared" si="28"/>
        <v>0</v>
      </c>
      <c r="AU87" s="53">
        <f t="shared" si="29"/>
        <v>0</v>
      </c>
      <c r="AV87" s="53">
        <f t="shared" si="31"/>
        <v>0</v>
      </c>
      <c r="AW87" s="53">
        <f t="shared" si="30"/>
        <v>0</v>
      </c>
    </row>
    <row r="88" spans="1:49" ht="22" customHeight="1" x14ac:dyDescent="0.2">
      <c r="A88" s="1"/>
      <c r="B88" s="25">
        <v>28</v>
      </c>
      <c r="C88" s="42"/>
      <c r="D88" s="42"/>
      <c r="E88" s="42"/>
      <c r="F88" s="42"/>
      <c r="G88" s="43"/>
      <c r="H88" s="49"/>
      <c r="I88" s="5"/>
      <c r="J88" s="46">
        <v>0</v>
      </c>
      <c r="K88" s="46">
        <v>1</v>
      </c>
      <c r="L88" s="42"/>
      <c r="M88" s="50" t="s">
        <v>279</v>
      </c>
      <c r="N88" s="17"/>
      <c r="O88" s="82"/>
      <c r="P88" s="2"/>
      <c r="Q88" s="51">
        <f t="shared" si="0"/>
        <v>0</v>
      </c>
      <c r="R88" s="52">
        <f t="shared" si="1"/>
        <v>0</v>
      </c>
      <c r="S88" s="53">
        <f t="shared" si="2"/>
        <v>0</v>
      </c>
      <c r="T88" s="51">
        <f>IFERROR(MATCH(I88,{"M1","M2","M3","M4","M5","M6"},0),0)</f>
        <v>0</v>
      </c>
      <c r="U88" s="51">
        <f t="shared" si="3"/>
        <v>0</v>
      </c>
      <c r="V88" s="51">
        <f t="shared" si="4"/>
        <v>0</v>
      </c>
      <c r="W88" s="53">
        <f t="shared" si="5"/>
        <v>0</v>
      </c>
      <c r="X88" s="54">
        <f t="shared" si="6"/>
        <v>0</v>
      </c>
      <c r="Y88" s="51">
        <f t="shared" si="7"/>
        <v>0</v>
      </c>
      <c r="Z88" s="55">
        <f t="shared" si="8"/>
        <v>0</v>
      </c>
      <c r="AA88" s="51">
        <f t="shared" si="9"/>
        <v>0</v>
      </c>
      <c r="AB88" s="55">
        <f t="shared" si="10"/>
        <v>0</v>
      </c>
      <c r="AC88" s="51">
        <f t="shared" si="11"/>
        <v>0</v>
      </c>
      <c r="AD88" s="55">
        <f t="shared" si="12"/>
        <v>0</v>
      </c>
      <c r="AE88" s="51">
        <f t="shared" si="13"/>
        <v>0</v>
      </c>
      <c r="AF88" s="53">
        <f t="shared" si="14"/>
        <v>0</v>
      </c>
      <c r="AG88" s="53">
        <f t="shared" si="15"/>
        <v>0</v>
      </c>
      <c r="AH88" s="53">
        <f t="shared" si="16"/>
        <v>0</v>
      </c>
      <c r="AI88" s="53">
        <f t="shared" si="17"/>
        <v>0</v>
      </c>
      <c r="AJ88" s="53">
        <f t="shared" si="18"/>
        <v>0</v>
      </c>
      <c r="AK88" s="53">
        <f t="shared" si="19"/>
        <v>0</v>
      </c>
      <c r="AL88" s="53">
        <f t="shared" si="20"/>
        <v>0</v>
      </c>
      <c r="AM88" s="53">
        <f t="shared" si="21"/>
        <v>0</v>
      </c>
      <c r="AN88" s="53">
        <f t="shared" si="22"/>
        <v>0</v>
      </c>
      <c r="AO88" s="53">
        <f t="shared" si="23"/>
        <v>0</v>
      </c>
      <c r="AP88" s="53">
        <f t="shared" si="24"/>
        <v>0</v>
      </c>
      <c r="AQ88" s="53">
        <f t="shared" si="25"/>
        <v>0</v>
      </c>
      <c r="AR88" s="53">
        <f t="shared" si="26"/>
        <v>0</v>
      </c>
      <c r="AS88" s="53">
        <f t="shared" si="27"/>
        <v>0</v>
      </c>
      <c r="AT88" s="53">
        <f t="shared" si="28"/>
        <v>0</v>
      </c>
      <c r="AU88" s="53">
        <f t="shared" si="29"/>
        <v>0</v>
      </c>
      <c r="AV88" s="53">
        <f t="shared" si="31"/>
        <v>0</v>
      </c>
      <c r="AW88" s="53">
        <f t="shared" si="30"/>
        <v>0</v>
      </c>
    </row>
    <row r="89" spans="1:49" ht="22" customHeight="1" x14ac:dyDescent="0.2">
      <c r="A89" s="1"/>
      <c r="B89" s="25">
        <v>29</v>
      </c>
      <c r="C89" s="42"/>
      <c r="D89" s="42"/>
      <c r="E89" s="42"/>
      <c r="F89" s="42"/>
      <c r="G89" s="43"/>
      <c r="H89" s="49"/>
      <c r="I89" s="5"/>
      <c r="J89" s="46">
        <v>0</v>
      </c>
      <c r="K89" s="46">
        <v>1</v>
      </c>
      <c r="L89" s="42"/>
      <c r="M89" s="50" t="s">
        <v>279</v>
      </c>
      <c r="N89" s="17"/>
      <c r="O89" s="82"/>
      <c r="P89" s="2"/>
      <c r="Q89" s="51">
        <f t="shared" si="0"/>
        <v>0</v>
      </c>
      <c r="R89" s="52">
        <f t="shared" si="1"/>
        <v>0</v>
      </c>
      <c r="S89" s="53">
        <f t="shared" si="2"/>
        <v>0</v>
      </c>
      <c r="T89" s="51">
        <f>IFERROR(MATCH(I89,{"M1","M2","M3","M4","M5","M6"},0),0)</f>
        <v>0</v>
      </c>
      <c r="U89" s="51">
        <f t="shared" si="3"/>
        <v>0</v>
      </c>
      <c r="V89" s="51">
        <f t="shared" si="4"/>
        <v>0</v>
      </c>
      <c r="W89" s="53">
        <f t="shared" si="5"/>
        <v>0</v>
      </c>
      <c r="X89" s="54">
        <f t="shared" si="6"/>
        <v>0</v>
      </c>
      <c r="Y89" s="51">
        <f t="shared" si="7"/>
        <v>0</v>
      </c>
      <c r="Z89" s="55">
        <f t="shared" si="8"/>
        <v>0</v>
      </c>
      <c r="AA89" s="51">
        <f t="shared" si="9"/>
        <v>0</v>
      </c>
      <c r="AB89" s="55">
        <f t="shared" si="10"/>
        <v>0</v>
      </c>
      <c r="AC89" s="51">
        <f t="shared" si="11"/>
        <v>0</v>
      </c>
      <c r="AD89" s="55">
        <f t="shared" si="12"/>
        <v>0</v>
      </c>
      <c r="AE89" s="51">
        <f t="shared" si="13"/>
        <v>0</v>
      </c>
      <c r="AF89" s="53">
        <f t="shared" si="14"/>
        <v>0</v>
      </c>
      <c r="AG89" s="53">
        <f t="shared" si="15"/>
        <v>0</v>
      </c>
      <c r="AH89" s="53">
        <f t="shared" si="16"/>
        <v>0</v>
      </c>
      <c r="AI89" s="53">
        <f t="shared" si="17"/>
        <v>0</v>
      </c>
      <c r="AJ89" s="53">
        <f t="shared" si="18"/>
        <v>0</v>
      </c>
      <c r="AK89" s="53">
        <f t="shared" si="19"/>
        <v>0</v>
      </c>
      <c r="AL89" s="53">
        <f t="shared" si="20"/>
        <v>0</v>
      </c>
      <c r="AM89" s="53">
        <f t="shared" si="21"/>
        <v>0</v>
      </c>
      <c r="AN89" s="53">
        <f t="shared" si="22"/>
        <v>0</v>
      </c>
      <c r="AO89" s="53">
        <f t="shared" si="23"/>
        <v>0</v>
      </c>
      <c r="AP89" s="53">
        <f t="shared" si="24"/>
        <v>0</v>
      </c>
      <c r="AQ89" s="53">
        <f t="shared" si="25"/>
        <v>0</v>
      </c>
      <c r="AR89" s="53">
        <f t="shared" si="26"/>
        <v>0</v>
      </c>
      <c r="AS89" s="53">
        <f t="shared" si="27"/>
        <v>0</v>
      </c>
      <c r="AT89" s="53">
        <f t="shared" si="28"/>
        <v>0</v>
      </c>
      <c r="AU89" s="53">
        <f t="shared" si="29"/>
        <v>0</v>
      </c>
      <c r="AV89" s="53">
        <f t="shared" si="31"/>
        <v>0</v>
      </c>
      <c r="AW89" s="53">
        <f t="shared" si="30"/>
        <v>0</v>
      </c>
    </row>
    <row r="90" spans="1:49" ht="22" customHeight="1" x14ac:dyDescent="0.2">
      <c r="A90" s="1"/>
      <c r="B90" s="25">
        <v>30</v>
      </c>
      <c r="C90" s="42"/>
      <c r="D90" s="42"/>
      <c r="E90" s="42"/>
      <c r="F90" s="42"/>
      <c r="G90" s="43"/>
      <c r="H90" s="49"/>
      <c r="I90" s="5"/>
      <c r="J90" s="46">
        <v>0</v>
      </c>
      <c r="K90" s="46">
        <v>1</v>
      </c>
      <c r="L90" s="42"/>
      <c r="M90" s="50" t="s">
        <v>279</v>
      </c>
      <c r="N90" s="17"/>
      <c r="O90" s="82"/>
      <c r="P90" s="2"/>
      <c r="Q90" s="51">
        <f t="shared" si="0"/>
        <v>0</v>
      </c>
      <c r="R90" s="52">
        <f t="shared" si="1"/>
        <v>0</v>
      </c>
      <c r="S90" s="53">
        <f t="shared" si="2"/>
        <v>0</v>
      </c>
      <c r="T90" s="51">
        <f>IFERROR(MATCH(I90,{"M1","M2","M3","M4","M5","M6"},0),0)</f>
        <v>0</v>
      </c>
      <c r="U90" s="51">
        <f t="shared" si="3"/>
        <v>0</v>
      </c>
      <c r="V90" s="51">
        <f t="shared" si="4"/>
        <v>0</v>
      </c>
      <c r="W90" s="53">
        <f t="shared" si="5"/>
        <v>0</v>
      </c>
      <c r="X90" s="54">
        <f t="shared" si="6"/>
        <v>0</v>
      </c>
      <c r="Y90" s="51">
        <f t="shared" si="7"/>
        <v>0</v>
      </c>
      <c r="Z90" s="55">
        <f t="shared" si="8"/>
        <v>0</v>
      </c>
      <c r="AA90" s="51">
        <f t="shared" si="9"/>
        <v>0</v>
      </c>
      <c r="AB90" s="55">
        <f t="shared" si="10"/>
        <v>0</v>
      </c>
      <c r="AC90" s="51">
        <f t="shared" si="11"/>
        <v>0</v>
      </c>
      <c r="AD90" s="55">
        <f t="shared" si="12"/>
        <v>0</v>
      </c>
      <c r="AE90" s="51">
        <f t="shared" si="13"/>
        <v>0</v>
      </c>
      <c r="AF90" s="53">
        <f t="shared" si="14"/>
        <v>0</v>
      </c>
      <c r="AG90" s="53">
        <f t="shared" si="15"/>
        <v>0</v>
      </c>
      <c r="AH90" s="53">
        <f t="shared" si="16"/>
        <v>0</v>
      </c>
      <c r="AI90" s="53">
        <f t="shared" si="17"/>
        <v>0</v>
      </c>
      <c r="AJ90" s="53">
        <f t="shared" si="18"/>
        <v>0</v>
      </c>
      <c r="AK90" s="53">
        <f t="shared" si="19"/>
        <v>0</v>
      </c>
      <c r="AL90" s="53">
        <f t="shared" si="20"/>
        <v>0</v>
      </c>
      <c r="AM90" s="53">
        <f t="shared" si="21"/>
        <v>0</v>
      </c>
      <c r="AN90" s="53">
        <f t="shared" si="22"/>
        <v>0</v>
      </c>
      <c r="AO90" s="53">
        <f t="shared" si="23"/>
        <v>0</v>
      </c>
      <c r="AP90" s="53">
        <f t="shared" si="24"/>
        <v>0</v>
      </c>
      <c r="AQ90" s="53">
        <f t="shared" si="25"/>
        <v>0</v>
      </c>
      <c r="AR90" s="53">
        <f t="shared" si="26"/>
        <v>0</v>
      </c>
      <c r="AS90" s="53">
        <f t="shared" si="27"/>
        <v>0</v>
      </c>
      <c r="AT90" s="53">
        <f t="shared" si="28"/>
        <v>0</v>
      </c>
      <c r="AU90" s="53">
        <f t="shared" si="29"/>
        <v>0</v>
      </c>
      <c r="AV90" s="53">
        <f t="shared" si="31"/>
        <v>0</v>
      </c>
      <c r="AW90" s="53">
        <f t="shared" si="30"/>
        <v>0</v>
      </c>
    </row>
    <row r="91" spans="1:49" x14ac:dyDescent="0.2">
      <c r="A91" s="1"/>
      <c r="B91" s="1"/>
      <c r="C91" s="1"/>
      <c r="D91" s="1"/>
      <c r="E91" s="1"/>
      <c r="F91" s="1"/>
      <c r="G91" s="1"/>
      <c r="H91" s="1"/>
      <c r="I91" s="1"/>
      <c r="J91" s="1"/>
      <c r="K91" s="1"/>
      <c r="L91" s="1"/>
      <c r="M91" s="1"/>
      <c r="N91" s="1"/>
      <c r="O91" s="8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row>
    <row r="92" spans="1:49" ht="24" customHeight="1" x14ac:dyDescent="0.2">
      <c r="A92" s="1"/>
      <c r="B92" s="107" t="s">
        <v>280</v>
      </c>
      <c r="C92" s="85"/>
      <c r="D92" s="85"/>
      <c r="E92" s="85"/>
      <c r="F92" s="85"/>
      <c r="G92" s="85"/>
      <c r="H92" s="85"/>
      <c r="I92" s="85"/>
      <c r="J92" s="85"/>
      <c r="K92" s="85"/>
      <c r="L92" s="85"/>
      <c r="M92" s="85"/>
      <c r="N92" s="85"/>
      <c r="O92" s="8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row>
    <row r="93" spans="1:49" ht="30" customHeight="1" x14ac:dyDescent="0.2">
      <c r="A93" s="1"/>
      <c r="B93" s="13" t="s">
        <v>113</v>
      </c>
      <c r="C93" s="12" t="s">
        <v>281</v>
      </c>
      <c r="D93" s="12" t="s">
        <v>68</v>
      </c>
      <c r="E93" s="13" t="s">
        <v>282</v>
      </c>
      <c r="F93" s="27" t="s">
        <v>283</v>
      </c>
      <c r="G93" s="27" t="s">
        <v>284</v>
      </c>
      <c r="H93" s="12" t="s">
        <v>74</v>
      </c>
      <c r="I93" s="27" t="s">
        <v>278</v>
      </c>
      <c r="J93" s="93" t="s">
        <v>188</v>
      </c>
      <c r="K93" s="94"/>
      <c r="L93" s="94"/>
      <c r="M93" s="94"/>
      <c r="N93" s="94"/>
      <c r="O93" s="8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row>
    <row r="94" spans="1:49" ht="22" customHeight="1" x14ac:dyDescent="0.2">
      <c r="A94" s="1"/>
      <c r="B94" s="25">
        <v>1</v>
      </c>
      <c r="C94" s="42"/>
      <c r="D94" s="42"/>
      <c r="E94" s="49"/>
      <c r="F94" s="5"/>
      <c r="G94" s="5"/>
      <c r="H94" s="42"/>
      <c r="I94" s="50" t="s">
        <v>279</v>
      </c>
      <c r="J94" s="84"/>
      <c r="K94" s="85"/>
      <c r="L94" s="85"/>
      <c r="M94" s="85"/>
      <c r="N94" s="85"/>
      <c r="O94" s="82"/>
      <c r="P94" s="2"/>
      <c r="Q94" s="51">
        <f t="shared" ref="Q94:Q101" si="32">IFERROR(IF(I94="Y",1,0),0)</f>
        <v>0</v>
      </c>
      <c r="R94" s="52">
        <v>1</v>
      </c>
      <c r="S94" s="53">
        <f t="shared" ref="S94:S101" si="33">IFERROR(IF(OR(U94=0,V94=0,E94=""),0,E94*MAX(0,V94-U94+1)*Q94*scn_size_active),0)</f>
        <v>0</v>
      </c>
      <c r="T94" s="51">
        <f t="shared" ref="T94:T101" si="34">U94</f>
        <v>0</v>
      </c>
      <c r="U94" s="51">
        <f>IFERROR(MATCH(F94,{"M1","M2","M3","M4","M5","M6"},0),0)</f>
        <v>0</v>
      </c>
      <c r="V94" s="51">
        <f>IFERROR(MATCH(G94,{"M1","M2","M3","M4","M5","M6"},0),0)</f>
        <v>0</v>
      </c>
      <c r="W94" s="53">
        <f t="shared" ref="W94:W101" si="35">IFERROR(IF(E94="",0,E94)*Q94*scn_size_active,0)</f>
        <v>0</v>
      </c>
      <c r="X94" s="54">
        <f t="shared" ref="X94:X101" si="36">IFERROR(IF(H94="",0,VLOOKUP(H94,ref_pt_table,3,FALSE))+scn_lag_active,0)</f>
        <v>0</v>
      </c>
      <c r="Y94" s="51">
        <v>0</v>
      </c>
      <c r="Z94" s="51">
        <v>0</v>
      </c>
      <c r="AA94" s="51">
        <v>0</v>
      </c>
      <c r="AB94" s="51">
        <v>0</v>
      </c>
      <c r="AC94" s="51">
        <v>0</v>
      </c>
      <c r="AD94" s="51">
        <v>0</v>
      </c>
      <c r="AE94" s="51">
        <v>0</v>
      </c>
      <c r="AF94" s="53">
        <f t="shared" ref="AF94:AF101" si="37">IFERROR(IF(AND(U94&gt;0,U94&lt;=1,V94&gt;=1),W94,0),0)</f>
        <v>0</v>
      </c>
      <c r="AG94" s="53">
        <f t="shared" ref="AG94:AG101" si="38">IFERROR(IF(AND(U94&gt;0,U94&lt;=2,V94&gt;=2),W94,0),0)</f>
        <v>0</v>
      </c>
      <c r="AH94" s="53">
        <f t="shared" ref="AH94:AH101" si="39">IFERROR(IF(AND(U94&gt;0,U94&lt;=3,V94&gt;=3),W94,0),0)</f>
        <v>0</v>
      </c>
      <c r="AI94" s="53">
        <f t="shared" ref="AI94:AI101" si="40">IFERROR(IF(AND(U94&gt;0,U94&lt;=4,V94&gt;=4),W94,0),0)</f>
        <v>0</v>
      </c>
      <c r="AJ94" s="53">
        <f t="shared" ref="AJ94:AJ101" si="41">IFERROR(IF(AND(U94&gt;0,U94&lt;=5,V94&gt;=5),W94,0),0)</f>
        <v>0</v>
      </c>
      <c r="AK94" s="53">
        <f t="shared" ref="AK94:AK101" si="42">IFERROR(IF(AND(U94&gt;0,U94&lt;=6,V94&gt;=6),W94,0),0)</f>
        <v>0</v>
      </c>
      <c r="AL94" s="53">
        <f t="shared" ref="AL94:AL101" si="43">IFERROR(IF(AND(1-X94&gt;=1,1-X94&lt;=6),INDEX(AF94:AK94,1-X94),0),0)</f>
        <v>0</v>
      </c>
      <c r="AM94" s="53">
        <f t="shared" ref="AM94:AM101" si="44">IFERROR(IF(AND(2-X94&gt;=1,2-X94&lt;=6),INDEX(AF94:AK94,2-X94),0),0)</f>
        <v>0</v>
      </c>
      <c r="AN94" s="53">
        <f t="shared" ref="AN94:AN101" si="45">IFERROR(IF(AND(3-X94&gt;=1,3-X94&lt;=6),INDEX(AF94:AK94,3-X94),0),0)</f>
        <v>0</v>
      </c>
      <c r="AO94" s="53">
        <f t="shared" ref="AO94:AO101" si="46">IFERROR(IF(AND(4-X94&gt;=1,4-X94&lt;=6),INDEX(AF94:AK94,4-X94),0),0)</f>
        <v>0</v>
      </c>
      <c r="AP94" s="53">
        <f t="shared" ref="AP94:AP101" si="47">IFERROR(IF(AND(5-X94&gt;=1,5-X94&lt;=6),INDEX(AF94:AK94,5-X94),0),0)</f>
        <v>0</v>
      </c>
      <c r="AQ94" s="53">
        <f t="shared" ref="AQ94:AQ101" si="48">IFERROR(IF(AND(6-X94&gt;=1,6-X94&lt;=6),INDEX(AF94:AK94,6-X94),0),0)</f>
        <v>0</v>
      </c>
      <c r="AR94" s="53">
        <f t="shared" ref="AR94:AR101" si="49">IFERROR(IF(AND(7-X94&gt;=1,7-X94&lt;=6),INDEX(AF94:AK94,7-X94),0),0)</f>
        <v>0</v>
      </c>
      <c r="AS94" s="53">
        <f t="shared" ref="AS94:AS101" si="50">IFERROR(IF(AND(8-X94&gt;=1,8-X94&lt;=6),INDEX(AF94:AK94,8-X94),0),0)</f>
        <v>0</v>
      </c>
      <c r="AT94" s="53">
        <f t="shared" ref="AT94:AT101" si="51">SUM(AL94:AN94)</f>
        <v>0</v>
      </c>
      <c r="AU94" s="53">
        <f t="shared" ref="AU94:AU101" si="52">SUM(AL94:AQ94)</f>
        <v>0</v>
      </c>
      <c r="AV94" s="53">
        <f t="shared" ref="AV94:AV101" si="53">SUM(AL94:AS94)</f>
        <v>0</v>
      </c>
      <c r="AW94" s="53">
        <f t="shared" ref="AW94:AW101" si="54">SUM(AF94:AK94)</f>
        <v>0</v>
      </c>
    </row>
    <row r="95" spans="1:49" ht="22" customHeight="1" x14ac:dyDescent="0.2">
      <c r="A95" s="1"/>
      <c r="B95" s="25">
        <v>2</v>
      </c>
      <c r="C95" s="42"/>
      <c r="D95" s="42"/>
      <c r="E95" s="49"/>
      <c r="F95" s="5"/>
      <c r="G95" s="5"/>
      <c r="H95" s="42"/>
      <c r="I95" s="50" t="s">
        <v>279</v>
      </c>
      <c r="J95" s="84"/>
      <c r="K95" s="85"/>
      <c r="L95" s="85"/>
      <c r="M95" s="85"/>
      <c r="N95" s="85"/>
      <c r="O95" s="82"/>
      <c r="P95" s="2"/>
      <c r="Q95" s="51">
        <f t="shared" si="32"/>
        <v>0</v>
      </c>
      <c r="R95" s="52">
        <v>1</v>
      </c>
      <c r="S95" s="53">
        <f t="shared" si="33"/>
        <v>0</v>
      </c>
      <c r="T95" s="51">
        <f t="shared" si="34"/>
        <v>0</v>
      </c>
      <c r="U95" s="51">
        <f>IFERROR(MATCH(F95,{"M1","M2","M3","M4","M5","M6"},0),0)</f>
        <v>0</v>
      </c>
      <c r="V95" s="51">
        <f>IFERROR(MATCH(G95,{"M1","M2","M3","M4","M5","M6"},0),0)</f>
        <v>0</v>
      </c>
      <c r="W95" s="53">
        <f t="shared" si="35"/>
        <v>0</v>
      </c>
      <c r="X95" s="54">
        <f t="shared" si="36"/>
        <v>0</v>
      </c>
      <c r="Y95" s="51">
        <v>0</v>
      </c>
      <c r="Z95" s="51">
        <v>0</v>
      </c>
      <c r="AA95" s="51">
        <v>0</v>
      </c>
      <c r="AB95" s="51">
        <v>0</v>
      </c>
      <c r="AC95" s="51">
        <v>0</v>
      </c>
      <c r="AD95" s="51">
        <v>0</v>
      </c>
      <c r="AE95" s="51">
        <v>0</v>
      </c>
      <c r="AF95" s="53">
        <f t="shared" si="37"/>
        <v>0</v>
      </c>
      <c r="AG95" s="53">
        <f t="shared" si="38"/>
        <v>0</v>
      </c>
      <c r="AH95" s="53">
        <f t="shared" si="39"/>
        <v>0</v>
      </c>
      <c r="AI95" s="53">
        <f t="shared" si="40"/>
        <v>0</v>
      </c>
      <c r="AJ95" s="53">
        <f t="shared" si="41"/>
        <v>0</v>
      </c>
      <c r="AK95" s="53">
        <f t="shared" si="42"/>
        <v>0</v>
      </c>
      <c r="AL95" s="53">
        <f t="shared" si="43"/>
        <v>0</v>
      </c>
      <c r="AM95" s="53">
        <f t="shared" si="44"/>
        <v>0</v>
      </c>
      <c r="AN95" s="53">
        <f t="shared" si="45"/>
        <v>0</v>
      </c>
      <c r="AO95" s="53">
        <f t="shared" si="46"/>
        <v>0</v>
      </c>
      <c r="AP95" s="53">
        <f t="shared" si="47"/>
        <v>0</v>
      </c>
      <c r="AQ95" s="53">
        <f t="shared" si="48"/>
        <v>0</v>
      </c>
      <c r="AR95" s="53">
        <f t="shared" si="49"/>
        <v>0</v>
      </c>
      <c r="AS95" s="53">
        <f t="shared" si="50"/>
        <v>0</v>
      </c>
      <c r="AT95" s="53">
        <f t="shared" si="51"/>
        <v>0</v>
      </c>
      <c r="AU95" s="53">
        <f t="shared" si="52"/>
        <v>0</v>
      </c>
      <c r="AV95" s="53">
        <f t="shared" si="53"/>
        <v>0</v>
      </c>
      <c r="AW95" s="53">
        <f t="shared" si="54"/>
        <v>0</v>
      </c>
    </row>
    <row r="96" spans="1:49" ht="22" customHeight="1" x14ac:dyDescent="0.2">
      <c r="A96" s="1"/>
      <c r="B96" s="25">
        <v>3</v>
      </c>
      <c r="C96" s="42"/>
      <c r="D96" s="42"/>
      <c r="E96" s="49"/>
      <c r="F96" s="5"/>
      <c r="G96" s="5"/>
      <c r="H96" s="42"/>
      <c r="I96" s="50" t="s">
        <v>279</v>
      </c>
      <c r="J96" s="84"/>
      <c r="K96" s="85"/>
      <c r="L96" s="85"/>
      <c r="M96" s="85"/>
      <c r="N96" s="85"/>
      <c r="O96" s="82"/>
      <c r="P96" s="2"/>
      <c r="Q96" s="51">
        <f t="shared" si="32"/>
        <v>0</v>
      </c>
      <c r="R96" s="52">
        <v>1</v>
      </c>
      <c r="S96" s="53">
        <f t="shared" si="33"/>
        <v>0</v>
      </c>
      <c r="T96" s="51">
        <f t="shared" si="34"/>
        <v>0</v>
      </c>
      <c r="U96" s="51">
        <f>IFERROR(MATCH(F96,{"M1","M2","M3","M4","M5","M6"},0),0)</f>
        <v>0</v>
      </c>
      <c r="V96" s="51">
        <f>IFERROR(MATCH(G96,{"M1","M2","M3","M4","M5","M6"},0),0)</f>
        <v>0</v>
      </c>
      <c r="W96" s="53">
        <f t="shared" si="35"/>
        <v>0</v>
      </c>
      <c r="X96" s="54">
        <f t="shared" si="36"/>
        <v>0</v>
      </c>
      <c r="Y96" s="51">
        <v>0</v>
      </c>
      <c r="Z96" s="51">
        <v>0</v>
      </c>
      <c r="AA96" s="51">
        <v>0</v>
      </c>
      <c r="AB96" s="51">
        <v>0</v>
      </c>
      <c r="AC96" s="51">
        <v>0</v>
      </c>
      <c r="AD96" s="51">
        <v>0</v>
      </c>
      <c r="AE96" s="51">
        <v>0</v>
      </c>
      <c r="AF96" s="53">
        <f t="shared" si="37"/>
        <v>0</v>
      </c>
      <c r="AG96" s="53">
        <f t="shared" si="38"/>
        <v>0</v>
      </c>
      <c r="AH96" s="53">
        <f t="shared" si="39"/>
        <v>0</v>
      </c>
      <c r="AI96" s="53">
        <f t="shared" si="40"/>
        <v>0</v>
      </c>
      <c r="AJ96" s="53">
        <f t="shared" si="41"/>
        <v>0</v>
      </c>
      <c r="AK96" s="53">
        <f t="shared" si="42"/>
        <v>0</v>
      </c>
      <c r="AL96" s="53">
        <f t="shared" si="43"/>
        <v>0</v>
      </c>
      <c r="AM96" s="53">
        <f t="shared" si="44"/>
        <v>0</v>
      </c>
      <c r="AN96" s="53">
        <f t="shared" si="45"/>
        <v>0</v>
      </c>
      <c r="AO96" s="53">
        <f t="shared" si="46"/>
        <v>0</v>
      </c>
      <c r="AP96" s="53">
        <f t="shared" si="47"/>
        <v>0</v>
      </c>
      <c r="AQ96" s="53">
        <f t="shared" si="48"/>
        <v>0</v>
      </c>
      <c r="AR96" s="53">
        <f t="shared" si="49"/>
        <v>0</v>
      </c>
      <c r="AS96" s="53">
        <f t="shared" si="50"/>
        <v>0</v>
      </c>
      <c r="AT96" s="53">
        <f t="shared" si="51"/>
        <v>0</v>
      </c>
      <c r="AU96" s="53">
        <f t="shared" si="52"/>
        <v>0</v>
      </c>
      <c r="AV96" s="53">
        <f t="shared" si="53"/>
        <v>0</v>
      </c>
      <c r="AW96" s="53">
        <f t="shared" si="54"/>
        <v>0</v>
      </c>
    </row>
    <row r="97" spans="1:49" ht="22" customHeight="1" x14ac:dyDescent="0.2">
      <c r="A97" s="1"/>
      <c r="B97" s="25">
        <v>4</v>
      </c>
      <c r="C97" s="42"/>
      <c r="D97" s="42"/>
      <c r="E97" s="49"/>
      <c r="F97" s="5"/>
      <c r="G97" s="5"/>
      <c r="H97" s="42"/>
      <c r="I97" s="50" t="s">
        <v>279</v>
      </c>
      <c r="J97" s="84"/>
      <c r="K97" s="85"/>
      <c r="L97" s="85"/>
      <c r="M97" s="85"/>
      <c r="N97" s="85"/>
      <c r="O97" s="82"/>
      <c r="P97" s="2"/>
      <c r="Q97" s="51">
        <f t="shared" si="32"/>
        <v>0</v>
      </c>
      <c r="R97" s="52">
        <v>1</v>
      </c>
      <c r="S97" s="53">
        <f t="shared" si="33"/>
        <v>0</v>
      </c>
      <c r="T97" s="51">
        <f t="shared" si="34"/>
        <v>0</v>
      </c>
      <c r="U97" s="51">
        <f>IFERROR(MATCH(F97,{"M1","M2","M3","M4","M5","M6"},0),0)</f>
        <v>0</v>
      </c>
      <c r="V97" s="51">
        <f>IFERROR(MATCH(G97,{"M1","M2","M3","M4","M5","M6"},0),0)</f>
        <v>0</v>
      </c>
      <c r="W97" s="53">
        <f t="shared" si="35"/>
        <v>0</v>
      </c>
      <c r="X97" s="54">
        <f t="shared" si="36"/>
        <v>0</v>
      </c>
      <c r="Y97" s="51">
        <v>0</v>
      </c>
      <c r="Z97" s="51">
        <v>0</v>
      </c>
      <c r="AA97" s="51">
        <v>0</v>
      </c>
      <c r="AB97" s="51">
        <v>0</v>
      </c>
      <c r="AC97" s="51">
        <v>0</v>
      </c>
      <c r="AD97" s="51">
        <v>0</v>
      </c>
      <c r="AE97" s="51">
        <v>0</v>
      </c>
      <c r="AF97" s="53">
        <f t="shared" si="37"/>
        <v>0</v>
      </c>
      <c r="AG97" s="53">
        <f t="shared" si="38"/>
        <v>0</v>
      </c>
      <c r="AH97" s="53">
        <f t="shared" si="39"/>
        <v>0</v>
      </c>
      <c r="AI97" s="53">
        <f t="shared" si="40"/>
        <v>0</v>
      </c>
      <c r="AJ97" s="53">
        <f t="shared" si="41"/>
        <v>0</v>
      </c>
      <c r="AK97" s="53">
        <f t="shared" si="42"/>
        <v>0</v>
      </c>
      <c r="AL97" s="53">
        <f t="shared" si="43"/>
        <v>0</v>
      </c>
      <c r="AM97" s="53">
        <f t="shared" si="44"/>
        <v>0</v>
      </c>
      <c r="AN97" s="53">
        <f t="shared" si="45"/>
        <v>0</v>
      </c>
      <c r="AO97" s="53">
        <f t="shared" si="46"/>
        <v>0</v>
      </c>
      <c r="AP97" s="53">
        <f t="shared" si="47"/>
        <v>0</v>
      </c>
      <c r="AQ97" s="53">
        <f t="shared" si="48"/>
        <v>0</v>
      </c>
      <c r="AR97" s="53">
        <f t="shared" si="49"/>
        <v>0</v>
      </c>
      <c r="AS97" s="53">
        <f t="shared" si="50"/>
        <v>0</v>
      </c>
      <c r="AT97" s="53">
        <f t="shared" si="51"/>
        <v>0</v>
      </c>
      <c r="AU97" s="53">
        <f t="shared" si="52"/>
        <v>0</v>
      </c>
      <c r="AV97" s="53">
        <f t="shared" si="53"/>
        <v>0</v>
      </c>
      <c r="AW97" s="53">
        <f t="shared" si="54"/>
        <v>0</v>
      </c>
    </row>
    <row r="98" spans="1:49" ht="22" customHeight="1" x14ac:dyDescent="0.2">
      <c r="A98" s="1"/>
      <c r="B98" s="25">
        <v>5</v>
      </c>
      <c r="C98" s="42"/>
      <c r="D98" s="42"/>
      <c r="E98" s="49"/>
      <c r="F98" s="5"/>
      <c r="G98" s="5"/>
      <c r="H98" s="42"/>
      <c r="I98" s="50" t="s">
        <v>279</v>
      </c>
      <c r="J98" s="84"/>
      <c r="K98" s="85"/>
      <c r="L98" s="85"/>
      <c r="M98" s="85"/>
      <c r="N98" s="85"/>
      <c r="O98" s="82"/>
      <c r="P98" s="2"/>
      <c r="Q98" s="51">
        <f t="shared" si="32"/>
        <v>0</v>
      </c>
      <c r="R98" s="52">
        <v>1</v>
      </c>
      <c r="S98" s="53">
        <f t="shared" si="33"/>
        <v>0</v>
      </c>
      <c r="T98" s="51">
        <f t="shared" si="34"/>
        <v>0</v>
      </c>
      <c r="U98" s="51">
        <f>IFERROR(MATCH(F98,{"M1","M2","M3","M4","M5","M6"},0),0)</f>
        <v>0</v>
      </c>
      <c r="V98" s="51">
        <f>IFERROR(MATCH(G98,{"M1","M2","M3","M4","M5","M6"},0),0)</f>
        <v>0</v>
      </c>
      <c r="W98" s="53">
        <f t="shared" si="35"/>
        <v>0</v>
      </c>
      <c r="X98" s="54">
        <f t="shared" si="36"/>
        <v>0</v>
      </c>
      <c r="Y98" s="51">
        <v>0</v>
      </c>
      <c r="Z98" s="51">
        <v>0</v>
      </c>
      <c r="AA98" s="51">
        <v>0</v>
      </c>
      <c r="AB98" s="51">
        <v>0</v>
      </c>
      <c r="AC98" s="51">
        <v>0</v>
      </c>
      <c r="AD98" s="51">
        <v>0</v>
      </c>
      <c r="AE98" s="51">
        <v>0</v>
      </c>
      <c r="AF98" s="53">
        <f t="shared" si="37"/>
        <v>0</v>
      </c>
      <c r="AG98" s="53">
        <f t="shared" si="38"/>
        <v>0</v>
      </c>
      <c r="AH98" s="53">
        <f t="shared" si="39"/>
        <v>0</v>
      </c>
      <c r="AI98" s="53">
        <f t="shared" si="40"/>
        <v>0</v>
      </c>
      <c r="AJ98" s="53">
        <f t="shared" si="41"/>
        <v>0</v>
      </c>
      <c r="AK98" s="53">
        <f t="shared" si="42"/>
        <v>0</v>
      </c>
      <c r="AL98" s="53">
        <f t="shared" si="43"/>
        <v>0</v>
      </c>
      <c r="AM98" s="53">
        <f t="shared" si="44"/>
        <v>0</v>
      </c>
      <c r="AN98" s="53">
        <f t="shared" si="45"/>
        <v>0</v>
      </c>
      <c r="AO98" s="53">
        <f t="shared" si="46"/>
        <v>0</v>
      </c>
      <c r="AP98" s="53">
        <f t="shared" si="47"/>
        <v>0</v>
      </c>
      <c r="AQ98" s="53">
        <f t="shared" si="48"/>
        <v>0</v>
      </c>
      <c r="AR98" s="53">
        <f t="shared" si="49"/>
        <v>0</v>
      </c>
      <c r="AS98" s="53">
        <f t="shared" si="50"/>
        <v>0</v>
      </c>
      <c r="AT98" s="53">
        <f t="shared" si="51"/>
        <v>0</v>
      </c>
      <c r="AU98" s="53">
        <f t="shared" si="52"/>
        <v>0</v>
      </c>
      <c r="AV98" s="53">
        <f t="shared" si="53"/>
        <v>0</v>
      </c>
      <c r="AW98" s="53">
        <f t="shared" si="54"/>
        <v>0</v>
      </c>
    </row>
    <row r="99" spans="1:49" ht="22" customHeight="1" x14ac:dyDescent="0.2">
      <c r="A99" s="1"/>
      <c r="B99" s="25">
        <v>6</v>
      </c>
      <c r="C99" s="42"/>
      <c r="D99" s="42"/>
      <c r="E99" s="49"/>
      <c r="F99" s="5"/>
      <c r="G99" s="5"/>
      <c r="H99" s="42"/>
      <c r="I99" s="50" t="s">
        <v>279</v>
      </c>
      <c r="J99" s="84"/>
      <c r="K99" s="85"/>
      <c r="L99" s="85"/>
      <c r="M99" s="85"/>
      <c r="N99" s="85"/>
      <c r="O99" s="82"/>
      <c r="P99" s="2"/>
      <c r="Q99" s="51">
        <f t="shared" si="32"/>
        <v>0</v>
      </c>
      <c r="R99" s="52">
        <v>1</v>
      </c>
      <c r="S99" s="53">
        <f t="shared" si="33"/>
        <v>0</v>
      </c>
      <c r="T99" s="51">
        <f t="shared" si="34"/>
        <v>0</v>
      </c>
      <c r="U99" s="51">
        <f>IFERROR(MATCH(F99,{"M1","M2","M3","M4","M5","M6"},0),0)</f>
        <v>0</v>
      </c>
      <c r="V99" s="51">
        <f>IFERROR(MATCH(G99,{"M1","M2","M3","M4","M5","M6"},0),0)</f>
        <v>0</v>
      </c>
      <c r="W99" s="53">
        <f t="shared" si="35"/>
        <v>0</v>
      </c>
      <c r="X99" s="54">
        <f t="shared" si="36"/>
        <v>0</v>
      </c>
      <c r="Y99" s="51">
        <v>0</v>
      </c>
      <c r="Z99" s="51">
        <v>0</v>
      </c>
      <c r="AA99" s="51">
        <v>0</v>
      </c>
      <c r="AB99" s="51">
        <v>0</v>
      </c>
      <c r="AC99" s="51">
        <v>0</v>
      </c>
      <c r="AD99" s="51">
        <v>0</v>
      </c>
      <c r="AE99" s="51">
        <v>0</v>
      </c>
      <c r="AF99" s="53">
        <f t="shared" si="37"/>
        <v>0</v>
      </c>
      <c r="AG99" s="53">
        <f t="shared" si="38"/>
        <v>0</v>
      </c>
      <c r="AH99" s="53">
        <f t="shared" si="39"/>
        <v>0</v>
      </c>
      <c r="AI99" s="53">
        <f t="shared" si="40"/>
        <v>0</v>
      </c>
      <c r="AJ99" s="53">
        <f t="shared" si="41"/>
        <v>0</v>
      </c>
      <c r="AK99" s="53">
        <f t="shared" si="42"/>
        <v>0</v>
      </c>
      <c r="AL99" s="53">
        <f t="shared" si="43"/>
        <v>0</v>
      </c>
      <c r="AM99" s="53">
        <f t="shared" si="44"/>
        <v>0</v>
      </c>
      <c r="AN99" s="53">
        <f t="shared" si="45"/>
        <v>0</v>
      </c>
      <c r="AO99" s="53">
        <f t="shared" si="46"/>
        <v>0</v>
      </c>
      <c r="AP99" s="53">
        <f t="shared" si="47"/>
        <v>0</v>
      </c>
      <c r="AQ99" s="53">
        <f t="shared" si="48"/>
        <v>0</v>
      </c>
      <c r="AR99" s="53">
        <f t="shared" si="49"/>
        <v>0</v>
      </c>
      <c r="AS99" s="53">
        <f t="shared" si="50"/>
        <v>0</v>
      </c>
      <c r="AT99" s="53">
        <f t="shared" si="51"/>
        <v>0</v>
      </c>
      <c r="AU99" s="53">
        <f t="shared" si="52"/>
        <v>0</v>
      </c>
      <c r="AV99" s="53">
        <f t="shared" si="53"/>
        <v>0</v>
      </c>
      <c r="AW99" s="53">
        <f t="shared" si="54"/>
        <v>0</v>
      </c>
    </row>
    <row r="100" spans="1:49" ht="22" customHeight="1" x14ac:dyDescent="0.2">
      <c r="A100" s="1"/>
      <c r="B100" s="25">
        <v>7</v>
      </c>
      <c r="C100" s="42"/>
      <c r="D100" s="42"/>
      <c r="E100" s="49"/>
      <c r="F100" s="5"/>
      <c r="G100" s="5"/>
      <c r="H100" s="42"/>
      <c r="I100" s="50" t="s">
        <v>279</v>
      </c>
      <c r="J100" s="84"/>
      <c r="K100" s="85"/>
      <c r="L100" s="85"/>
      <c r="M100" s="85"/>
      <c r="N100" s="85"/>
      <c r="O100" s="82"/>
      <c r="P100" s="2"/>
      <c r="Q100" s="51">
        <f t="shared" si="32"/>
        <v>0</v>
      </c>
      <c r="R100" s="52">
        <v>1</v>
      </c>
      <c r="S100" s="53">
        <f t="shared" si="33"/>
        <v>0</v>
      </c>
      <c r="T100" s="51">
        <f t="shared" si="34"/>
        <v>0</v>
      </c>
      <c r="U100" s="51">
        <f>IFERROR(MATCH(F100,{"M1","M2","M3","M4","M5","M6"},0),0)</f>
        <v>0</v>
      </c>
      <c r="V100" s="51">
        <f>IFERROR(MATCH(G100,{"M1","M2","M3","M4","M5","M6"},0),0)</f>
        <v>0</v>
      </c>
      <c r="W100" s="53">
        <f t="shared" si="35"/>
        <v>0</v>
      </c>
      <c r="X100" s="54">
        <f t="shared" si="36"/>
        <v>0</v>
      </c>
      <c r="Y100" s="51">
        <v>0</v>
      </c>
      <c r="Z100" s="51">
        <v>0</v>
      </c>
      <c r="AA100" s="51">
        <v>0</v>
      </c>
      <c r="AB100" s="51">
        <v>0</v>
      </c>
      <c r="AC100" s="51">
        <v>0</v>
      </c>
      <c r="AD100" s="51">
        <v>0</v>
      </c>
      <c r="AE100" s="51">
        <v>0</v>
      </c>
      <c r="AF100" s="53">
        <f t="shared" si="37"/>
        <v>0</v>
      </c>
      <c r="AG100" s="53">
        <f t="shared" si="38"/>
        <v>0</v>
      </c>
      <c r="AH100" s="53">
        <f t="shared" si="39"/>
        <v>0</v>
      </c>
      <c r="AI100" s="53">
        <f t="shared" si="40"/>
        <v>0</v>
      </c>
      <c r="AJ100" s="53">
        <f t="shared" si="41"/>
        <v>0</v>
      </c>
      <c r="AK100" s="53">
        <f t="shared" si="42"/>
        <v>0</v>
      </c>
      <c r="AL100" s="53">
        <f t="shared" si="43"/>
        <v>0</v>
      </c>
      <c r="AM100" s="53">
        <f t="shared" si="44"/>
        <v>0</v>
      </c>
      <c r="AN100" s="53">
        <f t="shared" si="45"/>
        <v>0</v>
      </c>
      <c r="AO100" s="53">
        <f t="shared" si="46"/>
        <v>0</v>
      </c>
      <c r="AP100" s="53">
        <f t="shared" si="47"/>
        <v>0</v>
      </c>
      <c r="AQ100" s="53">
        <f t="shared" si="48"/>
        <v>0</v>
      </c>
      <c r="AR100" s="53">
        <f t="shared" si="49"/>
        <v>0</v>
      </c>
      <c r="AS100" s="53">
        <f t="shared" si="50"/>
        <v>0</v>
      </c>
      <c r="AT100" s="53">
        <f t="shared" si="51"/>
        <v>0</v>
      </c>
      <c r="AU100" s="53">
        <f t="shared" si="52"/>
        <v>0</v>
      </c>
      <c r="AV100" s="53">
        <f t="shared" si="53"/>
        <v>0</v>
      </c>
      <c r="AW100" s="53">
        <f t="shared" si="54"/>
        <v>0</v>
      </c>
    </row>
    <row r="101" spans="1:49" ht="22" customHeight="1" x14ac:dyDescent="0.2">
      <c r="A101" s="1"/>
      <c r="B101" s="25">
        <v>8</v>
      </c>
      <c r="C101" s="42"/>
      <c r="D101" s="42"/>
      <c r="E101" s="49"/>
      <c r="F101" s="5"/>
      <c r="G101" s="5"/>
      <c r="H101" s="42"/>
      <c r="I101" s="50" t="s">
        <v>279</v>
      </c>
      <c r="J101" s="84"/>
      <c r="K101" s="85"/>
      <c r="L101" s="85"/>
      <c r="M101" s="85"/>
      <c r="N101" s="85"/>
      <c r="O101" s="82"/>
      <c r="P101" s="2"/>
      <c r="Q101" s="51">
        <f t="shared" si="32"/>
        <v>0</v>
      </c>
      <c r="R101" s="52">
        <v>1</v>
      </c>
      <c r="S101" s="53">
        <f t="shared" si="33"/>
        <v>0</v>
      </c>
      <c r="T101" s="51">
        <f t="shared" si="34"/>
        <v>0</v>
      </c>
      <c r="U101" s="51">
        <f>IFERROR(MATCH(F101,{"M1","M2","M3","M4","M5","M6"},0),0)</f>
        <v>0</v>
      </c>
      <c r="V101" s="51">
        <f>IFERROR(MATCH(G101,{"M1","M2","M3","M4","M5","M6"},0),0)</f>
        <v>0</v>
      </c>
      <c r="W101" s="53">
        <f t="shared" si="35"/>
        <v>0</v>
      </c>
      <c r="X101" s="54">
        <f t="shared" si="36"/>
        <v>0</v>
      </c>
      <c r="Y101" s="51">
        <v>0</v>
      </c>
      <c r="Z101" s="51">
        <v>0</v>
      </c>
      <c r="AA101" s="51">
        <v>0</v>
      </c>
      <c r="AB101" s="51">
        <v>0</v>
      </c>
      <c r="AC101" s="51">
        <v>0</v>
      </c>
      <c r="AD101" s="51">
        <v>0</v>
      </c>
      <c r="AE101" s="51">
        <v>0</v>
      </c>
      <c r="AF101" s="53">
        <f t="shared" si="37"/>
        <v>0</v>
      </c>
      <c r="AG101" s="53">
        <f t="shared" si="38"/>
        <v>0</v>
      </c>
      <c r="AH101" s="53">
        <f t="shared" si="39"/>
        <v>0</v>
      </c>
      <c r="AI101" s="53">
        <f t="shared" si="40"/>
        <v>0</v>
      </c>
      <c r="AJ101" s="53">
        <f t="shared" si="41"/>
        <v>0</v>
      </c>
      <c r="AK101" s="53">
        <f t="shared" si="42"/>
        <v>0</v>
      </c>
      <c r="AL101" s="53">
        <f t="shared" si="43"/>
        <v>0</v>
      </c>
      <c r="AM101" s="53">
        <f t="shared" si="44"/>
        <v>0</v>
      </c>
      <c r="AN101" s="53">
        <f t="shared" si="45"/>
        <v>0</v>
      </c>
      <c r="AO101" s="53">
        <f t="shared" si="46"/>
        <v>0</v>
      </c>
      <c r="AP101" s="53">
        <f t="shared" si="47"/>
        <v>0</v>
      </c>
      <c r="AQ101" s="53">
        <f t="shared" si="48"/>
        <v>0</v>
      </c>
      <c r="AR101" s="53">
        <f t="shared" si="49"/>
        <v>0</v>
      </c>
      <c r="AS101" s="53">
        <f t="shared" si="50"/>
        <v>0</v>
      </c>
      <c r="AT101" s="53">
        <f t="shared" si="51"/>
        <v>0</v>
      </c>
      <c r="AU101" s="53">
        <f t="shared" si="52"/>
        <v>0</v>
      </c>
      <c r="AV101" s="53">
        <f t="shared" si="53"/>
        <v>0</v>
      </c>
      <c r="AW101" s="53">
        <f t="shared" si="54"/>
        <v>0</v>
      </c>
    </row>
    <row r="102" spans="1:49" x14ac:dyDescent="0.2">
      <c r="A102" s="1"/>
      <c r="B102" s="1"/>
      <c r="C102" s="1"/>
      <c r="D102" s="1"/>
      <c r="E102" s="1"/>
      <c r="F102" s="1"/>
      <c r="G102" s="1"/>
      <c r="H102" s="1"/>
      <c r="I102" s="1"/>
      <c r="J102" s="1"/>
      <c r="K102" s="1"/>
      <c r="L102" s="1"/>
      <c r="M102" s="1"/>
      <c r="N102" s="1"/>
      <c r="O102" s="8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row>
    <row r="103" spans="1:49" ht="24" customHeight="1" x14ac:dyDescent="0.2">
      <c r="A103" s="1"/>
      <c r="B103" s="107" t="s">
        <v>285</v>
      </c>
      <c r="C103" s="85"/>
      <c r="D103" s="85"/>
      <c r="E103" s="85"/>
      <c r="F103" s="85"/>
      <c r="G103" s="85"/>
      <c r="H103" s="85"/>
      <c r="I103" s="85"/>
      <c r="J103" s="85"/>
      <c r="K103" s="85"/>
      <c r="L103" s="85"/>
      <c r="M103" s="85"/>
      <c r="N103" s="85"/>
      <c r="O103" s="8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row>
    <row r="104" spans="1:49" ht="30" customHeight="1" x14ac:dyDescent="0.2">
      <c r="A104" s="1"/>
      <c r="B104" s="84" t="s">
        <v>286</v>
      </c>
      <c r="C104" s="85"/>
      <c r="D104" s="85"/>
      <c r="E104" s="85"/>
      <c r="F104" s="85"/>
      <c r="G104" s="85"/>
      <c r="H104" s="85"/>
      <c r="I104" s="85"/>
      <c r="J104" s="85"/>
      <c r="K104" s="85"/>
      <c r="L104" s="85"/>
      <c r="M104" s="85"/>
      <c r="N104" s="85"/>
      <c r="O104" s="8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row>
    <row r="105" spans="1:49" ht="30" customHeight="1" x14ac:dyDescent="0.2">
      <c r="A105" s="1"/>
      <c r="B105" s="84" t="s">
        <v>287</v>
      </c>
      <c r="C105" s="85"/>
      <c r="D105" s="85"/>
      <c r="E105" s="85"/>
      <c r="F105" s="85"/>
      <c r="G105" s="85"/>
      <c r="H105" s="85"/>
      <c r="I105" s="85"/>
      <c r="J105" s="85"/>
      <c r="K105" s="85"/>
      <c r="L105" s="85"/>
      <c r="M105" s="85"/>
      <c r="N105" s="85"/>
      <c r="O105" s="8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row>
    <row r="106" spans="1:49" ht="30" customHeight="1" x14ac:dyDescent="0.2">
      <c r="A106" s="1"/>
      <c r="B106" s="84" t="s">
        <v>288</v>
      </c>
      <c r="C106" s="85"/>
      <c r="D106" s="85"/>
      <c r="E106" s="85"/>
      <c r="F106" s="85"/>
      <c r="G106" s="85"/>
      <c r="H106" s="85"/>
      <c r="I106" s="85"/>
      <c r="J106" s="85"/>
      <c r="K106" s="85"/>
      <c r="L106" s="85"/>
      <c r="M106" s="85"/>
      <c r="N106" s="85"/>
      <c r="O106" s="8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row>
    <row r="107" spans="1:49" ht="30" customHeight="1" x14ac:dyDescent="0.2">
      <c r="A107" s="1"/>
      <c r="B107" s="84" t="s">
        <v>289</v>
      </c>
      <c r="C107" s="85"/>
      <c r="D107" s="85"/>
      <c r="E107" s="85"/>
      <c r="F107" s="85"/>
      <c r="G107" s="85"/>
      <c r="H107" s="85"/>
      <c r="I107" s="85"/>
      <c r="J107" s="85"/>
      <c r="K107" s="85"/>
      <c r="L107" s="85"/>
      <c r="M107" s="85"/>
      <c r="N107" s="85"/>
      <c r="O107" s="8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row>
    <row r="108" spans="1:49" ht="30" customHeight="1" x14ac:dyDescent="0.2">
      <c r="A108" s="1"/>
      <c r="B108" s="84" t="s">
        <v>290</v>
      </c>
      <c r="C108" s="85"/>
      <c r="D108" s="85"/>
      <c r="E108" s="85"/>
      <c r="F108" s="85"/>
      <c r="G108" s="85"/>
      <c r="H108" s="85"/>
      <c r="I108" s="85"/>
      <c r="J108" s="85"/>
      <c r="K108" s="85"/>
      <c r="L108" s="85"/>
      <c r="M108" s="85"/>
      <c r="N108" s="85"/>
      <c r="O108" s="8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row>
    <row r="109" spans="1:49" ht="30" customHeight="1" x14ac:dyDescent="0.2">
      <c r="A109" s="1"/>
      <c r="B109" s="84" t="s">
        <v>291</v>
      </c>
      <c r="C109" s="85"/>
      <c r="D109" s="85"/>
      <c r="E109" s="85"/>
      <c r="F109" s="85"/>
      <c r="G109" s="85"/>
      <c r="H109" s="85"/>
      <c r="I109" s="85"/>
      <c r="J109" s="85"/>
      <c r="K109" s="85"/>
      <c r="L109" s="85"/>
      <c r="M109" s="85"/>
      <c r="N109" s="85"/>
      <c r="O109" s="8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row>
    <row r="110" spans="1:49" x14ac:dyDescent="0.2">
      <c r="A110" s="1"/>
      <c r="B110" s="1"/>
      <c r="C110" s="1"/>
      <c r="D110" s="1"/>
      <c r="E110" s="1"/>
      <c r="F110" s="1"/>
      <c r="G110" s="1"/>
      <c r="H110" s="1"/>
      <c r="I110" s="1"/>
      <c r="J110" s="1"/>
      <c r="K110" s="1"/>
      <c r="L110" s="1"/>
      <c r="M110" s="1"/>
      <c r="N110" s="1"/>
      <c r="O110" s="8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row>
    <row r="111" spans="1:49" ht="22" customHeight="1" x14ac:dyDescent="0.2">
      <c r="A111" s="1"/>
      <c r="B111" s="90" t="s">
        <v>166</v>
      </c>
      <c r="C111" s="85"/>
      <c r="D111" s="85"/>
      <c r="E111" s="85"/>
      <c r="F111" s="85"/>
      <c r="G111" s="85"/>
      <c r="H111" s="1"/>
      <c r="I111" s="1"/>
      <c r="J111" s="1"/>
      <c r="K111" s="1"/>
      <c r="L111" s="1"/>
      <c r="M111" s="3" t="s">
        <v>167</v>
      </c>
      <c r="N111" s="1"/>
      <c r="O111" s="8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row>
    <row r="112" spans="1:49" x14ac:dyDescent="0.2">
      <c r="A112" s="67"/>
      <c r="B112" s="67"/>
      <c r="C112" s="67"/>
      <c r="D112" s="67"/>
      <c r="E112" s="67"/>
      <c r="F112" s="67"/>
      <c r="G112" s="67"/>
      <c r="H112" s="67"/>
      <c r="I112" s="67"/>
      <c r="J112" s="67"/>
      <c r="K112" s="67"/>
      <c r="L112" s="67"/>
      <c r="M112" s="67"/>
      <c r="N112" s="67"/>
      <c r="O112" s="67"/>
    </row>
  </sheetData>
  <mergeCells count="94">
    <mergeCell ref="B109:N109"/>
    <mergeCell ref="J98:N98"/>
    <mergeCell ref="H42:N42"/>
    <mergeCell ref="B108:N108"/>
    <mergeCell ref="G36:N36"/>
    <mergeCell ref="J100:N100"/>
    <mergeCell ref="C56:E56"/>
    <mergeCell ref="J96:N96"/>
    <mergeCell ref="C49:E49"/>
    <mergeCell ref="C54:E54"/>
    <mergeCell ref="I55:N55"/>
    <mergeCell ref="H49:N49"/>
    <mergeCell ref="E7:N7"/>
    <mergeCell ref="B92:N92"/>
    <mergeCell ref="M26:N26"/>
    <mergeCell ref="E9:N9"/>
    <mergeCell ref="C7:D7"/>
    <mergeCell ref="G19:N19"/>
    <mergeCell ref="E8:N8"/>
    <mergeCell ref="I56:N56"/>
    <mergeCell ref="G21:N21"/>
    <mergeCell ref="I53:N53"/>
    <mergeCell ref="C15:E15"/>
    <mergeCell ref="E10:N10"/>
    <mergeCell ref="C20:E20"/>
    <mergeCell ref="C50:E50"/>
    <mergeCell ref="B35:N35"/>
    <mergeCell ref="M24:N24"/>
    <mergeCell ref="G18:N18"/>
    <mergeCell ref="B103:N103"/>
    <mergeCell ref="C17:E17"/>
    <mergeCell ref="C48:E48"/>
    <mergeCell ref="M32:N32"/>
    <mergeCell ref="H48:N48"/>
    <mergeCell ref="C42:E42"/>
    <mergeCell ref="G38:N38"/>
    <mergeCell ref="J99:N99"/>
    <mergeCell ref="J93:N93"/>
    <mergeCell ref="C57:E57"/>
    <mergeCell ref="C43:E43"/>
    <mergeCell ref="H47:N47"/>
    <mergeCell ref="C45:E45"/>
    <mergeCell ref="M33:N33"/>
    <mergeCell ref="G20:N20"/>
    <mergeCell ref="C44:E44"/>
    <mergeCell ref="C46:E46"/>
    <mergeCell ref="C9:D9"/>
    <mergeCell ref="B111:G111"/>
    <mergeCell ref="B104:N104"/>
    <mergeCell ref="B106:N106"/>
    <mergeCell ref="H44:N44"/>
    <mergeCell ref="B52:N52"/>
    <mergeCell ref="C53:E53"/>
    <mergeCell ref="B107:N107"/>
    <mergeCell ref="H46:N46"/>
    <mergeCell ref="C55:E55"/>
    <mergeCell ref="J101:N101"/>
    <mergeCell ref="J97:N97"/>
    <mergeCell ref="J95:N95"/>
    <mergeCell ref="G16:N16"/>
    <mergeCell ref="I54:N54"/>
    <mergeCell ref="B105:N105"/>
    <mergeCell ref="G17:N17"/>
    <mergeCell ref="C11:D11"/>
    <mergeCell ref="J94:N94"/>
    <mergeCell ref="H43:N43"/>
    <mergeCell ref="H45:N45"/>
    <mergeCell ref="M25:N25"/>
    <mergeCell ref="B41:N41"/>
    <mergeCell ref="H50:N50"/>
    <mergeCell ref="B59:N59"/>
    <mergeCell ref="M28:N28"/>
    <mergeCell ref="B14:N14"/>
    <mergeCell ref="I57:N57"/>
    <mergeCell ref="C47:E47"/>
    <mergeCell ref="G39:N39"/>
    <mergeCell ref="C19:E19"/>
    <mergeCell ref="C21:E21"/>
    <mergeCell ref="D2:K2"/>
    <mergeCell ref="G37:N37"/>
    <mergeCell ref="C16:E16"/>
    <mergeCell ref="C8:D8"/>
    <mergeCell ref="M29:N29"/>
    <mergeCell ref="C18:E18"/>
    <mergeCell ref="C10:D10"/>
    <mergeCell ref="M27:N27"/>
    <mergeCell ref="E12:N12"/>
    <mergeCell ref="M31:N31"/>
    <mergeCell ref="G15:N15"/>
    <mergeCell ref="C12:D12"/>
    <mergeCell ref="E11:N11"/>
    <mergeCell ref="B23:N23"/>
    <mergeCell ref="B6:N6"/>
    <mergeCell ref="M30:N30"/>
  </mergeCells>
  <dataValidations count="7">
    <dataValidation type="list" allowBlank="1" sqref="C7" xr:uid="{00000000-0002-0000-0100-000000000000}">
      <formula1>"AU,NZ,US"</formula1>
    </dataValidation>
    <dataValidation type="list" allowBlank="1" sqref="C9" xr:uid="{00000000-0002-0000-0100-000001000000}">
      <formula1>"Digital agency,Management consultancy,IT services / MSP,Professional services,Engineering / technical,Recruiting / staffing,Specialty trades,Other"</formula1>
    </dataValidation>
    <dataValidation type="list" allowBlank="1" sqref="F61 F62 F63 F64 F65 F66 F67 F68 F69 F70 F71 F72 F73 F74 F75 F76 F77 F78 F79 F80 F81 F82 F83 F84 F85 F86 F87 F88 F89 F90" xr:uid="{00000000-0002-0000-0100-000002000000}">
      <formula1>"Discovery,Qualified,Proposal,Negotiation,Verbal Yes,Contract Out"</formula1>
    </dataValidation>
    <dataValidation type="list" allowBlank="1" sqref="L61:L90 H94:H101" xr:uid="{00000000-0002-0000-0100-000003000000}">
      <formula1>"Net 14,Net 30,Net 45,Net 60,Milestone 50/50,Milestone 25/50/25,Milestone 33/33/33,Retainer · Net 30,Retainer · Net 14"</formula1>
    </dataValidation>
    <dataValidation type="list" allowBlank="1" sqref="E61 E62 E63 E64 E65 E66 E67 E68 E69 E70 E71 E72 E73 E74 E75 E76 E77 E78 E79 E80 E81 E82 E83 E84 E85 E86 E87 E88 E89 E90" xr:uid="{00000000-0002-0000-0100-000004000000}">
      <formula1>"New,Expansion,Renewal,Project"</formula1>
    </dataValidation>
    <dataValidation type="list" allowBlank="1" sqref="I61:I90 F94:G101" xr:uid="{00000000-0002-0000-0100-000005000000}">
      <formula1>"M1,M2,M3,M4,M5,M6"</formula1>
    </dataValidation>
    <dataValidation type="list" allowBlank="1" sqref="M61:M90 I94:I101" xr:uid="{00000000-0002-0000-0100-000006000000}">
      <formula1>"Y,N"</formula1>
    </dataValidation>
  </dataValidations>
  <printOptions horizontalCentered="1"/>
  <pageMargins left="0.4" right="0.4" top="0.5" bottom="0.5" header="0.3" footer="0.3"/>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896B3"/>
    <pageSetUpPr fitToPage="1"/>
  </sheetPr>
  <dimension ref="A1:AW227"/>
  <sheetViews>
    <sheetView showGridLines="0" zoomScale="140" zoomScaleNormal="140" workbookViewId="0">
      <pane ySplit="15" topLeftCell="A16" activePane="bottomLeft" state="frozen"/>
      <selection pane="bottomLeft" activeCell="M65" sqref="M65"/>
    </sheetView>
  </sheetViews>
  <sheetFormatPr baseColWidth="10" defaultColWidth="8.83203125" defaultRowHeight="15" x14ac:dyDescent="0.2"/>
  <cols>
    <col min="1" max="1" width="2" style="56" customWidth="1"/>
    <col min="2" max="2" width="30" style="56" customWidth="1"/>
    <col min="3" max="8" width="12.5" style="56" customWidth="1"/>
    <col min="9" max="9" width="13.5" style="56" customWidth="1"/>
    <col min="10" max="12" width="14" style="56" customWidth="1"/>
    <col min="13" max="13" width="22" style="56" customWidth="1"/>
    <col min="14" max="14" width="2" style="56" customWidth="1"/>
    <col min="15" max="15" width="1" style="56" hidden="1" customWidth="1"/>
    <col min="16" max="31" width="14" style="56" hidden="1" customWidth="1"/>
    <col min="32" max="16384" width="8.83203125" style="56"/>
  </cols>
  <sheetData>
    <row r="1" spans="1:49" ht="8" customHeight="1" x14ac:dyDescent="0.2">
      <c r="A1" s="1"/>
      <c r="B1" s="1"/>
      <c r="C1" s="1"/>
      <c r="D1" s="1"/>
      <c r="E1" s="1"/>
      <c r="F1" s="1"/>
      <c r="G1" s="1"/>
      <c r="H1" s="1"/>
      <c r="I1" s="1"/>
      <c r="J1" s="1"/>
      <c r="K1" s="1"/>
      <c r="L1" s="1"/>
      <c r="M1" s="1"/>
      <c r="N1" s="1"/>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row>
    <row r="2" spans="1:49" ht="30" customHeight="1" x14ac:dyDescent="0.2">
      <c r="A2" s="1"/>
      <c r="B2" s="1"/>
      <c r="C2" s="105" t="s">
        <v>292</v>
      </c>
      <c r="D2" s="85"/>
      <c r="E2" s="85"/>
      <c r="F2" s="85"/>
      <c r="G2" s="85"/>
      <c r="H2" s="85"/>
      <c r="I2" s="3" t="s">
        <v>1</v>
      </c>
      <c r="J2" s="4" t="str">
        <f>sinp_region</f>
        <v>AU</v>
      </c>
      <c r="K2" s="3" t="s">
        <v>2</v>
      </c>
      <c r="L2" s="5" t="s">
        <v>3</v>
      </c>
      <c r="M2" s="3" t="s">
        <v>4</v>
      </c>
      <c r="N2" s="1"/>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spans="1:49" ht="22" customHeight="1" x14ac:dyDescent="0.2">
      <c r="A3" s="1"/>
      <c r="B3" s="6" t="s">
        <v>398</v>
      </c>
      <c r="C3" s="106" t="str">
        <f>IF(sinp_business_name="","your business",sinp_business_name)</f>
        <v>Atlas Digital</v>
      </c>
      <c r="D3" s="85"/>
      <c r="E3" s="85"/>
      <c r="F3" s="85"/>
      <c r="G3" s="6" t="s">
        <v>5</v>
      </c>
      <c r="H3" s="99" t="str">
        <f>sinp_vertical</f>
        <v>Digital agency</v>
      </c>
      <c r="I3" s="85"/>
      <c r="J3" s="3" t="s">
        <v>6</v>
      </c>
      <c r="K3" s="91" t="str">
        <f>sinp_forecast_start</f>
        <v>Jul 2026</v>
      </c>
      <c r="L3" s="92"/>
      <c r="M3" s="3" t="s">
        <v>7</v>
      </c>
      <c r="N3" s="1"/>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spans="1:49" ht="8" customHeight="1" x14ac:dyDescent="0.2">
      <c r="A4" s="1"/>
      <c r="B4" s="1"/>
      <c r="C4" s="1"/>
      <c r="D4" s="1"/>
      <c r="E4" s="1"/>
      <c r="F4" s="1"/>
      <c r="G4" s="1"/>
      <c r="H4" s="1"/>
      <c r="I4" s="1"/>
      <c r="J4" s="1"/>
      <c r="K4" s="1"/>
      <c r="L4" s="1"/>
      <c r="M4" s="1"/>
      <c r="N4" s="1"/>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49" ht="22" customHeight="1" x14ac:dyDescent="0.2">
      <c r="A5" s="1"/>
      <c r="B5" s="108" t="s">
        <v>8</v>
      </c>
      <c r="C5" s="85"/>
      <c r="D5" s="85"/>
      <c r="E5" s="85"/>
      <c r="F5" s="85"/>
      <c r="G5" s="85"/>
      <c r="H5" s="85"/>
      <c r="I5" s="85"/>
      <c r="J5" s="1"/>
      <c r="K5" s="1"/>
      <c r="L5" s="1"/>
      <c r="M5" s="3" t="s">
        <v>9</v>
      </c>
      <c r="N5" s="1"/>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49" x14ac:dyDescent="0.2">
      <c r="A6" s="1"/>
      <c r="B6" s="108" t="s">
        <v>293</v>
      </c>
      <c r="C6" s="85"/>
      <c r="D6" s="85"/>
      <c r="E6" s="85"/>
      <c r="F6" s="85"/>
      <c r="G6" s="85"/>
      <c r="H6" s="85"/>
      <c r="I6" s="85"/>
      <c r="J6" s="85"/>
      <c r="K6" s="85"/>
      <c r="L6" s="85"/>
      <c r="M6" s="85"/>
      <c r="N6" s="1"/>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20" customHeight="1" x14ac:dyDescent="0.2">
      <c r="A7" s="1"/>
      <c r="B7" s="90" t="s">
        <v>10</v>
      </c>
      <c r="C7" s="8" t="s">
        <v>11</v>
      </c>
      <c r="D7" s="7" t="s">
        <v>12</v>
      </c>
      <c r="E7" s="4" t="s">
        <v>11</v>
      </c>
      <c r="F7" s="7" t="s">
        <v>13</v>
      </c>
      <c r="G7" s="9" t="s">
        <v>11</v>
      </c>
      <c r="H7" s="7" t="s">
        <v>14</v>
      </c>
      <c r="I7" s="10" t="s">
        <v>15</v>
      </c>
      <c r="J7" s="7" t="s">
        <v>16</v>
      </c>
      <c r="K7" s="1"/>
      <c r="L7" s="1"/>
      <c r="M7" s="1"/>
      <c r="N7" s="1"/>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ht="20" customHeight="1" x14ac:dyDescent="0.2">
      <c r="A8" s="1"/>
      <c r="B8" s="85"/>
      <c r="C8" s="11" t="s">
        <v>17</v>
      </c>
      <c r="D8" s="7" t="s">
        <v>18</v>
      </c>
      <c r="E8" s="9" t="s">
        <v>19</v>
      </c>
      <c r="F8" s="7" t="s">
        <v>20</v>
      </c>
      <c r="G8" s="10" t="s">
        <v>21</v>
      </c>
      <c r="H8" s="7" t="s">
        <v>22</v>
      </c>
      <c r="I8" s="1"/>
      <c r="J8" s="1"/>
      <c r="K8" s="1"/>
      <c r="L8" s="1"/>
      <c r="M8" s="1"/>
      <c r="N8" s="1"/>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49" x14ac:dyDescent="0.2">
      <c r="A9" s="1"/>
      <c r="B9" s="1"/>
      <c r="C9" s="1"/>
      <c r="D9" s="1"/>
      <c r="E9" s="1"/>
      <c r="F9" s="1"/>
      <c r="G9" s="1"/>
      <c r="H9" s="1"/>
      <c r="I9" s="1"/>
      <c r="J9" s="1"/>
      <c r="K9" s="1"/>
      <c r="L9" s="1"/>
      <c r="M9" s="1"/>
      <c r="N9" s="1"/>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ht="22" customHeight="1" x14ac:dyDescent="0.2">
      <c r="A10" s="1"/>
      <c r="B10" s="107" t="s">
        <v>23</v>
      </c>
      <c r="C10" s="85"/>
      <c r="D10" s="85"/>
      <c r="E10" s="85"/>
      <c r="F10" s="85"/>
      <c r="G10" s="85"/>
      <c r="H10" s="85"/>
      <c r="I10" s="85"/>
      <c r="J10" s="85"/>
      <c r="K10" s="85"/>
      <c r="L10" s="85"/>
      <c r="M10" s="85"/>
      <c r="N10" s="1"/>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49" ht="22" customHeight="1" x14ac:dyDescent="0.2">
      <c r="A11" s="1"/>
      <c r="B11" s="95" t="s">
        <v>24</v>
      </c>
      <c r="C11" s="85"/>
      <c r="D11" s="85"/>
      <c r="E11" s="95" t="s">
        <v>25</v>
      </c>
      <c r="F11" s="85"/>
      <c r="G11" s="85"/>
      <c r="H11" s="95" t="s">
        <v>26</v>
      </c>
      <c r="I11" s="85"/>
      <c r="J11" s="85"/>
      <c r="K11" s="95" t="s">
        <v>27</v>
      </c>
      <c r="L11" s="85"/>
      <c r="M11" s="85"/>
      <c r="N11" s="1"/>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49" ht="38" customHeight="1" x14ac:dyDescent="0.2">
      <c r="A12" s="1"/>
      <c r="B12" s="98">
        <f>SUM(scalc_deal_rev_m1,scalc_deal_rev_m2,scalc_deal_rev_m3,scalc_deal_rev_m4,scalc_deal_rev_m5,scalc_deal_rev_m6,scalc_ret_rev_m1,scalc_ret_rev_m2,scalc_ret_rev_m3,scalc_ret_rev_m4,scalc_ret_rev_m5,scalc_ret_rev_m6)</f>
        <v>1321583.3333333333</v>
      </c>
      <c r="C12" s="85"/>
      <c r="D12" s="85"/>
      <c r="E12" s="98">
        <f>SUM(scalc_deal_cash_m1,scalc_deal_cash_m2,scalc_deal_cash_m3,scalc_deal_cash_m4,scalc_deal_cash_m5,scalc_deal_cash_m6,scalc_ret_cash_m1,scalc_ret_cash_m2,scalc_ret_cash_m3,scalc_ret_cash_m4,scalc_ret_cash_m5,scalc_ret_cash_m6)</f>
        <v>1179113.3333333333</v>
      </c>
      <c r="F12" s="85"/>
      <c r="G12" s="85"/>
      <c r="H12" s="97">
        <f>sout_rev_6m-sout_cash_6m</f>
        <v>142470</v>
      </c>
      <c r="I12" s="85"/>
      <c r="J12" s="85"/>
      <c r="K12" s="104">
        <f>IFERROR(SUMPRODUCT(scalc_deal_value_col,scalc_deal_prob_col,scalc_deal_active_col)/MAX(1,SUMPRODUCT(scalc_deal_value_col,scalc_deal_active_col)),0)</f>
        <v>0.57111056751467715</v>
      </c>
      <c r="L12" s="85"/>
      <c r="M12" s="85"/>
      <c r="N12" s="1"/>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row>
    <row r="13" spans="1:49" ht="22" customHeight="1" x14ac:dyDescent="0.2">
      <c r="A13" s="1"/>
      <c r="B13" s="95" t="s">
        <v>28</v>
      </c>
      <c r="C13" s="85"/>
      <c r="D13" s="85"/>
      <c r="E13" s="95" t="s">
        <v>29</v>
      </c>
      <c r="F13" s="85"/>
      <c r="G13" s="85"/>
      <c r="H13" s="95" t="s">
        <v>30</v>
      </c>
      <c r="I13" s="85"/>
      <c r="J13" s="85"/>
      <c r="K13" s="95" t="s">
        <v>31</v>
      </c>
      <c r="L13" s="85"/>
      <c r="M13" s="85"/>
      <c r="N13" s="1"/>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49" ht="14" customHeight="1" x14ac:dyDescent="0.2">
      <c r="A14" s="1"/>
      <c r="B14" s="2"/>
      <c r="C14" s="2"/>
      <c r="D14" s="2"/>
      <c r="E14" s="2"/>
      <c r="F14" s="2"/>
      <c r="G14" s="2"/>
      <c r="H14" s="2"/>
      <c r="I14" s="2"/>
      <c r="J14" s="2"/>
      <c r="K14" s="2"/>
      <c r="L14" s="2"/>
      <c r="M14" s="2"/>
      <c r="N14" s="1"/>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49" x14ac:dyDescent="0.2">
      <c r="A15" s="1"/>
      <c r="B15" s="1"/>
      <c r="C15" s="1"/>
      <c r="D15" s="1"/>
      <c r="E15" s="1"/>
      <c r="F15" s="1"/>
      <c r="G15" s="1"/>
      <c r="H15" s="1"/>
      <c r="I15" s="1"/>
      <c r="J15" s="1"/>
      <c r="K15" s="1"/>
      <c r="L15" s="1"/>
      <c r="M15" s="1"/>
      <c r="N15" s="1"/>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49" ht="24" customHeight="1" x14ac:dyDescent="0.2">
      <c r="A16" s="1"/>
      <c r="B16" s="87" t="s">
        <v>32</v>
      </c>
      <c r="C16" s="85"/>
      <c r="D16" s="85"/>
      <c r="E16" s="85"/>
      <c r="F16" s="85"/>
      <c r="G16" s="85"/>
      <c r="H16" s="85"/>
      <c r="I16" s="88" t="s">
        <v>33</v>
      </c>
      <c r="J16" s="85"/>
      <c r="K16" s="85"/>
      <c r="L16" s="85"/>
      <c r="M16" s="85"/>
      <c r="N16" s="1"/>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row>
    <row r="17" spans="1:49" ht="22" customHeight="1" x14ac:dyDescent="0.2">
      <c r="A17" s="1"/>
      <c r="B17" s="12" t="s">
        <v>34</v>
      </c>
      <c r="C17" s="13" t="str">
        <f>IFERROR("M1 · "&amp;TEXT(EDATE(DATEVALUE("1 "&amp;sinp_forecast_start),0),"mmm yy"),"M1")</f>
        <v>M1 · Jul 26</v>
      </c>
      <c r="D17" s="13" t="str">
        <f>IFERROR("M2 · "&amp;TEXT(EDATE(DATEVALUE("1 "&amp;sinp_forecast_start),1),"mmm yy"),"M2")</f>
        <v>M2 · Aug 26</v>
      </c>
      <c r="E17" s="13" t="str">
        <f>IFERROR("M3 · "&amp;TEXT(EDATE(DATEVALUE("1 "&amp;sinp_forecast_start),2),"mmm yy"),"M3")</f>
        <v>M3 · Sep 26</v>
      </c>
      <c r="F17" s="13" t="str">
        <f>IFERROR("M4 · "&amp;TEXT(EDATE(DATEVALUE("1 "&amp;sinp_forecast_start),3),"mmm yy"),"M4")</f>
        <v>M4 · Oct 26</v>
      </c>
      <c r="G17" s="13" t="str">
        <f>IFERROR("M5 · "&amp;TEXT(EDATE(DATEVALUE("1 "&amp;sinp_forecast_start),4),"mmm yy"),"M5")</f>
        <v>M5 · Nov 26</v>
      </c>
      <c r="H17" s="13" t="str">
        <f>IFERROR("M6 · "&amp;TEXT(EDATE(DATEVALUE("1 "&amp;sinp_forecast_start),5),"mmm yy"),"M6")</f>
        <v>M6 · Dec 26</v>
      </c>
      <c r="I17" s="13" t="s">
        <v>35</v>
      </c>
      <c r="J17" s="13" t="s">
        <v>36</v>
      </c>
      <c r="K17" s="93" t="s">
        <v>37</v>
      </c>
      <c r="L17" s="94"/>
      <c r="M17" s="94"/>
      <c r="N17" s="1"/>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49" ht="22" customHeight="1" x14ac:dyDescent="0.2">
      <c r="A18" s="1"/>
      <c r="B18" s="14" t="s">
        <v>38</v>
      </c>
      <c r="C18" s="15">
        <f>SUM(scalc_deal_rev_m1)</f>
        <v>108000</v>
      </c>
      <c r="D18" s="15">
        <f>SUM(scalc_deal_rev_m2)</f>
        <v>193600</v>
      </c>
      <c r="E18" s="15">
        <f>SUM(scalc_deal_rev_m3)</f>
        <v>221600</v>
      </c>
      <c r="F18" s="15">
        <f>SUM(scalc_deal_rev_m4)</f>
        <v>186283.33333333331</v>
      </c>
      <c r="G18" s="15">
        <f>SUM(scalc_deal_rev_m5)</f>
        <v>182450</v>
      </c>
      <c r="H18" s="15">
        <f>SUM(scalc_deal_rev_m6)</f>
        <v>93650</v>
      </c>
      <c r="I18" s="15">
        <f>SUM(C18:H18)</f>
        <v>985583.33333333326</v>
      </c>
      <c r="J18" s="16">
        <f>I18/6</f>
        <v>164263.88888888888</v>
      </c>
      <c r="K18" s="84" t="s">
        <v>39</v>
      </c>
      <c r="L18" s="85"/>
      <c r="M18" s="85"/>
      <c r="N18" s="1"/>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row>
    <row r="19" spans="1:49" ht="22" customHeight="1" x14ac:dyDescent="0.2">
      <c r="A19" s="1"/>
      <c r="B19" s="14" t="s">
        <v>40</v>
      </c>
      <c r="C19" s="15">
        <f>SUM(scalc_ret_rev_m1)</f>
        <v>60000</v>
      </c>
      <c r="D19" s="15">
        <f>SUM(scalc_ret_rev_m2)</f>
        <v>60000</v>
      </c>
      <c r="E19" s="15">
        <f>SUM(scalc_ret_rev_m3)</f>
        <v>60000</v>
      </c>
      <c r="F19" s="15">
        <f>SUM(scalc_ret_rev_m4)</f>
        <v>60000</v>
      </c>
      <c r="G19" s="15">
        <f>SUM(scalc_ret_rev_m5)</f>
        <v>48000</v>
      </c>
      <c r="H19" s="15">
        <f>SUM(scalc_ret_rev_m6)</f>
        <v>48000</v>
      </c>
      <c r="I19" s="15">
        <f>SUM(C19:H19)</f>
        <v>336000</v>
      </c>
      <c r="J19" s="16">
        <f>I19/6</f>
        <v>56000</v>
      </c>
      <c r="K19" s="84" t="s">
        <v>41</v>
      </c>
      <c r="L19" s="85"/>
      <c r="M19" s="85"/>
      <c r="N19" s="1"/>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22" customHeight="1" x14ac:dyDescent="0.2">
      <c r="A20" s="1"/>
      <c r="B20" s="18" t="s">
        <v>42</v>
      </c>
      <c r="C20" s="19">
        <f t="shared" ref="C20:H20" si="0">C18+C19</f>
        <v>168000</v>
      </c>
      <c r="D20" s="19">
        <f t="shared" si="0"/>
        <v>253600</v>
      </c>
      <c r="E20" s="19">
        <f t="shared" si="0"/>
        <v>281600</v>
      </c>
      <c r="F20" s="19">
        <f t="shared" si="0"/>
        <v>246283.33333333331</v>
      </c>
      <c r="G20" s="19">
        <f t="shared" si="0"/>
        <v>230450</v>
      </c>
      <c r="H20" s="19">
        <f t="shared" si="0"/>
        <v>141650</v>
      </c>
      <c r="I20" s="19">
        <f>SUM(C20:H20)</f>
        <v>1321583.3333333333</v>
      </c>
      <c r="J20" s="19">
        <f>I20/6</f>
        <v>220263.88888888888</v>
      </c>
      <c r="K20" s="84" t="s">
        <v>43</v>
      </c>
      <c r="L20" s="85"/>
      <c r="M20" s="85"/>
      <c r="N20" s="1"/>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ht="8" customHeight="1" x14ac:dyDescent="0.2">
      <c r="A21" s="1"/>
      <c r="B21" s="2"/>
      <c r="C21" s="2"/>
      <c r="D21" s="2"/>
      <c r="E21" s="2"/>
      <c r="F21" s="2"/>
      <c r="G21" s="2"/>
      <c r="H21" s="2"/>
      <c r="I21" s="2"/>
      <c r="J21" s="2"/>
      <c r="K21" s="85"/>
      <c r="L21" s="85"/>
      <c r="M21" s="85"/>
      <c r="N21" s="1"/>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ht="22" customHeight="1" x14ac:dyDescent="0.2">
      <c r="A22" s="1"/>
      <c r="B22" s="14" t="s">
        <v>44</v>
      </c>
      <c r="C22" s="15">
        <f>SUM(scalc_deal_cash_m1)</f>
        <v>54000</v>
      </c>
      <c r="D22" s="15">
        <f>SUM(scalc_deal_cash_m2)</f>
        <v>64000</v>
      </c>
      <c r="E22" s="15">
        <f>SUM(scalc_deal_cash_m3)</f>
        <v>147600</v>
      </c>
      <c r="F22" s="15">
        <f>SUM(scalc_deal_cash_m4)</f>
        <v>330780</v>
      </c>
      <c r="G22" s="15">
        <f>SUM(scalc_deal_cash_m5)</f>
        <v>217283.33333333331</v>
      </c>
      <c r="H22" s="15">
        <f>SUM(scalc_deal_cash_m6)</f>
        <v>77450</v>
      </c>
      <c r="I22" s="15">
        <f>SUM(C22:H22)</f>
        <v>891113.33333333326</v>
      </c>
      <c r="J22" s="16">
        <f>I22/6</f>
        <v>148518.88888888888</v>
      </c>
      <c r="K22" s="84" t="s">
        <v>45</v>
      </c>
      <c r="L22" s="85"/>
      <c r="M22" s="85"/>
      <c r="N22" s="1"/>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49" ht="22" customHeight="1" x14ac:dyDescent="0.2">
      <c r="A23" s="1"/>
      <c r="B23" s="14" t="s">
        <v>46</v>
      </c>
      <c r="C23" s="15">
        <f>SUM(scalc_ret_cash_m1)</f>
        <v>0</v>
      </c>
      <c r="D23" s="15">
        <f>SUM(scalc_ret_cash_m2)</f>
        <v>60000</v>
      </c>
      <c r="E23" s="15">
        <f>SUM(scalc_ret_cash_m3)</f>
        <v>60000</v>
      </c>
      <c r="F23" s="15">
        <f>SUM(scalc_ret_cash_m4)</f>
        <v>60000</v>
      </c>
      <c r="G23" s="15">
        <f>SUM(scalc_ret_cash_m5)</f>
        <v>60000</v>
      </c>
      <c r="H23" s="15">
        <f>SUM(scalc_ret_cash_m6)</f>
        <v>48000</v>
      </c>
      <c r="I23" s="15">
        <f>SUM(C23:H23)</f>
        <v>288000</v>
      </c>
      <c r="J23" s="16">
        <f>I23/6</f>
        <v>48000</v>
      </c>
      <c r="K23" s="84" t="s">
        <v>47</v>
      </c>
      <c r="L23" s="85"/>
      <c r="M23" s="85"/>
      <c r="N23" s="1"/>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ht="22" customHeight="1" x14ac:dyDescent="0.2">
      <c r="A24" s="1"/>
      <c r="B24" s="18" t="s">
        <v>48</v>
      </c>
      <c r="C24" s="19">
        <f>C22+C23</f>
        <v>54000</v>
      </c>
      <c r="D24" s="19">
        <f t="shared" ref="D24:H24" si="1">D22+D23</f>
        <v>124000</v>
      </c>
      <c r="E24" s="19">
        <f t="shared" si="1"/>
        <v>207600</v>
      </c>
      <c r="F24" s="19">
        <f t="shared" si="1"/>
        <v>390780</v>
      </c>
      <c r="G24" s="19">
        <f t="shared" si="1"/>
        <v>277283.33333333331</v>
      </c>
      <c r="H24" s="19">
        <f t="shared" si="1"/>
        <v>125450</v>
      </c>
      <c r="I24" s="19">
        <f>SUM(C24:H24)</f>
        <v>1179113.3333333333</v>
      </c>
      <c r="J24" s="19">
        <f>I24/6</f>
        <v>196518.88888888888</v>
      </c>
      <c r="K24" s="84" t="s">
        <v>49</v>
      </c>
      <c r="L24" s="85"/>
      <c r="M24" s="85"/>
      <c r="N24" s="1"/>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row>
    <row r="25" spans="1:49" ht="8" customHeight="1" x14ac:dyDescent="0.2">
      <c r="A25" s="1"/>
      <c r="B25" s="2"/>
      <c r="C25" s="2"/>
      <c r="D25" s="2"/>
      <c r="E25" s="2"/>
      <c r="F25" s="2"/>
      <c r="G25" s="2"/>
      <c r="H25" s="2"/>
      <c r="I25" s="2"/>
      <c r="J25" s="2"/>
      <c r="K25" s="85"/>
      <c r="L25" s="85"/>
      <c r="M25" s="85"/>
      <c r="N25" s="1"/>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row>
    <row r="26" spans="1:49" ht="22" customHeight="1" x14ac:dyDescent="0.2">
      <c r="A26" s="1"/>
      <c r="B26" s="18" t="s">
        <v>50</v>
      </c>
      <c r="C26" s="15">
        <f t="shared" ref="C26:H26" si="2">C20-C24</f>
        <v>114000</v>
      </c>
      <c r="D26" s="15">
        <f t="shared" si="2"/>
        <v>129600</v>
      </c>
      <c r="E26" s="15">
        <f t="shared" si="2"/>
        <v>74000</v>
      </c>
      <c r="F26" s="15">
        <f t="shared" si="2"/>
        <v>-144496.66666666669</v>
      </c>
      <c r="G26" s="15">
        <f t="shared" si="2"/>
        <v>-46833.333333333314</v>
      </c>
      <c r="H26" s="15">
        <f t="shared" si="2"/>
        <v>16200</v>
      </c>
      <c r="I26" s="15">
        <f>SUM(C26:H26)</f>
        <v>142470</v>
      </c>
      <c r="J26" s="16">
        <f>I26/6</f>
        <v>23745</v>
      </c>
      <c r="K26" s="84" t="s">
        <v>51</v>
      </c>
      <c r="L26" s="85"/>
      <c r="M26" s="85"/>
      <c r="N26" s="1"/>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row>
    <row r="27" spans="1:49" ht="22" customHeight="1" x14ac:dyDescent="0.2">
      <c r="A27" s="1"/>
      <c r="B27" s="20" t="s">
        <v>52</v>
      </c>
      <c r="C27" s="16">
        <f>C26</f>
        <v>114000</v>
      </c>
      <c r="D27" s="16">
        <f>C27+D26</f>
        <v>243600</v>
      </c>
      <c r="E27" s="16">
        <f>D27+E26</f>
        <v>317600</v>
      </c>
      <c r="F27" s="16">
        <f>E27+F26</f>
        <v>173103.33333333331</v>
      </c>
      <c r="G27" s="16">
        <f>F27+G26</f>
        <v>126270</v>
      </c>
      <c r="H27" s="16">
        <f>G27+H26</f>
        <v>142470</v>
      </c>
      <c r="I27" s="16">
        <f>H27</f>
        <v>142470</v>
      </c>
      <c r="J27" s="21" t="s">
        <v>53</v>
      </c>
      <c r="K27" s="109" t="s">
        <v>54</v>
      </c>
      <c r="L27" s="85"/>
      <c r="M27" s="85"/>
      <c r="N27" s="1"/>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49" x14ac:dyDescent="0.2">
      <c r="A28" s="1"/>
      <c r="B28" s="1"/>
      <c r="C28" s="1"/>
      <c r="D28" s="1"/>
      <c r="E28" s="1"/>
      <c r="F28" s="1"/>
      <c r="G28" s="1"/>
      <c r="H28" s="1"/>
      <c r="I28" s="1"/>
      <c r="J28" s="1"/>
      <c r="K28" s="1"/>
      <c r="L28" s="1"/>
      <c r="M28" s="1"/>
      <c r="N28" s="1"/>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row>
    <row r="29" spans="1:49" ht="18" customHeight="1" x14ac:dyDescent="0.2">
      <c r="A29" s="1"/>
      <c r="B29" s="103" t="s">
        <v>55</v>
      </c>
      <c r="C29" s="85"/>
      <c r="D29" s="85"/>
      <c r="E29" s="85"/>
      <c r="F29" s="85"/>
      <c r="G29" s="85"/>
      <c r="H29" s="85"/>
      <c r="I29" s="85"/>
      <c r="J29" s="85"/>
      <c r="K29" s="85"/>
      <c r="L29" s="85"/>
      <c r="M29" s="85"/>
      <c r="N29" s="1"/>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row>
    <row r="30" spans="1:49" ht="22" customHeight="1" x14ac:dyDescent="0.2">
      <c r="A30" s="1"/>
      <c r="B30" s="24" t="s">
        <v>56</v>
      </c>
      <c r="C30" s="25" t="s">
        <v>57</v>
      </c>
      <c r="D30" s="15">
        <f>SUM(scalc_deal_cash_m7)+SUM(scalc_ret_cash_m7)</f>
        <v>192830</v>
      </c>
      <c r="E30" s="25" t="s">
        <v>58</v>
      </c>
      <c r="F30" s="15">
        <f>SUM(scalc_deal_cash_m8)+SUM(scalc_ret_cash_m8)</f>
        <v>0</v>
      </c>
      <c r="G30" s="25" t="s">
        <v>59</v>
      </c>
      <c r="H30" s="26">
        <f>D30+F30</f>
        <v>192830</v>
      </c>
      <c r="I30" s="19">
        <f>sout_cash_6m+H30</f>
        <v>1371943.3333333333</v>
      </c>
      <c r="J30" s="21" t="s">
        <v>60</v>
      </c>
      <c r="K30" s="84" t="s">
        <v>61</v>
      </c>
      <c r="L30" s="85"/>
      <c r="M30" s="85"/>
      <c r="N30" s="1"/>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row>
    <row r="31" spans="1:49" x14ac:dyDescent="0.2">
      <c r="A31" s="1"/>
      <c r="B31" s="1"/>
      <c r="C31" s="1"/>
      <c r="D31" s="1"/>
      <c r="E31" s="1"/>
      <c r="F31" s="1"/>
      <c r="G31" s="1"/>
      <c r="H31" s="1"/>
      <c r="I31" s="1"/>
      <c r="J31" s="1"/>
      <c r="K31" s="1"/>
      <c r="L31" s="1"/>
      <c r="M31" s="1"/>
      <c r="N31" s="1"/>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row>
    <row r="32" spans="1:49" ht="24" customHeight="1" x14ac:dyDescent="0.2">
      <c r="A32" s="1"/>
      <c r="B32" s="87" t="s">
        <v>62</v>
      </c>
      <c r="C32" s="85"/>
      <c r="D32" s="85"/>
      <c r="E32" s="85"/>
      <c r="F32" s="85"/>
      <c r="G32" s="85"/>
      <c r="H32" s="85"/>
      <c r="I32" s="88" t="s">
        <v>63</v>
      </c>
      <c r="J32" s="85"/>
      <c r="K32" s="85"/>
      <c r="L32" s="85"/>
      <c r="M32" s="85"/>
      <c r="N32" s="1"/>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49" ht="14" customHeight="1" x14ac:dyDescent="0.2">
      <c r="A33" s="1"/>
      <c r="B33" s="2"/>
      <c r="C33" s="2"/>
      <c r="D33" s="2"/>
      <c r="E33" s="2"/>
      <c r="F33" s="2"/>
      <c r="G33" s="2"/>
      <c r="H33" s="2"/>
      <c r="I33" s="2"/>
      <c r="J33" s="2"/>
      <c r="K33" s="2"/>
      <c r="L33" s="2"/>
      <c r="M33" s="2"/>
      <c r="N33" s="1"/>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row>
    <row r="34" spans="1:49" ht="14" customHeight="1" x14ac:dyDescent="0.2">
      <c r="A34" s="1"/>
      <c r="B34" s="2"/>
      <c r="C34" s="2"/>
      <c r="D34" s="2"/>
      <c r="E34" s="2"/>
      <c r="F34" s="2"/>
      <c r="G34" s="2"/>
      <c r="H34" s="2"/>
      <c r="I34" s="2"/>
      <c r="J34" s="2"/>
      <c r="K34" s="2"/>
      <c r="L34" s="2"/>
      <c r="M34" s="2"/>
      <c r="N34" s="1"/>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49" ht="14" customHeight="1" x14ac:dyDescent="0.2">
      <c r="A35" s="1"/>
      <c r="B35" s="2"/>
      <c r="C35" s="2"/>
      <c r="D35" s="2"/>
      <c r="E35" s="2"/>
      <c r="F35" s="2"/>
      <c r="G35" s="2"/>
      <c r="H35" s="2"/>
      <c r="I35" s="2"/>
      <c r="J35" s="2"/>
      <c r="K35" s="2"/>
      <c r="L35" s="2"/>
      <c r="M35" s="2"/>
      <c r="N35" s="1"/>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ht="14" customHeight="1" x14ac:dyDescent="0.2">
      <c r="A36" s="1"/>
      <c r="B36" s="2"/>
      <c r="C36" s="2"/>
      <c r="D36" s="2"/>
      <c r="E36" s="2"/>
      <c r="F36" s="2"/>
      <c r="G36" s="2"/>
      <c r="H36" s="2"/>
      <c r="I36" s="2"/>
      <c r="J36" s="2"/>
      <c r="K36" s="2"/>
      <c r="L36" s="2"/>
      <c r="M36" s="2"/>
      <c r="N36" s="1"/>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49" ht="14" customHeight="1" x14ac:dyDescent="0.2">
      <c r="A37" s="1"/>
      <c r="B37" s="2"/>
      <c r="C37" s="2"/>
      <c r="D37" s="2"/>
      <c r="E37" s="2"/>
      <c r="F37" s="2"/>
      <c r="G37" s="2"/>
      <c r="H37" s="2"/>
      <c r="I37" s="2"/>
      <c r="J37" s="2"/>
      <c r="K37" s="2"/>
      <c r="L37" s="2"/>
      <c r="M37" s="2"/>
      <c r="N37" s="1"/>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49" ht="14" customHeight="1" x14ac:dyDescent="0.2">
      <c r="A38" s="1"/>
      <c r="B38" s="2"/>
      <c r="C38" s="2"/>
      <c r="D38" s="2"/>
      <c r="E38" s="2"/>
      <c r="F38" s="2"/>
      <c r="G38" s="2"/>
      <c r="H38" s="2"/>
      <c r="I38" s="2"/>
      <c r="J38" s="2"/>
      <c r="K38" s="2"/>
      <c r="L38" s="2"/>
      <c r="M38" s="2"/>
      <c r="N38" s="1"/>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ht="14" customHeight="1" x14ac:dyDescent="0.2">
      <c r="A39" s="1"/>
      <c r="B39" s="2"/>
      <c r="C39" s="2"/>
      <c r="D39" s="2"/>
      <c r="E39" s="2"/>
      <c r="F39" s="2"/>
      <c r="G39" s="2"/>
      <c r="H39" s="2"/>
      <c r="I39" s="2"/>
      <c r="J39" s="2"/>
      <c r="K39" s="2"/>
      <c r="L39" s="2"/>
      <c r="M39" s="2"/>
      <c r="N39" s="1"/>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ht="14" customHeight="1" x14ac:dyDescent="0.2">
      <c r="A40" s="1"/>
      <c r="B40" s="2"/>
      <c r="C40" s="2"/>
      <c r="D40" s="2"/>
      <c r="E40" s="2"/>
      <c r="F40" s="2"/>
      <c r="G40" s="2"/>
      <c r="H40" s="2"/>
      <c r="I40" s="2"/>
      <c r="J40" s="2"/>
      <c r="K40" s="2"/>
      <c r="L40" s="2"/>
      <c r="M40" s="2"/>
      <c r="N40" s="1"/>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49" ht="14" customHeight="1" x14ac:dyDescent="0.2">
      <c r="A41" s="1"/>
      <c r="B41" s="2"/>
      <c r="C41" s="2"/>
      <c r="D41" s="2"/>
      <c r="E41" s="2"/>
      <c r="F41" s="2"/>
      <c r="G41" s="2"/>
      <c r="H41" s="2"/>
      <c r="I41" s="2"/>
      <c r="J41" s="2"/>
      <c r="K41" s="2"/>
      <c r="L41" s="2"/>
      <c r="M41" s="2"/>
      <c r="N41" s="1"/>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ht="14" customHeight="1" x14ac:dyDescent="0.2">
      <c r="A42" s="1"/>
      <c r="B42" s="2"/>
      <c r="C42" s="2"/>
      <c r="D42" s="2"/>
      <c r="E42" s="2"/>
      <c r="F42" s="2"/>
      <c r="G42" s="2"/>
      <c r="H42" s="2"/>
      <c r="I42" s="2"/>
      <c r="J42" s="2"/>
      <c r="K42" s="2"/>
      <c r="L42" s="2"/>
      <c r="M42" s="2"/>
      <c r="N42" s="1"/>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49" ht="14" customHeight="1" x14ac:dyDescent="0.2">
      <c r="A43" s="1"/>
      <c r="B43" s="2"/>
      <c r="C43" s="2"/>
      <c r="D43" s="2"/>
      <c r="E43" s="2"/>
      <c r="F43" s="2"/>
      <c r="G43" s="2"/>
      <c r="H43" s="2"/>
      <c r="I43" s="2"/>
      <c r="J43" s="2"/>
      <c r="K43" s="2"/>
      <c r="L43" s="2"/>
      <c r="M43" s="2"/>
      <c r="N43" s="1"/>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row>
    <row r="44" spans="1:49" ht="14" customHeight="1" x14ac:dyDescent="0.2">
      <c r="A44" s="1"/>
      <c r="B44" s="2"/>
      <c r="C44" s="2"/>
      <c r="D44" s="2"/>
      <c r="E44" s="2"/>
      <c r="F44" s="2"/>
      <c r="G44" s="2"/>
      <c r="H44" s="2"/>
      <c r="I44" s="2"/>
      <c r="J44" s="2"/>
      <c r="K44" s="2"/>
      <c r="L44" s="2"/>
      <c r="M44" s="2"/>
      <c r="N44" s="1"/>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row>
    <row r="45" spans="1:49" ht="14" customHeight="1" x14ac:dyDescent="0.2">
      <c r="A45" s="1"/>
      <c r="B45" s="2"/>
      <c r="C45" s="2"/>
      <c r="D45" s="2"/>
      <c r="E45" s="2"/>
      <c r="F45" s="2"/>
      <c r="G45" s="2"/>
      <c r="H45" s="2"/>
      <c r="I45" s="2"/>
      <c r="J45" s="2"/>
      <c r="K45" s="2"/>
      <c r="L45" s="2"/>
      <c r="M45" s="2"/>
      <c r="N45" s="1"/>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row>
    <row r="46" spans="1:49" ht="14" customHeight="1" x14ac:dyDescent="0.2">
      <c r="A46" s="1"/>
      <c r="B46" s="2"/>
      <c r="C46" s="2"/>
      <c r="D46" s="2"/>
      <c r="E46" s="2"/>
      <c r="F46" s="2"/>
      <c r="G46" s="2"/>
      <c r="H46" s="2"/>
      <c r="I46" s="2"/>
      <c r="J46" s="2"/>
      <c r="K46" s="2"/>
      <c r="L46" s="2"/>
      <c r="M46" s="2"/>
      <c r="N46" s="1"/>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ht="14" customHeight="1" x14ac:dyDescent="0.2">
      <c r="A47" s="1"/>
      <c r="B47" s="2"/>
      <c r="C47" s="2"/>
      <c r="D47" s="2"/>
      <c r="E47" s="2"/>
      <c r="F47" s="2"/>
      <c r="G47" s="2"/>
      <c r="H47" s="2"/>
      <c r="I47" s="2"/>
      <c r="J47" s="2"/>
      <c r="K47" s="2"/>
      <c r="L47" s="2"/>
      <c r="M47" s="2"/>
      <c r="N47" s="1"/>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row>
    <row r="48" spans="1:49" ht="14" customHeight="1" x14ac:dyDescent="0.2">
      <c r="A48" s="1"/>
      <c r="B48" s="2"/>
      <c r="C48" s="2"/>
      <c r="D48" s="2"/>
      <c r="E48" s="2"/>
      <c r="F48" s="2"/>
      <c r="G48" s="2"/>
      <c r="H48" s="2"/>
      <c r="I48" s="2"/>
      <c r="J48" s="2"/>
      <c r="K48" s="2"/>
      <c r="L48" s="2"/>
      <c r="M48" s="2"/>
      <c r="N48" s="1"/>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pans="1:49" ht="14" customHeight="1" x14ac:dyDescent="0.2">
      <c r="A49" s="1"/>
      <c r="B49" s="2"/>
      <c r="C49" s="2"/>
      <c r="D49" s="2"/>
      <c r="E49" s="2"/>
      <c r="F49" s="2"/>
      <c r="G49" s="2"/>
      <c r="H49" s="2"/>
      <c r="I49" s="2"/>
      <c r="J49" s="2"/>
      <c r="K49" s="2"/>
      <c r="L49" s="2"/>
      <c r="M49" s="2"/>
      <c r="N49" s="1"/>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0" spans="1:49" x14ac:dyDescent="0.2">
      <c r="A50" s="1"/>
      <c r="B50" s="1"/>
      <c r="C50" s="1"/>
      <c r="D50" s="1"/>
      <c r="E50" s="1"/>
      <c r="F50" s="1"/>
      <c r="G50" s="1"/>
      <c r="H50" s="1"/>
      <c r="I50" s="1"/>
      <c r="J50" s="1"/>
      <c r="K50" s="1"/>
      <c r="L50" s="1"/>
      <c r="M50" s="1"/>
      <c r="N50" s="1"/>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row>
    <row r="51" spans="1:49" ht="24" customHeight="1" x14ac:dyDescent="0.2">
      <c r="A51" s="1"/>
      <c r="B51" s="87" t="s">
        <v>64</v>
      </c>
      <c r="C51" s="85"/>
      <c r="D51" s="85"/>
      <c r="E51" s="85"/>
      <c r="F51" s="85"/>
      <c r="G51" s="85"/>
      <c r="H51" s="85"/>
      <c r="I51" s="88" t="s">
        <v>65</v>
      </c>
      <c r="J51" s="85"/>
      <c r="K51" s="85"/>
      <c r="L51" s="85"/>
      <c r="M51" s="85"/>
      <c r="N51" s="1"/>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row>
    <row r="52" spans="1:49" ht="22" customHeight="1" x14ac:dyDescent="0.2">
      <c r="A52" s="1"/>
      <c r="B52" s="27" t="s">
        <v>66</v>
      </c>
      <c r="C52" s="12" t="s">
        <v>67</v>
      </c>
      <c r="D52" s="12" t="s">
        <v>68</v>
      </c>
      <c r="E52" s="12" t="s">
        <v>69</v>
      </c>
      <c r="F52" s="13" t="s">
        <v>70</v>
      </c>
      <c r="G52" s="13" t="s">
        <v>71</v>
      </c>
      <c r="H52" s="13" t="s">
        <v>72</v>
      </c>
      <c r="I52" s="13" t="s">
        <v>73</v>
      </c>
      <c r="J52" s="12" t="s">
        <v>74</v>
      </c>
      <c r="K52" s="13" t="s">
        <v>75</v>
      </c>
      <c r="L52" s="12" t="s">
        <v>76</v>
      </c>
      <c r="M52" s="12"/>
      <c r="N52" s="1"/>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row>
    <row r="53" spans="1:49" ht="22" customHeight="1" x14ac:dyDescent="0.2">
      <c r="A53" s="1"/>
      <c r="B53" s="28">
        <v>1</v>
      </c>
      <c r="C53" s="29" t="str">
        <f>IFERROR(IF(LARGE(scalc_deal_3mcash_col,1)&gt;0,INDEX(scalc_deal_name_col,MATCH(LARGE(scalc_deal_3mcash_col,1),scalc_deal_3mcash_col,0)),"-"),"-")</f>
        <v>Q3 campaign retainer top-up</v>
      </c>
      <c r="D53" s="29" t="str">
        <f>IFERROR(IF(LARGE(scalc_deal_3mcash_col,1)&gt;0,INDEX(scalc_deal_client_col,MATCH(LARGE(scalc_deal_3mcash_col,1),scalc_deal_3mcash_col,0)),"-"),"-")</f>
        <v>Aurora Health</v>
      </c>
      <c r="E53" s="20" t="str">
        <f>IFERROR(IF(LARGE(scalc_deal_3mcash_col,1)&gt;0,INDEX(scalc_deal_stage_col,MATCH(LARGE(scalc_deal_3mcash_col,1),scalc_deal_3mcash_col,0)),"-"),"-")</f>
        <v>Negotiation</v>
      </c>
      <c r="F53" s="15">
        <f>IFERROR(IF(LARGE(scalc_deal_3mcash_col,1)&gt;0,INDEX(scalc_deal_value_col,MATCH(LARGE(scalc_deal_3mcash_col,1),scalc_deal_3mcash_col,0)),"-"),"-")</f>
        <v>180000</v>
      </c>
      <c r="G53" s="30">
        <f>IFERROR(IF(LARGE(scalc_deal_3mcash_col,1)&gt;0,INDEX(scalc_deal_prob_col,MATCH(LARGE(scalc_deal_3mcash_col,1),scalc_deal_3mcash_col,0)),"-"),"-")</f>
        <v>0.6</v>
      </c>
      <c r="H53" s="15">
        <f>IFERROR(IF(LARGE(scalc_deal_3mcash_col,1)&gt;0,INDEX(scalc_deal_weighted_col,MATCH(LARGE(scalc_deal_3mcash_col,1),scalc_deal_3mcash_col,0)),"-"),"-")</f>
        <v>108000</v>
      </c>
      <c r="I53" s="26">
        <f>IFERROR(IF(LARGE(scalc_deal_3mcash_col,1)&gt;0,LARGE(scalc_deal_3mcash_col,1),"-"),"-")</f>
        <v>108000</v>
      </c>
      <c r="J53" s="31" t="str">
        <f>IFERROR(IF(LARGE(scalc_deal_3mcash_col,1)&gt;0,INDEX(scalc_deal_pt_col,MATCH(LARGE(scalc_deal_3mcash_col,1),scalc_deal_3mcash_col,0)),"-"),"-")</f>
        <v>Milestone 50/50</v>
      </c>
      <c r="K53" s="30">
        <f>IFERROR(IF(LARGE(scalc_deal_3mcash_col,1)&gt;0,LARGE(scalc_deal_3mcash_col,1)/INDEX(scalc_deal_weighted_col,MATCH(LARGE(scalc_deal_3mcash_col,1),scalc_deal_3mcash_col,0)),"-"),"-")</f>
        <v>1</v>
      </c>
      <c r="L53" s="23" t="str">
        <f>IF(LARGE(scalc_deal_3mcash_col,1)&gt;0,"Pipeline","")</f>
        <v>Pipeline</v>
      </c>
      <c r="M53" s="2"/>
      <c r="N53" s="1"/>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row>
    <row r="54" spans="1:49" ht="22" customHeight="1" x14ac:dyDescent="0.2">
      <c r="A54" s="1"/>
      <c r="B54" s="28">
        <v>2</v>
      </c>
      <c r="C54" s="29" t="str">
        <f>IFERROR(IF(LARGE(scalc_deal_3mcash_col,2)&gt;0,INDEX(scalc_deal_name_col,MATCH(LARGE(scalc_deal_3mcash_col,2),scalc_deal_3mcash_col,0)),"-"),"-")</f>
        <v>Brand refresh phase 2</v>
      </c>
      <c r="D54" s="29" t="str">
        <f>IFERROR(IF(LARGE(scalc_deal_3mcash_col,2)&gt;0,INDEX(scalc_deal_client_col,MATCH(LARGE(scalc_deal_3mcash_col,2),scalc_deal_3mcash_col,0)),"-"),"-")</f>
        <v>Meridian Federal</v>
      </c>
      <c r="E54" s="20" t="str">
        <f>IFERROR(IF(LARGE(scalc_deal_3mcash_col,2)&gt;0,INDEX(scalc_deal_stage_col,MATCH(LARGE(scalc_deal_3mcash_col,2),scalc_deal_3mcash_col,0)),"-"),"-")</f>
        <v>Contract Out</v>
      </c>
      <c r="F54" s="15">
        <f>IFERROR(IF(LARGE(scalc_deal_3mcash_col,2)&gt;0,INDEX(scalc_deal_value_col,MATCH(LARGE(scalc_deal_3mcash_col,2),scalc_deal_3mcash_col,0)),"-"),"-")</f>
        <v>240000</v>
      </c>
      <c r="G54" s="30">
        <f>IFERROR(IF(LARGE(scalc_deal_3mcash_col,2)&gt;0,INDEX(scalc_deal_prob_col,MATCH(LARGE(scalc_deal_3mcash_col,2),scalc_deal_3mcash_col,0)),"-"),"-")</f>
        <v>0.9</v>
      </c>
      <c r="H54" s="15">
        <f>IFERROR(IF(LARGE(scalc_deal_3mcash_col,2)&gt;0,INDEX(scalc_deal_weighted_col,MATCH(LARGE(scalc_deal_3mcash_col,2),scalc_deal_3mcash_col,0)),"-"),"-")</f>
        <v>216000</v>
      </c>
      <c r="I54" s="26">
        <f>IFERROR(IF(LARGE(scalc_deal_3mcash_col,2)&gt;0,LARGE(scalc_deal_3mcash_col,2),"-"),"-")</f>
        <v>72000</v>
      </c>
      <c r="J54" s="31" t="str">
        <f>IFERROR(IF(LARGE(scalc_deal_3mcash_col,2)&gt;0,INDEX(scalc_deal_pt_col,MATCH(LARGE(scalc_deal_3mcash_col,2),scalc_deal_3mcash_col,0)),"-"),"-")</f>
        <v>Net 60</v>
      </c>
      <c r="K54" s="30">
        <f>IFERROR(IF(LARGE(scalc_deal_3mcash_col,2)&gt;0,LARGE(scalc_deal_3mcash_col,2)/INDEX(scalc_deal_weighted_col,MATCH(LARGE(scalc_deal_3mcash_col,2),scalc_deal_3mcash_col,0)),"-"),"-")</f>
        <v>0.33333333333333331</v>
      </c>
      <c r="L54" s="23" t="str">
        <f>IF(LARGE(scalc_deal_3mcash_col,2)&gt;0,"Pipeline","")</f>
        <v>Pipeline</v>
      </c>
      <c r="M54" s="2"/>
      <c r="N54" s="1"/>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ht="22" customHeight="1" x14ac:dyDescent="0.2">
      <c r="A55" s="1"/>
      <c r="B55" s="28">
        <v>3</v>
      </c>
      <c r="C55" s="29" t="str">
        <f>IFERROR(IF(LARGE(scalc_deal_3mcash_col,3)&gt;0,INDEX(scalc_deal_name_col,MATCH(LARGE(scalc_deal_3mcash_col,3),scalc_deal_3mcash_col,0)),"-"),"-")</f>
        <v>Website rebuild · Phase 1</v>
      </c>
      <c r="D55" s="29" t="str">
        <f>IFERROR(IF(LARGE(scalc_deal_3mcash_col,3)&gt;0,INDEX(scalc_deal_client_col,MATCH(LARGE(scalc_deal_3mcash_col,3),scalc_deal_3mcash_col,0)),"-"),"-")</f>
        <v>Northwind Energy</v>
      </c>
      <c r="E55" s="20" t="str">
        <f>IFERROR(IF(LARGE(scalc_deal_3mcash_col,3)&gt;0,INDEX(scalc_deal_stage_col,MATCH(LARGE(scalc_deal_3mcash_col,3),scalc_deal_3mcash_col,0)),"-"),"-")</f>
        <v>Verbal Yes</v>
      </c>
      <c r="F55" s="15">
        <f>IFERROR(IF(LARGE(scalc_deal_3mcash_col,3)&gt;0,INDEX(scalc_deal_value_col,MATCH(LARGE(scalc_deal_3mcash_col,3),scalc_deal_3mcash_col,0)),"-"),"-")</f>
        <v>320000</v>
      </c>
      <c r="G55" s="30">
        <f>IFERROR(IF(LARGE(scalc_deal_3mcash_col,3)&gt;0,INDEX(scalc_deal_prob_col,MATCH(LARGE(scalc_deal_3mcash_col,3),scalc_deal_3mcash_col,0)),"-"),"-")</f>
        <v>0.8</v>
      </c>
      <c r="H55" s="15">
        <f>IFERROR(IF(LARGE(scalc_deal_3mcash_col,3)&gt;0,INDEX(scalc_deal_weighted_col,MATCH(LARGE(scalc_deal_3mcash_col,3),scalc_deal_3mcash_col,0)),"-"),"-")</f>
        <v>256000</v>
      </c>
      <c r="I55" s="26">
        <f>IFERROR(IF(LARGE(scalc_deal_3mcash_col,3)&gt;0,LARGE(scalc_deal_3mcash_col,3),"-"),"-")</f>
        <v>64000</v>
      </c>
      <c r="J55" s="31" t="str">
        <f>IFERROR(IF(LARGE(scalc_deal_3mcash_col,3)&gt;0,INDEX(scalc_deal_pt_col,MATCH(LARGE(scalc_deal_3mcash_col,3),scalc_deal_3mcash_col,0)),"-"),"-")</f>
        <v>Milestone 25/50/25</v>
      </c>
      <c r="K55" s="30">
        <f>IFERROR(IF(LARGE(scalc_deal_3mcash_col,3)&gt;0,LARGE(scalc_deal_3mcash_col,3)/INDEX(scalc_deal_weighted_col,MATCH(LARGE(scalc_deal_3mcash_col,3),scalc_deal_3mcash_col,0)),"-"),"-")</f>
        <v>0.25</v>
      </c>
      <c r="L55" s="23" t="str">
        <f>IF(LARGE(scalc_deal_3mcash_col,3)&gt;0,"Pipeline","")</f>
        <v>Pipeline</v>
      </c>
      <c r="M55" s="2"/>
      <c r="N55" s="1"/>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row>
    <row r="56" spans="1:49" ht="22" customHeight="1" x14ac:dyDescent="0.2">
      <c r="A56" s="1"/>
      <c r="B56" s="28">
        <v>4</v>
      </c>
      <c r="C56" s="29" t="str">
        <f>IFERROR(IF(LARGE(scalc_deal_3mcash_col,4)&gt;0,INDEX(scalc_deal_name_col,MATCH(LARGE(scalc_deal_3mcash_col,4),scalc_deal_3mcash_col,0)),"-"),"-")</f>
        <v>Performance media · H2</v>
      </c>
      <c r="D56" s="29" t="str">
        <f>IFERROR(IF(LARGE(scalc_deal_3mcash_col,4)&gt;0,INDEX(scalc_deal_client_col,MATCH(LARGE(scalc_deal_3mcash_col,4),scalc_deal_3mcash_col,0)),"-"),"-")</f>
        <v>BrightLane Retail</v>
      </c>
      <c r="E56" s="20" t="str">
        <f>IFERROR(IF(LARGE(scalc_deal_3mcash_col,4)&gt;0,INDEX(scalc_deal_stage_col,MATCH(LARGE(scalc_deal_3mcash_col,4),scalc_deal_3mcash_col,0)),"-"),"-")</f>
        <v>Contract Out</v>
      </c>
      <c r="F56" s="15">
        <f>IFERROR(IF(LARGE(scalc_deal_3mcash_col,4)&gt;0,INDEX(scalc_deal_value_col,MATCH(LARGE(scalc_deal_3mcash_col,4),scalc_deal_3mcash_col,0)),"-"),"-")</f>
        <v>144000</v>
      </c>
      <c r="G56" s="30">
        <f>IFERROR(IF(LARGE(scalc_deal_3mcash_col,4)&gt;0,INDEX(scalc_deal_prob_col,MATCH(LARGE(scalc_deal_3mcash_col,4),scalc_deal_3mcash_col,0)),"-"),"-")</f>
        <v>0.9</v>
      </c>
      <c r="H56" s="15">
        <f>IFERROR(IF(LARGE(scalc_deal_3mcash_col,4)&gt;0,INDEX(scalc_deal_weighted_col,MATCH(LARGE(scalc_deal_3mcash_col,4),scalc_deal_3mcash_col,0)),"-"),"-")</f>
        <v>129600</v>
      </c>
      <c r="I56" s="26">
        <f>IFERROR(IF(LARGE(scalc_deal_3mcash_col,4)&gt;0,LARGE(scalc_deal_3mcash_col,4),"-"),"-")</f>
        <v>21600</v>
      </c>
      <c r="J56" s="31" t="str">
        <f>IFERROR(IF(LARGE(scalc_deal_3mcash_col,4)&gt;0,INDEX(scalc_deal_pt_col,MATCH(LARGE(scalc_deal_3mcash_col,4),scalc_deal_3mcash_col,0)),"-"),"-")</f>
        <v>Retainer · Net 30</v>
      </c>
      <c r="K56" s="30">
        <f>IFERROR(IF(LARGE(scalc_deal_3mcash_col,4)&gt;0,LARGE(scalc_deal_3mcash_col,4)/INDEX(scalc_deal_weighted_col,MATCH(LARGE(scalc_deal_3mcash_col,4),scalc_deal_3mcash_col,0)),"-"),"-")</f>
        <v>0.16666666666666666</v>
      </c>
      <c r="L56" s="23" t="str">
        <f>IF(LARGE(scalc_deal_3mcash_col,4)&gt;0,"Pipeline","")</f>
        <v>Pipeline</v>
      </c>
      <c r="M56" s="2"/>
      <c r="N56" s="1"/>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ht="22" customHeight="1" x14ac:dyDescent="0.2">
      <c r="A57" s="1"/>
      <c r="B57" s="28">
        <v>5</v>
      </c>
      <c r="C57" s="29" t="str">
        <f>IFERROR(IF(LARGE(scalc_deal_3mcash_col,5)&gt;0,INDEX(scalc_deal_name_col,MATCH(LARGE(scalc_deal_3mcash_col,5),scalc_deal_3mcash_col,0)),"-"),"-")</f>
        <v>-</v>
      </c>
      <c r="D57" s="29" t="str">
        <f>IFERROR(IF(LARGE(scalc_deal_3mcash_col,5)&gt;0,INDEX(scalc_deal_client_col,MATCH(LARGE(scalc_deal_3mcash_col,5),scalc_deal_3mcash_col,0)),"-"),"-")</f>
        <v>-</v>
      </c>
      <c r="E57" s="20" t="str">
        <f>IFERROR(IF(LARGE(scalc_deal_3mcash_col,5)&gt;0,INDEX(scalc_deal_stage_col,MATCH(LARGE(scalc_deal_3mcash_col,5),scalc_deal_3mcash_col,0)),"-"),"-")</f>
        <v>-</v>
      </c>
      <c r="F57" s="15" t="str">
        <f>IFERROR(IF(LARGE(scalc_deal_3mcash_col,5)&gt;0,INDEX(scalc_deal_value_col,MATCH(LARGE(scalc_deal_3mcash_col,5),scalc_deal_3mcash_col,0)),"-"),"-")</f>
        <v>-</v>
      </c>
      <c r="G57" s="30" t="str">
        <f>IFERROR(IF(LARGE(scalc_deal_3mcash_col,5)&gt;0,INDEX(scalc_deal_prob_col,MATCH(LARGE(scalc_deal_3mcash_col,5),scalc_deal_3mcash_col,0)),"-"),"-")</f>
        <v>-</v>
      </c>
      <c r="H57" s="15" t="str">
        <f>IFERROR(IF(LARGE(scalc_deal_3mcash_col,5)&gt;0,INDEX(scalc_deal_weighted_col,MATCH(LARGE(scalc_deal_3mcash_col,5),scalc_deal_3mcash_col,0)),"-"),"-")</f>
        <v>-</v>
      </c>
      <c r="I57" s="26" t="str">
        <f>IFERROR(IF(LARGE(scalc_deal_3mcash_col,5)&gt;0,LARGE(scalc_deal_3mcash_col,5),"-"),"-")</f>
        <v>-</v>
      </c>
      <c r="J57" s="31" t="str">
        <f>IFERROR(IF(LARGE(scalc_deal_3mcash_col,5)&gt;0,INDEX(scalc_deal_pt_col,MATCH(LARGE(scalc_deal_3mcash_col,5),scalc_deal_3mcash_col,0)),"-"),"-")</f>
        <v>-</v>
      </c>
      <c r="K57" s="30" t="str">
        <f>IFERROR(IF(LARGE(scalc_deal_3mcash_col,5)&gt;0,LARGE(scalc_deal_3mcash_col,5)/INDEX(scalc_deal_weighted_col,MATCH(LARGE(scalc_deal_3mcash_col,5),scalc_deal_3mcash_col,0)),"-"),"-")</f>
        <v>-</v>
      </c>
      <c r="L57" s="23" t="str">
        <f>IF(LARGE(scalc_deal_3mcash_col,5)&gt;0,"Pipeline","")</f>
        <v/>
      </c>
      <c r="M57" s="2"/>
      <c r="N57" s="1"/>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row>
    <row r="58" spans="1:49" ht="22" customHeight="1" x14ac:dyDescent="0.2">
      <c r="A58" s="1"/>
      <c r="B58" s="28">
        <v>6</v>
      </c>
      <c r="C58" s="29" t="str">
        <f>IFERROR(IF(LARGE(scalc_deal_3mcash_col,6)&gt;0,INDEX(scalc_deal_name_col,MATCH(LARGE(scalc_deal_3mcash_col,6),scalc_deal_3mcash_col,0)),"-"),"-")</f>
        <v>-</v>
      </c>
      <c r="D58" s="29" t="str">
        <f>IFERROR(IF(LARGE(scalc_deal_3mcash_col,6)&gt;0,INDEX(scalc_deal_client_col,MATCH(LARGE(scalc_deal_3mcash_col,6),scalc_deal_3mcash_col,0)),"-"),"-")</f>
        <v>-</v>
      </c>
      <c r="E58" s="20" t="str">
        <f>IFERROR(IF(LARGE(scalc_deal_3mcash_col,6)&gt;0,INDEX(scalc_deal_stage_col,MATCH(LARGE(scalc_deal_3mcash_col,6),scalc_deal_3mcash_col,0)),"-"),"-")</f>
        <v>-</v>
      </c>
      <c r="F58" s="15" t="str">
        <f>IFERROR(IF(LARGE(scalc_deal_3mcash_col,6)&gt;0,INDEX(scalc_deal_value_col,MATCH(LARGE(scalc_deal_3mcash_col,6),scalc_deal_3mcash_col,0)),"-"),"-")</f>
        <v>-</v>
      </c>
      <c r="G58" s="30" t="str">
        <f>IFERROR(IF(LARGE(scalc_deal_3mcash_col,6)&gt;0,INDEX(scalc_deal_prob_col,MATCH(LARGE(scalc_deal_3mcash_col,6),scalc_deal_3mcash_col,0)),"-"),"-")</f>
        <v>-</v>
      </c>
      <c r="H58" s="15" t="str">
        <f>IFERROR(IF(LARGE(scalc_deal_3mcash_col,6)&gt;0,INDEX(scalc_deal_weighted_col,MATCH(LARGE(scalc_deal_3mcash_col,6),scalc_deal_3mcash_col,0)),"-"),"-")</f>
        <v>-</v>
      </c>
      <c r="I58" s="26" t="str">
        <f>IFERROR(IF(LARGE(scalc_deal_3mcash_col,6)&gt;0,LARGE(scalc_deal_3mcash_col,6),"-"),"-")</f>
        <v>-</v>
      </c>
      <c r="J58" s="31" t="str">
        <f>IFERROR(IF(LARGE(scalc_deal_3mcash_col,6)&gt;0,INDEX(scalc_deal_pt_col,MATCH(LARGE(scalc_deal_3mcash_col,6),scalc_deal_3mcash_col,0)),"-"),"-")</f>
        <v>-</v>
      </c>
      <c r="K58" s="30" t="str">
        <f>IFERROR(IF(LARGE(scalc_deal_3mcash_col,6)&gt;0,LARGE(scalc_deal_3mcash_col,6)/INDEX(scalc_deal_weighted_col,MATCH(LARGE(scalc_deal_3mcash_col,6),scalc_deal_3mcash_col,0)),"-"),"-")</f>
        <v>-</v>
      </c>
      <c r="L58" s="23" t="str">
        <f>IF(LARGE(scalc_deal_3mcash_col,6)&gt;0,"Pipeline","")</f>
        <v/>
      </c>
      <c r="M58" s="2"/>
      <c r="N58" s="1"/>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row>
    <row r="59" spans="1:49" ht="22" customHeight="1" x14ac:dyDescent="0.2">
      <c r="A59" s="1"/>
      <c r="B59" s="28">
        <v>7</v>
      </c>
      <c r="C59" s="29" t="str">
        <f>IFERROR(IF(LARGE(scalc_deal_3mcash_col,7)&gt;0,INDEX(scalc_deal_name_col,MATCH(LARGE(scalc_deal_3mcash_col,7),scalc_deal_3mcash_col,0)),"-"),"-")</f>
        <v>-</v>
      </c>
      <c r="D59" s="29" t="str">
        <f>IFERROR(IF(LARGE(scalc_deal_3mcash_col,7)&gt;0,INDEX(scalc_deal_client_col,MATCH(LARGE(scalc_deal_3mcash_col,7),scalc_deal_3mcash_col,0)),"-"),"-")</f>
        <v>-</v>
      </c>
      <c r="E59" s="20" t="str">
        <f>IFERROR(IF(LARGE(scalc_deal_3mcash_col,7)&gt;0,INDEX(scalc_deal_stage_col,MATCH(LARGE(scalc_deal_3mcash_col,7),scalc_deal_3mcash_col,0)),"-"),"-")</f>
        <v>-</v>
      </c>
      <c r="F59" s="15" t="str">
        <f>IFERROR(IF(LARGE(scalc_deal_3mcash_col,7)&gt;0,INDEX(scalc_deal_value_col,MATCH(LARGE(scalc_deal_3mcash_col,7),scalc_deal_3mcash_col,0)),"-"),"-")</f>
        <v>-</v>
      </c>
      <c r="G59" s="30" t="str">
        <f>IFERROR(IF(LARGE(scalc_deal_3mcash_col,7)&gt;0,INDEX(scalc_deal_prob_col,MATCH(LARGE(scalc_deal_3mcash_col,7),scalc_deal_3mcash_col,0)),"-"),"-")</f>
        <v>-</v>
      </c>
      <c r="H59" s="15" t="str">
        <f>IFERROR(IF(LARGE(scalc_deal_3mcash_col,7)&gt;0,INDEX(scalc_deal_weighted_col,MATCH(LARGE(scalc_deal_3mcash_col,7),scalc_deal_3mcash_col,0)),"-"),"-")</f>
        <v>-</v>
      </c>
      <c r="I59" s="26" t="str">
        <f>IFERROR(IF(LARGE(scalc_deal_3mcash_col,7)&gt;0,LARGE(scalc_deal_3mcash_col,7),"-"),"-")</f>
        <v>-</v>
      </c>
      <c r="J59" s="31" t="str">
        <f>IFERROR(IF(LARGE(scalc_deal_3mcash_col,7)&gt;0,INDEX(scalc_deal_pt_col,MATCH(LARGE(scalc_deal_3mcash_col,7),scalc_deal_3mcash_col,0)),"-"),"-")</f>
        <v>-</v>
      </c>
      <c r="K59" s="30" t="str">
        <f>IFERROR(IF(LARGE(scalc_deal_3mcash_col,7)&gt;0,LARGE(scalc_deal_3mcash_col,7)/INDEX(scalc_deal_weighted_col,MATCH(LARGE(scalc_deal_3mcash_col,7),scalc_deal_3mcash_col,0)),"-"),"-")</f>
        <v>-</v>
      </c>
      <c r="L59" s="23" t="str">
        <f>IF(LARGE(scalc_deal_3mcash_col,7)&gt;0,"Pipeline","")</f>
        <v/>
      </c>
      <c r="M59" s="2"/>
      <c r="N59" s="1"/>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row>
    <row r="60" spans="1:49" ht="22" customHeight="1" x14ac:dyDescent="0.2">
      <c r="A60" s="1"/>
      <c r="B60" s="28">
        <v>8</v>
      </c>
      <c r="C60" s="29" t="str">
        <f>IFERROR(IF(LARGE(scalc_deal_3mcash_col,8)&gt;0,INDEX(scalc_deal_name_col,MATCH(LARGE(scalc_deal_3mcash_col,8),scalc_deal_3mcash_col,0)),"-"),"-")</f>
        <v>-</v>
      </c>
      <c r="D60" s="29" t="str">
        <f>IFERROR(IF(LARGE(scalc_deal_3mcash_col,8)&gt;0,INDEX(scalc_deal_client_col,MATCH(LARGE(scalc_deal_3mcash_col,8),scalc_deal_3mcash_col,0)),"-"),"-")</f>
        <v>-</v>
      </c>
      <c r="E60" s="20" t="str">
        <f>IFERROR(IF(LARGE(scalc_deal_3mcash_col,8)&gt;0,INDEX(scalc_deal_stage_col,MATCH(LARGE(scalc_deal_3mcash_col,8),scalc_deal_3mcash_col,0)),"-"),"-")</f>
        <v>-</v>
      </c>
      <c r="F60" s="15" t="str">
        <f>IFERROR(IF(LARGE(scalc_deal_3mcash_col,8)&gt;0,INDEX(scalc_deal_value_col,MATCH(LARGE(scalc_deal_3mcash_col,8),scalc_deal_3mcash_col,0)),"-"),"-")</f>
        <v>-</v>
      </c>
      <c r="G60" s="30" t="str">
        <f>IFERROR(IF(LARGE(scalc_deal_3mcash_col,8)&gt;0,INDEX(scalc_deal_prob_col,MATCH(LARGE(scalc_deal_3mcash_col,8),scalc_deal_3mcash_col,0)),"-"),"-")</f>
        <v>-</v>
      </c>
      <c r="H60" s="15" t="str">
        <f>IFERROR(IF(LARGE(scalc_deal_3mcash_col,8)&gt;0,INDEX(scalc_deal_weighted_col,MATCH(LARGE(scalc_deal_3mcash_col,8),scalc_deal_3mcash_col,0)),"-"),"-")</f>
        <v>-</v>
      </c>
      <c r="I60" s="26" t="str">
        <f>IFERROR(IF(LARGE(scalc_deal_3mcash_col,8)&gt;0,LARGE(scalc_deal_3mcash_col,8),"-"),"-")</f>
        <v>-</v>
      </c>
      <c r="J60" s="31" t="str">
        <f>IFERROR(IF(LARGE(scalc_deal_3mcash_col,8)&gt;0,INDEX(scalc_deal_pt_col,MATCH(LARGE(scalc_deal_3mcash_col,8),scalc_deal_3mcash_col,0)),"-"),"-")</f>
        <v>-</v>
      </c>
      <c r="K60" s="30" t="str">
        <f>IFERROR(IF(LARGE(scalc_deal_3mcash_col,8)&gt;0,LARGE(scalc_deal_3mcash_col,8)/INDEX(scalc_deal_weighted_col,MATCH(LARGE(scalc_deal_3mcash_col,8),scalc_deal_3mcash_col,0)),"-"),"-")</f>
        <v>-</v>
      </c>
      <c r="L60" s="23" t="str">
        <f>IF(LARGE(scalc_deal_3mcash_col,8)&gt;0,"Pipeline","")</f>
        <v/>
      </c>
      <c r="M60" s="2"/>
      <c r="N60" s="1"/>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ht="22" customHeight="1" x14ac:dyDescent="0.2">
      <c r="A61" s="1"/>
      <c r="B61" s="28">
        <v>9</v>
      </c>
      <c r="C61" s="29" t="str">
        <f>IFERROR(IF(LARGE(scalc_deal_3mcash_col,9)&gt;0,INDEX(scalc_deal_name_col,MATCH(LARGE(scalc_deal_3mcash_col,9),scalc_deal_3mcash_col,0)),"-"),"-")</f>
        <v>-</v>
      </c>
      <c r="D61" s="29" t="str">
        <f>IFERROR(IF(LARGE(scalc_deal_3mcash_col,9)&gt;0,INDEX(scalc_deal_client_col,MATCH(LARGE(scalc_deal_3mcash_col,9),scalc_deal_3mcash_col,0)),"-"),"-")</f>
        <v>-</v>
      </c>
      <c r="E61" s="20" t="str">
        <f>IFERROR(IF(LARGE(scalc_deal_3mcash_col,9)&gt;0,INDEX(scalc_deal_stage_col,MATCH(LARGE(scalc_deal_3mcash_col,9),scalc_deal_3mcash_col,0)),"-"),"-")</f>
        <v>-</v>
      </c>
      <c r="F61" s="15" t="str">
        <f>IFERROR(IF(LARGE(scalc_deal_3mcash_col,9)&gt;0,INDEX(scalc_deal_value_col,MATCH(LARGE(scalc_deal_3mcash_col,9),scalc_deal_3mcash_col,0)),"-"),"-")</f>
        <v>-</v>
      </c>
      <c r="G61" s="30" t="str">
        <f>IFERROR(IF(LARGE(scalc_deal_3mcash_col,9)&gt;0,INDEX(scalc_deal_prob_col,MATCH(LARGE(scalc_deal_3mcash_col,9),scalc_deal_3mcash_col,0)),"-"),"-")</f>
        <v>-</v>
      </c>
      <c r="H61" s="15" t="str">
        <f>IFERROR(IF(LARGE(scalc_deal_3mcash_col,9)&gt;0,INDEX(scalc_deal_weighted_col,MATCH(LARGE(scalc_deal_3mcash_col,9),scalc_deal_3mcash_col,0)),"-"),"-")</f>
        <v>-</v>
      </c>
      <c r="I61" s="26" t="str">
        <f>IFERROR(IF(LARGE(scalc_deal_3mcash_col,9)&gt;0,LARGE(scalc_deal_3mcash_col,9),"-"),"-")</f>
        <v>-</v>
      </c>
      <c r="J61" s="31" t="str">
        <f>IFERROR(IF(LARGE(scalc_deal_3mcash_col,9)&gt;0,INDEX(scalc_deal_pt_col,MATCH(LARGE(scalc_deal_3mcash_col,9),scalc_deal_3mcash_col,0)),"-"),"-")</f>
        <v>-</v>
      </c>
      <c r="K61" s="30" t="str">
        <f>IFERROR(IF(LARGE(scalc_deal_3mcash_col,9)&gt;0,LARGE(scalc_deal_3mcash_col,9)/INDEX(scalc_deal_weighted_col,MATCH(LARGE(scalc_deal_3mcash_col,9),scalc_deal_3mcash_col,0)),"-"),"-")</f>
        <v>-</v>
      </c>
      <c r="L61" s="23" t="str">
        <f>IF(LARGE(scalc_deal_3mcash_col,9)&gt;0,"Pipeline","")</f>
        <v/>
      </c>
      <c r="M61" s="2"/>
      <c r="N61" s="1"/>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row>
    <row r="62" spans="1:49" ht="22" customHeight="1" x14ac:dyDescent="0.2">
      <c r="A62" s="1"/>
      <c r="B62" s="28">
        <v>10</v>
      </c>
      <c r="C62" s="29" t="str">
        <f>IFERROR(IF(LARGE(scalc_deal_3mcash_col,10)&gt;0,INDEX(scalc_deal_name_col,MATCH(LARGE(scalc_deal_3mcash_col,10),scalc_deal_3mcash_col,0)),"-"),"-")</f>
        <v>-</v>
      </c>
      <c r="D62" s="29" t="str">
        <f>IFERROR(IF(LARGE(scalc_deal_3mcash_col,10)&gt;0,INDEX(scalc_deal_client_col,MATCH(LARGE(scalc_deal_3mcash_col,10),scalc_deal_3mcash_col,0)),"-"),"-")</f>
        <v>-</v>
      </c>
      <c r="E62" s="20" t="str">
        <f>IFERROR(IF(LARGE(scalc_deal_3mcash_col,10)&gt;0,INDEX(scalc_deal_stage_col,MATCH(LARGE(scalc_deal_3mcash_col,10),scalc_deal_3mcash_col,0)),"-"),"-")</f>
        <v>-</v>
      </c>
      <c r="F62" s="15" t="str">
        <f>IFERROR(IF(LARGE(scalc_deal_3mcash_col,10)&gt;0,INDEX(scalc_deal_value_col,MATCH(LARGE(scalc_deal_3mcash_col,10),scalc_deal_3mcash_col,0)),"-"),"-")</f>
        <v>-</v>
      </c>
      <c r="G62" s="30" t="str">
        <f>IFERROR(IF(LARGE(scalc_deal_3mcash_col,10)&gt;0,INDEX(scalc_deal_prob_col,MATCH(LARGE(scalc_deal_3mcash_col,10),scalc_deal_3mcash_col,0)),"-"),"-")</f>
        <v>-</v>
      </c>
      <c r="H62" s="15" t="str">
        <f>IFERROR(IF(LARGE(scalc_deal_3mcash_col,10)&gt;0,INDEX(scalc_deal_weighted_col,MATCH(LARGE(scalc_deal_3mcash_col,10),scalc_deal_3mcash_col,0)),"-"),"-")</f>
        <v>-</v>
      </c>
      <c r="I62" s="26" t="str">
        <f>IFERROR(IF(LARGE(scalc_deal_3mcash_col,10)&gt;0,LARGE(scalc_deal_3mcash_col,10),"-"),"-")</f>
        <v>-</v>
      </c>
      <c r="J62" s="31" t="str">
        <f>IFERROR(IF(LARGE(scalc_deal_3mcash_col,10)&gt;0,INDEX(scalc_deal_pt_col,MATCH(LARGE(scalc_deal_3mcash_col,10),scalc_deal_3mcash_col,0)),"-"),"-")</f>
        <v>-</v>
      </c>
      <c r="K62" s="30" t="str">
        <f>IFERROR(IF(LARGE(scalc_deal_3mcash_col,10)&gt;0,LARGE(scalc_deal_3mcash_col,10)/INDEX(scalc_deal_weighted_col,MATCH(LARGE(scalc_deal_3mcash_col,10),scalc_deal_3mcash_col,0)),"-"),"-")</f>
        <v>-</v>
      </c>
      <c r="L62" s="23" t="str">
        <f>IF(LARGE(scalc_deal_3mcash_col,10)&gt;0,"Pipeline","")</f>
        <v/>
      </c>
      <c r="M62" s="2"/>
      <c r="N62" s="1"/>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row>
    <row r="63" spans="1:49" x14ac:dyDescent="0.2">
      <c r="A63" s="1"/>
      <c r="B63" s="57"/>
      <c r="C63" s="1"/>
      <c r="D63" s="1"/>
      <c r="E63" s="1"/>
      <c r="F63" s="1"/>
      <c r="G63" s="1"/>
      <c r="H63" s="1"/>
      <c r="I63" s="1"/>
      <c r="J63" s="1"/>
      <c r="K63" s="1"/>
      <c r="L63" s="1"/>
      <c r="M63" s="1"/>
      <c r="N63" s="1"/>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row>
    <row r="64" spans="1:49" x14ac:dyDescent="0.2">
      <c r="A64" s="1"/>
      <c r="B64" s="117" t="s">
        <v>406</v>
      </c>
      <c r="C64" s="117"/>
      <c r="D64" s="117"/>
      <c r="E64" s="117"/>
      <c r="F64" s="117"/>
      <c r="G64" s="117"/>
      <c r="H64" s="117"/>
      <c r="I64" s="117"/>
      <c r="J64" s="1"/>
      <c r="K64" s="1"/>
      <c r="L64" s="1"/>
      <c r="M64" s="1"/>
      <c r="N64" s="1"/>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row>
    <row r="65" spans="1:49" x14ac:dyDescent="0.2">
      <c r="A65" s="1"/>
      <c r="B65" s="57"/>
      <c r="C65" s="1"/>
      <c r="D65" s="1"/>
      <c r="E65" s="1"/>
      <c r="F65" s="1"/>
      <c r="G65" s="1"/>
      <c r="H65" s="1"/>
      <c r="I65" s="1"/>
      <c r="J65" s="1"/>
      <c r="K65" s="1"/>
      <c r="L65" s="1"/>
      <c r="M65" s="1"/>
      <c r="N65" s="1"/>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row>
    <row r="66" spans="1:49" ht="24" customHeight="1" x14ac:dyDescent="0.2">
      <c r="A66" s="1"/>
      <c r="B66" s="87" t="s">
        <v>77</v>
      </c>
      <c r="C66" s="85"/>
      <c r="D66" s="85"/>
      <c r="E66" s="85"/>
      <c r="F66" s="85"/>
      <c r="G66" s="85"/>
      <c r="H66" s="85"/>
      <c r="I66" s="88" t="s">
        <v>78</v>
      </c>
      <c r="J66" s="85"/>
      <c r="K66" s="85"/>
      <c r="L66" s="85"/>
      <c r="M66" s="85"/>
      <c r="N66" s="1"/>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row>
    <row r="67" spans="1:49" ht="22" customHeight="1" x14ac:dyDescent="0.2">
      <c r="A67" s="1"/>
      <c r="B67" s="12" t="s">
        <v>79</v>
      </c>
      <c r="C67" s="13" t="s">
        <v>80</v>
      </c>
      <c r="D67" s="13" t="s">
        <v>81</v>
      </c>
      <c r="E67" s="13" t="s">
        <v>3</v>
      </c>
      <c r="F67" s="13" t="s">
        <v>82</v>
      </c>
      <c r="G67" s="93" t="s">
        <v>83</v>
      </c>
      <c r="H67" s="94"/>
      <c r="I67" s="94"/>
      <c r="J67" s="94"/>
      <c r="K67" s="94"/>
      <c r="L67" s="94"/>
      <c r="M67" s="94"/>
      <c r="N67" s="1"/>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row>
    <row r="68" spans="1:49" ht="22" customHeight="1" x14ac:dyDescent="0.2">
      <c r="A68" s="1"/>
      <c r="B68" s="24" t="s">
        <v>84</v>
      </c>
      <c r="C68" s="15">
        <f>(SUM(scalc_deal_cash_m1,scalc_deal_cash_m2,scalc_deal_cash_m3,scalc_deal_cash_m4,scalc_deal_cash_m5,scalc_deal_cash_m6))*(1+-0.3)+(SUM(scalc_ret_cash_m1,scalc_ret_cash_m2,scalc_ret_cash_m3,scalc_ret_cash_m4,scalc_ret_cash_m5,scalc_ret_cash_m6))</f>
        <v>911779.33333333326</v>
      </c>
      <c r="D68" s="15">
        <f>(SUM(scalc_deal_cash_m1,scalc_deal_cash_m2,scalc_deal_cash_m3,scalc_deal_cash_m4,scalc_deal_cash_m5,scalc_deal_cash_m6))*(1+-0.15)+(SUM(scalc_ret_cash_m1,scalc_ret_cash_m2,scalc_ret_cash_m3,scalc_ret_cash_m4,scalc_ret_cash_m5,scalc_ret_cash_m6))</f>
        <v>1045446.3333333333</v>
      </c>
      <c r="E68" s="26">
        <f>(SUM(scalc_deal_cash_m1,scalc_deal_cash_m2,scalc_deal_cash_m3,scalc_deal_cash_m4,scalc_deal_cash_m5,scalc_deal_cash_m6))*(1+0)+(SUM(scalc_ret_cash_m1,scalc_ret_cash_m2,scalc_ret_cash_m3,scalc_ret_cash_m4,scalc_ret_cash_m5,scalc_ret_cash_m6))</f>
        <v>1179113.3333333333</v>
      </c>
      <c r="F68" s="15">
        <f>(SUM(scalc_deal_cash_m1,scalc_deal_cash_m2,scalc_deal_cash_m3,scalc_deal_cash_m4,scalc_deal_cash_m5,scalc_deal_cash_m6))*(1+0.1)+(SUM(scalc_ret_cash_m1,scalc_ret_cash_m2,scalc_ret_cash_m3,scalc_ret_cash_m4,scalc_ret_cash_m5,scalc_ret_cash_m6))</f>
        <v>1268224.6666666665</v>
      </c>
      <c r="G68" s="84" t="s">
        <v>85</v>
      </c>
      <c r="H68" s="85"/>
      <c r="I68" s="85"/>
      <c r="J68" s="85"/>
      <c r="K68" s="85"/>
      <c r="L68" s="85"/>
      <c r="M68" s="85"/>
      <c r="N68" s="1"/>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row>
    <row r="69" spans="1:49" ht="22" customHeight="1" x14ac:dyDescent="0.2">
      <c r="A69" s="1"/>
      <c r="B69" s="24" t="s">
        <v>86</v>
      </c>
      <c r="C69" s="32">
        <f>C68-E68</f>
        <v>-267334</v>
      </c>
      <c r="D69" s="32">
        <f>D68-E68</f>
        <v>-133667</v>
      </c>
      <c r="E69" s="32">
        <f>E68-E68</f>
        <v>0</v>
      </c>
      <c r="F69" s="32">
        <f>F68-E68</f>
        <v>89111.333333333256</v>
      </c>
      <c r="G69" s="85"/>
      <c r="H69" s="85"/>
      <c r="I69" s="85"/>
      <c r="J69" s="85"/>
      <c r="K69" s="85"/>
      <c r="L69" s="85"/>
      <c r="M69" s="85"/>
      <c r="N69" s="1"/>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row>
    <row r="70" spans="1:49" x14ac:dyDescent="0.2">
      <c r="A70" s="1"/>
      <c r="B70" s="1"/>
      <c r="C70" s="1"/>
      <c r="D70" s="1"/>
      <c r="E70" s="1"/>
      <c r="F70" s="1"/>
      <c r="G70" s="1"/>
      <c r="H70" s="1"/>
      <c r="I70" s="1"/>
      <c r="J70" s="1"/>
      <c r="K70" s="1"/>
      <c r="L70" s="1"/>
      <c r="M70" s="1"/>
      <c r="N70" s="1"/>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row>
    <row r="71" spans="1:49" ht="24" customHeight="1" x14ac:dyDescent="0.2">
      <c r="A71" s="1"/>
      <c r="B71" s="87" t="s">
        <v>87</v>
      </c>
      <c r="C71" s="85"/>
      <c r="D71" s="85"/>
      <c r="E71" s="85"/>
      <c r="F71" s="85"/>
      <c r="G71" s="85"/>
      <c r="H71" s="85"/>
      <c r="I71" s="88" t="s">
        <v>88</v>
      </c>
      <c r="J71" s="85"/>
      <c r="K71" s="85"/>
      <c r="L71" s="85"/>
      <c r="M71" s="85"/>
      <c r="N71" s="1"/>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row>
    <row r="72" spans="1:49" ht="22" customHeight="1" x14ac:dyDescent="0.2">
      <c r="A72" s="1"/>
      <c r="B72" s="12" t="s">
        <v>89</v>
      </c>
      <c r="C72" s="13" t="s">
        <v>90</v>
      </c>
      <c r="D72" s="13" t="s">
        <v>91</v>
      </c>
      <c r="E72" s="13" t="s">
        <v>92</v>
      </c>
      <c r="F72" s="13" t="s">
        <v>93</v>
      </c>
      <c r="G72" s="93" t="s">
        <v>83</v>
      </c>
      <c r="H72" s="94"/>
      <c r="I72" s="94"/>
      <c r="J72" s="94"/>
      <c r="K72" s="94"/>
      <c r="L72" s="94"/>
      <c r="M72" s="94"/>
      <c r="N72" s="1"/>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row>
    <row r="73" spans="1:49" ht="22" customHeight="1" x14ac:dyDescent="0.2">
      <c r="A73" s="1"/>
      <c r="B73" s="24" t="s">
        <v>84</v>
      </c>
      <c r="C73" s="15">
        <f>SUM(scalc_deal_cash_m2,scalc_ret_cash_m2,scalc_deal_cash_m3,scalc_ret_cash_m3,scalc_deal_cash_m4,scalc_ret_cash_m4,scalc_deal_cash_m5,scalc_ret_cash_m5,scalc_deal_cash_m6,scalc_ret_cash_m6,scalc_deal_cash_m7,scalc_ret_cash_m7)</f>
        <v>1317943.3333333333</v>
      </c>
      <c r="D73" s="26">
        <f>SUM(scalc_deal_cash_m1,scalc_ret_cash_m1,scalc_deal_cash_m2,scalc_ret_cash_m2,scalc_deal_cash_m3,scalc_ret_cash_m3,scalc_deal_cash_m4,scalc_ret_cash_m4,scalc_deal_cash_m5,scalc_ret_cash_m5,scalc_deal_cash_m6,scalc_ret_cash_m6)</f>
        <v>1179113.3333333333</v>
      </c>
      <c r="E73" s="15">
        <f>SUM(scalc_deal_cash_m1,scalc_ret_cash_m1,scalc_deal_cash_m2,scalc_ret_cash_m2,scalc_deal_cash_m3,scalc_ret_cash_m3,scalc_deal_cash_m4,scalc_ret_cash_m4,scalc_deal_cash_m5,scalc_ret_cash_m5)</f>
        <v>1053663.3333333333</v>
      </c>
      <c r="F73" s="15">
        <f>SUM(scalc_deal_cash_m1,scalc_ret_cash_m1,scalc_deal_cash_m2,scalc_ret_cash_m2,scalc_deal_cash_m3,scalc_ret_cash_m3,scalc_deal_cash_m4,scalc_ret_cash_m4)</f>
        <v>776380</v>
      </c>
      <c r="G73" s="84" t="s">
        <v>94</v>
      </c>
      <c r="H73" s="85"/>
      <c r="I73" s="85"/>
      <c r="J73" s="85"/>
      <c r="K73" s="85"/>
      <c r="L73" s="85"/>
      <c r="M73" s="85"/>
      <c r="N73" s="1"/>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row>
    <row r="74" spans="1:49" ht="22" customHeight="1" x14ac:dyDescent="0.2">
      <c r="A74" s="1"/>
      <c r="B74" s="24" t="s">
        <v>95</v>
      </c>
      <c r="C74" s="32">
        <f>C73-D73</f>
        <v>138830</v>
      </c>
      <c r="D74" s="32">
        <f>D73-D73</f>
        <v>0</v>
      </c>
      <c r="E74" s="32">
        <f>E73-D73</f>
        <v>-125450</v>
      </c>
      <c r="F74" s="32">
        <f>F73-D73</f>
        <v>-402733.33333333326</v>
      </c>
      <c r="G74" s="85"/>
      <c r="H74" s="85"/>
      <c r="I74" s="85"/>
      <c r="J74" s="85"/>
      <c r="K74" s="85"/>
      <c r="L74" s="85"/>
      <c r="M74" s="85"/>
      <c r="N74" s="1"/>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row>
    <row r="75" spans="1:49" x14ac:dyDescent="0.2">
      <c r="A75" s="1"/>
      <c r="B75" s="1"/>
      <c r="C75" s="1"/>
      <c r="D75" s="1"/>
      <c r="E75" s="1"/>
      <c r="F75" s="1"/>
      <c r="G75" s="1"/>
      <c r="H75" s="1"/>
      <c r="I75" s="1"/>
      <c r="J75" s="1"/>
      <c r="K75" s="1"/>
      <c r="L75" s="1"/>
      <c r="M75" s="1"/>
      <c r="N75" s="1"/>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row>
    <row r="76" spans="1:49" ht="24" customHeight="1" x14ac:dyDescent="0.2">
      <c r="A76" s="1"/>
      <c r="B76" s="87" t="s">
        <v>96</v>
      </c>
      <c r="C76" s="85"/>
      <c r="D76" s="85"/>
      <c r="E76" s="85"/>
      <c r="F76" s="85"/>
      <c r="G76" s="85"/>
      <c r="H76" s="85"/>
      <c r="I76" s="88" t="s">
        <v>97</v>
      </c>
      <c r="J76" s="85"/>
      <c r="K76" s="85"/>
      <c r="L76" s="85"/>
      <c r="M76" s="85"/>
      <c r="N76" s="1"/>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row>
    <row r="77" spans="1:49" ht="22" customHeight="1" x14ac:dyDescent="0.2">
      <c r="A77" s="1"/>
      <c r="B77" s="12" t="s">
        <v>98</v>
      </c>
      <c r="C77" s="1"/>
      <c r="D77" s="1"/>
      <c r="E77" s="13" t="s">
        <v>99</v>
      </c>
      <c r="F77" s="1"/>
      <c r="G77" s="13" t="s">
        <v>100</v>
      </c>
      <c r="H77" s="1"/>
      <c r="I77" s="13" t="s">
        <v>101</v>
      </c>
      <c r="J77" s="93" t="s">
        <v>83</v>
      </c>
      <c r="K77" s="94"/>
      <c r="L77" s="94"/>
      <c r="M77" s="94"/>
      <c r="N77" s="1"/>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row>
    <row r="78" spans="1:49" ht="22" customHeight="1" x14ac:dyDescent="0.2">
      <c r="A78" s="1"/>
      <c r="B78" s="89" t="s">
        <v>102</v>
      </c>
      <c r="C78" s="85"/>
      <c r="D78" s="85"/>
      <c r="E78" s="101">
        <f>sout_winrate</f>
        <v>0.57111056751467715</v>
      </c>
      <c r="F78" s="85"/>
      <c r="G78" s="101">
        <f>sref_vert_winrate_active</f>
        <v>0</v>
      </c>
      <c r="H78" s="85"/>
      <c r="I78" s="33">
        <f>sout_winrate-sref_vert_winrate_active</f>
        <v>0.57111056751467715</v>
      </c>
      <c r="J78" s="84" t="s">
        <v>103</v>
      </c>
      <c r="K78" s="85"/>
      <c r="L78" s="85"/>
      <c r="M78" s="85"/>
      <c r="N78" s="1"/>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row>
    <row r="79" spans="1:49" ht="22" customHeight="1" x14ac:dyDescent="0.2">
      <c r="A79" s="1"/>
      <c r="B79" s="89" t="s">
        <v>104</v>
      </c>
      <c r="C79" s="85"/>
      <c r="D79" s="85"/>
      <c r="E79" s="96" t="s">
        <v>105</v>
      </c>
      <c r="F79" s="85"/>
      <c r="G79" s="102">
        <f>sref_vert_cycle_active</f>
        <v>0</v>
      </c>
      <c r="H79" s="85"/>
      <c r="I79" s="34" t="s">
        <v>105</v>
      </c>
      <c r="J79" s="84" t="s">
        <v>106</v>
      </c>
      <c r="K79" s="85"/>
      <c r="L79" s="85"/>
      <c r="M79" s="85"/>
      <c r="N79" s="1"/>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row>
    <row r="80" spans="1:49" ht="22" customHeight="1" x14ac:dyDescent="0.2">
      <c r="A80" s="1"/>
      <c r="B80" s="89" t="s">
        <v>107</v>
      </c>
      <c r="C80" s="85"/>
      <c r="D80" s="85"/>
      <c r="E80" s="96" t="s">
        <v>105</v>
      </c>
      <c r="F80" s="85"/>
      <c r="G80" s="102">
        <f>sref_region_default_dso</f>
        <v>38</v>
      </c>
      <c r="H80" s="85"/>
      <c r="I80" s="34" t="s">
        <v>105</v>
      </c>
      <c r="J80" s="84" t="s">
        <v>108</v>
      </c>
      <c r="K80" s="85"/>
      <c r="L80" s="85"/>
      <c r="M80" s="85"/>
      <c r="N80" s="1"/>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row>
    <row r="81" spans="1:49" ht="22" customHeight="1" x14ac:dyDescent="0.2">
      <c r="A81" s="1"/>
      <c r="B81" s="89" t="s">
        <v>109</v>
      </c>
      <c r="C81" s="85"/>
      <c r="D81" s="85"/>
      <c r="E81" s="96" t="s">
        <v>105</v>
      </c>
      <c r="F81" s="85"/>
      <c r="G81" s="116" t="str">
        <f>sref_region_default_pt</f>
        <v>Net 30</v>
      </c>
      <c r="H81" s="85"/>
      <c r="I81" s="34" t="s">
        <v>105</v>
      </c>
      <c r="J81" s="84" t="s">
        <v>110</v>
      </c>
      <c r="K81" s="85"/>
      <c r="L81" s="85"/>
      <c r="M81" s="85"/>
      <c r="N81" s="1"/>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row>
    <row r="82" spans="1:49" x14ac:dyDescent="0.2">
      <c r="A82" s="1"/>
      <c r="B82" s="1"/>
      <c r="C82" s="1"/>
      <c r="D82" s="1"/>
      <c r="E82" s="1"/>
      <c r="F82" s="1"/>
      <c r="G82" s="1"/>
      <c r="H82" s="1"/>
      <c r="I82" s="1"/>
      <c r="J82" s="1"/>
      <c r="K82" s="1"/>
      <c r="L82" s="1"/>
      <c r="M82" s="1"/>
      <c r="N82" s="1"/>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row>
    <row r="83" spans="1:49" ht="24" customHeight="1" x14ac:dyDescent="0.2">
      <c r="A83" s="1"/>
      <c r="B83" s="87" t="s">
        <v>111</v>
      </c>
      <c r="C83" s="85"/>
      <c r="D83" s="85"/>
      <c r="E83" s="85"/>
      <c r="F83" s="85"/>
      <c r="G83" s="85"/>
      <c r="H83" s="85"/>
      <c r="I83" s="88" t="s">
        <v>112</v>
      </c>
      <c r="J83" s="85"/>
      <c r="K83" s="85"/>
      <c r="L83" s="85"/>
      <c r="M83" s="85"/>
      <c r="N83" s="1"/>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row>
    <row r="84" spans="1:49" ht="22" customHeight="1" x14ac:dyDescent="0.2">
      <c r="A84" s="1"/>
      <c r="B84" s="13" t="s">
        <v>113</v>
      </c>
      <c r="C84" s="93" t="s">
        <v>114</v>
      </c>
      <c r="D84" s="94"/>
      <c r="E84" s="94"/>
      <c r="F84" s="94"/>
      <c r="G84" s="94"/>
      <c r="H84" s="94"/>
      <c r="I84" s="94"/>
      <c r="J84" s="13" t="s">
        <v>115</v>
      </c>
      <c r="K84" s="13" t="s">
        <v>116</v>
      </c>
      <c r="L84" s="27" t="s">
        <v>117</v>
      </c>
      <c r="M84" s="12" t="s">
        <v>118</v>
      </c>
      <c r="N84" s="1"/>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row>
    <row r="85" spans="1:49" ht="22" customHeight="1" x14ac:dyDescent="0.2">
      <c r="A85" s="1"/>
      <c r="B85" s="25">
        <v>1</v>
      </c>
      <c r="C85" s="86" t="s">
        <v>119</v>
      </c>
      <c r="D85" s="85"/>
      <c r="E85" s="85"/>
      <c r="F85" s="85"/>
      <c r="G85" s="85"/>
      <c r="H85" s="85"/>
      <c r="I85" s="85"/>
      <c r="J85" s="16">
        <f>SUM(scalc_deal_rev_m1,scalc_deal_rev_m2,scalc_deal_rev_m3,scalc_deal_rev_m4,scalc_deal_rev_m5,scalc_deal_rev_m6)</f>
        <v>985583.33333333326</v>
      </c>
      <c r="K85" s="16">
        <f>SUM(C18:H18)</f>
        <v>985583.33333333326</v>
      </c>
      <c r="L85" s="36" t="str">
        <f t="shared" ref="L85:L101" si="3">IF(ABS(J85-K85)&lt;=0.5,"PASS","FAIL")</f>
        <v>PASS</v>
      </c>
      <c r="M85" s="17" t="s">
        <v>120</v>
      </c>
      <c r="N85" s="1"/>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row>
    <row r="86" spans="1:49" ht="22" customHeight="1" x14ac:dyDescent="0.2">
      <c r="A86" s="1"/>
      <c r="B86" s="25">
        <v>2</v>
      </c>
      <c r="C86" s="86" t="s">
        <v>121</v>
      </c>
      <c r="D86" s="85"/>
      <c r="E86" s="85"/>
      <c r="F86" s="85"/>
      <c r="G86" s="85"/>
      <c r="H86" s="85"/>
      <c r="I86" s="85"/>
      <c r="J86" s="16">
        <f>SUM(scalc_ret_rev_m1,scalc_ret_rev_m2,scalc_ret_rev_m3,scalc_ret_rev_m4,scalc_ret_rev_m5,scalc_ret_rev_m6)</f>
        <v>336000</v>
      </c>
      <c r="K86" s="16">
        <f>SUM(C19:H19)</f>
        <v>336000</v>
      </c>
      <c r="L86" s="36" t="str">
        <f t="shared" si="3"/>
        <v>PASS</v>
      </c>
      <c r="M86" s="17" t="s">
        <v>122</v>
      </c>
      <c r="N86" s="1"/>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row>
    <row r="87" spans="1:49" ht="22" customHeight="1" x14ac:dyDescent="0.2">
      <c r="A87" s="1"/>
      <c r="B87" s="25">
        <v>3</v>
      </c>
      <c r="C87" s="86" t="s">
        <v>123</v>
      </c>
      <c r="D87" s="85"/>
      <c r="E87" s="85"/>
      <c r="F87" s="85"/>
      <c r="G87" s="85"/>
      <c r="H87" s="85"/>
      <c r="I87" s="85"/>
      <c r="J87" s="16">
        <f>SUM(C20:H20)</f>
        <v>1321583.3333333333</v>
      </c>
      <c r="K87" s="16">
        <f>SUM(C18:H18)+SUM(C19:H19)</f>
        <v>1321583.3333333333</v>
      </c>
      <c r="L87" s="36" t="str">
        <f t="shared" si="3"/>
        <v>PASS</v>
      </c>
      <c r="M87" s="17" t="s">
        <v>124</v>
      </c>
      <c r="N87" s="1"/>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row>
    <row r="88" spans="1:49" ht="22" customHeight="1" x14ac:dyDescent="0.2">
      <c r="A88" s="1"/>
      <c r="B88" s="25">
        <v>4</v>
      </c>
      <c r="C88" s="86" t="s">
        <v>125</v>
      </c>
      <c r="D88" s="85"/>
      <c r="E88" s="85"/>
      <c r="F88" s="85"/>
      <c r="G88" s="85"/>
      <c r="H88" s="85"/>
      <c r="I88" s="85"/>
      <c r="J88" s="16">
        <f>SUM(C24:H24)</f>
        <v>1179113.3333333333</v>
      </c>
      <c r="K88" s="16">
        <f>SUM(C22:H22)+SUM(C23:H23)</f>
        <v>1179113.3333333333</v>
      </c>
      <c r="L88" s="36" t="str">
        <f t="shared" si="3"/>
        <v>PASS</v>
      </c>
      <c r="M88" s="17" t="s">
        <v>126</v>
      </c>
      <c r="N88" s="1"/>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row>
    <row r="89" spans="1:49" ht="22" customHeight="1" x14ac:dyDescent="0.2">
      <c r="A89" s="1"/>
      <c r="B89" s="25">
        <v>5</v>
      </c>
      <c r="C89" s="86" t="s">
        <v>127</v>
      </c>
      <c r="D89" s="85"/>
      <c r="E89" s="85"/>
      <c r="F89" s="85"/>
      <c r="G89" s="85"/>
      <c r="H89" s="85"/>
      <c r="I89" s="85"/>
      <c r="J89" s="16">
        <f>sout_rev_6m</f>
        <v>1321583.3333333333</v>
      </c>
      <c r="K89" s="16">
        <f>I20</f>
        <v>1321583.3333333333</v>
      </c>
      <c r="L89" s="36" t="str">
        <f t="shared" si="3"/>
        <v>PASS</v>
      </c>
      <c r="M89" s="17" t="s">
        <v>128</v>
      </c>
      <c r="N89" s="1"/>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row>
    <row r="90" spans="1:49" ht="22" customHeight="1" x14ac:dyDescent="0.2">
      <c r="A90" s="1"/>
      <c r="B90" s="25">
        <v>6</v>
      </c>
      <c r="C90" s="86" t="s">
        <v>129</v>
      </c>
      <c r="D90" s="85"/>
      <c r="E90" s="85"/>
      <c r="F90" s="85"/>
      <c r="G90" s="85"/>
      <c r="H90" s="85"/>
      <c r="I90" s="85"/>
      <c r="J90" s="16">
        <f>sout_cash_6m</f>
        <v>1179113.3333333333</v>
      </c>
      <c r="K90" s="16">
        <f>I24</f>
        <v>1179113.3333333333</v>
      </c>
      <c r="L90" s="36" t="str">
        <f t="shared" si="3"/>
        <v>PASS</v>
      </c>
      <c r="M90" s="17" t="s">
        <v>128</v>
      </c>
      <c r="N90" s="1"/>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row>
    <row r="91" spans="1:49" ht="22" customHeight="1" x14ac:dyDescent="0.2">
      <c r="A91" s="1"/>
      <c r="B91" s="25">
        <v>7</v>
      </c>
      <c r="C91" s="86" t="s">
        <v>130</v>
      </c>
      <c r="D91" s="85"/>
      <c r="E91" s="85"/>
      <c r="F91" s="85"/>
      <c r="G91" s="85"/>
      <c r="H91" s="85"/>
      <c r="I91" s="85"/>
      <c r="J91" s="16">
        <f>sout_gap_6m</f>
        <v>142470</v>
      </c>
      <c r="K91" s="16">
        <f>sout_rev_6m-sout_cash_6m</f>
        <v>142470</v>
      </c>
      <c r="L91" s="36" t="str">
        <f t="shared" si="3"/>
        <v>PASS</v>
      </c>
      <c r="M91" s="17" t="s">
        <v>131</v>
      </c>
      <c r="N91" s="1"/>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row>
    <row r="92" spans="1:49" ht="22" customHeight="1" x14ac:dyDescent="0.2">
      <c r="A92" s="1"/>
      <c r="B92" s="25">
        <v>8</v>
      </c>
      <c r="C92" s="86" t="s">
        <v>132</v>
      </c>
      <c r="D92" s="85"/>
      <c r="E92" s="85"/>
      <c r="F92" s="85"/>
      <c r="G92" s="85"/>
      <c r="H92" s="85"/>
      <c r="I92" s="85"/>
      <c r="J92" s="16">
        <f>SUMPRODUCT((1-scalc_deal_ismsmask_col)*scalc_deal_8mcash_col)+SUM(scalc_ret_8mcash_col)</f>
        <v>834583.33333333326</v>
      </c>
      <c r="K92" s="16">
        <f>SUMPRODUCT((1-scalc_deal_ismsmask_col)*scalc_deal_6mrev_col)+SUM(scalc_ret_6mrev_col)</f>
        <v>834583.33333333326</v>
      </c>
      <c r="L92" s="36" t="str">
        <f t="shared" si="3"/>
        <v>PASS</v>
      </c>
      <c r="M92" s="17" t="s">
        <v>133</v>
      </c>
      <c r="N92" s="1"/>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row>
    <row r="93" spans="1:49" ht="22" customHeight="1" x14ac:dyDescent="0.2">
      <c r="A93" s="1"/>
      <c r="B93" s="25">
        <v>9</v>
      </c>
      <c r="C93" s="86" t="s">
        <v>134</v>
      </c>
      <c r="D93" s="85"/>
      <c r="E93" s="85"/>
      <c r="F93" s="85"/>
      <c r="G93" s="85"/>
      <c r="H93" s="85"/>
      <c r="I93" s="85"/>
      <c r="J93" s="16">
        <f>H27</f>
        <v>142470</v>
      </c>
      <c r="K93" s="16">
        <f>sout_rev_6m-sout_cash_6m</f>
        <v>142470</v>
      </c>
      <c r="L93" s="36" t="str">
        <f t="shared" si="3"/>
        <v>PASS</v>
      </c>
      <c r="M93" s="17" t="s">
        <v>135</v>
      </c>
      <c r="N93" s="1"/>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row>
    <row r="94" spans="1:49" ht="22" customHeight="1" x14ac:dyDescent="0.2">
      <c r="A94" s="1"/>
      <c r="B94" s="25">
        <v>10</v>
      </c>
      <c r="C94" s="86" t="s">
        <v>136</v>
      </c>
      <c r="D94" s="85"/>
      <c r="E94" s="85"/>
      <c r="F94" s="85"/>
      <c r="G94" s="85"/>
      <c r="H94" s="85"/>
      <c r="I94" s="85"/>
      <c r="J94" s="16">
        <f>D73</f>
        <v>1179113.3333333333</v>
      </c>
      <c r="K94" s="16">
        <f>sout_cash_6m</f>
        <v>1179113.3333333333</v>
      </c>
      <c r="L94" s="36" t="str">
        <f t="shared" si="3"/>
        <v>PASS</v>
      </c>
      <c r="M94" s="17" t="s">
        <v>137</v>
      </c>
      <c r="N94" s="1"/>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row>
    <row r="95" spans="1:49" ht="22" customHeight="1" x14ac:dyDescent="0.2">
      <c r="A95" s="1"/>
      <c r="B95" s="25">
        <v>11</v>
      </c>
      <c r="C95" s="86" t="s">
        <v>138</v>
      </c>
      <c r="D95" s="85"/>
      <c r="E95" s="85"/>
      <c r="F95" s="85"/>
      <c r="G95" s="85"/>
      <c r="H95" s="85"/>
      <c r="I95" s="85"/>
      <c r="J95" s="16">
        <f>E68</f>
        <v>1179113.3333333333</v>
      </c>
      <c r="K95" s="16">
        <f>sout_cash_6m</f>
        <v>1179113.3333333333</v>
      </c>
      <c r="L95" s="36" t="str">
        <f t="shared" si="3"/>
        <v>PASS</v>
      </c>
      <c r="M95" s="17" t="s">
        <v>137</v>
      </c>
      <c r="N95" s="1"/>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row>
    <row r="96" spans="1:49" ht="22" customHeight="1" x14ac:dyDescent="0.2">
      <c r="A96" s="1"/>
      <c r="B96" s="25">
        <v>12</v>
      </c>
      <c r="C96" s="86" t="s">
        <v>139</v>
      </c>
      <c r="D96" s="85"/>
      <c r="E96" s="85"/>
      <c r="F96" s="85"/>
      <c r="G96" s="85"/>
      <c r="H96" s="85"/>
      <c r="I96" s="85"/>
      <c r="J96" s="16">
        <f>C24</f>
        <v>54000</v>
      </c>
      <c r="K96" s="16">
        <f>SUM(scalc_deal_cash_m1)+SUM(scalc_ret_cash_m1)</f>
        <v>54000</v>
      </c>
      <c r="L96" s="36" t="str">
        <f t="shared" si="3"/>
        <v>PASS</v>
      </c>
      <c r="M96" s="17" t="s">
        <v>140</v>
      </c>
      <c r="N96" s="1"/>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row>
    <row r="97" spans="1:49" ht="22" customHeight="1" x14ac:dyDescent="0.2">
      <c r="A97" s="1"/>
      <c r="B97" s="25">
        <v>13</v>
      </c>
      <c r="C97" s="86" t="s">
        <v>141</v>
      </c>
      <c r="D97" s="85"/>
      <c r="E97" s="85"/>
      <c r="F97" s="85"/>
      <c r="G97" s="85"/>
      <c r="H97" s="85"/>
      <c r="I97" s="85"/>
      <c r="J97" s="16">
        <f>D24</f>
        <v>124000</v>
      </c>
      <c r="K97" s="16">
        <f>SUM(scalc_deal_cash_m2)+SUM(scalc_ret_cash_m2)</f>
        <v>124000</v>
      </c>
      <c r="L97" s="36" t="str">
        <f t="shared" si="3"/>
        <v>PASS</v>
      </c>
      <c r="M97" s="17" t="s">
        <v>142</v>
      </c>
      <c r="N97" s="1"/>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row>
    <row r="98" spans="1:49" ht="22" customHeight="1" x14ac:dyDescent="0.2">
      <c r="A98" s="1"/>
      <c r="B98" s="25">
        <v>14</v>
      </c>
      <c r="C98" s="86" t="s">
        <v>143</v>
      </c>
      <c r="D98" s="85"/>
      <c r="E98" s="85"/>
      <c r="F98" s="85"/>
      <c r="G98" s="85"/>
      <c r="H98" s="85"/>
      <c r="I98" s="85"/>
      <c r="J98" s="16">
        <f>E24</f>
        <v>207600</v>
      </c>
      <c r="K98" s="16">
        <f>SUM(scalc_deal_cash_m3)+SUM(scalc_ret_cash_m3)</f>
        <v>207600</v>
      </c>
      <c r="L98" s="36" t="str">
        <f t="shared" si="3"/>
        <v>PASS</v>
      </c>
      <c r="M98" s="17" t="s">
        <v>144</v>
      </c>
      <c r="N98" s="1"/>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row>
    <row r="99" spans="1:49" ht="22" customHeight="1" x14ac:dyDescent="0.2">
      <c r="A99" s="1"/>
      <c r="B99" s="25">
        <v>15</v>
      </c>
      <c r="C99" s="86" t="s">
        <v>145</v>
      </c>
      <c r="D99" s="85"/>
      <c r="E99" s="85"/>
      <c r="F99" s="85"/>
      <c r="G99" s="85"/>
      <c r="H99" s="85"/>
      <c r="I99" s="85"/>
      <c r="J99" s="16">
        <f>F24</f>
        <v>390780</v>
      </c>
      <c r="K99" s="16">
        <f>SUM(scalc_deal_cash_m4)+SUM(scalc_ret_cash_m4)</f>
        <v>390780</v>
      </c>
      <c r="L99" s="36" t="str">
        <f t="shared" si="3"/>
        <v>PASS</v>
      </c>
      <c r="M99" s="17" t="s">
        <v>146</v>
      </c>
      <c r="N99" s="1"/>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row>
    <row r="100" spans="1:49" ht="22" customHeight="1" x14ac:dyDescent="0.2">
      <c r="A100" s="1"/>
      <c r="B100" s="25">
        <v>16</v>
      </c>
      <c r="C100" s="86" t="s">
        <v>147</v>
      </c>
      <c r="D100" s="85"/>
      <c r="E100" s="85"/>
      <c r="F100" s="85"/>
      <c r="G100" s="85"/>
      <c r="H100" s="85"/>
      <c r="I100" s="85"/>
      <c r="J100" s="16">
        <f>G24</f>
        <v>277283.33333333331</v>
      </c>
      <c r="K100" s="16">
        <f>SUM(scalc_deal_cash_m5)+SUM(scalc_ret_cash_m5)</f>
        <v>277283.33333333331</v>
      </c>
      <c r="L100" s="36" t="str">
        <f t="shared" si="3"/>
        <v>PASS</v>
      </c>
      <c r="M100" s="17" t="s">
        <v>148</v>
      </c>
      <c r="N100" s="1"/>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row>
    <row r="101" spans="1:49" ht="22" customHeight="1" x14ac:dyDescent="0.2">
      <c r="A101" s="1"/>
      <c r="B101" s="25">
        <v>17</v>
      </c>
      <c r="C101" s="86" t="s">
        <v>149</v>
      </c>
      <c r="D101" s="85"/>
      <c r="E101" s="85"/>
      <c r="F101" s="85"/>
      <c r="G101" s="85"/>
      <c r="H101" s="85"/>
      <c r="I101" s="85"/>
      <c r="J101" s="16">
        <f>H24</f>
        <v>125450</v>
      </c>
      <c r="K101" s="16">
        <f>SUM(scalc_deal_cash_m6)+SUM(scalc_ret_cash_m6)</f>
        <v>125450</v>
      </c>
      <c r="L101" s="36" t="str">
        <f t="shared" si="3"/>
        <v>PASS</v>
      </c>
      <c r="M101" s="17" t="s">
        <v>150</v>
      </c>
      <c r="N101" s="1"/>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row>
    <row r="102" spans="1:49" ht="22" customHeight="1" x14ac:dyDescent="0.2">
      <c r="A102" s="1"/>
      <c r="B102" s="25">
        <v>18</v>
      </c>
      <c r="C102" s="86" t="s">
        <v>151</v>
      </c>
      <c r="D102" s="85"/>
      <c r="E102" s="85"/>
      <c r="F102" s="85"/>
      <c r="G102" s="85"/>
      <c r="H102" s="85"/>
      <c r="I102" s="85"/>
      <c r="J102" s="16">
        <f>1*((sinp_region="AU")+(sinp_region="NZ")+(sinp_region="US"))</f>
        <v>1</v>
      </c>
      <c r="K102" s="16">
        <f>1</f>
        <v>1</v>
      </c>
      <c r="L102" s="36" t="str">
        <f>IF(ABS(J102-K102)&lt;=0.01,"PASS","FAIL")</f>
        <v>PASS</v>
      </c>
      <c r="M102" s="17" t="s">
        <v>152</v>
      </c>
      <c r="N102" s="1"/>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row>
    <row r="103" spans="1:49" ht="22" customHeight="1" x14ac:dyDescent="0.2">
      <c r="A103" s="1"/>
      <c r="B103" s="25">
        <v>19</v>
      </c>
      <c r="C103" s="86" t="s">
        <v>153</v>
      </c>
      <c r="D103" s="85"/>
      <c r="E103" s="85"/>
      <c r="F103" s="85"/>
      <c r="G103" s="85"/>
      <c r="H103" s="85"/>
      <c r="I103" s="85"/>
      <c r="J103" s="16">
        <f>1*((sinp_scenario="Base")+(sinp_scenario="Downside")+(sinp_scenario="Upside"))</f>
        <v>1</v>
      </c>
      <c r="K103" s="16">
        <f>1</f>
        <v>1</v>
      </c>
      <c r="L103" s="36" t="str">
        <f>IF(ABS(J103-K103)&lt;=0.01,"PASS","FAIL")</f>
        <v>PASS</v>
      </c>
      <c r="M103" s="17" t="s">
        <v>154</v>
      </c>
      <c r="N103" s="1"/>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row>
    <row r="104" spans="1:49" ht="22" customHeight="1" x14ac:dyDescent="0.2">
      <c r="A104" s="1"/>
      <c r="B104" s="25">
        <v>20</v>
      </c>
      <c r="C104" s="86" t="s">
        <v>155</v>
      </c>
      <c r="D104" s="85"/>
      <c r="E104" s="85"/>
      <c r="F104" s="85"/>
      <c r="G104" s="85"/>
      <c r="H104" s="85"/>
      <c r="I104" s="85"/>
      <c r="J104" s="16">
        <f>COUNTIF(sref_vert_names,sinp_vertical)</f>
        <v>1</v>
      </c>
      <c r="K104" s="16">
        <f>1</f>
        <v>1</v>
      </c>
      <c r="L104" s="36" t="str">
        <f>IF(ABS(J104-K104)&lt;=0.01,"PASS","FAIL")</f>
        <v>PASS</v>
      </c>
      <c r="M104" s="17" t="s">
        <v>156</v>
      </c>
      <c r="N104" s="1"/>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row>
    <row r="105" spans="1:49" ht="22" customHeight="1" x14ac:dyDescent="0.2">
      <c r="A105" s="1"/>
      <c r="B105" s="25">
        <v>21</v>
      </c>
      <c r="C105" s="86" t="s">
        <v>157</v>
      </c>
      <c r="D105" s="85"/>
      <c r="E105" s="85"/>
      <c r="F105" s="85"/>
      <c r="G105" s="85"/>
      <c r="H105" s="85"/>
      <c r="I105" s="85"/>
      <c r="J105" s="16">
        <f>MAX(0,SUM(scalc_deal_8mcash_col)+SUM(scalc_ret_8mcash_col)-SUM(scalc_deal_weighted_col)-SUM(scalc_ret_weighted_col))</f>
        <v>0</v>
      </c>
      <c r="K105" s="16">
        <f>0</f>
        <v>0</v>
      </c>
      <c r="L105" s="36" t="str">
        <f>IF(ABS(J105-K105)&lt;=0.5,"PASS","FAIL")</f>
        <v>PASS</v>
      </c>
      <c r="M105" s="17" t="s">
        <v>158</v>
      </c>
      <c r="N105" s="1"/>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row>
    <row r="106" spans="1:49" ht="22" customHeight="1" x14ac:dyDescent="0.2">
      <c r="A106" s="1"/>
      <c r="B106" s="25">
        <v>22</v>
      </c>
      <c r="C106" s="86" t="s">
        <v>159</v>
      </c>
      <c r="D106" s="85"/>
      <c r="E106" s="85"/>
      <c r="F106" s="85"/>
      <c r="G106" s="85"/>
      <c r="H106" s="85"/>
      <c r="I106" s="85"/>
      <c r="J106" s="16">
        <f>SUMPRODUCT(scalc_deal_ismsmask_col,scalc_deal_ms_w1_col)+SUMPRODUCT(scalc_deal_ismsmask_col,scalc_deal_ms_w2_col)+SUMPRODUCT(scalc_deal_ismsmask_col,scalc_deal_ms_w3_col)</f>
        <v>4</v>
      </c>
      <c r="K106" s="16">
        <f>SUM(scalc_deal_ismsmask_col)</f>
        <v>4</v>
      </c>
      <c r="L106" s="36" t="str">
        <f>IF(ABS(J106-K106)&lt;=0.1,"PASS","FAIL")</f>
        <v>PASS</v>
      </c>
      <c r="M106" s="17" t="s">
        <v>160</v>
      </c>
      <c r="N106" s="1"/>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row>
    <row r="107" spans="1:49" ht="22" customHeight="1" x14ac:dyDescent="0.2">
      <c r="A107" s="1"/>
      <c r="B107" s="25">
        <v>23</v>
      </c>
      <c r="C107" s="86" t="s">
        <v>161</v>
      </c>
      <c r="D107" s="85"/>
      <c r="E107" s="85"/>
      <c r="F107" s="85"/>
      <c r="G107" s="85"/>
      <c r="H107" s="85"/>
      <c r="I107" s="85"/>
      <c r="J107" s="16">
        <f>SUM(C26:H26)</f>
        <v>142470</v>
      </c>
      <c r="K107" s="16">
        <f>SUM(C20:H20)-SUM(C24:H24)</f>
        <v>142470</v>
      </c>
      <c r="L107" s="36" t="str">
        <f>IF(ABS(J107-K107)&lt;=0.5,"PASS","FAIL")</f>
        <v>PASS</v>
      </c>
      <c r="M107" s="17" t="s">
        <v>162</v>
      </c>
      <c r="N107" s="1"/>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row>
    <row r="108" spans="1:49" ht="22" customHeight="1" x14ac:dyDescent="0.2">
      <c r="A108" s="1"/>
      <c r="B108" s="2"/>
      <c r="C108" s="2"/>
      <c r="D108" s="2"/>
      <c r="E108" s="2"/>
      <c r="F108" s="2"/>
      <c r="G108" s="2"/>
      <c r="H108" s="2"/>
      <c r="I108" s="2"/>
      <c r="J108" s="2"/>
      <c r="K108" s="2"/>
      <c r="L108" s="2"/>
      <c r="M108" s="2"/>
      <c r="N108" s="1"/>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row>
    <row r="109" spans="1:49" ht="22" customHeight="1" x14ac:dyDescent="0.2">
      <c r="A109" s="1"/>
      <c r="B109" s="2"/>
      <c r="C109" s="2"/>
      <c r="D109" s="2"/>
      <c r="E109" s="2"/>
      <c r="F109" s="2"/>
      <c r="G109" s="2"/>
      <c r="H109" s="2"/>
      <c r="I109" s="2"/>
      <c r="J109" s="2"/>
      <c r="K109" s="2"/>
      <c r="L109" s="2"/>
      <c r="M109" s="2"/>
      <c r="N109" s="1"/>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row>
    <row r="110" spans="1:49" ht="28" customHeight="1" x14ac:dyDescent="0.2">
      <c r="A110" s="1"/>
      <c r="B110" s="37" t="s">
        <v>163</v>
      </c>
      <c r="C110" s="100" t="s">
        <v>164</v>
      </c>
      <c r="D110" s="85"/>
      <c r="E110" s="85"/>
      <c r="F110" s="85"/>
      <c r="G110" s="85"/>
      <c r="H110" s="85"/>
      <c r="I110" s="85"/>
      <c r="J110" s="85"/>
      <c r="K110" s="85"/>
      <c r="L110" s="38" t="str">
        <f>IF(AND(L85="PASS",L86="PASS",L87="PASS",L88="PASS",L89="PASS",L90="PASS",L91="PASS",L92="PASS",L93="PASS",L94="PASS",L95="PASS",L96="PASS",L97="PASS",L98="PASS",L99="PASS",L100="PASS",L101="PASS",L102="PASS",L103="PASS",L104="PASS",L105="PASS",L106="PASS",L107="PASS"),"PASS","FAIL")</f>
        <v>PASS</v>
      </c>
      <c r="M110" s="22" t="s">
        <v>165</v>
      </c>
      <c r="N110" s="1"/>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row>
    <row r="111" spans="1:49" x14ac:dyDescent="0.2">
      <c r="A111" s="1"/>
      <c r="B111" s="1"/>
      <c r="C111" s="1"/>
      <c r="D111" s="1"/>
      <c r="E111" s="1"/>
      <c r="F111" s="1"/>
      <c r="G111" s="1"/>
      <c r="H111" s="1"/>
      <c r="I111" s="1"/>
      <c r="J111" s="1"/>
      <c r="K111" s="1"/>
      <c r="L111" s="1"/>
      <c r="M111" s="1"/>
      <c r="N111" s="1"/>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row>
    <row r="112" spans="1:49" ht="22" customHeight="1" x14ac:dyDescent="0.2">
      <c r="A112" s="1"/>
      <c r="B112" s="90" t="s">
        <v>166</v>
      </c>
      <c r="C112" s="85"/>
      <c r="D112" s="85"/>
      <c r="E112" s="85"/>
      <c r="F112" s="85"/>
      <c r="G112" s="85"/>
      <c r="H112" s="1"/>
      <c r="I112" s="1"/>
      <c r="J112" s="1"/>
      <c r="K112" s="1"/>
      <c r="L112" s="1"/>
      <c r="M112" s="3" t="s">
        <v>167</v>
      </c>
      <c r="N112" s="1"/>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row>
    <row r="113" spans="1:49" x14ac:dyDescent="0.2">
      <c r="A113" s="1"/>
      <c r="B113" s="1"/>
      <c r="C113" s="1"/>
      <c r="D113" s="1"/>
      <c r="E113" s="1"/>
      <c r="F113" s="1"/>
      <c r="G113" s="1"/>
      <c r="H113" s="1"/>
      <c r="I113" s="1"/>
      <c r="J113" s="1"/>
      <c r="K113" s="1"/>
      <c r="L113" s="1"/>
      <c r="M113" s="1"/>
      <c r="N113" s="1"/>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row>
    <row r="114" spans="1:49" s="2" customFormat="1" x14ac:dyDescent="0.2"/>
    <row r="115" spans="1:49" s="2" customFormat="1" x14ac:dyDescent="0.2"/>
    <row r="121" spans="1:49" ht="18" customHeight="1" x14ac:dyDescent="0.2"/>
    <row r="122" spans="1:49" ht="22" customHeight="1" x14ac:dyDescent="0.2"/>
    <row r="123" spans="1:49" ht="22" customHeight="1" x14ac:dyDescent="0.2"/>
    <row r="124" spans="1:49" ht="22" customHeight="1" x14ac:dyDescent="0.2"/>
    <row r="125" spans="1:49" ht="22" customHeight="1" x14ac:dyDescent="0.2"/>
    <row r="126" spans="1:49" ht="22" customHeight="1" x14ac:dyDescent="0.2"/>
    <row r="127" spans="1:49" ht="22" customHeight="1" x14ac:dyDescent="0.2"/>
    <row r="128" spans="1:49" ht="22" customHeight="1" x14ac:dyDescent="0.2"/>
    <row r="130" ht="22" customHeight="1" x14ac:dyDescent="0.2"/>
    <row r="131" ht="20" customHeight="1" x14ac:dyDescent="0.2"/>
    <row r="132" ht="20" customHeight="1" x14ac:dyDescent="0.2"/>
    <row r="133" ht="20" customHeight="1" x14ac:dyDescent="0.2"/>
    <row r="134" ht="20" customHeight="1" x14ac:dyDescent="0.2"/>
    <row r="135" ht="20" customHeight="1" x14ac:dyDescent="0.2"/>
    <row r="136" ht="20" customHeight="1" x14ac:dyDescent="0.2"/>
    <row r="137" ht="20" customHeight="1" x14ac:dyDescent="0.2"/>
    <row r="139" ht="22" customHeight="1" x14ac:dyDescent="0.2"/>
    <row r="140" ht="20" customHeight="1" x14ac:dyDescent="0.2"/>
    <row r="141" ht="20" customHeight="1" x14ac:dyDescent="0.2"/>
    <row r="142" ht="20" customHeight="1" x14ac:dyDescent="0.2"/>
    <row r="143" ht="20" customHeight="1" x14ac:dyDescent="0.2"/>
    <row r="144" ht="20" customHeight="1" x14ac:dyDescent="0.2"/>
    <row r="145" ht="20" customHeight="1" x14ac:dyDescent="0.2"/>
    <row r="146" ht="20" customHeight="1" x14ac:dyDescent="0.2"/>
    <row r="147" ht="20" customHeight="1" x14ac:dyDescent="0.2"/>
    <row r="148" ht="20" customHeight="1" x14ac:dyDescent="0.2"/>
    <row r="149" ht="20" customHeight="1" x14ac:dyDescent="0.2"/>
    <row r="151" ht="22" customHeight="1" x14ac:dyDescent="0.2"/>
    <row r="152" ht="20" customHeight="1" x14ac:dyDescent="0.2"/>
    <row r="153" ht="20" customHeight="1" x14ac:dyDescent="0.2"/>
    <row r="154" ht="20" customHeight="1" x14ac:dyDescent="0.2"/>
    <row r="155" ht="20" customHeight="1" x14ac:dyDescent="0.2"/>
    <row r="157" ht="22" customHeight="1" x14ac:dyDescent="0.2"/>
    <row r="158" ht="20" customHeight="1" x14ac:dyDescent="0.2"/>
    <row r="159" ht="20" customHeight="1" x14ac:dyDescent="0.2"/>
    <row r="160" ht="20" customHeight="1" x14ac:dyDescent="0.2"/>
    <row r="161" ht="20" customHeight="1" x14ac:dyDescent="0.2"/>
    <row r="162" ht="20" customHeight="1" x14ac:dyDescent="0.2"/>
    <row r="163" ht="20" customHeight="1" x14ac:dyDescent="0.2"/>
    <row r="164" ht="20" customHeight="1" x14ac:dyDescent="0.2"/>
    <row r="165" ht="20" customHeight="1" x14ac:dyDescent="0.2"/>
    <row r="166" ht="20" customHeight="1" x14ac:dyDescent="0.2"/>
    <row r="168" ht="22" customHeight="1" x14ac:dyDescent="0.2"/>
    <row r="169" ht="20" customHeight="1" x14ac:dyDescent="0.2"/>
    <row r="170" ht="24" customHeight="1" x14ac:dyDescent="0.2"/>
    <row r="171" ht="24" customHeight="1" x14ac:dyDescent="0.2"/>
    <row r="172" ht="24" customHeight="1" x14ac:dyDescent="0.2"/>
    <row r="173" ht="24" customHeight="1" x14ac:dyDescent="0.2"/>
    <row r="175" ht="24" customHeight="1" x14ac:dyDescent="0.2"/>
    <row r="176" ht="30" customHeight="1" x14ac:dyDescent="0.2"/>
    <row r="177" ht="22" customHeight="1" x14ac:dyDescent="0.2"/>
    <row r="178" ht="22" customHeight="1" x14ac:dyDescent="0.2"/>
    <row r="179" ht="22" customHeight="1" x14ac:dyDescent="0.2"/>
    <row r="180" ht="22" customHeight="1" x14ac:dyDescent="0.2"/>
    <row r="181" ht="22" customHeight="1" x14ac:dyDescent="0.2"/>
    <row r="182" ht="22" customHeight="1" x14ac:dyDescent="0.2"/>
    <row r="183" ht="22" customHeight="1" x14ac:dyDescent="0.2"/>
    <row r="184" ht="22" customHeight="1" x14ac:dyDescent="0.2"/>
    <row r="185" ht="22" customHeight="1" x14ac:dyDescent="0.2"/>
    <row r="186" ht="22" customHeight="1" x14ac:dyDescent="0.2"/>
    <row r="187" ht="22" customHeight="1" x14ac:dyDescent="0.2"/>
    <row r="188" ht="22" customHeight="1" x14ac:dyDescent="0.2"/>
    <row r="189" ht="22" customHeight="1" x14ac:dyDescent="0.2"/>
    <row r="190" ht="22" customHeight="1" x14ac:dyDescent="0.2"/>
    <row r="191" ht="22" customHeight="1" x14ac:dyDescent="0.2"/>
    <row r="192" ht="22" customHeight="1" x14ac:dyDescent="0.2"/>
    <row r="193" ht="22" customHeight="1" x14ac:dyDescent="0.2"/>
    <row r="194" ht="22" customHeight="1" x14ac:dyDescent="0.2"/>
    <row r="195" ht="22" customHeight="1" x14ac:dyDescent="0.2"/>
    <row r="196" ht="22" customHeight="1" x14ac:dyDescent="0.2"/>
    <row r="197" ht="22" customHeight="1" x14ac:dyDescent="0.2"/>
    <row r="198" ht="22" customHeight="1" x14ac:dyDescent="0.2"/>
    <row r="199" ht="22" customHeight="1" x14ac:dyDescent="0.2"/>
    <row r="200" ht="22" customHeight="1" x14ac:dyDescent="0.2"/>
    <row r="201" ht="22" customHeight="1" x14ac:dyDescent="0.2"/>
    <row r="202" ht="22" customHeight="1" x14ac:dyDescent="0.2"/>
    <row r="203" ht="22" customHeight="1" x14ac:dyDescent="0.2"/>
    <row r="204" ht="22" customHeight="1" x14ac:dyDescent="0.2"/>
    <row r="205" ht="22" customHeight="1" x14ac:dyDescent="0.2"/>
    <row r="206" ht="22" customHeight="1" x14ac:dyDescent="0.2"/>
    <row r="208" ht="24" customHeight="1" x14ac:dyDescent="0.2"/>
    <row r="209" ht="30" customHeight="1" x14ac:dyDescent="0.2"/>
    <row r="210" ht="22" customHeight="1" x14ac:dyDescent="0.2"/>
    <row r="211" ht="22" customHeight="1" x14ac:dyDescent="0.2"/>
    <row r="212" ht="22" customHeight="1" x14ac:dyDescent="0.2"/>
    <row r="213" ht="22" customHeight="1" x14ac:dyDescent="0.2"/>
    <row r="214" ht="22" customHeight="1" x14ac:dyDescent="0.2"/>
    <row r="215" ht="22" customHeight="1" x14ac:dyDescent="0.2"/>
    <row r="216" ht="22" customHeight="1" x14ac:dyDescent="0.2"/>
    <row r="217" ht="22" customHeight="1" x14ac:dyDescent="0.2"/>
    <row r="219" ht="24" customHeight="1" x14ac:dyDescent="0.2"/>
    <row r="220" ht="30" customHeight="1" x14ac:dyDescent="0.2"/>
    <row r="221" ht="30" customHeight="1" x14ac:dyDescent="0.2"/>
    <row r="222" ht="30" customHeight="1" x14ac:dyDescent="0.2"/>
    <row r="223" ht="30" customHeight="1" x14ac:dyDescent="0.2"/>
    <row r="224" ht="30" customHeight="1" x14ac:dyDescent="0.2"/>
    <row r="227" ht="22" customHeight="1" x14ac:dyDescent="0.2"/>
  </sheetData>
  <mergeCells count="97">
    <mergeCell ref="B6:M6"/>
    <mergeCell ref="G69:M69"/>
    <mergeCell ref="C99:I99"/>
    <mergeCell ref="G72:M72"/>
    <mergeCell ref="B112:G112"/>
    <mergeCell ref="K25:M25"/>
    <mergeCell ref="E13:G13"/>
    <mergeCell ref="C84:I84"/>
    <mergeCell ref="B66:H66"/>
    <mergeCell ref="B51:H51"/>
    <mergeCell ref="J78:M78"/>
    <mergeCell ref="E81:F81"/>
    <mergeCell ref="B32:H32"/>
    <mergeCell ref="K27:M27"/>
    <mergeCell ref="I32:M32"/>
    <mergeCell ref="C85:I85"/>
    <mergeCell ref="C2:H2"/>
    <mergeCell ref="C3:F3"/>
    <mergeCell ref="B10:M10"/>
    <mergeCell ref="C104:I104"/>
    <mergeCell ref="K23:M23"/>
    <mergeCell ref="C88:I88"/>
    <mergeCell ref="B83:H83"/>
    <mergeCell ref="B78:D78"/>
    <mergeCell ref="B5:I5"/>
    <mergeCell ref="C97:I97"/>
    <mergeCell ref="K20:M20"/>
    <mergeCell ref="K11:M11"/>
    <mergeCell ref="I76:M76"/>
    <mergeCell ref="G67:M67"/>
    <mergeCell ref="C94:I94"/>
    <mergeCell ref="K17:M17"/>
    <mergeCell ref="K13:M13"/>
    <mergeCell ref="E12:G12"/>
    <mergeCell ref="G68:M68"/>
    <mergeCell ref="G81:H81"/>
    <mergeCell ref="C101:I101"/>
    <mergeCell ref="K24:M24"/>
    <mergeCell ref="B80:D80"/>
    <mergeCell ref="B16:H16"/>
    <mergeCell ref="B64:I64"/>
    <mergeCell ref="C110:K110"/>
    <mergeCell ref="E78:F78"/>
    <mergeCell ref="I51:M51"/>
    <mergeCell ref="G78:H78"/>
    <mergeCell ref="E11:G11"/>
    <mergeCell ref="J79:M79"/>
    <mergeCell ref="C105:I105"/>
    <mergeCell ref="K18:M18"/>
    <mergeCell ref="C87:I87"/>
    <mergeCell ref="C102:I102"/>
    <mergeCell ref="C96:I96"/>
    <mergeCell ref="C103:I103"/>
    <mergeCell ref="E80:F80"/>
    <mergeCell ref="C106:I106"/>
    <mergeCell ref="G80:H80"/>
    <mergeCell ref="B29:M29"/>
    <mergeCell ref="B7:B8"/>
    <mergeCell ref="K3:L3"/>
    <mergeCell ref="J77:M77"/>
    <mergeCell ref="B76:H76"/>
    <mergeCell ref="B13:D13"/>
    <mergeCell ref="B11:D11"/>
    <mergeCell ref="H11:J11"/>
    <mergeCell ref="H12:J12"/>
    <mergeCell ref="B12:D12"/>
    <mergeCell ref="I16:M16"/>
    <mergeCell ref="G74:M74"/>
    <mergeCell ref="H3:I3"/>
    <mergeCell ref="I66:M66"/>
    <mergeCell ref="K12:M12"/>
    <mergeCell ref="K22:M22"/>
    <mergeCell ref="H13:J13"/>
    <mergeCell ref="K19:M19"/>
    <mergeCell ref="J80:M80"/>
    <mergeCell ref="B81:D81"/>
    <mergeCell ref="K21:M21"/>
    <mergeCell ref="K26:M26"/>
    <mergeCell ref="B79:D79"/>
    <mergeCell ref="E79:F79"/>
    <mergeCell ref="G79:H79"/>
    <mergeCell ref="K30:M30"/>
    <mergeCell ref="C95:I95"/>
    <mergeCell ref="J81:M81"/>
    <mergeCell ref="C92:I92"/>
    <mergeCell ref="C107:I107"/>
    <mergeCell ref="B71:H71"/>
    <mergeCell ref="I71:M71"/>
    <mergeCell ref="C100:I100"/>
    <mergeCell ref="G73:M73"/>
    <mergeCell ref="C91:I91"/>
    <mergeCell ref="I83:M83"/>
    <mergeCell ref="C90:I90"/>
    <mergeCell ref="C89:I89"/>
    <mergeCell ref="C86:I86"/>
    <mergeCell ref="C98:I98"/>
    <mergeCell ref="C93:I93"/>
  </mergeCells>
  <conditionalFormatting sqref="C26:H26">
    <cfRule type="cellIs" dxfId="5" priority="1" operator="greaterThan">
      <formula>0</formula>
    </cfRule>
    <cfRule type="cellIs" dxfId="4" priority="2" operator="lessThan">
      <formula>0</formula>
    </cfRule>
  </conditionalFormatting>
  <conditionalFormatting sqref="L85:L107">
    <cfRule type="expression" dxfId="3" priority="13">
      <formula>L85="PASS"</formula>
    </cfRule>
    <cfRule type="expression" dxfId="2" priority="14">
      <formula>L85="FAIL"</formula>
    </cfRule>
  </conditionalFormatting>
  <conditionalFormatting sqref="L110">
    <cfRule type="expression" dxfId="1" priority="59">
      <formula>L110="PASS"</formula>
    </cfRule>
    <cfRule type="expression" dxfId="0" priority="60">
      <formula>L110="FAIL"</formula>
    </cfRule>
  </conditionalFormatting>
  <dataValidations count="1">
    <dataValidation type="list" sqref="L2" xr:uid="{00000000-0002-0000-0200-000008000000}">
      <formula1>"Base,Downside,Upside"</formula1>
    </dataValidation>
  </dataValidations>
  <hyperlinks>
    <hyperlink ref="B64" r:id="rId1" tooltip="Book a fit call · Infraxus" xr:uid="{A7F1791A-7851-7344-B8C1-05A27EB03799}"/>
  </hyperlinks>
  <printOptions horizontalCentered="1"/>
  <pageMargins left="0.4" right="0.4" top="0.5" bottom="0.5" header="0.3" footer="0.3"/>
  <pageSetup fitToHeight="0"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5EBF6-AE28-B740-A4F5-9BD2B0DED953}">
  <sheetPr>
    <tabColor rgb="FF8896B3"/>
    <pageSetUpPr fitToPage="1"/>
  </sheetPr>
  <dimension ref="A1:AX112"/>
  <sheetViews>
    <sheetView showGridLines="0" zoomScale="140" zoomScaleNormal="140" workbookViewId="0">
      <pane xSplit="2" ySplit="5" topLeftCell="C6" activePane="bottomRight" state="frozen"/>
      <selection pane="topRight"/>
      <selection pane="bottomLeft"/>
      <selection pane="bottomRight" activeCell="AZ14" sqref="AZ14"/>
    </sheetView>
  </sheetViews>
  <sheetFormatPr baseColWidth="10" defaultColWidth="8.83203125" defaultRowHeight="15" outlineLevelCol="1" x14ac:dyDescent="0.2"/>
  <cols>
    <col min="1" max="1" width="2" style="56" customWidth="1"/>
    <col min="2" max="2" width="17" style="56" customWidth="1"/>
    <col min="3" max="3" width="22" style="56" customWidth="1"/>
    <col min="4" max="4" width="16" style="56" customWidth="1"/>
    <col min="5" max="5" width="12" style="56" customWidth="1"/>
    <col min="6" max="6" width="15" style="56" customWidth="1"/>
    <col min="7" max="7" width="10" style="56" customWidth="1"/>
    <col min="8" max="8" width="14" style="56" customWidth="1"/>
    <col min="9" max="9" width="11" style="56" customWidth="1"/>
    <col min="10" max="11" width="9.5" style="56" customWidth="1"/>
    <col min="12" max="12" width="18" style="56" customWidth="1"/>
    <col min="13" max="13" width="8.5" style="56" customWidth="1"/>
    <col min="14" max="14" width="22" style="56" customWidth="1"/>
    <col min="15" max="15" width="2" style="56" customWidth="1"/>
    <col min="16" max="16" width="1.5" style="56" hidden="1" customWidth="1"/>
    <col min="17" max="25" width="13" style="56" hidden="1" customWidth="1"/>
    <col min="26" max="47" width="13" style="56" hidden="1" customWidth="1" outlineLevel="1"/>
    <col min="48" max="49" width="8.83203125" style="56" hidden="1" customWidth="1" outlineLevel="1"/>
    <col min="50" max="50" width="8.83203125" style="56" collapsed="1"/>
    <col min="51" max="16384" width="8.83203125" style="56"/>
  </cols>
  <sheetData>
    <row r="1" spans="1:49" ht="8" customHeight="1" x14ac:dyDescent="0.2">
      <c r="A1" s="1"/>
      <c r="B1" s="1"/>
      <c r="C1" s="1"/>
      <c r="D1" s="1"/>
      <c r="E1" s="1"/>
      <c r="F1" s="1"/>
      <c r="G1" s="1"/>
      <c r="H1" s="1"/>
      <c r="I1" s="1"/>
      <c r="J1" s="1"/>
      <c r="K1" s="1"/>
      <c r="L1" s="1"/>
      <c r="M1" s="1"/>
      <c r="N1" s="1"/>
      <c r="O1" s="8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row>
    <row r="2" spans="1:49" ht="30" customHeight="1" x14ac:dyDescent="0.2">
      <c r="A2" s="1"/>
      <c r="B2" s="1"/>
      <c r="C2" s="1"/>
      <c r="D2" s="105" t="s">
        <v>168</v>
      </c>
      <c r="E2" s="85"/>
      <c r="F2" s="85"/>
      <c r="G2" s="85"/>
      <c r="H2" s="85"/>
      <c r="I2" s="85"/>
      <c r="J2" s="85"/>
      <c r="K2" s="85"/>
      <c r="L2" s="1"/>
      <c r="M2" s="3"/>
      <c r="N2" s="1"/>
      <c r="O2" s="8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spans="1:49" ht="22" customHeight="1" x14ac:dyDescent="0.2">
      <c r="A3" s="1"/>
      <c r="B3" s="80" t="s">
        <v>399</v>
      </c>
      <c r="C3" s="1"/>
      <c r="D3" s="81"/>
      <c r="E3" s="82"/>
      <c r="F3" s="82"/>
      <c r="G3" s="82"/>
      <c r="H3" s="82"/>
      <c r="I3" s="82"/>
      <c r="J3" s="82"/>
      <c r="K3" s="82"/>
      <c r="L3" s="82"/>
      <c r="M3" s="1"/>
      <c r="N3" s="1"/>
      <c r="O3" s="8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spans="1:49" ht="8" customHeight="1" x14ac:dyDescent="0.2">
      <c r="A4" s="1"/>
      <c r="B4" s="1"/>
      <c r="C4" s="1"/>
      <c r="D4" s="1"/>
      <c r="E4" s="1"/>
      <c r="F4" s="1"/>
      <c r="G4" s="1"/>
      <c r="H4" s="1"/>
      <c r="I4" s="1"/>
      <c r="J4" s="1"/>
      <c r="K4" s="1"/>
      <c r="L4" s="1"/>
      <c r="M4" s="1"/>
      <c r="N4" s="1"/>
      <c r="O4" s="82"/>
      <c r="P4" s="2"/>
      <c r="Q4" s="39">
        <f>VLOOKUP(sinp_scenario,sref_scn_table,2,FALSE)</f>
        <v>1</v>
      </c>
      <c r="R4" s="39">
        <f>VLOOKUP(sinp_scenario,sref_scn_table,3,FALSE)</f>
        <v>1</v>
      </c>
      <c r="S4" s="40">
        <f>VLOOKUP(sinp_scenario,sref_scn_table,4,FALSE)</f>
        <v>0</v>
      </c>
      <c r="T4" s="39">
        <f>VLOOKUP(sinp_vertical,sref_vert_table,4,FALSE)</f>
        <v>0.25</v>
      </c>
      <c r="U4" s="41">
        <f>VLOOKUP(sinp_vertical,sref_vert_table,5,FALSE)</f>
        <v>62</v>
      </c>
      <c r="V4" s="114" t="str">
        <f>CHOOSE(MATCH(sinp_region,{"AU","NZ","US"},0),sref_rd_au_pt,sref_rd_nz_pt,sref_rd_us_pt)</f>
        <v>Net 30</v>
      </c>
      <c r="W4" s="41">
        <f>CHOOSE(MATCH(sinp_region,{"AU","NZ","US"},0),sref_rd_au_dso,sref_rd_nz_dso,sref_rd_us_dso)</f>
        <v>38</v>
      </c>
      <c r="X4" s="2"/>
      <c r="Y4" s="2"/>
      <c r="Z4" s="2"/>
      <c r="AA4" s="2"/>
      <c r="AB4" s="2"/>
      <c r="AC4" s="2"/>
      <c r="AD4" s="2"/>
      <c r="AE4" s="2"/>
      <c r="AF4" s="2"/>
      <c r="AG4" s="2"/>
      <c r="AH4" s="2"/>
      <c r="AI4" s="2"/>
      <c r="AJ4" s="2"/>
      <c r="AK4" s="2"/>
      <c r="AL4" s="2"/>
      <c r="AM4" s="2"/>
      <c r="AN4" s="2"/>
      <c r="AO4" s="2"/>
      <c r="AP4" s="2"/>
      <c r="AQ4" s="2"/>
      <c r="AR4" s="2"/>
      <c r="AS4" s="2"/>
      <c r="AT4" s="2"/>
      <c r="AU4" s="2"/>
      <c r="AV4" s="2"/>
      <c r="AW4" s="2"/>
    </row>
    <row r="5" spans="1:49" x14ac:dyDescent="0.2">
      <c r="A5" s="1"/>
      <c r="B5" s="1"/>
      <c r="C5" s="1"/>
      <c r="D5" s="1"/>
      <c r="E5" s="1"/>
      <c r="F5" s="1"/>
      <c r="G5" s="1"/>
      <c r="H5" s="1"/>
      <c r="I5" s="1"/>
      <c r="J5" s="1"/>
      <c r="K5" s="1"/>
      <c r="L5" s="1"/>
      <c r="M5" s="1"/>
      <c r="N5" s="1"/>
      <c r="O5" s="8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49" ht="22" customHeight="1" x14ac:dyDescent="0.2">
      <c r="A6" s="1"/>
      <c r="B6" s="107" t="s">
        <v>169</v>
      </c>
      <c r="C6" s="85"/>
      <c r="D6" s="85"/>
      <c r="E6" s="85"/>
      <c r="F6" s="85"/>
      <c r="G6" s="85"/>
      <c r="H6" s="85"/>
      <c r="I6" s="85"/>
      <c r="J6" s="85"/>
      <c r="K6" s="85"/>
      <c r="L6" s="85"/>
      <c r="M6" s="85"/>
      <c r="N6" s="85"/>
      <c r="O6" s="8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22" customHeight="1" x14ac:dyDescent="0.2">
      <c r="A7" s="1"/>
      <c r="B7" s="29" t="s">
        <v>170</v>
      </c>
      <c r="C7" s="110" t="s">
        <v>171</v>
      </c>
      <c r="D7" s="92"/>
      <c r="E7" s="84" t="s">
        <v>172</v>
      </c>
      <c r="F7" s="85"/>
      <c r="G7" s="85"/>
      <c r="H7" s="85"/>
      <c r="I7" s="85"/>
      <c r="J7" s="85"/>
      <c r="K7" s="85"/>
      <c r="L7" s="85"/>
      <c r="M7" s="85"/>
      <c r="N7" s="85"/>
      <c r="O7" s="8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ht="22" customHeight="1" x14ac:dyDescent="0.2">
      <c r="A8" s="1"/>
      <c r="B8" s="29" t="s">
        <v>173</v>
      </c>
      <c r="C8" s="110" t="s">
        <v>294</v>
      </c>
      <c r="D8" s="92"/>
      <c r="E8" s="84" t="s">
        <v>295</v>
      </c>
      <c r="F8" s="85"/>
      <c r="G8" s="85"/>
      <c r="H8" s="85"/>
      <c r="I8" s="85"/>
      <c r="J8" s="85"/>
      <c r="K8" s="85"/>
      <c r="L8" s="85"/>
      <c r="M8" s="85"/>
      <c r="N8" s="85"/>
      <c r="O8" s="8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49" ht="22" customHeight="1" x14ac:dyDescent="0.2">
      <c r="A9" s="1"/>
      <c r="B9" s="29" t="s">
        <v>5</v>
      </c>
      <c r="C9" s="110" t="s">
        <v>175</v>
      </c>
      <c r="D9" s="92"/>
      <c r="E9" s="84" t="s">
        <v>296</v>
      </c>
      <c r="F9" s="85"/>
      <c r="G9" s="85"/>
      <c r="H9" s="85"/>
      <c r="I9" s="85"/>
      <c r="J9" s="85"/>
      <c r="K9" s="85"/>
      <c r="L9" s="85"/>
      <c r="M9" s="85"/>
      <c r="N9" s="85"/>
      <c r="O9" s="8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ht="22" customHeight="1" x14ac:dyDescent="0.2">
      <c r="A10" s="1"/>
      <c r="B10" s="29" t="s">
        <v>177</v>
      </c>
      <c r="C10" s="110" t="s">
        <v>178</v>
      </c>
      <c r="D10" s="92"/>
      <c r="E10" s="84" t="s">
        <v>297</v>
      </c>
      <c r="F10" s="85"/>
      <c r="G10" s="85"/>
      <c r="H10" s="85"/>
      <c r="I10" s="85"/>
      <c r="J10" s="85"/>
      <c r="K10" s="85"/>
      <c r="L10" s="85"/>
      <c r="M10" s="85"/>
      <c r="N10" s="85"/>
      <c r="O10" s="8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49" ht="22" customHeight="1" x14ac:dyDescent="0.2">
      <c r="A11" s="1"/>
      <c r="B11" s="29" t="s">
        <v>180</v>
      </c>
      <c r="C11" s="110" t="s">
        <v>181</v>
      </c>
      <c r="D11" s="92"/>
      <c r="E11" s="84" t="s">
        <v>298</v>
      </c>
      <c r="F11" s="85"/>
      <c r="G11" s="85"/>
      <c r="H11" s="85"/>
      <c r="I11" s="85"/>
      <c r="J11" s="85"/>
      <c r="K11" s="85"/>
      <c r="L11" s="85"/>
      <c r="M11" s="85"/>
      <c r="N11" s="85"/>
      <c r="O11" s="8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49" ht="22" customHeight="1" x14ac:dyDescent="0.2">
      <c r="A12" s="1"/>
      <c r="B12" s="29" t="s">
        <v>183</v>
      </c>
      <c r="C12" s="112" t="s">
        <v>3</v>
      </c>
      <c r="D12" s="85"/>
      <c r="E12" s="84" t="s">
        <v>299</v>
      </c>
      <c r="F12" s="85"/>
      <c r="G12" s="85"/>
      <c r="H12" s="85"/>
      <c r="I12" s="85"/>
      <c r="J12" s="85"/>
      <c r="K12" s="85"/>
      <c r="L12" s="85"/>
      <c r="M12" s="85"/>
      <c r="N12" s="85"/>
      <c r="O12" s="8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row>
    <row r="13" spans="1:49" x14ac:dyDescent="0.2">
      <c r="A13" s="1"/>
      <c r="B13" s="1"/>
      <c r="C13" s="1"/>
      <c r="D13" s="1"/>
      <c r="E13" s="1"/>
      <c r="F13" s="1"/>
      <c r="G13" s="1"/>
      <c r="H13" s="1"/>
      <c r="I13" s="1"/>
      <c r="J13" s="1"/>
      <c r="K13" s="1"/>
      <c r="L13" s="1"/>
      <c r="M13" s="1"/>
      <c r="N13" s="1"/>
      <c r="O13" s="8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49" ht="22" customHeight="1" x14ac:dyDescent="0.2">
      <c r="A14" s="1"/>
      <c r="B14" s="107" t="s">
        <v>185</v>
      </c>
      <c r="C14" s="85"/>
      <c r="D14" s="85"/>
      <c r="E14" s="85"/>
      <c r="F14" s="85"/>
      <c r="G14" s="85"/>
      <c r="H14" s="85"/>
      <c r="I14" s="85"/>
      <c r="J14" s="85"/>
      <c r="K14" s="85"/>
      <c r="L14" s="85"/>
      <c r="M14" s="85"/>
      <c r="N14" s="85"/>
      <c r="O14" s="8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49" ht="20" customHeight="1" x14ac:dyDescent="0.2">
      <c r="A15" s="1"/>
      <c r="B15" s="13" t="s">
        <v>113</v>
      </c>
      <c r="C15" s="93" t="s">
        <v>186</v>
      </c>
      <c r="D15" s="94"/>
      <c r="E15" s="94"/>
      <c r="F15" s="13" t="s">
        <v>300</v>
      </c>
      <c r="G15" s="93" t="s">
        <v>188</v>
      </c>
      <c r="H15" s="94"/>
      <c r="I15" s="94"/>
      <c r="J15" s="94"/>
      <c r="K15" s="94"/>
      <c r="L15" s="94"/>
      <c r="M15" s="94"/>
      <c r="N15" s="94"/>
      <c r="O15" s="8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49" ht="20" customHeight="1" x14ac:dyDescent="0.2">
      <c r="A16" s="1"/>
      <c r="B16" s="25">
        <v>1</v>
      </c>
      <c r="C16" s="110" t="s">
        <v>189</v>
      </c>
      <c r="D16" s="111"/>
      <c r="E16" s="92"/>
      <c r="F16" s="43">
        <v>0.1</v>
      </c>
      <c r="G16" s="84" t="s">
        <v>190</v>
      </c>
      <c r="H16" s="85"/>
      <c r="I16" s="85"/>
      <c r="J16" s="85"/>
      <c r="K16" s="85"/>
      <c r="L16" s="85"/>
      <c r="M16" s="85"/>
      <c r="N16" s="85"/>
      <c r="O16" s="8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row>
    <row r="17" spans="1:49" ht="20" customHeight="1" x14ac:dyDescent="0.2">
      <c r="A17" s="1"/>
      <c r="B17" s="25">
        <v>2</v>
      </c>
      <c r="C17" s="110" t="s">
        <v>191</v>
      </c>
      <c r="D17" s="111"/>
      <c r="E17" s="92"/>
      <c r="F17" s="43">
        <v>0.2</v>
      </c>
      <c r="G17" s="84" t="s">
        <v>192</v>
      </c>
      <c r="H17" s="85"/>
      <c r="I17" s="85"/>
      <c r="J17" s="85"/>
      <c r="K17" s="85"/>
      <c r="L17" s="85"/>
      <c r="M17" s="85"/>
      <c r="N17" s="85"/>
      <c r="O17" s="8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49" ht="20" customHeight="1" x14ac:dyDescent="0.2">
      <c r="A18" s="1"/>
      <c r="B18" s="25">
        <v>3</v>
      </c>
      <c r="C18" s="110" t="s">
        <v>193</v>
      </c>
      <c r="D18" s="111"/>
      <c r="E18" s="92"/>
      <c r="F18" s="43">
        <v>0.35</v>
      </c>
      <c r="G18" s="84" t="s">
        <v>194</v>
      </c>
      <c r="H18" s="85"/>
      <c r="I18" s="85"/>
      <c r="J18" s="85"/>
      <c r="K18" s="85"/>
      <c r="L18" s="85"/>
      <c r="M18" s="85"/>
      <c r="N18" s="85"/>
      <c r="O18" s="8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row>
    <row r="19" spans="1:49" ht="20" customHeight="1" x14ac:dyDescent="0.2">
      <c r="A19" s="1"/>
      <c r="B19" s="25">
        <v>4</v>
      </c>
      <c r="C19" s="110" t="s">
        <v>195</v>
      </c>
      <c r="D19" s="111"/>
      <c r="E19" s="92"/>
      <c r="F19" s="43">
        <v>0.6</v>
      </c>
      <c r="G19" s="84" t="s">
        <v>196</v>
      </c>
      <c r="H19" s="85"/>
      <c r="I19" s="85"/>
      <c r="J19" s="85"/>
      <c r="K19" s="85"/>
      <c r="L19" s="85"/>
      <c r="M19" s="85"/>
      <c r="N19" s="85"/>
      <c r="O19" s="8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20" customHeight="1" x14ac:dyDescent="0.2">
      <c r="A20" s="1"/>
      <c r="B20" s="25">
        <v>5</v>
      </c>
      <c r="C20" s="110" t="s">
        <v>197</v>
      </c>
      <c r="D20" s="111"/>
      <c r="E20" s="92"/>
      <c r="F20" s="43">
        <v>0.8</v>
      </c>
      <c r="G20" s="84" t="s">
        <v>198</v>
      </c>
      <c r="H20" s="85"/>
      <c r="I20" s="85"/>
      <c r="J20" s="85"/>
      <c r="K20" s="85"/>
      <c r="L20" s="85"/>
      <c r="M20" s="85"/>
      <c r="N20" s="85"/>
      <c r="O20" s="8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ht="20" customHeight="1" x14ac:dyDescent="0.2">
      <c r="A21" s="1"/>
      <c r="B21" s="25">
        <v>6</v>
      </c>
      <c r="C21" s="110" t="s">
        <v>199</v>
      </c>
      <c r="D21" s="111"/>
      <c r="E21" s="92"/>
      <c r="F21" s="43">
        <v>0.9</v>
      </c>
      <c r="G21" s="84" t="s">
        <v>200</v>
      </c>
      <c r="H21" s="85"/>
      <c r="I21" s="85"/>
      <c r="J21" s="85"/>
      <c r="K21" s="85"/>
      <c r="L21" s="85"/>
      <c r="M21" s="85"/>
      <c r="N21" s="85"/>
      <c r="O21" s="8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x14ac:dyDescent="0.2">
      <c r="A22" s="1"/>
      <c r="B22" s="1"/>
      <c r="C22" s="1"/>
      <c r="D22" s="1"/>
      <c r="E22" s="1"/>
      <c r="F22" s="1"/>
      <c r="G22" s="1"/>
      <c r="H22" s="1"/>
      <c r="I22" s="1"/>
      <c r="J22" s="1"/>
      <c r="K22" s="1"/>
      <c r="L22" s="1"/>
      <c r="M22" s="1"/>
      <c r="N22" s="1"/>
      <c r="O22" s="8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49" ht="22" customHeight="1" x14ac:dyDescent="0.2">
      <c r="A23" s="1"/>
      <c r="B23" s="107" t="s">
        <v>201</v>
      </c>
      <c r="C23" s="85"/>
      <c r="D23" s="85"/>
      <c r="E23" s="85"/>
      <c r="F23" s="85"/>
      <c r="G23" s="85"/>
      <c r="H23" s="85"/>
      <c r="I23" s="85"/>
      <c r="J23" s="85"/>
      <c r="K23" s="85"/>
      <c r="L23" s="85"/>
      <c r="M23" s="85"/>
      <c r="N23" s="85"/>
      <c r="O23" s="8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ht="20" customHeight="1" x14ac:dyDescent="0.2">
      <c r="A24" s="1"/>
      <c r="B24" s="13" t="s">
        <v>113</v>
      </c>
      <c r="C24" s="12" t="s">
        <v>202</v>
      </c>
      <c r="D24" s="27" t="s">
        <v>203</v>
      </c>
      <c r="E24" s="13" t="s">
        <v>204</v>
      </c>
      <c r="F24" s="27" t="s">
        <v>205</v>
      </c>
      <c r="G24" s="83">
        <v>0.01</v>
      </c>
      <c r="H24" s="13" t="s">
        <v>207</v>
      </c>
      <c r="I24" s="83">
        <v>0.02</v>
      </c>
      <c r="J24" s="13" t="s">
        <v>209</v>
      </c>
      <c r="K24" s="83">
        <v>0.03</v>
      </c>
      <c r="L24" s="13" t="s">
        <v>211</v>
      </c>
      <c r="M24" s="93" t="s">
        <v>83</v>
      </c>
      <c r="N24" s="94"/>
      <c r="O24" s="8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row>
    <row r="25" spans="1:49" ht="45" customHeight="1" x14ac:dyDescent="0.2">
      <c r="A25" s="1"/>
      <c r="B25" s="25">
        <v>1</v>
      </c>
      <c r="C25" s="42" t="s">
        <v>212</v>
      </c>
      <c r="D25" s="44">
        <v>1</v>
      </c>
      <c r="E25" s="45">
        <v>1</v>
      </c>
      <c r="F25" s="44">
        <v>0</v>
      </c>
      <c r="G25" s="30">
        <v>0</v>
      </c>
      <c r="H25" s="30">
        <v>0</v>
      </c>
      <c r="I25" s="30">
        <v>0</v>
      </c>
      <c r="J25" s="30">
        <v>0</v>
      </c>
      <c r="K25" s="30">
        <v>0</v>
      </c>
      <c r="L25" s="30">
        <v>0</v>
      </c>
      <c r="M25" s="84" t="s">
        <v>301</v>
      </c>
      <c r="N25" s="85"/>
      <c r="O25" s="8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row>
    <row r="26" spans="1:49" ht="45" customHeight="1" x14ac:dyDescent="0.2">
      <c r="A26" s="1"/>
      <c r="B26" s="25">
        <v>2</v>
      </c>
      <c r="C26" s="42" t="s">
        <v>214</v>
      </c>
      <c r="D26" s="44">
        <v>1</v>
      </c>
      <c r="E26" s="45">
        <v>1</v>
      </c>
      <c r="F26" s="44">
        <v>0</v>
      </c>
      <c r="G26" s="30">
        <v>0</v>
      </c>
      <c r="H26" s="30">
        <v>0</v>
      </c>
      <c r="I26" s="30">
        <v>0</v>
      </c>
      <c r="J26" s="30">
        <v>0</v>
      </c>
      <c r="K26" s="30">
        <v>0</v>
      </c>
      <c r="L26" s="30">
        <v>0</v>
      </c>
      <c r="M26" s="84" t="s">
        <v>302</v>
      </c>
      <c r="N26" s="85"/>
      <c r="O26" s="8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row>
    <row r="27" spans="1:49" ht="32" customHeight="1" x14ac:dyDescent="0.2">
      <c r="A27" s="1"/>
      <c r="B27" s="25">
        <v>3</v>
      </c>
      <c r="C27" s="42" t="s">
        <v>216</v>
      </c>
      <c r="D27" s="44">
        <v>1</v>
      </c>
      <c r="E27" s="45">
        <v>2</v>
      </c>
      <c r="F27" s="44">
        <v>0</v>
      </c>
      <c r="G27" s="30">
        <v>0</v>
      </c>
      <c r="H27" s="30">
        <v>0</v>
      </c>
      <c r="I27" s="30">
        <v>0</v>
      </c>
      <c r="J27" s="30">
        <v>0</v>
      </c>
      <c r="K27" s="30">
        <v>0</v>
      </c>
      <c r="L27" s="30">
        <v>0</v>
      </c>
      <c r="M27" s="84" t="s">
        <v>217</v>
      </c>
      <c r="N27" s="85"/>
      <c r="O27" s="8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49" ht="32" customHeight="1" x14ac:dyDescent="0.2">
      <c r="A28" s="1"/>
      <c r="B28" s="25">
        <v>4</v>
      </c>
      <c r="C28" s="42" t="s">
        <v>218</v>
      </c>
      <c r="D28" s="44">
        <v>1</v>
      </c>
      <c r="E28" s="45">
        <v>2</v>
      </c>
      <c r="F28" s="44">
        <v>0</v>
      </c>
      <c r="G28" s="30">
        <v>0</v>
      </c>
      <c r="H28" s="30">
        <v>0</v>
      </c>
      <c r="I28" s="30">
        <v>0</v>
      </c>
      <c r="J28" s="30">
        <v>0</v>
      </c>
      <c r="K28" s="30">
        <v>0</v>
      </c>
      <c r="L28" s="30">
        <v>0</v>
      </c>
      <c r="M28" s="84" t="s">
        <v>303</v>
      </c>
      <c r="N28" s="85"/>
      <c r="O28" s="8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row>
    <row r="29" spans="1:49" ht="32" customHeight="1" x14ac:dyDescent="0.2">
      <c r="A29" s="1"/>
      <c r="B29" s="25">
        <v>5</v>
      </c>
      <c r="C29" s="42" t="s">
        <v>220</v>
      </c>
      <c r="D29" s="44">
        <v>0</v>
      </c>
      <c r="E29" s="45">
        <v>0</v>
      </c>
      <c r="F29" s="44">
        <v>1</v>
      </c>
      <c r="G29" s="30">
        <v>0.5</v>
      </c>
      <c r="H29" s="30">
        <v>0</v>
      </c>
      <c r="I29" s="30">
        <v>0.5</v>
      </c>
      <c r="J29" s="30">
        <v>1</v>
      </c>
      <c r="K29" s="30">
        <v>0</v>
      </c>
      <c r="L29" s="30">
        <v>0</v>
      </c>
      <c r="M29" s="84" t="s">
        <v>304</v>
      </c>
      <c r="N29" s="85"/>
      <c r="O29" s="8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row>
    <row r="30" spans="1:49" ht="32" customHeight="1" x14ac:dyDescent="0.2">
      <c r="A30" s="1"/>
      <c r="B30" s="25">
        <v>6</v>
      </c>
      <c r="C30" s="42" t="s">
        <v>222</v>
      </c>
      <c r="D30" s="44">
        <v>0</v>
      </c>
      <c r="E30" s="45">
        <v>0</v>
      </c>
      <c r="F30" s="44">
        <v>1</v>
      </c>
      <c r="G30" s="30">
        <v>0.25</v>
      </c>
      <c r="H30" s="30">
        <v>0</v>
      </c>
      <c r="I30" s="30">
        <v>0.5</v>
      </c>
      <c r="J30" s="30">
        <v>0.5</v>
      </c>
      <c r="K30" s="30">
        <v>0.25</v>
      </c>
      <c r="L30" s="30">
        <v>1</v>
      </c>
      <c r="M30" s="84" t="s">
        <v>305</v>
      </c>
      <c r="N30" s="85"/>
      <c r="O30" s="8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row>
    <row r="31" spans="1:49" ht="32" customHeight="1" x14ac:dyDescent="0.2">
      <c r="A31" s="1"/>
      <c r="B31" s="25">
        <v>7</v>
      </c>
      <c r="C31" s="42" t="s">
        <v>224</v>
      </c>
      <c r="D31" s="44">
        <v>0</v>
      </c>
      <c r="E31" s="45">
        <v>0</v>
      </c>
      <c r="F31" s="44">
        <v>1</v>
      </c>
      <c r="G31" s="30">
        <v>0.33</v>
      </c>
      <c r="H31" s="30">
        <v>0</v>
      </c>
      <c r="I31" s="30">
        <v>0.33</v>
      </c>
      <c r="J31" s="30">
        <v>0.5</v>
      </c>
      <c r="K31" s="30">
        <v>0.34</v>
      </c>
      <c r="L31" s="30">
        <v>1</v>
      </c>
      <c r="M31" s="84" t="s">
        <v>306</v>
      </c>
      <c r="N31" s="85"/>
      <c r="O31" s="8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row>
    <row r="32" spans="1:49" ht="32" customHeight="1" x14ac:dyDescent="0.2">
      <c r="A32" s="1"/>
      <c r="B32" s="25">
        <v>8</v>
      </c>
      <c r="C32" s="42" t="s">
        <v>226</v>
      </c>
      <c r="D32" s="44">
        <v>1</v>
      </c>
      <c r="E32" s="45">
        <v>1</v>
      </c>
      <c r="F32" s="44">
        <v>0</v>
      </c>
      <c r="G32" s="30">
        <v>0</v>
      </c>
      <c r="H32" s="30">
        <v>0</v>
      </c>
      <c r="I32" s="30">
        <v>0</v>
      </c>
      <c r="J32" s="30">
        <v>0</v>
      </c>
      <c r="K32" s="30">
        <v>0</v>
      </c>
      <c r="L32" s="30">
        <v>0</v>
      </c>
      <c r="M32" s="84" t="s">
        <v>307</v>
      </c>
      <c r="N32" s="85"/>
      <c r="O32" s="8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49" ht="32" customHeight="1" x14ac:dyDescent="0.2">
      <c r="A33" s="1"/>
      <c r="B33" s="25">
        <v>9</v>
      </c>
      <c r="C33" s="42" t="s">
        <v>228</v>
      </c>
      <c r="D33" s="44">
        <v>1</v>
      </c>
      <c r="E33" s="45">
        <v>1</v>
      </c>
      <c r="F33" s="44">
        <v>0</v>
      </c>
      <c r="G33" s="30">
        <v>0</v>
      </c>
      <c r="H33" s="30">
        <v>0</v>
      </c>
      <c r="I33" s="30">
        <v>0</v>
      </c>
      <c r="J33" s="30">
        <v>0</v>
      </c>
      <c r="K33" s="30">
        <v>0</v>
      </c>
      <c r="L33" s="30">
        <v>0</v>
      </c>
      <c r="M33" s="84" t="s">
        <v>307</v>
      </c>
      <c r="N33" s="85"/>
      <c r="O33" s="8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row>
    <row r="34" spans="1:49" x14ac:dyDescent="0.2">
      <c r="A34" s="1"/>
      <c r="B34" s="1"/>
      <c r="C34" s="1"/>
      <c r="D34" s="1"/>
      <c r="E34" s="1"/>
      <c r="F34" s="1"/>
      <c r="G34" s="1"/>
      <c r="H34" s="1"/>
      <c r="I34" s="1"/>
      <c r="J34" s="1"/>
      <c r="K34" s="1"/>
      <c r="L34" s="1"/>
      <c r="M34" s="1"/>
      <c r="N34" s="1"/>
      <c r="O34" s="8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49" ht="22" customHeight="1" x14ac:dyDescent="0.2">
      <c r="A35" s="1"/>
      <c r="B35" s="107" t="s">
        <v>230</v>
      </c>
      <c r="C35" s="85"/>
      <c r="D35" s="85"/>
      <c r="E35" s="85"/>
      <c r="F35" s="85"/>
      <c r="G35" s="85"/>
      <c r="H35" s="85"/>
      <c r="I35" s="85"/>
      <c r="J35" s="85"/>
      <c r="K35" s="85"/>
      <c r="L35" s="85"/>
      <c r="M35" s="85"/>
      <c r="N35" s="85"/>
      <c r="O35" s="8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49" ht="20" customHeight="1" x14ac:dyDescent="0.2">
      <c r="A36" s="1"/>
      <c r="B36" s="13" t="s">
        <v>113</v>
      </c>
      <c r="C36" s="12" t="s">
        <v>231</v>
      </c>
      <c r="D36" s="13" t="s">
        <v>232</v>
      </c>
      <c r="E36" s="13" t="s">
        <v>233</v>
      </c>
      <c r="F36" s="13" t="s">
        <v>234</v>
      </c>
      <c r="G36" s="93" t="s">
        <v>83</v>
      </c>
      <c r="H36" s="94"/>
      <c r="I36" s="94"/>
      <c r="J36" s="94"/>
      <c r="K36" s="94"/>
      <c r="L36" s="94"/>
      <c r="M36" s="94"/>
      <c r="N36" s="94"/>
      <c r="O36" s="8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49" ht="20" customHeight="1" x14ac:dyDescent="0.2">
      <c r="A37" s="1"/>
      <c r="B37" s="25">
        <v>1</v>
      </c>
      <c r="C37" s="42" t="s">
        <v>3</v>
      </c>
      <c r="D37" s="43">
        <v>1</v>
      </c>
      <c r="E37" s="43">
        <v>1</v>
      </c>
      <c r="F37" s="46">
        <v>0</v>
      </c>
      <c r="G37" s="84" t="s">
        <v>308</v>
      </c>
      <c r="H37" s="85"/>
      <c r="I37" s="85"/>
      <c r="J37" s="85"/>
      <c r="K37" s="85"/>
      <c r="L37" s="85"/>
      <c r="M37" s="85"/>
      <c r="N37" s="85"/>
      <c r="O37" s="8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49" ht="20" customHeight="1" x14ac:dyDescent="0.2">
      <c r="A38" s="1"/>
      <c r="B38" s="25">
        <v>2</v>
      </c>
      <c r="C38" s="42" t="s">
        <v>236</v>
      </c>
      <c r="D38" s="43">
        <v>0.8</v>
      </c>
      <c r="E38" s="43">
        <v>0.9</v>
      </c>
      <c r="F38" s="46">
        <v>1</v>
      </c>
      <c r="G38" s="84" t="s">
        <v>309</v>
      </c>
      <c r="H38" s="85"/>
      <c r="I38" s="85"/>
      <c r="J38" s="85"/>
      <c r="K38" s="85"/>
      <c r="L38" s="85"/>
      <c r="M38" s="85"/>
      <c r="N38" s="85"/>
      <c r="O38" s="8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49" ht="20" customHeight="1" x14ac:dyDescent="0.2">
      <c r="A39" s="1"/>
      <c r="B39" s="25">
        <v>3</v>
      </c>
      <c r="C39" s="42" t="s">
        <v>238</v>
      </c>
      <c r="D39" s="43">
        <v>1.05</v>
      </c>
      <c r="E39" s="43">
        <v>1.05</v>
      </c>
      <c r="F39" s="46">
        <v>0</v>
      </c>
      <c r="G39" s="84" t="s">
        <v>310</v>
      </c>
      <c r="H39" s="85"/>
      <c r="I39" s="85"/>
      <c r="J39" s="85"/>
      <c r="K39" s="85"/>
      <c r="L39" s="85"/>
      <c r="M39" s="85"/>
      <c r="N39" s="85"/>
      <c r="O39" s="8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49" x14ac:dyDescent="0.2">
      <c r="A40" s="1"/>
      <c r="B40" s="1"/>
      <c r="C40" s="1"/>
      <c r="D40" s="1"/>
      <c r="E40" s="1"/>
      <c r="F40" s="1"/>
      <c r="G40" s="1"/>
      <c r="H40" s="1"/>
      <c r="I40" s="1"/>
      <c r="J40" s="1"/>
      <c r="K40" s="1"/>
      <c r="L40" s="1"/>
      <c r="M40" s="1"/>
      <c r="N40" s="1"/>
      <c r="O40" s="8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49" ht="22" customHeight="1" x14ac:dyDescent="0.2">
      <c r="A41" s="1"/>
      <c r="B41" s="107" t="s">
        <v>311</v>
      </c>
      <c r="C41" s="85"/>
      <c r="D41" s="85"/>
      <c r="E41" s="85"/>
      <c r="F41" s="85"/>
      <c r="G41" s="85"/>
      <c r="H41" s="85"/>
      <c r="I41" s="85"/>
      <c r="J41" s="85"/>
      <c r="K41" s="85"/>
      <c r="L41" s="85"/>
      <c r="M41" s="85"/>
      <c r="N41" s="85"/>
      <c r="O41" s="8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49" ht="20" customHeight="1" x14ac:dyDescent="0.2">
      <c r="A42" s="1"/>
      <c r="B42" s="13" t="s">
        <v>113</v>
      </c>
      <c r="C42" s="93" t="s">
        <v>5</v>
      </c>
      <c r="D42" s="94"/>
      <c r="E42" s="94"/>
      <c r="F42" s="13" t="s">
        <v>241</v>
      </c>
      <c r="G42" s="13" t="s">
        <v>242</v>
      </c>
      <c r="H42" s="93" t="s">
        <v>312</v>
      </c>
      <c r="I42" s="94"/>
      <c r="J42" s="94"/>
      <c r="K42" s="94"/>
      <c r="L42" s="94"/>
      <c r="M42" s="94"/>
      <c r="N42" s="94"/>
      <c r="O42" s="8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49" ht="20" customHeight="1" x14ac:dyDescent="0.2">
      <c r="A43" s="1"/>
      <c r="B43" s="25">
        <v>1</v>
      </c>
      <c r="C43" s="110" t="s">
        <v>175</v>
      </c>
      <c r="D43" s="111"/>
      <c r="E43" s="92"/>
      <c r="F43" s="43">
        <v>0.25</v>
      </c>
      <c r="G43" s="47">
        <v>62</v>
      </c>
      <c r="H43" s="84" t="s">
        <v>313</v>
      </c>
      <c r="I43" s="85"/>
      <c r="J43" s="85"/>
      <c r="K43" s="85"/>
      <c r="L43" s="85"/>
      <c r="M43" s="85"/>
      <c r="N43" s="85"/>
      <c r="O43" s="8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row>
    <row r="44" spans="1:49" ht="20" customHeight="1" x14ac:dyDescent="0.2">
      <c r="A44" s="1"/>
      <c r="B44" s="25">
        <v>2</v>
      </c>
      <c r="C44" s="110" t="s">
        <v>245</v>
      </c>
      <c r="D44" s="111"/>
      <c r="E44" s="92"/>
      <c r="F44" s="43">
        <v>0.22</v>
      </c>
      <c r="G44" s="47">
        <v>80</v>
      </c>
      <c r="H44" s="84" t="s">
        <v>314</v>
      </c>
      <c r="I44" s="85"/>
      <c r="J44" s="85"/>
      <c r="K44" s="85"/>
      <c r="L44" s="85"/>
      <c r="M44" s="85"/>
      <c r="N44" s="85"/>
      <c r="O44" s="8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row>
    <row r="45" spans="1:49" ht="20" customHeight="1" x14ac:dyDescent="0.2">
      <c r="A45" s="1"/>
      <c r="B45" s="25">
        <v>3</v>
      </c>
      <c r="C45" s="110" t="s">
        <v>247</v>
      </c>
      <c r="D45" s="111"/>
      <c r="E45" s="92"/>
      <c r="F45" s="43">
        <v>0.27</v>
      </c>
      <c r="G45" s="47">
        <v>55</v>
      </c>
      <c r="H45" s="84" t="s">
        <v>315</v>
      </c>
      <c r="I45" s="85"/>
      <c r="J45" s="85"/>
      <c r="K45" s="85"/>
      <c r="L45" s="85"/>
      <c r="M45" s="85"/>
      <c r="N45" s="85"/>
      <c r="O45" s="8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row>
    <row r="46" spans="1:49" ht="20" customHeight="1" x14ac:dyDescent="0.2">
      <c r="A46" s="1"/>
      <c r="B46" s="25">
        <v>4</v>
      </c>
      <c r="C46" s="110" t="s">
        <v>249</v>
      </c>
      <c r="D46" s="111"/>
      <c r="E46" s="92"/>
      <c r="F46" s="43">
        <v>0.3</v>
      </c>
      <c r="G46" s="47">
        <v>70</v>
      </c>
      <c r="H46" s="84" t="s">
        <v>316</v>
      </c>
      <c r="I46" s="85"/>
      <c r="J46" s="85"/>
      <c r="K46" s="85"/>
      <c r="L46" s="85"/>
      <c r="M46" s="85"/>
      <c r="N46" s="85"/>
      <c r="O46" s="8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row>
    <row r="47" spans="1:49" ht="20" customHeight="1" x14ac:dyDescent="0.2">
      <c r="A47" s="1"/>
      <c r="B47" s="25">
        <v>5</v>
      </c>
      <c r="C47" s="110" t="s">
        <v>251</v>
      </c>
      <c r="D47" s="111"/>
      <c r="E47" s="92"/>
      <c r="F47" s="43">
        <v>0.2</v>
      </c>
      <c r="G47" s="47">
        <v>90</v>
      </c>
      <c r="H47" s="84" t="s">
        <v>317</v>
      </c>
      <c r="I47" s="85"/>
      <c r="J47" s="85"/>
      <c r="K47" s="85"/>
      <c r="L47" s="85"/>
      <c r="M47" s="85"/>
      <c r="N47" s="85"/>
      <c r="O47" s="8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row>
    <row r="48" spans="1:49" ht="20" customHeight="1" x14ac:dyDescent="0.2">
      <c r="A48" s="1"/>
      <c r="B48" s="25">
        <v>6</v>
      </c>
      <c r="C48" s="110" t="s">
        <v>253</v>
      </c>
      <c r="D48" s="111"/>
      <c r="E48" s="92"/>
      <c r="F48" s="43">
        <v>0.32</v>
      </c>
      <c r="G48" s="47">
        <v>45</v>
      </c>
      <c r="H48" s="84" t="s">
        <v>318</v>
      </c>
      <c r="I48" s="85"/>
      <c r="J48" s="85"/>
      <c r="K48" s="85"/>
      <c r="L48" s="85"/>
      <c r="M48" s="85"/>
      <c r="N48" s="85"/>
      <c r="O48" s="8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row>
    <row r="49" spans="1:49" ht="20" customHeight="1" x14ac:dyDescent="0.2">
      <c r="A49" s="1"/>
      <c r="B49" s="25">
        <v>7</v>
      </c>
      <c r="C49" s="110" t="s">
        <v>255</v>
      </c>
      <c r="D49" s="111"/>
      <c r="E49" s="92"/>
      <c r="F49" s="43">
        <v>0.35</v>
      </c>
      <c r="G49" s="47">
        <v>38</v>
      </c>
      <c r="H49" s="84" t="s">
        <v>319</v>
      </c>
      <c r="I49" s="85"/>
      <c r="J49" s="85"/>
      <c r="K49" s="85"/>
      <c r="L49" s="85"/>
      <c r="M49" s="85"/>
      <c r="N49" s="85"/>
      <c r="O49" s="8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row>
    <row r="50" spans="1:49" ht="20" customHeight="1" x14ac:dyDescent="0.2">
      <c r="A50" s="1"/>
      <c r="B50" s="25">
        <v>8</v>
      </c>
      <c r="C50" s="110" t="s">
        <v>257</v>
      </c>
      <c r="D50" s="111"/>
      <c r="E50" s="92"/>
      <c r="F50" s="43">
        <v>0.25</v>
      </c>
      <c r="G50" s="47">
        <v>65</v>
      </c>
      <c r="H50" s="84" t="s">
        <v>320</v>
      </c>
      <c r="I50" s="85"/>
      <c r="J50" s="85"/>
      <c r="K50" s="85"/>
      <c r="L50" s="85"/>
      <c r="M50" s="85"/>
      <c r="N50" s="85"/>
      <c r="O50" s="8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row>
    <row r="51" spans="1:49" x14ac:dyDescent="0.2">
      <c r="A51" s="1"/>
      <c r="B51" s="1"/>
      <c r="C51" s="1"/>
      <c r="D51" s="1"/>
      <c r="E51" s="1"/>
      <c r="F51" s="1"/>
      <c r="G51" s="1"/>
      <c r="H51" s="1"/>
      <c r="I51" s="1"/>
      <c r="J51" s="1"/>
      <c r="K51" s="1"/>
      <c r="L51" s="1"/>
      <c r="M51" s="1"/>
      <c r="N51" s="1"/>
      <c r="O51" s="8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row>
    <row r="52" spans="1:49" ht="22" customHeight="1" x14ac:dyDescent="0.2">
      <c r="A52" s="1"/>
      <c r="B52" s="107" t="s">
        <v>321</v>
      </c>
      <c r="C52" s="85"/>
      <c r="D52" s="85"/>
      <c r="E52" s="85"/>
      <c r="F52" s="85"/>
      <c r="G52" s="85"/>
      <c r="H52" s="85"/>
      <c r="I52" s="85"/>
      <c r="J52" s="85"/>
      <c r="K52" s="85"/>
      <c r="L52" s="85"/>
      <c r="M52" s="85"/>
      <c r="N52" s="85"/>
      <c r="O52" s="8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row>
    <row r="53" spans="1:49" ht="20" customHeight="1" x14ac:dyDescent="0.2">
      <c r="A53" s="1"/>
      <c r="B53" s="13" t="s">
        <v>113</v>
      </c>
      <c r="C53" s="93" t="s">
        <v>260</v>
      </c>
      <c r="D53" s="94"/>
      <c r="E53" s="94"/>
      <c r="F53" s="27" t="s">
        <v>171</v>
      </c>
      <c r="G53" s="27" t="s">
        <v>261</v>
      </c>
      <c r="H53" s="27" t="s">
        <v>262</v>
      </c>
      <c r="I53" s="93" t="s">
        <v>312</v>
      </c>
      <c r="J53" s="94"/>
      <c r="K53" s="94"/>
      <c r="L53" s="94"/>
      <c r="M53" s="94"/>
      <c r="N53" s="94"/>
      <c r="O53" s="8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row>
    <row r="54" spans="1:49" ht="24" customHeight="1" x14ac:dyDescent="0.2">
      <c r="A54" s="1"/>
      <c r="B54" s="25">
        <v>1</v>
      </c>
      <c r="C54" s="113" t="s">
        <v>263</v>
      </c>
      <c r="D54" s="85"/>
      <c r="E54" s="85"/>
      <c r="F54" s="48" t="s">
        <v>214</v>
      </c>
      <c r="G54" s="48" t="s">
        <v>264</v>
      </c>
      <c r="H54" s="48" t="s">
        <v>214</v>
      </c>
      <c r="I54" s="84" t="s">
        <v>322</v>
      </c>
      <c r="J54" s="85"/>
      <c r="K54" s="85"/>
      <c r="L54" s="85"/>
      <c r="M54" s="85"/>
      <c r="N54" s="85"/>
      <c r="O54" s="8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row>
    <row r="55" spans="1:49" ht="24" customHeight="1" x14ac:dyDescent="0.2">
      <c r="A55" s="1"/>
      <c r="B55" s="25">
        <v>2</v>
      </c>
      <c r="C55" s="113" t="s">
        <v>266</v>
      </c>
      <c r="D55" s="85"/>
      <c r="E55" s="85"/>
      <c r="F55" s="35">
        <v>38</v>
      </c>
      <c r="G55" s="35">
        <v>40</v>
      </c>
      <c r="H55" s="35">
        <v>45</v>
      </c>
      <c r="I55" s="84" t="s">
        <v>323</v>
      </c>
      <c r="J55" s="85"/>
      <c r="K55" s="85"/>
      <c r="L55" s="85"/>
      <c r="M55" s="85"/>
      <c r="N55" s="85"/>
      <c r="O55" s="8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row>
    <row r="56" spans="1:49" ht="24" customHeight="1" x14ac:dyDescent="0.2">
      <c r="A56" s="1"/>
      <c r="B56" s="25">
        <v>3</v>
      </c>
      <c r="C56" s="113" t="s">
        <v>267</v>
      </c>
      <c r="D56" s="85"/>
      <c r="E56" s="85"/>
      <c r="F56" s="30">
        <v>0.1</v>
      </c>
      <c r="G56" s="30">
        <v>0.15</v>
      </c>
      <c r="H56" s="30">
        <v>0</v>
      </c>
      <c r="I56" s="84" t="s">
        <v>324</v>
      </c>
      <c r="J56" s="85"/>
      <c r="K56" s="85"/>
      <c r="L56" s="85"/>
      <c r="M56" s="85"/>
      <c r="N56" s="85"/>
      <c r="O56" s="8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row>
    <row r="57" spans="1:49" ht="24" customHeight="1" x14ac:dyDescent="0.2">
      <c r="A57" s="1"/>
      <c r="B57" s="25">
        <v>4</v>
      </c>
      <c r="C57" s="113" t="s">
        <v>269</v>
      </c>
      <c r="D57" s="85"/>
      <c r="E57" s="85"/>
      <c r="F57" s="48" t="s">
        <v>270</v>
      </c>
      <c r="G57" s="48" t="s">
        <v>271</v>
      </c>
      <c r="H57" s="48" t="s">
        <v>272</v>
      </c>
      <c r="I57" s="84" t="s">
        <v>325</v>
      </c>
      <c r="J57" s="85"/>
      <c r="K57" s="85"/>
      <c r="L57" s="85"/>
      <c r="M57" s="85"/>
      <c r="N57" s="85"/>
      <c r="O57" s="8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row>
    <row r="58" spans="1:49" x14ac:dyDescent="0.2">
      <c r="A58" s="1"/>
      <c r="B58" s="1"/>
      <c r="C58" s="1"/>
      <c r="D58" s="1"/>
      <c r="E58" s="1"/>
      <c r="F58" s="1"/>
      <c r="G58" s="1"/>
      <c r="H58" s="1"/>
      <c r="I58" s="1"/>
      <c r="J58" s="1"/>
      <c r="K58" s="1"/>
      <c r="L58" s="1"/>
      <c r="M58" s="1"/>
      <c r="N58" s="1"/>
      <c r="O58" s="8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row>
    <row r="59" spans="1:49" ht="24" customHeight="1" x14ac:dyDescent="0.2">
      <c r="A59" s="1"/>
      <c r="B59" s="107" t="s">
        <v>326</v>
      </c>
      <c r="C59" s="85"/>
      <c r="D59" s="85"/>
      <c r="E59" s="85"/>
      <c r="F59" s="85"/>
      <c r="G59" s="85"/>
      <c r="H59" s="85"/>
      <c r="I59" s="85"/>
      <c r="J59" s="85"/>
      <c r="K59" s="85"/>
      <c r="L59" s="85"/>
      <c r="M59" s="85"/>
      <c r="N59" s="85"/>
      <c r="O59" s="8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row>
    <row r="60" spans="1:49" ht="30" customHeight="1" x14ac:dyDescent="0.2">
      <c r="A60" s="1"/>
      <c r="B60" s="13" t="s">
        <v>113</v>
      </c>
      <c r="C60" s="12" t="s">
        <v>67</v>
      </c>
      <c r="D60" s="12" t="s">
        <v>68</v>
      </c>
      <c r="E60" s="12" t="s">
        <v>76</v>
      </c>
      <c r="F60" s="12" t="s">
        <v>69</v>
      </c>
      <c r="G60" s="13" t="s">
        <v>187</v>
      </c>
      <c r="H60" s="13" t="s">
        <v>70</v>
      </c>
      <c r="I60" s="27" t="s">
        <v>275</v>
      </c>
      <c r="J60" s="27" t="s">
        <v>327</v>
      </c>
      <c r="K60" s="27" t="s">
        <v>277</v>
      </c>
      <c r="L60" s="12" t="s">
        <v>74</v>
      </c>
      <c r="M60" s="27" t="s">
        <v>278</v>
      </c>
      <c r="N60" s="12" t="s">
        <v>188</v>
      </c>
      <c r="O60" s="8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row>
    <row r="61" spans="1:49" ht="22" customHeight="1" x14ac:dyDescent="0.2">
      <c r="A61" s="1"/>
      <c r="B61" s="25">
        <v>1</v>
      </c>
      <c r="C61" s="42" t="s">
        <v>328</v>
      </c>
      <c r="D61" s="42" t="s">
        <v>329</v>
      </c>
      <c r="E61" s="42" t="s">
        <v>330</v>
      </c>
      <c r="F61" s="42" t="s">
        <v>199</v>
      </c>
      <c r="G61" s="43"/>
      <c r="H61" s="49">
        <v>240000</v>
      </c>
      <c r="I61" s="5" t="s">
        <v>331</v>
      </c>
      <c r="J61" s="46">
        <v>0</v>
      </c>
      <c r="K61" s="46">
        <v>3</v>
      </c>
      <c r="L61" s="42" t="s">
        <v>218</v>
      </c>
      <c r="M61" s="50" t="s">
        <v>332</v>
      </c>
      <c r="N61" s="17" t="s">
        <v>333</v>
      </c>
      <c r="O61" s="82"/>
      <c r="P61" s="2"/>
      <c r="Q61" s="51">
        <v>1</v>
      </c>
      <c r="R61" s="52">
        <v>0.9</v>
      </c>
      <c r="S61" s="53">
        <v>216000</v>
      </c>
      <c r="T61" s="51">
        <v>1</v>
      </c>
      <c r="U61" s="51">
        <v>1</v>
      </c>
      <c r="V61" s="51">
        <v>3</v>
      </c>
      <c r="W61" s="53">
        <v>72000</v>
      </c>
      <c r="X61" s="54">
        <v>2</v>
      </c>
      <c r="Y61" s="51">
        <v>0</v>
      </c>
      <c r="Z61" s="55">
        <v>0</v>
      </c>
      <c r="AA61" s="51">
        <v>0</v>
      </c>
      <c r="AB61" s="55">
        <v>0</v>
      </c>
      <c r="AC61" s="51">
        <v>0</v>
      </c>
      <c r="AD61" s="55">
        <v>0</v>
      </c>
      <c r="AE61" s="51">
        <v>0</v>
      </c>
      <c r="AF61" s="53">
        <v>72000</v>
      </c>
      <c r="AG61" s="53">
        <v>72000</v>
      </c>
      <c r="AH61" s="53">
        <v>72000</v>
      </c>
      <c r="AI61" s="53">
        <v>0</v>
      </c>
      <c r="AJ61" s="53">
        <v>0</v>
      </c>
      <c r="AK61" s="53">
        <v>0</v>
      </c>
      <c r="AL61" s="53">
        <v>0</v>
      </c>
      <c r="AM61" s="53">
        <v>0</v>
      </c>
      <c r="AN61" s="53">
        <v>72000</v>
      </c>
      <c r="AO61" s="53">
        <v>72000</v>
      </c>
      <c r="AP61" s="53">
        <v>72000</v>
      </c>
      <c r="AQ61" s="53">
        <v>0</v>
      </c>
      <c r="AR61" s="53">
        <v>0</v>
      </c>
      <c r="AS61" s="53">
        <v>0</v>
      </c>
      <c r="AT61" s="53">
        <v>72000</v>
      </c>
      <c r="AU61" s="53">
        <v>216000</v>
      </c>
      <c r="AV61" s="53">
        <v>216000</v>
      </c>
      <c r="AW61" s="53">
        <v>216000</v>
      </c>
    </row>
    <row r="62" spans="1:49" ht="22" customHeight="1" x14ac:dyDescent="0.2">
      <c r="A62" s="1"/>
      <c r="B62" s="25">
        <v>2</v>
      </c>
      <c r="C62" s="42" t="s">
        <v>334</v>
      </c>
      <c r="D62" s="42" t="s">
        <v>335</v>
      </c>
      <c r="E62" s="42" t="s">
        <v>330</v>
      </c>
      <c r="F62" s="42" t="s">
        <v>195</v>
      </c>
      <c r="G62" s="43"/>
      <c r="H62" s="49">
        <v>180000</v>
      </c>
      <c r="I62" s="5" t="s">
        <v>331</v>
      </c>
      <c r="J62" s="46">
        <v>0</v>
      </c>
      <c r="K62" s="46">
        <v>3</v>
      </c>
      <c r="L62" s="42" t="s">
        <v>220</v>
      </c>
      <c r="M62" s="50" t="s">
        <v>332</v>
      </c>
      <c r="N62" s="17" t="s">
        <v>336</v>
      </c>
      <c r="O62" s="82"/>
      <c r="P62" s="2"/>
      <c r="Q62" s="51">
        <v>1</v>
      </c>
      <c r="R62" s="52">
        <v>0.6</v>
      </c>
      <c r="S62" s="53">
        <v>108000</v>
      </c>
      <c r="T62" s="51">
        <v>1</v>
      </c>
      <c r="U62" s="51">
        <v>1</v>
      </c>
      <c r="V62" s="51">
        <v>3</v>
      </c>
      <c r="W62" s="53">
        <v>36000</v>
      </c>
      <c r="X62" s="54">
        <v>0</v>
      </c>
      <c r="Y62" s="51">
        <v>1</v>
      </c>
      <c r="Z62" s="55">
        <v>0.5</v>
      </c>
      <c r="AA62" s="51">
        <v>1</v>
      </c>
      <c r="AB62" s="55">
        <v>0.5</v>
      </c>
      <c r="AC62" s="51">
        <v>3</v>
      </c>
      <c r="AD62" s="55">
        <v>0</v>
      </c>
      <c r="AE62" s="51">
        <v>1</v>
      </c>
      <c r="AF62" s="53">
        <v>36000</v>
      </c>
      <c r="AG62" s="53">
        <v>36000</v>
      </c>
      <c r="AH62" s="53">
        <v>36000</v>
      </c>
      <c r="AI62" s="53">
        <v>0</v>
      </c>
      <c r="AJ62" s="53">
        <v>0</v>
      </c>
      <c r="AK62" s="53">
        <v>0</v>
      </c>
      <c r="AL62" s="53">
        <v>54000</v>
      </c>
      <c r="AM62" s="53">
        <v>0</v>
      </c>
      <c r="AN62" s="53">
        <v>54000</v>
      </c>
      <c r="AO62" s="53">
        <v>0</v>
      </c>
      <c r="AP62" s="53">
        <v>0</v>
      </c>
      <c r="AQ62" s="53">
        <v>0</v>
      </c>
      <c r="AR62" s="53">
        <v>0</v>
      </c>
      <c r="AS62" s="53">
        <v>0</v>
      </c>
      <c r="AT62" s="53">
        <v>108000</v>
      </c>
      <c r="AU62" s="53">
        <v>108000</v>
      </c>
      <c r="AV62" s="53">
        <v>108000</v>
      </c>
      <c r="AW62" s="53">
        <v>108000</v>
      </c>
    </row>
    <row r="63" spans="1:49" ht="22" customHeight="1" x14ac:dyDescent="0.2">
      <c r="A63" s="1"/>
      <c r="B63" s="25">
        <v>3</v>
      </c>
      <c r="C63" s="42" t="s">
        <v>337</v>
      </c>
      <c r="D63" s="42" t="s">
        <v>338</v>
      </c>
      <c r="E63" s="42" t="s">
        <v>339</v>
      </c>
      <c r="F63" s="42" t="s">
        <v>197</v>
      </c>
      <c r="G63" s="43"/>
      <c r="H63" s="49">
        <v>320000</v>
      </c>
      <c r="I63" s="5" t="s">
        <v>340</v>
      </c>
      <c r="J63" s="46">
        <v>0</v>
      </c>
      <c r="K63" s="46">
        <v>4</v>
      </c>
      <c r="L63" s="42" t="s">
        <v>222</v>
      </c>
      <c r="M63" s="50" t="s">
        <v>332</v>
      </c>
      <c r="N63" s="17" t="s">
        <v>341</v>
      </c>
      <c r="O63" s="82"/>
      <c r="P63" s="2"/>
      <c r="Q63" s="51">
        <v>1</v>
      </c>
      <c r="R63" s="52">
        <v>0.8</v>
      </c>
      <c r="S63" s="53">
        <v>256000</v>
      </c>
      <c r="T63" s="51">
        <v>2</v>
      </c>
      <c r="U63" s="51">
        <v>2</v>
      </c>
      <c r="V63" s="51">
        <v>5</v>
      </c>
      <c r="W63" s="53">
        <v>64000</v>
      </c>
      <c r="X63" s="54">
        <v>0</v>
      </c>
      <c r="Y63" s="51">
        <v>1</v>
      </c>
      <c r="Z63" s="55">
        <v>0.25</v>
      </c>
      <c r="AA63" s="51">
        <v>2</v>
      </c>
      <c r="AB63" s="55">
        <v>0.5</v>
      </c>
      <c r="AC63" s="51">
        <v>4</v>
      </c>
      <c r="AD63" s="55">
        <v>0.25</v>
      </c>
      <c r="AE63" s="51">
        <v>5</v>
      </c>
      <c r="AF63" s="53">
        <v>0</v>
      </c>
      <c r="AG63" s="53">
        <v>64000</v>
      </c>
      <c r="AH63" s="53">
        <v>64000</v>
      </c>
      <c r="AI63" s="53">
        <v>64000</v>
      </c>
      <c r="AJ63" s="53">
        <v>64000</v>
      </c>
      <c r="AK63" s="53">
        <v>0</v>
      </c>
      <c r="AL63" s="53">
        <v>0</v>
      </c>
      <c r="AM63" s="53">
        <v>64000</v>
      </c>
      <c r="AN63" s="53">
        <v>0</v>
      </c>
      <c r="AO63" s="53">
        <v>128000</v>
      </c>
      <c r="AP63" s="53">
        <v>64000</v>
      </c>
      <c r="AQ63" s="53">
        <v>0</v>
      </c>
      <c r="AR63" s="53">
        <v>0</v>
      </c>
      <c r="AS63" s="53">
        <v>0</v>
      </c>
      <c r="AT63" s="53">
        <v>64000</v>
      </c>
      <c r="AU63" s="53">
        <v>256000</v>
      </c>
      <c r="AV63" s="53">
        <v>256000</v>
      </c>
      <c r="AW63" s="53">
        <v>256000</v>
      </c>
    </row>
    <row r="64" spans="1:49" ht="22" customHeight="1" x14ac:dyDescent="0.2">
      <c r="A64" s="1"/>
      <c r="B64" s="25">
        <v>4</v>
      </c>
      <c r="C64" s="42" t="s">
        <v>342</v>
      </c>
      <c r="D64" s="42" t="s">
        <v>343</v>
      </c>
      <c r="E64" s="42" t="s">
        <v>344</v>
      </c>
      <c r="F64" s="42" t="s">
        <v>199</v>
      </c>
      <c r="G64" s="43"/>
      <c r="H64" s="49">
        <v>144000</v>
      </c>
      <c r="I64" s="5" t="s">
        <v>340</v>
      </c>
      <c r="J64" s="46">
        <v>0</v>
      </c>
      <c r="K64" s="46">
        <v>6</v>
      </c>
      <c r="L64" s="42" t="s">
        <v>226</v>
      </c>
      <c r="M64" s="50" t="s">
        <v>332</v>
      </c>
      <c r="N64" s="17" t="s">
        <v>345</v>
      </c>
      <c r="O64" s="82"/>
      <c r="P64" s="2"/>
      <c r="Q64" s="51">
        <v>1</v>
      </c>
      <c r="R64" s="52">
        <v>0.9</v>
      </c>
      <c r="S64" s="53">
        <v>129600</v>
      </c>
      <c r="T64" s="51">
        <v>2</v>
      </c>
      <c r="U64" s="51">
        <v>2</v>
      </c>
      <c r="V64" s="51">
        <v>7</v>
      </c>
      <c r="W64" s="53">
        <v>21600</v>
      </c>
      <c r="X64" s="54">
        <v>1</v>
      </c>
      <c r="Y64" s="51">
        <v>0</v>
      </c>
      <c r="Z64" s="55">
        <v>0</v>
      </c>
      <c r="AA64" s="51">
        <v>0</v>
      </c>
      <c r="AB64" s="55">
        <v>0</v>
      </c>
      <c r="AC64" s="51">
        <v>0</v>
      </c>
      <c r="AD64" s="55">
        <v>0</v>
      </c>
      <c r="AE64" s="51">
        <v>0</v>
      </c>
      <c r="AF64" s="53">
        <v>0</v>
      </c>
      <c r="AG64" s="53">
        <v>21600</v>
      </c>
      <c r="AH64" s="53">
        <v>21600</v>
      </c>
      <c r="AI64" s="53">
        <v>21600</v>
      </c>
      <c r="AJ64" s="53">
        <v>21600</v>
      </c>
      <c r="AK64" s="53">
        <v>21600</v>
      </c>
      <c r="AL64" s="53">
        <v>0</v>
      </c>
      <c r="AM64" s="53">
        <v>0</v>
      </c>
      <c r="AN64" s="53">
        <v>21600</v>
      </c>
      <c r="AO64" s="53">
        <v>21600</v>
      </c>
      <c r="AP64" s="53">
        <v>21600</v>
      </c>
      <c r="AQ64" s="53">
        <v>21600</v>
      </c>
      <c r="AR64" s="53">
        <v>21600</v>
      </c>
      <c r="AS64" s="53">
        <v>0</v>
      </c>
      <c r="AT64" s="53">
        <v>21600</v>
      </c>
      <c r="AU64" s="53">
        <v>86400</v>
      </c>
      <c r="AV64" s="53">
        <v>108000</v>
      </c>
      <c r="AW64" s="53">
        <v>108000</v>
      </c>
    </row>
    <row r="65" spans="1:49" ht="22" customHeight="1" x14ac:dyDescent="0.2">
      <c r="A65" s="1"/>
      <c r="B65" s="25">
        <v>5</v>
      </c>
      <c r="C65" s="42" t="s">
        <v>346</v>
      </c>
      <c r="D65" s="42" t="s">
        <v>347</v>
      </c>
      <c r="E65" s="42" t="s">
        <v>339</v>
      </c>
      <c r="F65" s="42" t="s">
        <v>193</v>
      </c>
      <c r="G65" s="43">
        <v>0.4</v>
      </c>
      <c r="H65" s="49">
        <v>85000</v>
      </c>
      <c r="I65" s="5" t="s">
        <v>348</v>
      </c>
      <c r="J65" s="46">
        <v>0</v>
      </c>
      <c r="K65" s="46">
        <v>2</v>
      </c>
      <c r="L65" s="42" t="s">
        <v>214</v>
      </c>
      <c r="M65" s="50" t="s">
        <v>332</v>
      </c>
      <c r="N65" s="17" t="s">
        <v>349</v>
      </c>
      <c r="O65" s="82"/>
      <c r="P65" s="2"/>
      <c r="Q65" s="51">
        <v>1</v>
      </c>
      <c r="R65" s="52">
        <v>0.4</v>
      </c>
      <c r="S65" s="53">
        <v>34000</v>
      </c>
      <c r="T65" s="51">
        <v>3</v>
      </c>
      <c r="U65" s="51">
        <v>3</v>
      </c>
      <c r="V65" s="51">
        <v>4</v>
      </c>
      <c r="W65" s="53">
        <v>17000</v>
      </c>
      <c r="X65" s="54">
        <v>1</v>
      </c>
      <c r="Y65" s="51">
        <v>0</v>
      </c>
      <c r="Z65" s="55">
        <v>0</v>
      </c>
      <c r="AA65" s="51">
        <v>0</v>
      </c>
      <c r="AB65" s="55">
        <v>0</v>
      </c>
      <c r="AC65" s="51">
        <v>0</v>
      </c>
      <c r="AD65" s="55">
        <v>0</v>
      </c>
      <c r="AE65" s="51">
        <v>0</v>
      </c>
      <c r="AF65" s="53">
        <v>0</v>
      </c>
      <c r="AG65" s="53">
        <v>0</v>
      </c>
      <c r="AH65" s="53">
        <v>17000</v>
      </c>
      <c r="AI65" s="53">
        <v>17000</v>
      </c>
      <c r="AJ65" s="53">
        <v>0</v>
      </c>
      <c r="AK65" s="53">
        <v>0</v>
      </c>
      <c r="AL65" s="53">
        <v>0</v>
      </c>
      <c r="AM65" s="53">
        <v>0</v>
      </c>
      <c r="AN65" s="53">
        <v>0</v>
      </c>
      <c r="AO65" s="53">
        <v>17000</v>
      </c>
      <c r="AP65" s="53">
        <v>17000</v>
      </c>
      <c r="AQ65" s="53">
        <v>0</v>
      </c>
      <c r="AR65" s="53">
        <v>0</v>
      </c>
      <c r="AS65" s="53">
        <v>0</v>
      </c>
      <c r="AT65" s="53">
        <v>0</v>
      </c>
      <c r="AU65" s="53">
        <v>34000</v>
      </c>
      <c r="AV65" s="53">
        <v>34000</v>
      </c>
      <c r="AW65" s="53">
        <v>34000</v>
      </c>
    </row>
    <row r="66" spans="1:49" ht="22" customHeight="1" x14ac:dyDescent="0.2">
      <c r="A66" s="1"/>
      <c r="B66" s="25">
        <v>6</v>
      </c>
      <c r="C66" s="42" t="s">
        <v>350</v>
      </c>
      <c r="D66" s="42" t="s">
        <v>351</v>
      </c>
      <c r="E66" s="42" t="s">
        <v>339</v>
      </c>
      <c r="F66" s="42" t="s">
        <v>189</v>
      </c>
      <c r="G66" s="43"/>
      <c r="H66" s="49">
        <v>42000</v>
      </c>
      <c r="I66" s="5" t="s">
        <v>348</v>
      </c>
      <c r="J66" s="46">
        <v>0</v>
      </c>
      <c r="K66" s="46">
        <v>1</v>
      </c>
      <c r="L66" s="42" t="s">
        <v>214</v>
      </c>
      <c r="M66" s="50" t="s">
        <v>332</v>
      </c>
      <c r="N66" s="17" t="s">
        <v>352</v>
      </c>
      <c r="O66" s="82"/>
      <c r="P66" s="2"/>
      <c r="Q66" s="51">
        <v>1</v>
      </c>
      <c r="R66" s="52">
        <v>0.1</v>
      </c>
      <c r="S66" s="53">
        <v>4200</v>
      </c>
      <c r="T66" s="51">
        <v>3</v>
      </c>
      <c r="U66" s="51">
        <v>3</v>
      </c>
      <c r="V66" s="51">
        <v>3</v>
      </c>
      <c r="W66" s="53">
        <v>4200</v>
      </c>
      <c r="X66" s="54">
        <v>1</v>
      </c>
      <c r="Y66" s="51">
        <v>0</v>
      </c>
      <c r="Z66" s="55">
        <v>0</v>
      </c>
      <c r="AA66" s="51">
        <v>0</v>
      </c>
      <c r="AB66" s="55">
        <v>0</v>
      </c>
      <c r="AC66" s="51">
        <v>0</v>
      </c>
      <c r="AD66" s="55">
        <v>0</v>
      </c>
      <c r="AE66" s="51">
        <v>0</v>
      </c>
      <c r="AF66" s="53">
        <v>0</v>
      </c>
      <c r="AG66" s="53">
        <v>0</v>
      </c>
      <c r="AH66" s="53">
        <v>4200</v>
      </c>
      <c r="AI66" s="53">
        <v>0</v>
      </c>
      <c r="AJ66" s="53">
        <v>0</v>
      </c>
      <c r="AK66" s="53">
        <v>0</v>
      </c>
      <c r="AL66" s="53">
        <v>0</v>
      </c>
      <c r="AM66" s="53">
        <v>0</v>
      </c>
      <c r="AN66" s="53">
        <v>0</v>
      </c>
      <c r="AO66" s="53">
        <v>4200</v>
      </c>
      <c r="AP66" s="53">
        <v>0</v>
      </c>
      <c r="AQ66" s="53">
        <v>0</v>
      </c>
      <c r="AR66" s="53">
        <v>0</v>
      </c>
      <c r="AS66" s="53">
        <v>0</v>
      </c>
      <c r="AT66" s="53">
        <v>0</v>
      </c>
      <c r="AU66" s="53">
        <v>4200</v>
      </c>
      <c r="AV66" s="53">
        <v>4200</v>
      </c>
      <c r="AW66" s="53">
        <v>4200</v>
      </c>
    </row>
    <row r="67" spans="1:49" ht="22" customHeight="1" x14ac:dyDescent="0.2">
      <c r="A67" s="1"/>
      <c r="B67" s="25">
        <v>7</v>
      </c>
      <c r="C67" s="42" t="s">
        <v>353</v>
      </c>
      <c r="D67" s="42" t="s">
        <v>354</v>
      </c>
      <c r="E67" s="42" t="s">
        <v>339</v>
      </c>
      <c r="F67" s="42" t="s">
        <v>191</v>
      </c>
      <c r="G67" s="43"/>
      <c r="H67" s="49">
        <v>68000</v>
      </c>
      <c r="I67" s="5" t="s">
        <v>348</v>
      </c>
      <c r="J67" s="46">
        <v>0</v>
      </c>
      <c r="K67" s="46">
        <v>2</v>
      </c>
      <c r="L67" s="42" t="s">
        <v>214</v>
      </c>
      <c r="M67" s="50" t="s">
        <v>332</v>
      </c>
      <c r="N67" s="17" t="s">
        <v>355</v>
      </c>
      <c r="O67" s="82"/>
      <c r="P67" s="2"/>
      <c r="Q67" s="51">
        <v>1</v>
      </c>
      <c r="R67" s="52">
        <v>0.2</v>
      </c>
      <c r="S67" s="53">
        <v>13600</v>
      </c>
      <c r="T67" s="51">
        <v>3</v>
      </c>
      <c r="U67" s="51">
        <v>3</v>
      </c>
      <c r="V67" s="51">
        <v>4</v>
      </c>
      <c r="W67" s="53">
        <v>6800</v>
      </c>
      <c r="X67" s="54">
        <v>1</v>
      </c>
      <c r="Y67" s="51">
        <v>0</v>
      </c>
      <c r="Z67" s="55">
        <v>0</v>
      </c>
      <c r="AA67" s="51">
        <v>0</v>
      </c>
      <c r="AB67" s="55">
        <v>0</v>
      </c>
      <c r="AC67" s="51">
        <v>0</v>
      </c>
      <c r="AD67" s="55">
        <v>0</v>
      </c>
      <c r="AE67" s="51">
        <v>0</v>
      </c>
      <c r="AF67" s="53">
        <v>0</v>
      </c>
      <c r="AG67" s="53">
        <v>0</v>
      </c>
      <c r="AH67" s="53">
        <v>6800</v>
      </c>
      <c r="AI67" s="53">
        <v>6800</v>
      </c>
      <c r="AJ67" s="53">
        <v>0</v>
      </c>
      <c r="AK67" s="53">
        <v>0</v>
      </c>
      <c r="AL67" s="53">
        <v>0</v>
      </c>
      <c r="AM67" s="53">
        <v>0</v>
      </c>
      <c r="AN67" s="53">
        <v>0</v>
      </c>
      <c r="AO67" s="53">
        <v>6800</v>
      </c>
      <c r="AP67" s="53">
        <v>6800</v>
      </c>
      <c r="AQ67" s="53">
        <v>0</v>
      </c>
      <c r="AR67" s="53">
        <v>0</v>
      </c>
      <c r="AS67" s="53">
        <v>0</v>
      </c>
      <c r="AT67" s="53">
        <v>0</v>
      </c>
      <c r="AU67" s="53">
        <v>13600</v>
      </c>
      <c r="AV67" s="53">
        <v>13600</v>
      </c>
      <c r="AW67" s="53">
        <v>13600</v>
      </c>
    </row>
    <row r="68" spans="1:49" ht="22" customHeight="1" x14ac:dyDescent="0.2">
      <c r="A68" s="1"/>
      <c r="B68" s="25">
        <v>8</v>
      </c>
      <c r="C68" s="42" t="s">
        <v>356</v>
      </c>
      <c r="D68" s="42" t="s">
        <v>357</v>
      </c>
      <c r="E68" s="42" t="s">
        <v>339</v>
      </c>
      <c r="F68" s="42" t="s">
        <v>195</v>
      </c>
      <c r="G68" s="43"/>
      <c r="H68" s="49">
        <v>410000</v>
      </c>
      <c r="I68" s="5" t="s">
        <v>348</v>
      </c>
      <c r="J68" s="46">
        <v>1</v>
      </c>
      <c r="K68" s="46">
        <v>6</v>
      </c>
      <c r="L68" s="42" t="s">
        <v>224</v>
      </c>
      <c r="M68" s="50" t="s">
        <v>332</v>
      </c>
      <c r="N68" s="17" t="s">
        <v>358</v>
      </c>
      <c r="O68" s="82"/>
      <c r="P68" s="2"/>
      <c r="Q68" s="51">
        <v>1</v>
      </c>
      <c r="R68" s="52">
        <v>0.6</v>
      </c>
      <c r="S68" s="53">
        <v>246000</v>
      </c>
      <c r="T68" s="51">
        <v>3</v>
      </c>
      <c r="U68" s="51">
        <v>4</v>
      </c>
      <c r="V68" s="51">
        <v>9</v>
      </c>
      <c r="W68" s="53">
        <v>41000</v>
      </c>
      <c r="X68" s="54">
        <v>0</v>
      </c>
      <c r="Y68" s="51">
        <v>1</v>
      </c>
      <c r="Z68" s="55">
        <v>0.33</v>
      </c>
      <c r="AA68" s="51">
        <v>4</v>
      </c>
      <c r="AB68" s="55">
        <v>0.33</v>
      </c>
      <c r="AC68" s="51">
        <v>7</v>
      </c>
      <c r="AD68" s="55">
        <v>0.34</v>
      </c>
      <c r="AE68" s="51">
        <v>9</v>
      </c>
      <c r="AF68" s="53">
        <v>0</v>
      </c>
      <c r="AG68" s="53">
        <v>0</v>
      </c>
      <c r="AH68" s="53">
        <v>0</v>
      </c>
      <c r="AI68" s="53">
        <v>41000</v>
      </c>
      <c r="AJ68" s="53">
        <v>41000</v>
      </c>
      <c r="AK68" s="53">
        <v>41000</v>
      </c>
      <c r="AL68" s="53">
        <v>0</v>
      </c>
      <c r="AM68" s="53">
        <v>0</v>
      </c>
      <c r="AN68" s="53">
        <v>0</v>
      </c>
      <c r="AO68" s="53">
        <v>81180</v>
      </c>
      <c r="AP68" s="53">
        <v>0</v>
      </c>
      <c r="AQ68" s="53">
        <v>0</v>
      </c>
      <c r="AR68" s="53">
        <v>81180</v>
      </c>
      <c r="AS68" s="53">
        <v>0</v>
      </c>
      <c r="AT68" s="53">
        <v>0</v>
      </c>
      <c r="AU68" s="53">
        <v>81180</v>
      </c>
      <c r="AV68" s="53">
        <v>162360</v>
      </c>
      <c r="AW68" s="53">
        <v>123000</v>
      </c>
    </row>
    <row r="69" spans="1:49" ht="22" customHeight="1" x14ac:dyDescent="0.2">
      <c r="A69" s="1"/>
      <c r="B69" s="25">
        <v>9</v>
      </c>
      <c r="C69" s="42" t="s">
        <v>359</v>
      </c>
      <c r="D69" s="42" t="s">
        <v>360</v>
      </c>
      <c r="E69" s="42" t="s">
        <v>339</v>
      </c>
      <c r="F69" s="42" t="s">
        <v>193</v>
      </c>
      <c r="G69" s="43"/>
      <c r="H69" s="49">
        <v>95000</v>
      </c>
      <c r="I69" s="5" t="s">
        <v>361</v>
      </c>
      <c r="J69" s="46">
        <v>0</v>
      </c>
      <c r="K69" s="46">
        <v>3</v>
      </c>
      <c r="L69" s="42" t="s">
        <v>214</v>
      </c>
      <c r="M69" s="50" t="s">
        <v>332</v>
      </c>
      <c r="N69" s="17" t="s">
        <v>362</v>
      </c>
      <c r="O69" s="82"/>
      <c r="P69" s="2"/>
      <c r="Q69" s="51">
        <v>1</v>
      </c>
      <c r="R69" s="52">
        <v>0.35</v>
      </c>
      <c r="S69" s="53">
        <v>33250</v>
      </c>
      <c r="T69" s="51">
        <v>4</v>
      </c>
      <c r="U69" s="51">
        <v>4</v>
      </c>
      <c r="V69" s="51">
        <v>6</v>
      </c>
      <c r="W69" s="53">
        <v>11083.333333333299</v>
      </c>
      <c r="X69" s="54">
        <v>1</v>
      </c>
      <c r="Y69" s="51">
        <v>0</v>
      </c>
      <c r="Z69" s="55">
        <v>0</v>
      </c>
      <c r="AA69" s="51">
        <v>0</v>
      </c>
      <c r="AB69" s="55">
        <v>0</v>
      </c>
      <c r="AC69" s="51">
        <v>0</v>
      </c>
      <c r="AD69" s="55">
        <v>0</v>
      </c>
      <c r="AE69" s="51">
        <v>0</v>
      </c>
      <c r="AF69" s="53">
        <v>0</v>
      </c>
      <c r="AG69" s="53">
        <v>0</v>
      </c>
      <c r="AH69" s="53">
        <v>0</v>
      </c>
      <c r="AI69" s="53">
        <v>11083.333333333299</v>
      </c>
      <c r="AJ69" s="53">
        <v>11083.333333333299</v>
      </c>
      <c r="AK69" s="53">
        <v>11083.333333333299</v>
      </c>
      <c r="AL69" s="53">
        <v>0</v>
      </c>
      <c r="AM69" s="53">
        <v>0</v>
      </c>
      <c r="AN69" s="53">
        <v>0</v>
      </c>
      <c r="AO69" s="53">
        <v>0</v>
      </c>
      <c r="AP69" s="53">
        <v>11083.333333333299</v>
      </c>
      <c r="AQ69" s="53">
        <v>11083.333333333299</v>
      </c>
      <c r="AR69" s="53">
        <v>11083.333333333299</v>
      </c>
      <c r="AS69" s="53">
        <v>0</v>
      </c>
      <c r="AT69" s="53">
        <v>0</v>
      </c>
      <c r="AU69" s="53">
        <v>22166.666666666701</v>
      </c>
      <c r="AV69" s="53">
        <v>33250</v>
      </c>
      <c r="AW69" s="53">
        <v>33250</v>
      </c>
    </row>
    <row r="70" spans="1:49" ht="22" customHeight="1" x14ac:dyDescent="0.2">
      <c r="A70" s="1"/>
      <c r="B70" s="25">
        <v>10</v>
      </c>
      <c r="C70" s="42" t="s">
        <v>363</v>
      </c>
      <c r="D70" s="42" t="s">
        <v>364</v>
      </c>
      <c r="E70" s="42" t="s">
        <v>339</v>
      </c>
      <c r="F70" s="42" t="s">
        <v>197</v>
      </c>
      <c r="G70" s="43"/>
      <c r="H70" s="49">
        <v>62000</v>
      </c>
      <c r="I70" s="5" t="s">
        <v>361</v>
      </c>
      <c r="J70" s="46">
        <v>0</v>
      </c>
      <c r="K70" s="46">
        <v>2</v>
      </c>
      <c r="L70" s="42" t="s">
        <v>214</v>
      </c>
      <c r="M70" s="50" t="s">
        <v>332</v>
      </c>
      <c r="N70" s="17" t="s">
        <v>365</v>
      </c>
      <c r="O70" s="82"/>
      <c r="P70" s="2"/>
      <c r="Q70" s="51">
        <v>1</v>
      </c>
      <c r="R70" s="52">
        <v>0.8</v>
      </c>
      <c r="S70" s="53">
        <v>49600</v>
      </c>
      <c r="T70" s="51">
        <v>4</v>
      </c>
      <c r="U70" s="51">
        <v>4</v>
      </c>
      <c r="V70" s="51">
        <v>5</v>
      </c>
      <c r="W70" s="53">
        <v>24800</v>
      </c>
      <c r="X70" s="54">
        <v>1</v>
      </c>
      <c r="Y70" s="51">
        <v>0</v>
      </c>
      <c r="Z70" s="55">
        <v>0</v>
      </c>
      <c r="AA70" s="51">
        <v>0</v>
      </c>
      <c r="AB70" s="55">
        <v>0</v>
      </c>
      <c r="AC70" s="51">
        <v>0</v>
      </c>
      <c r="AD70" s="55">
        <v>0</v>
      </c>
      <c r="AE70" s="51">
        <v>0</v>
      </c>
      <c r="AF70" s="53">
        <v>0</v>
      </c>
      <c r="AG70" s="53">
        <v>0</v>
      </c>
      <c r="AH70" s="53">
        <v>0</v>
      </c>
      <c r="AI70" s="53">
        <v>24800</v>
      </c>
      <c r="AJ70" s="53">
        <v>24800</v>
      </c>
      <c r="AK70" s="53">
        <v>0</v>
      </c>
      <c r="AL70" s="53">
        <v>0</v>
      </c>
      <c r="AM70" s="53">
        <v>0</v>
      </c>
      <c r="AN70" s="53">
        <v>0</v>
      </c>
      <c r="AO70" s="53">
        <v>0</v>
      </c>
      <c r="AP70" s="53">
        <v>24800</v>
      </c>
      <c r="AQ70" s="53">
        <v>24800</v>
      </c>
      <c r="AR70" s="53">
        <v>0</v>
      </c>
      <c r="AS70" s="53">
        <v>0</v>
      </c>
      <c r="AT70" s="53">
        <v>0</v>
      </c>
      <c r="AU70" s="53">
        <v>49600</v>
      </c>
      <c r="AV70" s="53">
        <v>49600</v>
      </c>
      <c r="AW70" s="53">
        <v>49600</v>
      </c>
    </row>
    <row r="71" spans="1:49" ht="22" customHeight="1" x14ac:dyDescent="0.2">
      <c r="A71" s="1"/>
      <c r="B71" s="25">
        <v>11</v>
      </c>
      <c r="C71" s="42" t="s">
        <v>366</v>
      </c>
      <c r="D71" s="42" t="s">
        <v>335</v>
      </c>
      <c r="E71" s="42" t="s">
        <v>330</v>
      </c>
      <c r="F71" s="42" t="s">
        <v>193</v>
      </c>
      <c r="G71" s="43"/>
      <c r="H71" s="49">
        <v>130000</v>
      </c>
      <c r="I71" s="5" t="s">
        <v>367</v>
      </c>
      <c r="J71" s="46">
        <v>0</v>
      </c>
      <c r="K71" s="46">
        <v>3</v>
      </c>
      <c r="L71" s="42" t="s">
        <v>214</v>
      </c>
      <c r="M71" s="50" t="s">
        <v>332</v>
      </c>
      <c r="N71" s="17" t="s">
        <v>368</v>
      </c>
      <c r="O71" s="82"/>
      <c r="P71" s="2"/>
      <c r="Q71" s="51">
        <v>1</v>
      </c>
      <c r="R71" s="52">
        <v>0.35</v>
      </c>
      <c r="S71" s="53">
        <v>45500</v>
      </c>
      <c r="T71" s="51">
        <v>5</v>
      </c>
      <c r="U71" s="51">
        <v>5</v>
      </c>
      <c r="V71" s="51">
        <v>7</v>
      </c>
      <c r="W71" s="53">
        <v>15166.666666666701</v>
      </c>
      <c r="X71" s="54">
        <v>1</v>
      </c>
      <c r="Y71" s="51">
        <v>0</v>
      </c>
      <c r="Z71" s="55">
        <v>0</v>
      </c>
      <c r="AA71" s="51">
        <v>0</v>
      </c>
      <c r="AB71" s="55">
        <v>0</v>
      </c>
      <c r="AC71" s="51">
        <v>0</v>
      </c>
      <c r="AD71" s="55">
        <v>0</v>
      </c>
      <c r="AE71" s="51">
        <v>0</v>
      </c>
      <c r="AF71" s="53">
        <v>0</v>
      </c>
      <c r="AG71" s="53">
        <v>0</v>
      </c>
      <c r="AH71" s="53">
        <v>0</v>
      </c>
      <c r="AI71" s="53">
        <v>0</v>
      </c>
      <c r="AJ71" s="53">
        <v>15166.666666666701</v>
      </c>
      <c r="AK71" s="53">
        <v>15166.666666666701</v>
      </c>
      <c r="AL71" s="53">
        <v>0</v>
      </c>
      <c r="AM71" s="53">
        <v>0</v>
      </c>
      <c r="AN71" s="53">
        <v>0</v>
      </c>
      <c r="AO71" s="53">
        <v>0</v>
      </c>
      <c r="AP71" s="53">
        <v>0</v>
      </c>
      <c r="AQ71" s="53">
        <v>15166.666666666701</v>
      </c>
      <c r="AR71" s="53">
        <v>15166.666666666701</v>
      </c>
      <c r="AS71" s="53">
        <v>0</v>
      </c>
      <c r="AT71" s="53">
        <v>0</v>
      </c>
      <c r="AU71" s="53">
        <v>15166.666666666701</v>
      </c>
      <c r="AV71" s="53">
        <v>30333.333333333299</v>
      </c>
      <c r="AW71" s="53">
        <v>30333.333333333299</v>
      </c>
    </row>
    <row r="72" spans="1:49" ht="22" customHeight="1" x14ac:dyDescent="0.2">
      <c r="A72" s="1"/>
      <c r="B72" s="25">
        <v>12</v>
      </c>
      <c r="C72" s="42" t="s">
        <v>369</v>
      </c>
      <c r="D72" s="42" t="s">
        <v>347</v>
      </c>
      <c r="E72" s="42" t="s">
        <v>344</v>
      </c>
      <c r="F72" s="42" t="s">
        <v>191</v>
      </c>
      <c r="G72" s="43"/>
      <c r="H72" s="49">
        <v>48000</v>
      </c>
      <c r="I72" s="5" t="s">
        <v>367</v>
      </c>
      <c r="J72" s="46">
        <v>0</v>
      </c>
      <c r="K72" s="46">
        <v>2</v>
      </c>
      <c r="L72" s="42" t="s">
        <v>214</v>
      </c>
      <c r="M72" s="50" t="s">
        <v>332</v>
      </c>
      <c r="N72" s="17" t="s">
        <v>370</v>
      </c>
      <c r="O72" s="82"/>
      <c r="P72" s="2"/>
      <c r="Q72" s="51">
        <v>1</v>
      </c>
      <c r="R72" s="52">
        <v>0.2</v>
      </c>
      <c r="S72" s="53">
        <v>9600</v>
      </c>
      <c r="T72" s="51">
        <v>5</v>
      </c>
      <c r="U72" s="51">
        <v>5</v>
      </c>
      <c r="V72" s="51">
        <v>6</v>
      </c>
      <c r="W72" s="53">
        <v>4800</v>
      </c>
      <c r="X72" s="54">
        <v>1</v>
      </c>
      <c r="Y72" s="51">
        <v>0</v>
      </c>
      <c r="Z72" s="55">
        <v>0</v>
      </c>
      <c r="AA72" s="51">
        <v>0</v>
      </c>
      <c r="AB72" s="55">
        <v>0</v>
      </c>
      <c r="AC72" s="51">
        <v>0</v>
      </c>
      <c r="AD72" s="55">
        <v>0</v>
      </c>
      <c r="AE72" s="51">
        <v>0</v>
      </c>
      <c r="AF72" s="53">
        <v>0</v>
      </c>
      <c r="AG72" s="53">
        <v>0</v>
      </c>
      <c r="AH72" s="53">
        <v>0</v>
      </c>
      <c r="AI72" s="53">
        <v>0</v>
      </c>
      <c r="AJ72" s="53">
        <v>4800</v>
      </c>
      <c r="AK72" s="53">
        <v>4800</v>
      </c>
      <c r="AL72" s="53">
        <v>0</v>
      </c>
      <c r="AM72" s="53">
        <v>0</v>
      </c>
      <c r="AN72" s="53">
        <v>0</v>
      </c>
      <c r="AO72" s="53">
        <v>0</v>
      </c>
      <c r="AP72" s="53">
        <v>0</v>
      </c>
      <c r="AQ72" s="53">
        <v>4800</v>
      </c>
      <c r="AR72" s="53">
        <v>4800</v>
      </c>
      <c r="AS72" s="53">
        <v>0</v>
      </c>
      <c r="AT72" s="53">
        <v>0</v>
      </c>
      <c r="AU72" s="53">
        <v>4800</v>
      </c>
      <c r="AV72" s="53">
        <v>9600</v>
      </c>
      <c r="AW72" s="53">
        <v>9600</v>
      </c>
    </row>
    <row r="73" spans="1:49" ht="22" customHeight="1" x14ac:dyDescent="0.2">
      <c r="A73" s="1"/>
      <c r="B73" s="25">
        <v>13</v>
      </c>
      <c r="C73" s="42" t="s">
        <v>371</v>
      </c>
      <c r="D73" s="42" t="s">
        <v>338</v>
      </c>
      <c r="E73" s="42" t="s">
        <v>330</v>
      </c>
      <c r="F73" s="42" t="s">
        <v>189</v>
      </c>
      <c r="G73" s="43"/>
      <c r="H73" s="49">
        <v>220000</v>
      </c>
      <c r="I73" s="5" t="s">
        <v>372</v>
      </c>
      <c r="J73" s="46">
        <v>1</v>
      </c>
      <c r="K73" s="46">
        <v>6</v>
      </c>
      <c r="L73" s="42" t="s">
        <v>220</v>
      </c>
      <c r="M73" s="50" t="s">
        <v>332</v>
      </c>
      <c r="N73" s="17" t="s">
        <v>373</v>
      </c>
      <c r="O73" s="82"/>
      <c r="P73" s="2"/>
      <c r="Q73" s="51">
        <v>1</v>
      </c>
      <c r="R73" s="52">
        <v>0.1</v>
      </c>
      <c r="S73" s="53">
        <v>22000</v>
      </c>
      <c r="T73" s="51">
        <v>6</v>
      </c>
      <c r="U73" s="51">
        <v>7</v>
      </c>
      <c r="V73" s="51">
        <v>12</v>
      </c>
      <c r="W73" s="53">
        <v>3666.6666666666702</v>
      </c>
      <c r="X73" s="54">
        <v>0</v>
      </c>
      <c r="Y73" s="51">
        <v>1</v>
      </c>
      <c r="Z73" s="55">
        <v>0.5</v>
      </c>
      <c r="AA73" s="51">
        <v>7</v>
      </c>
      <c r="AB73" s="55">
        <v>0.5</v>
      </c>
      <c r="AC73" s="51">
        <v>12</v>
      </c>
      <c r="AD73" s="55">
        <v>0</v>
      </c>
      <c r="AE73" s="51">
        <v>7</v>
      </c>
      <c r="AF73" s="53">
        <v>0</v>
      </c>
      <c r="AG73" s="53">
        <v>0</v>
      </c>
      <c r="AH73" s="53">
        <v>0</v>
      </c>
      <c r="AI73" s="53">
        <v>0</v>
      </c>
      <c r="AJ73" s="53">
        <v>0</v>
      </c>
      <c r="AK73" s="53">
        <v>0</v>
      </c>
      <c r="AL73" s="53">
        <v>0</v>
      </c>
      <c r="AM73" s="53">
        <v>0</v>
      </c>
      <c r="AN73" s="53">
        <v>0</v>
      </c>
      <c r="AO73" s="53">
        <v>0</v>
      </c>
      <c r="AP73" s="53">
        <v>0</v>
      </c>
      <c r="AQ73" s="53">
        <v>0</v>
      </c>
      <c r="AR73" s="53">
        <v>11000</v>
      </c>
      <c r="AS73" s="53">
        <v>0</v>
      </c>
      <c r="AT73" s="53">
        <v>0</v>
      </c>
      <c r="AU73" s="53">
        <v>0</v>
      </c>
      <c r="AV73" s="53">
        <v>11000</v>
      </c>
      <c r="AW73" s="53">
        <v>0</v>
      </c>
    </row>
    <row r="74" spans="1:49" ht="22" customHeight="1" x14ac:dyDescent="0.2">
      <c r="A74" s="1"/>
      <c r="B74" s="25">
        <v>14</v>
      </c>
      <c r="C74" s="42" t="s">
        <v>374</v>
      </c>
      <c r="D74" s="42" t="s">
        <v>375</v>
      </c>
      <c r="E74" s="42" t="s">
        <v>339</v>
      </c>
      <c r="F74" s="42" t="s">
        <v>191</v>
      </c>
      <c r="G74" s="43"/>
      <c r="H74" s="49">
        <v>55000</v>
      </c>
      <c r="I74" s="5" t="s">
        <v>340</v>
      </c>
      <c r="J74" s="46">
        <v>0</v>
      </c>
      <c r="K74" s="46">
        <v>2</v>
      </c>
      <c r="L74" s="42" t="s">
        <v>214</v>
      </c>
      <c r="M74" s="50" t="s">
        <v>279</v>
      </c>
      <c r="N74" s="17" t="s">
        <v>376</v>
      </c>
      <c r="O74" s="82"/>
      <c r="P74" s="2"/>
      <c r="Q74" s="51">
        <v>0</v>
      </c>
      <c r="R74" s="52">
        <v>0.2</v>
      </c>
      <c r="S74" s="53">
        <v>0</v>
      </c>
      <c r="T74" s="51">
        <v>2</v>
      </c>
      <c r="U74" s="51">
        <v>2</v>
      </c>
      <c r="V74" s="51">
        <v>3</v>
      </c>
      <c r="W74" s="53">
        <v>0</v>
      </c>
      <c r="X74" s="54">
        <v>1</v>
      </c>
      <c r="Y74" s="51">
        <v>0</v>
      </c>
      <c r="Z74" s="55">
        <v>0</v>
      </c>
      <c r="AA74" s="51">
        <v>0</v>
      </c>
      <c r="AB74" s="55">
        <v>0</v>
      </c>
      <c r="AC74" s="51">
        <v>0</v>
      </c>
      <c r="AD74" s="55">
        <v>0</v>
      </c>
      <c r="AE74" s="51">
        <v>0</v>
      </c>
      <c r="AF74" s="53">
        <v>0</v>
      </c>
      <c r="AG74" s="53">
        <v>0</v>
      </c>
      <c r="AH74" s="53">
        <v>0</v>
      </c>
      <c r="AI74" s="53">
        <v>0</v>
      </c>
      <c r="AJ74" s="53">
        <v>0</v>
      </c>
      <c r="AK74" s="53">
        <v>0</v>
      </c>
      <c r="AL74" s="53">
        <v>0</v>
      </c>
      <c r="AM74" s="53">
        <v>0</v>
      </c>
      <c r="AN74" s="53">
        <v>0</v>
      </c>
      <c r="AO74" s="53">
        <v>0</v>
      </c>
      <c r="AP74" s="53">
        <v>0</v>
      </c>
      <c r="AQ74" s="53">
        <v>0</v>
      </c>
      <c r="AR74" s="53">
        <v>0</v>
      </c>
      <c r="AS74" s="53">
        <v>0</v>
      </c>
      <c r="AT74" s="53">
        <v>0</v>
      </c>
      <c r="AU74" s="53">
        <v>0</v>
      </c>
      <c r="AV74" s="53">
        <v>0</v>
      </c>
      <c r="AW74" s="53">
        <v>0</v>
      </c>
    </row>
    <row r="75" spans="1:49" ht="22" customHeight="1" x14ac:dyDescent="0.2">
      <c r="A75" s="1"/>
      <c r="B75" s="25">
        <v>15</v>
      </c>
      <c r="C75" s="42" t="s">
        <v>405</v>
      </c>
      <c r="D75" s="42" t="s">
        <v>405</v>
      </c>
      <c r="E75" s="42" t="s">
        <v>405</v>
      </c>
      <c r="F75" s="42" t="s">
        <v>405</v>
      </c>
      <c r="G75" s="43"/>
      <c r="H75" s="49"/>
      <c r="I75" s="5" t="s">
        <v>405</v>
      </c>
      <c r="J75" s="46">
        <v>0</v>
      </c>
      <c r="K75" s="46">
        <v>1</v>
      </c>
      <c r="L75" s="42" t="s">
        <v>405</v>
      </c>
      <c r="M75" s="50" t="s">
        <v>279</v>
      </c>
      <c r="N75" s="17"/>
      <c r="O75" s="82"/>
      <c r="P75" s="2"/>
      <c r="Q75" s="51">
        <v>0</v>
      </c>
      <c r="R75" s="52">
        <v>0</v>
      </c>
      <c r="S75" s="53">
        <v>0</v>
      </c>
      <c r="T75" s="51">
        <v>0</v>
      </c>
      <c r="U75" s="51">
        <v>0</v>
      </c>
      <c r="V75" s="51">
        <v>0</v>
      </c>
      <c r="W75" s="53">
        <v>0</v>
      </c>
      <c r="X75" s="54">
        <v>0</v>
      </c>
      <c r="Y75" s="51">
        <v>0</v>
      </c>
      <c r="Z75" s="55">
        <v>0</v>
      </c>
      <c r="AA75" s="51">
        <v>0</v>
      </c>
      <c r="AB75" s="55">
        <v>0</v>
      </c>
      <c r="AC75" s="51">
        <v>0</v>
      </c>
      <c r="AD75" s="55">
        <v>0</v>
      </c>
      <c r="AE75" s="51">
        <v>0</v>
      </c>
      <c r="AF75" s="53">
        <v>0</v>
      </c>
      <c r="AG75" s="53">
        <v>0</v>
      </c>
      <c r="AH75" s="53">
        <v>0</v>
      </c>
      <c r="AI75" s="53">
        <v>0</v>
      </c>
      <c r="AJ75" s="53">
        <v>0</v>
      </c>
      <c r="AK75" s="53">
        <v>0</v>
      </c>
      <c r="AL75" s="53">
        <v>0</v>
      </c>
      <c r="AM75" s="53">
        <v>0</v>
      </c>
      <c r="AN75" s="53">
        <v>0</v>
      </c>
      <c r="AO75" s="53">
        <v>0</v>
      </c>
      <c r="AP75" s="53">
        <v>0</v>
      </c>
      <c r="AQ75" s="53">
        <v>0</v>
      </c>
      <c r="AR75" s="53">
        <v>0</v>
      </c>
      <c r="AS75" s="53">
        <v>0</v>
      </c>
      <c r="AT75" s="53">
        <v>0</v>
      </c>
      <c r="AU75" s="53">
        <v>0</v>
      </c>
      <c r="AV75" s="53">
        <v>0</v>
      </c>
      <c r="AW75" s="53">
        <v>0</v>
      </c>
    </row>
    <row r="76" spans="1:49" ht="22" customHeight="1" x14ac:dyDescent="0.2">
      <c r="A76" s="1"/>
      <c r="B76" s="25">
        <v>16</v>
      </c>
      <c r="C76" s="42" t="s">
        <v>405</v>
      </c>
      <c r="D76" s="42" t="s">
        <v>405</v>
      </c>
      <c r="E76" s="42" t="s">
        <v>405</v>
      </c>
      <c r="F76" s="42" t="s">
        <v>405</v>
      </c>
      <c r="G76" s="43"/>
      <c r="H76" s="49"/>
      <c r="I76" s="5" t="s">
        <v>405</v>
      </c>
      <c r="J76" s="46">
        <v>0</v>
      </c>
      <c r="K76" s="46">
        <v>1</v>
      </c>
      <c r="L76" s="42" t="s">
        <v>405</v>
      </c>
      <c r="M76" s="50" t="s">
        <v>279</v>
      </c>
      <c r="N76" s="17"/>
      <c r="O76" s="82"/>
      <c r="P76" s="2"/>
      <c r="Q76" s="51">
        <v>0</v>
      </c>
      <c r="R76" s="52">
        <v>0</v>
      </c>
      <c r="S76" s="53">
        <v>0</v>
      </c>
      <c r="T76" s="51">
        <v>0</v>
      </c>
      <c r="U76" s="51">
        <v>0</v>
      </c>
      <c r="V76" s="51">
        <v>0</v>
      </c>
      <c r="W76" s="53">
        <v>0</v>
      </c>
      <c r="X76" s="54">
        <v>0</v>
      </c>
      <c r="Y76" s="51">
        <v>0</v>
      </c>
      <c r="Z76" s="55">
        <v>0</v>
      </c>
      <c r="AA76" s="51">
        <v>0</v>
      </c>
      <c r="AB76" s="55">
        <v>0</v>
      </c>
      <c r="AC76" s="51">
        <v>0</v>
      </c>
      <c r="AD76" s="55">
        <v>0</v>
      </c>
      <c r="AE76" s="51">
        <v>0</v>
      </c>
      <c r="AF76" s="53">
        <v>0</v>
      </c>
      <c r="AG76" s="53">
        <v>0</v>
      </c>
      <c r="AH76" s="53">
        <v>0</v>
      </c>
      <c r="AI76" s="53">
        <v>0</v>
      </c>
      <c r="AJ76" s="53">
        <v>0</v>
      </c>
      <c r="AK76" s="53">
        <v>0</v>
      </c>
      <c r="AL76" s="53">
        <v>0</v>
      </c>
      <c r="AM76" s="53">
        <v>0</v>
      </c>
      <c r="AN76" s="53">
        <v>0</v>
      </c>
      <c r="AO76" s="53">
        <v>0</v>
      </c>
      <c r="AP76" s="53">
        <v>0</v>
      </c>
      <c r="AQ76" s="53">
        <v>0</v>
      </c>
      <c r="AR76" s="53">
        <v>0</v>
      </c>
      <c r="AS76" s="53">
        <v>0</v>
      </c>
      <c r="AT76" s="53">
        <v>0</v>
      </c>
      <c r="AU76" s="53">
        <v>0</v>
      </c>
      <c r="AV76" s="53">
        <v>0</v>
      </c>
      <c r="AW76" s="53">
        <v>0</v>
      </c>
    </row>
    <row r="77" spans="1:49" ht="22" customHeight="1" x14ac:dyDescent="0.2">
      <c r="A77" s="1"/>
      <c r="B77" s="25">
        <v>17</v>
      </c>
      <c r="C77" s="42" t="s">
        <v>405</v>
      </c>
      <c r="D77" s="42" t="s">
        <v>405</v>
      </c>
      <c r="E77" s="42" t="s">
        <v>405</v>
      </c>
      <c r="F77" s="42" t="s">
        <v>405</v>
      </c>
      <c r="G77" s="43"/>
      <c r="H77" s="49"/>
      <c r="I77" s="5" t="s">
        <v>405</v>
      </c>
      <c r="J77" s="46">
        <v>0</v>
      </c>
      <c r="K77" s="46">
        <v>1</v>
      </c>
      <c r="L77" s="42" t="s">
        <v>405</v>
      </c>
      <c r="M77" s="50" t="s">
        <v>279</v>
      </c>
      <c r="N77" s="17"/>
      <c r="O77" s="82"/>
      <c r="P77" s="2"/>
      <c r="Q77" s="51">
        <v>0</v>
      </c>
      <c r="R77" s="52">
        <v>0</v>
      </c>
      <c r="S77" s="53">
        <v>0</v>
      </c>
      <c r="T77" s="51">
        <v>0</v>
      </c>
      <c r="U77" s="51">
        <v>0</v>
      </c>
      <c r="V77" s="51">
        <v>0</v>
      </c>
      <c r="W77" s="53">
        <v>0</v>
      </c>
      <c r="X77" s="54">
        <v>0</v>
      </c>
      <c r="Y77" s="51">
        <v>0</v>
      </c>
      <c r="Z77" s="55">
        <v>0</v>
      </c>
      <c r="AA77" s="51">
        <v>0</v>
      </c>
      <c r="AB77" s="55">
        <v>0</v>
      </c>
      <c r="AC77" s="51">
        <v>0</v>
      </c>
      <c r="AD77" s="55">
        <v>0</v>
      </c>
      <c r="AE77" s="51">
        <v>0</v>
      </c>
      <c r="AF77" s="53">
        <v>0</v>
      </c>
      <c r="AG77" s="53">
        <v>0</v>
      </c>
      <c r="AH77" s="53">
        <v>0</v>
      </c>
      <c r="AI77" s="53">
        <v>0</v>
      </c>
      <c r="AJ77" s="53">
        <v>0</v>
      </c>
      <c r="AK77" s="53">
        <v>0</v>
      </c>
      <c r="AL77" s="53">
        <v>0</v>
      </c>
      <c r="AM77" s="53">
        <v>0</v>
      </c>
      <c r="AN77" s="53">
        <v>0</v>
      </c>
      <c r="AO77" s="53">
        <v>0</v>
      </c>
      <c r="AP77" s="53">
        <v>0</v>
      </c>
      <c r="AQ77" s="53">
        <v>0</v>
      </c>
      <c r="AR77" s="53">
        <v>0</v>
      </c>
      <c r="AS77" s="53">
        <v>0</v>
      </c>
      <c r="AT77" s="53">
        <v>0</v>
      </c>
      <c r="AU77" s="53">
        <v>0</v>
      </c>
      <c r="AV77" s="53">
        <v>0</v>
      </c>
      <c r="AW77" s="53">
        <v>0</v>
      </c>
    </row>
    <row r="78" spans="1:49" ht="22" customHeight="1" x14ac:dyDescent="0.2">
      <c r="A78" s="1"/>
      <c r="B78" s="25">
        <v>18</v>
      </c>
      <c r="C78" s="42" t="s">
        <v>405</v>
      </c>
      <c r="D78" s="42" t="s">
        <v>405</v>
      </c>
      <c r="E78" s="42" t="s">
        <v>405</v>
      </c>
      <c r="F78" s="42" t="s">
        <v>405</v>
      </c>
      <c r="G78" s="43"/>
      <c r="H78" s="49"/>
      <c r="I78" s="5" t="s">
        <v>405</v>
      </c>
      <c r="J78" s="46">
        <v>0</v>
      </c>
      <c r="K78" s="46">
        <v>1</v>
      </c>
      <c r="L78" s="42" t="s">
        <v>405</v>
      </c>
      <c r="M78" s="50" t="s">
        <v>279</v>
      </c>
      <c r="N78" s="17"/>
      <c r="O78" s="82"/>
      <c r="P78" s="2"/>
      <c r="Q78" s="51">
        <v>0</v>
      </c>
      <c r="R78" s="52">
        <v>0</v>
      </c>
      <c r="S78" s="53">
        <v>0</v>
      </c>
      <c r="T78" s="51">
        <v>0</v>
      </c>
      <c r="U78" s="51">
        <v>0</v>
      </c>
      <c r="V78" s="51">
        <v>0</v>
      </c>
      <c r="W78" s="53">
        <v>0</v>
      </c>
      <c r="X78" s="54">
        <v>0</v>
      </c>
      <c r="Y78" s="51">
        <v>0</v>
      </c>
      <c r="Z78" s="55">
        <v>0</v>
      </c>
      <c r="AA78" s="51">
        <v>0</v>
      </c>
      <c r="AB78" s="55">
        <v>0</v>
      </c>
      <c r="AC78" s="51">
        <v>0</v>
      </c>
      <c r="AD78" s="55">
        <v>0</v>
      </c>
      <c r="AE78" s="51">
        <v>0</v>
      </c>
      <c r="AF78" s="53">
        <v>0</v>
      </c>
      <c r="AG78" s="53">
        <v>0</v>
      </c>
      <c r="AH78" s="53">
        <v>0</v>
      </c>
      <c r="AI78" s="53">
        <v>0</v>
      </c>
      <c r="AJ78" s="53">
        <v>0</v>
      </c>
      <c r="AK78" s="53">
        <v>0</v>
      </c>
      <c r="AL78" s="53">
        <v>0</v>
      </c>
      <c r="AM78" s="53">
        <v>0</v>
      </c>
      <c r="AN78" s="53">
        <v>0</v>
      </c>
      <c r="AO78" s="53">
        <v>0</v>
      </c>
      <c r="AP78" s="53">
        <v>0</v>
      </c>
      <c r="AQ78" s="53">
        <v>0</v>
      </c>
      <c r="AR78" s="53">
        <v>0</v>
      </c>
      <c r="AS78" s="53">
        <v>0</v>
      </c>
      <c r="AT78" s="53">
        <v>0</v>
      </c>
      <c r="AU78" s="53">
        <v>0</v>
      </c>
      <c r="AV78" s="53">
        <v>0</v>
      </c>
      <c r="AW78" s="53">
        <v>0</v>
      </c>
    </row>
    <row r="79" spans="1:49" ht="22" customHeight="1" x14ac:dyDescent="0.2">
      <c r="A79" s="1"/>
      <c r="B79" s="25">
        <v>19</v>
      </c>
      <c r="C79" s="42" t="s">
        <v>405</v>
      </c>
      <c r="D79" s="42" t="s">
        <v>405</v>
      </c>
      <c r="E79" s="42" t="s">
        <v>405</v>
      </c>
      <c r="F79" s="42" t="s">
        <v>405</v>
      </c>
      <c r="G79" s="43"/>
      <c r="H79" s="49"/>
      <c r="I79" s="5" t="s">
        <v>405</v>
      </c>
      <c r="J79" s="46">
        <v>0</v>
      </c>
      <c r="K79" s="46">
        <v>1</v>
      </c>
      <c r="L79" s="42" t="s">
        <v>405</v>
      </c>
      <c r="M79" s="50" t="s">
        <v>279</v>
      </c>
      <c r="N79" s="17"/>
      <c r="O79" s="82"/>
      <c r="P79" s="2"/>
      <c r="Q79" s="51">
        <v>0</v>
      </c>
      <c r="R79" s="52">
        <v>0</v>
      </c>
      <c r="S79" s="53">
        <v>0</v>
      </c>
      <c r="T79" s="51">
        <v>0</v>
      </c>
      <c r="U79" s="51">
        <v>0</v>
      </c>
      <c r="V79" s="51">
        <v>0</v>
      </c>
      <c r="W79" s="53">
        <v>0</v>
      </c>
      <c r="X79" s="54">
        <v>0</v>
      </c>
      <c r="Y79" s="51">
        <v>0</v>
      </c>
      <c r="Z79" s="55">
        <v>0</v>
      </c>
      <c r="AA79" s="51">
        <v>0</v>
      </c>
      <c r="AB79" s="55">
        <v>0</v>
      </c>
      <c r="AC79" s="51">
        <v>0</v>
      </c>
      <c r="AD79" s="55">
        <v>0</v>
      </c>
      <c r="AE79" s="51">
        <v>0</v>
      </c>
      <c r="AF79" s="53">
        <v>0</v>
      </c>
      <c r="AG79" s="53">
        <v>0</v>
      </c>
      <c r="AH79" s="53">
        <v>0</v>
      </c>
      <c r="AI79" s="53">
        <v>0</v>
      </c>
      <c r="AJ79" s="53">
        <v>0</v>
      </c>
      <c r="AK79" s="53">
        <v>0</v>
      </c>
      <c r="AL79" s="53">
        <v>0</v>
      </c>
      <c r="AM79" s="53">
        <v>0</v>
      </c>
      <c r="AN79" s="53">
        <v>0</v>
      </c>
      <c r="AO79" s="53">
        <v>0</v>
      </c>
      <c r="AP79" s="53">
        <v>0</v>
      </c>
      <c r="AQ79" s="53">
        <v>0</v>
      </c>
      <c r="AR79" s="53">
        <v>0</v>
      </c>
      <c r="AS79" s="53">
        <v>0</v>
      </c>
      <c r="AT79" s="53">
        <v>0</v>
      </c>
      <c r="AU79" s="53">
        <v>0</v>
      </c>
      <c r="AV79" s="53">
        <v>0</v>
      </c>
      <c r="AW79" s="53">
        <v>0</v>
      </c>
    </row>
    <row r="80" spans="1:49" ht="22" customHeight="1" x14ac:dyDescent="0.2">
      <c r="A80" s="1"/>
      <c r="B80" s="25">
        <v>20</v>
      </c>
      <c r="C80" s="42" t="s">
        <v>405</v>
      </c>
      <c r="D80" s="42" t="s">
        <v>405</v>
      </c>
      <c r="E80" s="42" t="s">
        <v>405</v>
      </c>
      <c r="F80" s="42" t="s">
        <v>405</v>
      </c>
      <c r="G80" s="43"/>
      <c r="H80" s="49"/>
      <c r="I80" s="5" t="s">
        <v>405</v>
      </c>
      <c r="J80" s="46">
        <v>0</v>
      </c>
      <c r="K80" s="46">
        <v>1</v>
      </c>
      <c r="L80" s="42" t="s">
        <v>405</v>
      </c>
      <c r="M80" s="50" t="s">
        <v>279</v>
      </c>
      <c r="N80" s="17"/>
      <c r="O80" s="82"/>
      <c r="P80" s="2"/>
      <c r="Q80" s="51">
        <v>0</v>
      </c>
      <c r="R80" s="52">
        <v>0</v>
      </c>
      <c r="S80" s="53">
        <v>0</v>
      </c>
      <c r="T80" s="51">
        <v>0</v>
      </c>
      <c r="U80" s="51">
        <v>0</v>
      </c>
      <c r="V80" s="51">
        <v>0</v>
      </c>
      <c r="W80" s="53">
        <v>0</v>
      </c>
      <c r="X80" s="54">
        <v>0</v>
      </c>
      <c r="Y80" s="51">
        <v>0</v>
      </c>
      <c r="Z80" s="55">
        <v>0</v>
      </c>
      <c r="AA80" s="51">
        <v>0</v>
      </c>
      <c r="AB80" s="55">
        <v>0</v>
      </c>
      <c r="AC80" s="51">
        <v>0</v>
      </c>
      <c r="AD80" s="55">
        <v>0</v>
      </c>
      <c r="AE80" s="51">
        <v>0</v>
      </c>
      <c r="AF80" s="53">
        <v>0</v>
      </c>
      <c r="AG80" s="53">
        <v>0</v>
      </c>
      <c r="AH80" s="53">
        <v>0</v>
      </c>
      <c r="AI80" s="53">
        <v>0</v>
      </c>
      <c r="AJ80" s="53">
        <v>0</v>
      </c>
      <c r="AK80" s="53">
        <v>0</v>
      </c>
      <c r="AL80" s="53">
        <v>0</v>
      </c>
      <c r="AM80" s="53">
        <v>0</v>
      </c>
      <c r="AN80" s="53">
        <v>0</v>
      </c>
      <c r="AO80" s="53">
        <v>0</v>
      </c>
      <c r="AP80" s="53">
        <v>0</v>
      </c>
      <c r="AQ80" s="53">
        <v>0</v>
      </c>
      <c r="AR80" s="53">
        <v>0</v>
      </c>
      <c r="AS80" s="53">
        <v>0</v>
      </c>
      <c r="AT80" s="53">
        <v>0</v>
      </c>
      <c r="AU80" s="53">
        <v>0</v>
      </c>
      <c r="AV80" s="53">
        <v>0</v>
      </c>
      <c r="AW80" s="53">
        <v>0</v>
      </c>
    </row>
    <row r="81" spans="1:49" ht="22" customHeight="1" x14ac:dyDescent="0.2">
      <c r="A81" s="1"/>
      <c r="B81" s="25">
        <v>21</v>
      </c>
      <c r="C81" s="42" t="s">
        <v>405</v>
      </c>
      <c r="D81" s="42" t="s">
        <v>405</v>
      </c>
      <c r="E81" s="42" t="s">
        <v>405</v>
      </c>
      <c r="F81" s="42" t="s">
        <v>405</v>
      </c>
      <c r="G81" s="43"/>
      <c r="H81" s="49"/>
      <c r="I81" s="5" t="s">
        <v>405</v>
      </c>
      <c r="J81" s="46">
        <v>0</v>
      </c>
      <c r="K81" s="46">
        <v>1</v>
      </c>
      <c r="L81" s="42" t="s">
        <v>405</v>
      </c>
      <c r="M81" s="50" t="s">
        <v>279</v>
      </c>
      <c r="N81" s="17"/>
      <c r="O81" s="82"/>
      <c r="P81" s="2"/>
      <c r="Q81" s="51">
        <v>0</v>
      </c>
      <c r="R81" s="52">
        <v>0</v>
      </c>
      <c r="S81" s="53">
        <v>0</v>
      </c>
      <c r="T81" s="51">
        <v>0</v>
      </c>
      <c r="U81" s="51">
        <v>0</v>
      </c>
      <c r="V81" s="51">
        <v>0</v>
      </c>
      <c r="W81" s="53">
        <v>0</v>
      </c>
      <c r="X81" s="54">
        <v>0</v>
      </c>
      <c r="Y81" s="51">
        <v>0</v>
      </c>
      <c r="Z81" s="55">
        <v>0</v>
      </c>
      <c r="AA81" s="51">
        <v>0</v>
      </c>
      <c r="AB81" s="55">
        <v>0</v>
      </c>
      <c r="AC81" s="51">
        <v>0</v>
      </c>
      <c r="AD81" s="55">
        <v>0</v>
      </c>
      <c r="AE81" s="51">
        <v>0</v>
      </c>
      <c r="AF81" s="53">
        <v>0</v>
      </c>
      <c r="AG81" s="53">
        <v>0</v>
      </c>
      <c r="AH81" s="53">
        <v>0</v>
      </c>
      <c r="AI81" s="53">
        <v>0</v>
      </c>
      <c r="AJ81" s="53">
        <v>0</v>
      </c>
      <c r="AK81" s="53">
        <v>0</v>
      </c>
      <c r="AL81" s="53">
        <v>0</v>
      </c>
      <c r="AM81" s="53">
        <v>0</v>
      </c>
      <c r="AN81" s="53">
        <v>0</v>
      </c>
      <c r="AO81" s="53">
        <v>0</v>
      </c>
      <c r="AP81" s="53">
        <v>0</v>
      </c>
      <c r="AQ81" s="53">
        <v>0</v>
      </c>
      <c r="AR81" s="53">
        <v>0</v>
      </c>
      <c r="AS81" s="53">
        <v>0</v>
      </c>
      <c r="AT81" s="53">
        <v>0</v>
      </c>
      <c r="AU81" s="53">
        <v>0</v>
      </c>
      <c r="AV81" s="53">
        <v>0</v>
      </c>
      <c r="AW81" s="53">
        <v>0</v>
      </c>
    </row>
    <row r="82" spans="1:49" ht="22" customHeight="1" x14ac:dyDescent="0.2">
      <c r="A82" s="1"/>
      <c r="B82" s="25">
        <v>22</v>
      </c>
      <c r="C82" s="42" t="s">
        <v>405</v>
      </c>
      <c r="D82" s="42" t="s">
        <v>405</v>
      </c>
      <c r="E82" s="42" t="s">
        <v>405</v>
      </c>
      <c r="F82" s="42" t="s">
        <v>405</v>
      </c>
      <c r="G82" s="43"/>
      <c r="H82" s="49"/>
      <c r="I82" s="5" t="s">
        <v>405</v>
      </c>
      <c r="J82" s="46">
        <v>0</v>
      </c>
      <c r="K82" s="46">
        <v>1</v>
      </c>
      <c r="L82" s="42" t="s">
        <v>405</v>
      </c>
      <c r="M82" s="50" t="s">
        <v>279</v>
      </c>
      <c r="N82" s="17"/>
      <c r="O82" s="82"/>
      <c r="P82" s="2"/>
      <c r="Q82" s="51">
        <v>0</v>
      </c>
      <c r="R82" s="52">
        <v>0</v>
      </c>
      <c r="S82" s="53">
        <v>0</v>
      </c>
      <c r="T82" s="51">
        <v>0</v>
      </c>
      <c r="U82" s="51">
        <v>0</v>
      </c>
      <c r="V82" s="51">
        <v>0</v>
      </c>
      <c r="W82" s="53">
        <v>0</v>
      </c>
      <c r="X82" s="54">
        <v>0</v>
      </c>
      <c r="Y82" s="51">
        <v>0</v>
      </c>
      <c r="Z82" s="55">
        <v>0</v>
      </c>
      <c r="AA82" s="51">
        <v>0</v>
      </c>
      <c r="AB82" s="55">
        <v>0</v>
      </c>
      <c r="AC82" s="51">
        <v>0</v>
      </c>
      <c r="AD82" s="55">
        <v>0</v>
      </c>
      <c r="AE82" s="51">
        <v>0</v>
      </c>
      <c r="AF82" s="53">
        <v>0</v>
      </c>
      <c r="AG82" s="53">
        <v>0</v>
      </c>
      <c r="AH82" s="53">
        <v>0</v>
      </c>
      <c r="AI82" s="53">
        <v>0</v>
      </c>
      <c r="AJ82" s="53">
        <v>0</v>
      </c>
      <c r="AK82" s="53">
        <v>0</v>
      </c>
      <c r="AL82" s="53">
        <v>0</v>
      </c>
      <c r="AM82" s="53">
        <v>0</v>
      </c>
      <c r="AN82" s="53">
        <v>0</v>
      </c>
      <c r="AO82" s="53">
        <v>0</v>
      </c>
      <c r="AP82" s="53">
        <v>0</v>
      </c>
      <c r="AQ82" s="53">
        <v>0</v>
      </c>
      <c r="AR82" s="53">
        <v>0</v>
      </c>
      <c r="AS82" s="53">
        <v>0</v>
      </c>
      <c r="AT82" s="53">
        <v>0</v>
      </c>
      <c r="AU82" s="53">
        <v>0</v>
      </c>
      <c r="AV82" s="53">
        <v>0</v>
      </c>
      <c r="AW82" s="53">
        <v>0</v>
      </c>
    </row>
    <row r="83" spans="1:49" ht="22" customHeight="1" x14ac:dyDescent="0.2">
      <c r="A83" s="1"/>
      <c r="B83" s="25">
        <v>23</v>
      </c>
      <c r="C83" s="42" t="s">
        <v>405</v>
      </c>
      <c r="D83" s="42" t="s">
        <v>405</v>
      </c>
      <c r="E83" s="42" t="s">
        <v>405</v>
      </c>
      <c r="F83" s="42" t="s">
        <v>405</v>
      </c>
      <c r="G83" s="43"/>
      <c r="H83" s="49"/>
      <c r="I83" s="5" t="s">
        <v>405</v>
      </c>
      <c r="J83" s="46">
        <v>0</v>
      </c>
      <c r="K83" s="46">
        <v>1</v>
      </c>
      <c r="L83" s="42" t="s">
        <v>405</v>
      </c>
      <c r="M83" s="50" t="s">
        <v>279</v>
      </c>
      <c r="N83" s="17"/>
      <c r="O83" s="82"/>
      <c r="P83" s="2"/>
      <c r="Q83" s="51">
        <v>0</v>
      </c>
      <c r="R83" s="52">
        <v>0</v>
      </c>
      <c r="S83" s="53">
        <v>0</v>
      </c>
      <c r="T83" s="51">
        <v>0</v>
      </c>
      <c r="U83" s="51">
        <v>0</v>
      </c>
      <c r="V83" s="51">
        <v>0</v>
      </c>
      <c r="W83" s="53">
        <v>0</v>
      </c>
      <c r="X83" s="54">
        <v>0</v>
      </c>
      <c r="Y83" s="51">
        <v>0</v>
      </c>
      <c r="Z83" s="55">
        <v>0</v>
      </c>
      <c r="AA83" s="51">
        <v>0</v>
      </c>
      <c r="AB83" s="55">
        <v>0</v>
      </c>
      <c r="AC83" s="51">
        <v>0</v>
      </c>
      <c r="AD83" s="55">
        <v>0</v>
      </c>
      <c r="AE83" s="51">
        <v>0</v>
      </c>
      <c r="AF83" s="53">
        <v>0</v>
      </c>
      <c r="AG83" s="53">
        <v>0</v>
      </c>
      <c r="AH83" s="53">
        <v>0</v>
      </c>
      <c r="AI83" s="53">
        <v>0</v>
      </c>
      <c r="AJ83" s="53">
        <v>0</v>
      </c>
      <c r="AK83" s="53">
        <v>0</v>
      </c>
      <c r="AL83" s="53">
        <v>0</v>
      </c>
      <c r="AM83" s="53">
        <v>0</v>
      </c>
      <c r="AN83" s="53">
        <v>0</v>
      </c>
      <c r="AO83" s="53">
        <v>0</v>
      </c>
      <c r="AP83" s="53">
        <v>0</v>
      </c>
      <c r="AQ83" s="53">
        <v>0</v>
      </c>
      <c r="AR83" s="53">
        <v>0</v>
      </c>
      <c r="AS83" s="53">
        <v>0</v>
      </c>
      <c r="AT83" s="53">
        <v>0</v>
      </c>
      <c r="AU83" s="53">
        <v>0</v>
      </c>
      <c r="AV83" s="53">
        <v>0</v>
      </c>
      <c r="AW83" s="53">
        <v>0</v>
      </c>
    </row>
    <row r="84" spans="1:49" ht="22" customHeight="1" x14ac:dyDescent="0.2">
      <c r="A84" s="1"/>
      <c r="B84" s="25">
        <v>24</v>
      </c>
      <c r="C84" s="42" t="s">
        <v>405</v>
      </c>
      <c r="D84" s="42" t="s">
        <v>405</v>
      </c>
      <c r="E84" s="42" t="s">
        <v>405</v>
      </c>
      <c r="F84" s="42" t="s">
        <v>405</v>
      </c>
      <c r="G84" s="43"/>
      <c r="H84" s="49"/>
      <c r="I84" s="5" t="s">
        <v>405</v>
      </c>
      <c r="J84" s="46">
        <v>0</v>
      </c>
      <c r="K84" s="46">
        <v>1</v>
      </c>
      <c r="L84" s="42" t="s">
        <v>405</v>
      </c>
      <c r="M84" s="50" t="s">
        <v>279</v>
      </c>
      <c r="N84" s="17"/>
      <c r="O84" s="82"/>
      <c r="P84" s="2"/>
      <c r="Q84" s="51">
        <v>0</v>
      </c>
      <c r="R84" s="52">
        <v>0</v>
      </c>
      <c r="S84" s="53">
        <v>0</v>
      </c>
      <c r="T84" s="51">
        <v>0</v>
      </c>
      <c r="U84" s="51">
        <v>0</v>
      </c>
      <c r="V84" s="51">
        <v>0</v>
      </c>
      <c r="W84" s="53">
        <v>0</v>
      </c>
      <c r="X84" s="54">
        <v>0</v>
      </c>
      <c r="Y84" s="51">
        <v>0</v>
      </c>
      <c r="Z84" s="55">
        <v>0</v>
      </c>
      <c r="AA84" s="51">
        <v>0</v>
      </c>
      <c r="AB84" s="55">
        <v>0</v>
      </c>
      <c r="AC84" s="51">
        <v>0</v>
      </c>
      <c r="AD84" s="55">
        <v>0</v>
      </c>
      <c r="AE84" s="51">
        <v>0</v>
      </c>
      <c r="AF84" s="53">
        <v>0</v>
      </c>
      <c r="AG84" s="53">
        <v>0</v>
      </c>
      <c r="AH84" s="53">
        <v>0</v>
      </c>
      <c r="AI84" s="53">
        <v>0</v>
      </c>
      <c r="AJ84" s="53">
        <v>0</v>
      </c>
      <c r="AK84" s="53">
        <v>0</v>
      </c>
      <c r="AL84" s="53">
        <v>0</v>
      </c>
      <c r="AM84" s="53">
        <v>0</v>
      </c>
      <c r="AN84" s="53">
        <v>0</v>
      </c>
      <c r="AO84" s="53">
        <v>0</v>
      </c>
      <c r="AP84" s="53">
        <v>0</v>
      </c>
      <c r="AQ84" s="53">
        <v>0</v>
      </c>
      <c r="AR84" s="53">
        <v>0</v>
      </c>
      <c r="AS84" s="53">
        <v>0</v>
      </c>
      <c r="AT84" s="53">
        <v>0</v>
      </c>
      <c r="AU84" s="53">
        <v>0</v>
      </c>
      <c r="AV84" s="53">
        <v>0</v>
      </c>
      <c r="AW84" s="53">
        <v>0</v>
      </c>
    </row>
    <row r="85" spans="1:49" ht="22" customHeight="1" x14ac:dyDescent="0.2">
      <c r="A85" s="1"/>
      <c r="B85" s="25">
        <v>25</v>
      </c>
      <c r="C85" s="42" t="s">
        <v>405</v>
      </c>
      <c r="D85" s="42" t="s">
        <v>405</v>
      </c>
      <c r="E85" s="42" t="s">
        <v>405</v>
      </c>
      <c r="F85" s="42" t="s">
        <v>405</v>
      </c>
      <c r="G85" s="43"/>
      <c r="H85" s="49"/>
      <c r="I85" s="5" t="s">
        <v>405</v>
      </c>
      <c r="J85" s="46">
        <v>0</v>
      </c>
      <c r="K85" s="46">
        <v>1</v>
      </c>
      <c r="L85" s="42" t="s">
        <v>405</v>
      </c>
      <c r="M85" s="50" t="s">
        <v>279</v>
      </c>
      <c r="N85" s="17"/>
      <c r="O85" s="82"/>
      <c r="P85" s="2"/>
      <c r="Q85" s="51">
        <v>0</v>
      </c>
      <c r="R85" s="52">
        <v>0</v>
      </c>
      <c r="S85" s="53">
        <v>0</v>
      </c>
      <c r="T85" s="51">
        <v>0</v>
      </c>
      <c r="U85" s="51">
        <v>0</v>
      </c>
      <c r="V85" s="51">
        <v>0</v>
      </c>
      <c r="W85" s="53">
        <v>0</v>
      </c>
      <c r="X85" s="54">
        <v>0</v>
      </c>
      <c r="Y85" s="51">
        <v>0</v>
      </c>
      <c r="Z85" s="55">
        <v>0</v>
      </c>
      <c r="AA85" s="51">
        <v>0</v>
      </c>
      <c r="AB85" s="55">
        <v>0</v>
      </c>
      <c r="AC85" s="51">
        <v>0</v>
      </c>
      <c r="AD85" s="55">
        <v>0</v>
      </c>
      <c r="AE85" s="51">
        <v>0</v>
      </c>
      <c r="AF85" s="53">
        <v>0</v>
      </c>
      <c r="AG85" s="53">
        <v>0</v>
      </c>
      <c r="AH85" s="53">
        <v>0</v>
      </c>
      <c r="AI85" s="53">
        <v>0</v>
      </c>
      <c r="AJ85" s="53">
        <v>0</v>
      </c>
      <c r="AK85" s="53">
        <v>0</v>
      </c>
      <c r="AL85" s="53">
        <v>0</v>
      </c>
      <c r="AM85" s="53">
        <v>0</v>
      </c>
      <c r="AN85" s="53">
        <v>0</v>
      </c>
      <c r="AO85" s="53">
        <v>0</v>
      </c>
      <c r="AP85" s="53">
        <v>0</v>
      </c>
      <c r="AQ85" s="53">
        <v>0</v>
      </c>
      <c r="AR85" s="53">
        <v>0</v>
      </c>
      <c r="AS85" s="53">
        <v>0</v>
      </c>
      <c r="AT85" s="53">
        <v>0</v>
      </c>
      <c r="AU85" s="53">
        <v>0</v>
      </c>
      <c r="AV85" s="53">
        <v>0</v>
      </c>
      <c r="AW85" s="53">
        <v>0</v>
      </c>
    </row>
    <row r="86" spans="1:49" ht="22" customHeight="1" x14ac:dyDescent="0.2">
      <c r="A86" s="1"/>
      <c r="B86" s="25">
        <v>26</v>
      </c>
      <c r="C86" s="42" t="s">
        <v>405</v>
      </c>
      <c r="D86" s="42" t="s">
        <v>405</v>
      </c>
      <c r="E86" s="42" t="s">
        <v>405</v>
      </c>
      <c r="F86" s="42" t="s">
        <v>405</v>
      </c>
      <c r="G86" s="43"/>
      <c r="H86" s="49"/>
      <c r="I86" s="5" t="s">
        <v>405</v>
      </c>
      <c r="J86" s="46">
        <v>0</v>
      </c>
      <c r="K86" s="46">
        <v>1</v>
      </c>
      <c r="L86" s="42" t="s">
        <v>405</v>
      </c>
      <c r="M86" s="50" t="s">
        <v>279</v>
      </c>
      <c r="N86" s="17"/>
      <c r="O86" s="82"/>
      <c r="P86" s="2"/>
      <c r="Q86" s="51">
        <v>0</v>
      </c>
      <c r="R86" s="52">
        <v>0</v>
      </c>
      <c r="S86" s="53">
        <v>0</v>
      </c>
      <c r="T86" s="51">
        <v>0</v>
      </c>
      <c r="U86" s="51">
        <v>0</v>
      </c>
      <c r="V86" s="51">
        <v>0</v>
      </c>
      <c r="W86" s="53">
        <v>0</v>
      </c>
      <c r="X86" s="54">
        <v>0</v>
      </c>
      <c r="Y86" s="51">
        <v>0</v>
      </c>
      <c r="Z86" s="55">
        <v>0</v>
      </c>
      <c r="AA86" s="51">
        <v>0</v>
      </c>
      <c r="AB86" s="55">
        <v>0</v>
      </c>
      <c r="AC86" s="51">
        <v>0</v>
      </c>
      <c r="AD86" s="55">
        <v>0</v>
      </c>
      <c r="AE86" s="51">
        <v>0</v>
      </c>
      <c r="AF86" s="53">
        <v>0</v>
      </c>
      <c r="AG86" s="53">
        <v>0</v>
      </c>
      <c r="AH86" s="53">
        <v>0</v>
      </c>
      <c r="AI86" s="53">
        <v>0</v>
      </c>
      <c r="AJ86" s="53">
        <v>0</v>
      </c>
      <c r="AK86" s="53">
        <v>0</v>
      </c>
      <c r="AL86" s="53">
        <v>0</v>
      </c>
      <c r="AM86" s="53">
        <v>0</v>
      </c>
      <c r="AN86" s="53">
        <v>0</v>
      </c>
      <c r="AO86" s="53">
        <v>0</v>
      </c>
      <c r="AP86" s="53">
        <v>0</v>
      </c>
      <c r="AQ86" s="53">
        <v>0</v>
      </c>
      <c r="AR86" s="53">
        <v>0</v>
      </c>
      <c r="AS86" s="53">
        <v>0</v>
      </c>
      <c r="AT86" s="53">
        <v>0</v>
      </c>
      <c r="AU86" s="53">
        <v>0</v>
      </c>
      <c r="AV86" s="53">
        <v>0</v>
      </c>
      <c r="AW86" s="53">
        <v>0</v>
      </c>
    </row>
    <row r="87" spans="1:49" ht="22" customHeight="1" x14ac:dyDescent="0.2">
      <c r="A87" s="1"/>
      <c r="B87" s="25">
        <v>27</v>
      </c>
      <c r="C87" s="42" t="s">
        <v>405</v>
      </c>
      <c r="D87" s="42" t="s">
        <v>405</v>
      </c>
      <c r="E87" s="42" t="s">
        <v>405</v>
      </c>
      <c r="F87" s="42" t="s">
        <v>405</v>
      </c>
      <c r="G87" s="43"/>
      <c r="H87" s="49"/>
      <c r="I87" s="5" t="s">
        <v>405</v>
      </c>
      <c r="J87" s="46">
        <v>0</v>
      </c>
      <c r="K87" s="46">
        <v>1</v>
      </c>
      <c r="L87" s="42" t="s">
        <v>405</v>
      </c>
      <c r="M87" s="50" t="s">
        <v>279</v>
      </c>
      <c r="N87" s="17"/>
      <c r="O87" s="82"/>
      <c r="P87" s="2"/>
      <c r="Q87" s="51">
        <v>0</v>
      </c>
      <c r="R87" s="52">
        <v>0</v>
      </c>
      <c r="S87" s="53">
        <v>0</v>
      </c>
      <c r="T87" s="51">
        <v>0</v>
      </c>
      <c r="U87" s="51">
        <v>0</v>
      </c>
      <c r="V87" s="51">
        <v>0</v>
      </c>
      <c r="W87" s="53">
        <v>0</v>
      </c>
      <c r="X87" s="54">
        <v>0</v>
      </c>
      <c r="Y87" s="51">
        <v>0</v>
      </c>
      <c r="Z87" s="55">
        <v>0</v>
      </c>
      <c r="AA87" s="51">
        <v>0</v>
      </c>
      <c r="AB87" s="55">
        <v>0</v>
      </c>
      <c r="AC87" s="51">
        <v>0</v>
      </c>
      <c r="AD87" s="55">
        <v>0</v>
      </c>
      <c r="AE87" s="51">
        <v>0</v>
      </c>
      <c r="AF87" s="53">
        <v>0</v>
      </c>
      <c r="AG87" s="53">
        <v>0</v>
      </c>
      <c r="AH87" s="53">
        <v>0</v>
      </c>
      <c r="AI87" s="53">
        <v>0</v>
      </c>
      <c r="AJ87" s="53">
        <v>0</v>
      </c>
      <c r="AK87" s="53">
        <v>0</v>
      </c>
      <c r="AL87" s="53">
        <v>0</v>
      </c>
      <c r="AM87" s="53">
        <v>0</v>
      </c>
      <c r="AN87" s="53">
        <v>0</v>
      </c>
      <c r="AO87" s="53">
        <v>0</v>
      </c>
      <c r="AP87" s="53">
        <v>0</v>
      </c>
      <c r="AQ87" s="53">
        <v>0</v>
      </c>
      <c r="AR87" s="53">
        <v>0</v>
      </c>
      <c r="AS87" s="53">
        <v>0</v>
      </c>
      <c r="AT87" s="53">
        <v>0</v>
      </c>
      <c r="AU87" s="53">
        <v>0</v>
      </c>
      <c r="AV87" s="53">
        <v>0</v>
      </c>
      <c r="AW87" s="53">
        <v>0</v>
      </c>
    </row>
    <row r="88" spans="1:49" ht="22" customHeight="1" x14ac:dyDescent="0.2">
      <c r="A88" s="1"/>
      <c r="B88" s="25">
        <v>28</v>
      </c>
      <c r="C88" s="42" t="s">
        <v>405</v>
      </c>
      <c r="D88" s="42" t="s">
        <v>405</v>
      </c>
      <c r="E88" s="42" t="s">
        <v>405</v>
      </c>
      <c r="F88" s="42" t="s">
        <v>405</v>
      </c>
      <c r="G88" s="43"/>
      <c r="H88" s="49"/>
      <c r="I88" s="5" t="s">
        <v>405</v>
      </c>
      <c r="J88" s="46">
        <v>0</v>
      </c>
      <c r="K88" s="46">
        <v>1</v>
      </c>
      <c r="L88" s="42" t="s">
        <v>405</v>
      </c>
      <c r="M88" s="50" t="s">
        <v>279</v>
      </c>
      <c r="N88" s="17"/>
      <c r="O88" s="82"/>
      <c r="P88" s="2"/>
      <c r="Q88" s="51">
        <v>0</v>
      </c>
      <c r="R88" s="52">
        <v>0</v>
      </c>
      <c r="S88" s="53">
        <v>0</v>
      </c>
      <c r="T88" s="51">
        <v>0</v>
      </c>
      <c r="U88" s="51">
        <v>0</v>
      </c>
      <c r="V88" s="51">
        <v>0</v>
      </c>
      <c r="W88" s="53">
        <v>0</v>
      </c>
      <c r="X88" s="54">
        <v>0</v>
      </c>
      <c r="Y88" s="51">
        <v>0</v>
      </c>
      <c r="Z88" s="55">
        <v>0</v>
      </c>
      <c r="AA88" s="51">
        <v>0</v>
      </c>
      <c r="AB88" s="55">
        <v>0</v>
      </c>
      <c r="AC88" s="51">
        <v>0</v>
      </c>
      <c r="AD88" s="55">
        <v>0</v>
      </c>
      <c r="AE88" s="51">
        <v>0</v>
      </c>
      <c r="AF88" s="53">
        <v>0</v>
      </c>
      <c r="AG88" s="53">
        <v>0</v>
      </c>
      <c r="AH88" s="53">
        <v>0</v>
      </c>
      <c r="AI88" s="53">
        <v>0</v>
      </c>
      <c r="AJ88" s="53">
        <v>0</v>
      </c>
      <c r="AK88" s="53">
        <v>0</v>
      </c>
      <c r="AL88" s="53">
        <v>0</v>
      </c>
      <c r="AM88" s="53">
        <v>0</v>
      </c>
      <c r="AN88" s="53">
        <v>0</v>
      </c>
      <c r="AO88" s="53">
        <v>0</v>
      </c>
      <c r="AP88" s="53">
        <v>0</v>
      </c>
      <c r="AQ88" s="53">
        <v>0</v>
      </c>
      <c r="AR88" s="53">
        <v>0</v>
      </c>
      <c r="AS88" s="53">
        <v>0</v>
      </c>
      <c r="AT88" s="53">
        <v>0</v>
      </c>
      <c r="AU88" s="53">
        <v>0</v>
      </c>
      <c r="AV88" s="53">
        <v>0</v>
      </c>
      <c r="AW88" s="53">
        <v>0</v>
      </c>
    </row>
    <row r="89" spans="1:49" ht="22" customHeight="1" x14ac:dyDescent="0.2">
      <c r="A89" s="1"/>
      <c r="B89" s="25">
        <v>29</v>
      </c>
      <c r="C89" s="42" t="s">
        <v>405</v>
      </c>
      <c r="D89" s="42" t="s">
        <v>405</v>
      </c>
      <c r="E89" s="42" t="s">
        <v>405</v>
      </c>
      <c r="F89" s="42" t="s">
        <v>405</v>
      </c>
      <c r="G89" s="43"/>
      <c r="H89" s="49"/>
      <c r="I89" s="5" t="s">
        <v>405</v>
      </c>
      <c r="J89" s="46">
        <v>0</v>
      </c>
      <c r="K89" s="46">
        <v>1</v>
      </c>
      <c r="L89" s="42" t="s">
        <v>405</v>
      </c>
      <c r="M89" s="50" t="s">
        <v>279</v>
      </c>
      <c r="N89" s="17"/>
      <c r="O89" s="82"/>
      <c r="P89" s="2"/>
      <c r="Q89" s="51">
        <v>0</v>
      </c>
      <c r="R89" s="52">
        <v>0</v>
      </c>
      <c r="S89" s="53">
        <v>0</v>
      </c>
      <c r="T89" s="51">
        <v>0</v>
      </c>
      <c r="U89" s="51">
        <v>0</v>
      </c>
      <c r="V89" s="51">
        <v>0</v>
      </c>
      <c r="W89" s="53">
        <v>0</v>
      </c>
      <c r="X89" s="54">
        <v>0</v>
      </c>
      <c r="Y89" s="51">
        <v>0</v>
      </c>
      <c r="Z89" s="55">
        <v>0</v>
      </c>
      <c r="AA89" s="51">
        <v>0</v>
      </c>
      <c r="AB89" s="55">
        <v>0</v>
      </c>
      <c r="AC89" s="51">
        <v>0</v>
      </c>
      <c r="AD89" s="55">
        <v>0</v>
      </c>
      <c r="AE89" s="51">
        <v>0</v>
      </c>
      <c r="AF89" s="53">
        <v>0</v>
      </c>
      <c r="AG89" s="53">
        <v>0</v>
      </c>
      <c r="AH89" s="53">
        <v>0</v>
      </c>
      <c r="AI89" s="53">
        <v>0</v>
      </c>
      <c r="AJ89" s="53">
        <v>0</v>
      </c>
      <c r="AK89" s="53">
        <v>0</v>
      </c>
      <c r="AL89" s="53">
        <v>0</v>
      </c>
      <c r="AM89" s="53">
        <v>0</v>
      </c>
      <c r="AN89" s="53">
        <v>0</v>
      </c>
      <c r="AO89" s="53">
        <v>0</v>
      </c>
      <c r="AP89" s="53">
        <v>0</v>
      </c>
      <c r="AQ89" s="53">
        <v>0</v>
      </c>
      <c r="AR89" s="53">
        <v>0</v>
      </c>
      <c r="AS89" s="53">
        <v>0</v>
      </c>
      <c r="AT89" s="53">
        <v>0</v>
      </c>
      <c r="AU89" s="53">
        <v>0</v>
      </c>
      <c r="AV89" s="53">
        <v>0</v>
      </c>
      <c r="AW89" s="53">
        <v>0</v>
      </c>
    </row>
    <row r="90" spans="1:49" ht="22" customHeight="1" x14ac:dyDescent="0.2">
      <c r="A90" s="1"/>
      <c r="B90" s="25">
        <v>30</v>
      </c>
      <c r="C90" s="42" t="s">
        <v>405</v>
      </c>
      <c r="D90" s="42" t="s">
        <v>405</v>
      </c>
      <c r="E90" s="42" t="s">
        <v>405</v>
      </c>
      <c r="F90" s="42" t="s">
        <v>405</v>
      </c>
      <c r="G90" s="43"/>
      <c r="H90" s="49"/>
      <c r="I90" s="5" t="s">
        <v>405</v>
      </c>
      <c r="J90" s="46">
        <v>0</v>
      </c>
      <c r="K90" s="46">
        <v>1</v>
      </c>
      <c r="L90" s="42" t="s">
        <v>405</v>
      </c>
      <c r="M90" s="50" t="s">
        <v>279</v>
      </c>
      <c r="N90" s="17"/>
      <c r="O90" s="82"/>
      <c r="P90" s="2"/>
      <c r="Q90" s="51">
        <v>0</v>
      </c>
      <c r="R90" s="52">
        <v>0</v>
      </c>
      <c r="S90" s="53">
        <v>0</v>
      </c>
      <c r="T90" s="51">
        <v>0</v>
      </c>
      <c r="U90" s="51">
        <v>0</v>
      </c>
      <c r="V90" s="51">
        <v>0</v>
      </c>
      <c r="W90" s="53">
        <v>0</v>
      </c>
      <c r="X90" s="54">
        <v>0</v>
      </c>
      <c r="Y90" s="51">
        <v>0</v>
      </c>
      <c r="Z90" s="55">
        <v>0</v>
      </c>
      <c r="AA90" s="51">
        <v>0</v>
      </c>
      <c r="AB90" s="55">
        <v>0</v>
      </c>
      <c r="AC90" s="51">
        <v>0</v>
      </c>
      <c r="AD90" s="55">
        <v>0</v>
      </c>
      <c r="AE90" s="51">
        <v>0</v>
      </c>
      <c r="AF90" s="53">
        <v>0</v>
      </c>
      <c r="AG90" s="53">
        <v>0</v>
      </c>
      <c r="AH90" s="53">
        <v>0</v>
      </c>
      <c r="AI90" s="53">
        <v>0</v>
      </c>
      <c r="AJ90" s="53">
        <v>0</v>
      </c>
      <c r="AK90" s="53">
        <v>0</v>
      </c>
      <c r="AL90" s="53">
        <v>0</v>
      </c>
      <c r="AM90" s="53">
        <v>0</v>
      </c>
      <c r="AN90" s="53">
        <v>0</v>
      </c>
      <c r="AO90" s="53">
        <v>0</v>
      </c>
      <c r="AP90" s="53">
        <v>0</v>
      </c>
      <c r="AQ90" s="53">
        <v>0</v>
      </c>
      <c r="AR90" s="53">
        <v>0</v>
      </c>
      <c r="AS90" s="53">
        <v>0</v>
      </c>
      <c r="AT90" s="53">
        <v>0</v>
      </c>
      <c r="AU90" s="53">
        <v>0</v>
      </c>
      <c r="AV90" s="53">
        <v>0</v>
      </c>
      <c r="AW90" s="53">
        <v>0</v>
      </c>
    </row>
    <row r="91" spans="1:49" x14ac:dyDescent="0.2">
      <c r="A91" s="1"/>
      <c r="B91" s="1"/>
      <c r="C91" s="1"/>
      <c r="D91" s="1"/>
      <c r="E91" s="1"/>
      <c r="F91" s="1"/>
      <c r="G91" s="1"/>
      <c r="H91" s="1"/>
      <c r="I91" s="1"/>
      <c r="J91" s="1"/>
      <c r="K91" s="1"/>
      <c r="L91" s="1"/>
      <c r="M91" s="1"/>
      <c r="N91" s="1"/>
      <c r="O91" s="8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row>
    <row r="92" spans="1:49" ht="24" customHeight="1" x14ac:dyDescent="0.2">
      <c r="A92" s="1"/>
      <c r="B92" s="107" t="s">
        <v>377</v>
      </c>
      <c r="C92" s="85"/>
      <c r="D92" s="85"/>
      <c r="E92" s="85"/>
      <c r="F92" s="85"/>
      <c r="G92" s="85"/>
      <c r="H92" s="85"/>
      <c r="I92" s="85"/>
      <c r="J92" s="85"/>
      <c r="K92" s="85"/>
      <c r="L92" s="85"/>
      <c r="M92" s="85"/>
      <c r="N92" s="85"/>
      <c r="O92" s="8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row>
    <row r="93" spans="1:49" ht="30" customHeight="1" x14ac:dyDescent="0.2">
      <c r="A93" s="1"/>
      <c r="B93" s="13" t="s">
        <v>113</v>
      </c>
      <c r="C93" s="12" t="s">
        <v>281</v>
      </c>
      <c r="D93" s="12" t="s">
        <v>68</v>
      </c>
      <c r="E93" s="13" t="s">
        <v>282</v>
      </c>
      <c r="F93" s="27" t="s">
        <v>283</v>
      </c>
      <c r="G93" s="27" t="s">
        <v>284</v>
      </c>
      <c r="H93" s="12" t="s">
        <v>74</v>
      </c>
      <c r="I93" s="27" t="s">
        <v>278</v>
      </c>
      <c r="J93" s="93" t="s">
        <v>188</v>
      </c>
      <c r="K93" s="94"/>
      <c r="L93" s="94"/>
      <c r="M93" s="94"/>
      <c r="N93" s="94"/>
      <c r="O93" s="8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row>
    <row r="94" spans="1:49" ht="22" customHeight="1" x14ac:dyDescent="0.2">
      <c r="A94" s="1"/>
      <c r="B94" s="25">
        <v>1</v>
      </c>
      <c r="C94" s="42" t="s">
        <v>378</v>
      </c>
      <c r="D94" s="42" t="s">
        <v>343</v>
      </c>
      <c r="E94" s="49">
        <v>22000</v>
      </c>
      <c r="F94" s="5" t="s">
        <v>331</v>
      </c>
      <c r="G94" s="5" t="s">
        <v>372</v>
      </c>
      <c r="H94" s="42" t="s">
        <v>226</v>
      </c>
      <c r="I94" s="50" t="s">
        <v>332</v>
      </c>
      <c r="J94" s="84"/>
      <c r="K94" s="85"/>
      <c r="L94" s="85"/>
      <c r="M94" s="85"/>
      <c r="N94" s="85"/>
      <c r="O94" s="82"/>
      <c r="P94" s="2"/>
      <c r="Q94" s="51">
        <v>1</v>
      </c>
      <c r="R94" s="52">
        <v>1</v>
      </c>
      <c r="S94" s="53">
        <v>132000</v>
      </c>
      <c r="T94" s="51">
        <v>1</v>
      </c>
      <c r="U94" s="51">
        <v>1</v>
      </c>
      <c r="V94" s="51">
        <v>6</v>
      </c>
      <c r="W94" s="53">
        <v>22000</v>
      </c>
      <c r="X94" s="54">
        <v>1</v>
      </c>
      <c r="Y94" s="51">
        <v>0</v>
      </c>
      <c r="Z94" s="51">
        <v>0</v>
      </c>
      <c r="AA94" s="51">
        <v>0</v>
      </c>
      <c r="AB94" s="51">
        <v>0</v>
      </c>
      <c r="AC94" s="51">
        <v>0</v>
      </c>
      <c r="AD94" s="51">
        <v>0</v>
      </c>
      <c r="AE94" s="51">
        <v>0</v>
      </c>
      <c r="AF94" s="53">
        <v>22000</v>
      </c>
      <c r="AG94" s="53">
        <v>22000</v>
      </c>
      <c r="AH94" s="53">
        <v>22000</v>
      </c>
      <c r="AI94" s="53">
        <v>22000</v>
      </c>
      <c r="AJ94" s="53">
        <v>22000</v>
      </c>
      <c r="AK94" s="53">
        <v>22000</v>
      </c>
      <c r="AL94" s="53">
        <v>0</v>
      </c>
      <c r="AM94" s="53">
        <v>22000</v>
      </c>
      <c r="AN94" s="53">
        <v>22000</v>
      </c>
      <c r="AO94" s="53">
        <v>22000</v>
      </c>
      <c r="AP94" s="53">
        <v>22000</v>
      </c>
      <c r="AQ94" s="53">
        <v>22000</v>
      </c>
      <c r="AR94" s="53">
        <v>22000</v>
      </c>
      <c r="AS94" s="53">
        <v>0</v>
      </c>
      <c r="AT94" s="53">
        <v>44000</v>
      </c>
      <c r="AU94" s="53">
        <v>110000</v>
      </c>
      <c r="AV94" s="53">
        <v>132000</v>
      </c>
      <c r="AW94" s="53">
        <v>132000</v>
      </c>
    </row>
    <row r="95" spans="1:49" ht="22" customHeight="1" x14ac:dyDescent="0.2">
      <c r="A95" s="1"/>
      <c r="B95" s="25">
        <v>2</v>
      </c>
      <c r="C95" s="42" t="s">
        <v>379</v>
      </c>
      <c r="D95" s="42" t="s">
        <v>335</v>
      </c>
      <c r="E95" s="49">
        <v>18000</v>
      </c>
      <c r="F95" s="5" t="s">
        <v>331</v>
      </c>
      <c r="G95" s="5" t="s">
        <v>372</v>
      </c>
      <c r="H95" s="42" t="s">
        <v>226</v>
      </c>
      <c r="I95" s="50" t="s">
        <v>332</v>
      </c>
      <c r="J95" s="84"/>
      <c r="K95" s="85"/>
      <c r="L95" s="85"/>
      <c r="M95" s="85"/>
      <c r="N95" s="85"/>
      <c r="O95" s="82"/>
      <c r="P95" s="2"/>
      <c r="Q95" s="51">
        <v>1</v>
      </c>
      <c r="R95" s="52">
        <v>1</v>
      </c>
      <c r="S95" s="53">
        <v>108000</v>
      </c>
      <c r="T95" s="51">
        <v>1</v>
      </c>
      <c r="U95" s="51">
        <v>1</v>
      </c>
      <c r="V95" s="51">
        <v>6</v>
      </c>
      <c r="W95" s="53">
        <v>18000</v>
      </c>
      <c r="X95" s="54">
        <v>1</v>
      </c>
      <c r="Y95" s="51">
        <v>0</v>
      </c>
      <c r="Z95" s="51">
        <v>0</v>
      </c>
      <c r="AA95" s="51">
        <v>0</v>
      </c>
      <c r="AB95" s="51">
        <v>0</v>
      </c>
      <c r="AC95" s="51">
        <v>0</v>
      </c>
      <c r="AD95" s="51">
        <v>0</v>
      </c>
      <c r="AE95" s="51">
        <v>0</v>
      </c>
      <c r="AF95" s="53">
        <v>18000</v>
      </c>
      <c r="AG95" s="53">
        <v>18000</v>
      </c>
      <c r="AH95" s="53">
        <v>18000</v>
      </c>
      <c r="AI95" s="53">
        <v>18000</v>
      </c>
      <c r="AJ95" s="53">
        <v>18000</v>
      </c>
      <c r="AK95" s="53">
        <v>18000</v>
      </c>
      <c r="AL95" s="53">
        <v>0</v>
      </c>
      <c r="AM95" s="53">
        <v>18000</v>
      </c>
      <c r="AN95" s="53">
        <v>18000</v>
      </c>
      <c r="AO95" s="53">
        <v>18000</v>
      </c>
      <c r="AP95" s="53">
        <v>18000</v>
      </c>
      <c r="AQ95" s="53">
        <v>18000</v>
      </c>
      <c r="AR95" s="53">
        <v>18000</v>
      </c>
      <c r="AS95" s="53">
        <v>0</v>
      </c>
      <c r="AT95" s="53">
        <v>36000</v>
      </c>
      <c r="AU95" s="53">
        <v>90000</v>
      </c>
      <c r="AV95" s="53">
        <v>108000</v>
      </c>
      <c r="AW95" s="53">
        <v>108000</v>
      </c>
    </row>
    <row r="96" spans="1:49" ht="22" customHeight="1" x14ac:dyDescent="0.2">
      <c r="A96" s="1"/>
      <c r="B96" s="25">
        <v>3</v>
      </c>
      <c r="C96" s="42" t="s">
        <v>380</v>
      </c>
      <c r="D96" s="42" t="s">
        <v>351</v>
      </c>
      <c r="E96" s="49">
        <v>12000</v>
      </c>
      <c r="F96" s="5" t="s">
        <v>331</v>
      </c>
      <c r="G96" s="5" t="s">
        <v>361</v>
      </c>
      <c r="H96" s="42" t="s">
        <v>228</v>
      </c>
      <c r="I96" s="50" t="s">
        <v>332</v>
      </c>
      <c r="J96" s="84"/>
      <c r="K96" s="85"/>
      <c r="L96" s="85"/>
      <c r="M96" s="85"/>
      <c r="N96" s="85"/>
      <c r="O96" s="82"/>
      <c r="P96" s="2"/>
      <c r="Q96" s="51">
        <v>1</v>
      </c>
      <c r="R96" s="52">
        <v>1</v>
      </c>
      <c r="S96" s="53">
        <v>48000</v>
      </c>
      <c r="T96" s="51">
        <v>1</v>
      </c>
      <c r="U96" s="51">
        <v>1</v>
      </c>
      <c r="V96" s="51">
        <v>4</v>
      </c>
      <c r="W96" s="53">
        <v>12000</v>
      </c>
      <c r="X96" s="54">
        <v>1</v>
      </c>
      <c r="Y96" s="51">
        <v>0</v>
      </c>
      <c r="Z96" s="51">
        <v>0</v>
      </c>
      <c r="AA96" s="51">
        <v>0</v>
      </c>
      <c r="AB96" s="51">
        <v>0</v>
      </c>
      <c r="AC96" s="51">
        <v>0</v>
      </c>
      <c r="AD96" s="51">
        <v>0</v>
      </c>
      <c r="AE96" s="51">
        <v>0</v>
      </c>
      <c r="AF96" s="53">
        <v>12000</v>
      </c>
      <c r="AG96" s="53">
        <v>12000</v>
      </c>
      <c r="AH96" s="53">
        <v>12000</v>
      </c>
      <c r="AI96" s="53">
        <v>12000</v>
      </c>
      <c r="AJ96" s="53">
        <v>0</v>
      </c>
      <c r="AK96" s="53">
        <v>0</v>
      </c>
      <c r="AL96" s="53">
        <v>0</v>
      </c>
      <c r="AM96" s="53">
        <v>12000</v>
      </c>
      <c r="AN96" s="53">
        <v>12000</v>
      </c>
      <c r="AO96" s="53">
        <v>12000</v>
      </c>
      <c r="AP96" s="53">
        <v>12000</v>
      </c>
      <c r="AQ96" s="53">
        <v>0</v>
      </c>
      <c r="AR96" s="53">
        <v>0</v>
      </c>
      <c r="AS96" s="53">
        <v>0</v>
      </c>
      <c r="AT96" s="53">
        <v>24000</v>
      </c>
      <c r="AU96" s="53">
        <v>48000</v>
      </c>
      <c r="AV96" s="53">
        <v>48000</v>
      </c>
      <c r="AW96" s="53">
        <v>48000</v>
      </c>
    </row>
    <row r="97" spans="1:49" ht="22" customHeight="1" x14ac:dyDescent="0.2">
      <c r="A97" s="1"/>
      <c r="B97" s="25">
        <v>4</v>
      </c>
      <c r="C97" s="42" t="s">
        <v>381</v>
      </c>
      <c r="D97" s="42" t="s">
        <v>347</v>
      </c>
      <c r="E97" s="49">
        <v>8000</v>
      </c>
      <c r="F97" s="5" t="s">
        <v>331</v>
      </c>
      <c r="G97" s="5" t="s">
        <v>372</v>
      </c>
      <c r="H97" s="42" t="s">
        <v>226</v>
      </c>
      <c r="I97" s="50" t="s">
        <v>332</v>
      </c>
      <c r="J97" s="84"/>
      <c r="K97" s="85"/>
      <c r="L97" s="85"/>
      <c r="M97" s="85"/>
      <c r="N97" s="85"/>
      <c r="O97" s="82"/>
      <c r="P97" s="2"/>
      <c r="Q97" s="51">
        <v>1</v>
      </c>
      <c r="R97" s="52">
        <v>1</v>
      </c>
      <c r="S97" s="53">
        <v>48000</v>
      </c>
      <c r="T97" s="51">
        <v>1</v>
      </c>
      <c r="U97" s="51">
        <v>1</v>
      </c>
      <c r="V97" s="51">
        <v>6</v>
      </c>
      <c r="W97" s="53">
        <v>8000</v>
      </c>
      <c r="X97" s="54">
        <v>1</v>
      </c>
      <c r="Y97" s="51">
        <v>0</v>
      </c>
      <c r="Z97" s="51">
        <v>0</v>
      </c>
      <c r="AA97" s="51">
        <v>0</v>
      </c>
      <c r="AB97" s="51">
        <v>0</v>
      </c>
      <c r="AC97" s="51">
        <v>0</v>
      </c>
      <c r="AD97" s="51">
        <v>0</v>
      </c>
      <c r="AE97" s="51">
        <v>0</v>
      </c>
      <c r="AF97" s="53">
        <v>8000</v>
      </c>
      <c r="AG97" s="53">
        <v>8000</v>
      </c>
      <c r="AH97" s="53">
        <v>8000</v>
      </c>
      <c r="AI97" s="53">
        <v>8000</v>
      </c>
      <c r="AJ97" s="53">
        <v>8000</v>
      </c>
      <c r="AK97" s="53">
        <v>8000</v>
      </c>
      <c r="AL97" s="53">
        <v>0</v>
      </c>
      <c r="AM97" s="53">
        <v>8000</v>
      </c>
      <c r="AN97" s="53">
        <v>8000</v>
      </c>
      <c r="AO97" s="53">
        <v>8000</v>
      </c>
      <c r="AP97" s="53">
        <v>8000</v>
      </c>
      <c r="AQ97" s="53">
        <v>8000</v>
      </c>
      <c r="AR97" s="53">
        <v>8000</v>
      </c>
      <c r="AS97" s="53">
        <v>0</v>
      </c>
      <c r="AT97" s="53">
        <v>16000</v>
      </c>
      <c r="AU97" s="53">
        <v>40000</v>
      </c>
      <c r="AV97" s="53">
        <v>48000</v>
      </c>
      <c r="AW97" s="53">
        <v>48000</v>
      </c>
    </row>
    <row r="98" spans="1:49" ht="22" customHeight="1" x14ac:dyDescent="0.2">
      <c r="A98" s="1"/>
      <c r="B98" s="25">
        <v>5</v>
      </c>
      <c r="C98" s="42" t="s">
        <v>405</v>
      </c>
      <c r="D98" s="42" t="s">
        <v>405</v>
      </c>
      <c r="E98" s="49"/>
      <c r="F98" s="5" t="s">
        <v>405</v>
      </c>
      <c r="G98" s="5" t="s">
        <v>405</v>
      </c>
      <c r="H98" s="42" t="s">
        <v>405</v>
      </c>
      <c r="I98" s="50" t="s">
        <v>279</v>
      </c>
      <c r="J98" s="84"/>
      <c r="K98" s="85"/>
      <c r="L98" s="85"/>
      <c r="M98" s="85"/>
      <c r="N98" s="85"/>
      <c r="O98" s="82"/>
      <c r="P98" s="2"/>
      <c r="Q98" s="51">
        <v>0</v>
      </c>
      <c r="R98" s="52">
        <v>1</v>
      </c>
      <c r="S98" s="53">
        <v>0</v>
      </c>
      <c r="T98" s="51">
        <v>0</v>
      </c>
      <c r="U98" s="51">
        <v>0</v>
      </c>
      <c r="V98" s="51">
        <v>0</v>
      </c>
      <c r="W98" s="53">
        <v>0</v>
      </c>
      <c r="X98" s="54">
        <v>0</v>
      </c>
      <c r="Y98" s="51">
        <v>0</v>
      </c>
      <c r="Z98" s="51">
        <v>0</v>
      </c>
      <c r="AA98" s="51">
        <v>0</v>
      </c>
      <c r="AB98" s="51">
        <v>0</v>
      </c>
      <c r="AC98" s="51">
        <v>0</v>
      </c>
      <c r="AD98" s="51">
        <v>0</v>
      </c>
      <c r="AE98" s="51">
        <v>0</v>
      </c>
      <c r="AF98" s="53">
        <v>0</v>
      </c>
      <c r="AG98" s="53">
        <v>0</v>
      </c>
      <c r="AH98" s="53">
        <v>0</v>
      </c>
      <c r="AI98" s="53">
        <v>0</v>
      </c>
      <c r="AJ98" s="53">
        <v>0</v>
      </c>
      <c r="AK98" s="53">
        <v>0</v>
      </c>
      <c r="AL98" s="53">
        <v>0</v>
      </c>
      <c r="AM98" s="53">
        <v>0</v>
      </c>
      <c r="AN98" s="53">
        <v>0</v>
      </c>
      <c r="AO98" s="53">
        <v>0</v>
      </c>
      <c r="AP98" s="53">
        <v>0</v>
      </c>
      <c r="AQ98" s="53">
        <v>0</v>
      </c>
      <c r="AR98" s="53">
        <v>0</v>
      </c>
      <c r="AS98" s="53">
        <v>0</v>
      </c>
      <c r="AT98" s="53">
        <v>0</v>
      </c>
      <c r="AU98" s="53">
        <v>0</v>
      </c>
      <c r="AV98" s="53">
        <v>0</v>
      </c>
      <c r="AW98" s="53">
        <v>0</v>
      </c>
    </row>
    <row r="99" spans="1:49" ht="22" customHeight="1" x14ac:dyDescent="0.2">
      <c r="A99" s="1"/>
      <c r="B99" s="25">
        <v>6</v>
      </c>
      <c r="C99" s="42" t="s">
        <v>405</v>
      </c>
      <c r="D99" s="42" t="s">
        <v>405</v>
      </c>
      <c r="E99" s="49"/>
      <c r="F99" s="5" t="s">
        <v>405</v>
      </c>
      <c r="G99" s="5" t="s">
        <v>405</v>
      </c>
      <c r="H99" s="42" t="s">
        <v>405</v>
      </c>
      <c r="I99" s="50" t="s">
        <v>279</v>
      </c>
      <c r="J99" s="84"/>
      <c r="K99" s="85"/>
      <c r="L99" s="85"/>
      <c r="M99" s="85"/>
      <c r="N99" s="85"/>
      <c r="O99" s="82"/>
      <c r="P99" s="2"/>
      <c r="Q99" s="51">
        <v>0</v>
      </c>
      <c r="R99" s="52">
        <v>1</v>
      </c>
      <c r="S99" s="53">
        <v>0</v>
      </c>
      <c r="T99" s="51">
        <v>0</v>
      </c>
      <c r="U99" s="51">
        <v>0</v>
      </c>
      <c r="V99" s="51">
        <v>0</v>
      </c>
      <c r="W99" s="53">
        <v>0</v>
      </c>
      <c r="X99" s="54">
        <v>0</v>
      </c>
      <c r="Y99" s="51">
        <v>0</v>
      </c>
      <c r="Z99" s="51">
        <v>0</v>
      </c>
      <c r="AA99" s="51">
        <v>0</v>
      </c>
      <c r="AB99" s="51">
        <v>0</v>
      </c>
      <c r="AC99" s="51">
        <v>0</v>
      </c>
      <c r="AD99" s="51">
        <v>0</v>
      </c>
      <c r="AE99" s="51">
        <v>0</v>
      </c>
      <c r="AF99" s="53">
        <v>0</v>
      </c>
      <c r="AG99" s="53">
        <v>0</v>
      </c>
      <c r="AH99" s="53">
        <v>0</v>
      </c>
      <c r="AI99" s="53">
        <v>0</v>
      </c>
      <c r="AJ99" s="53">
        <v>0</v>
      </c>
      <c r="AK99" s="53">
        <v>0</v>
      </c>
      <c r="AL99" s="53">
        <v>0</v>
      </c>
      <c r="AM99" s="53">
        <v>0</v>
      </c>
      <c r="AN99" s="53">
        <v>0</v>
      </c>
      <c r="AO99" s="53">
        <v>0</v>
      </c>
      <c r="AP99" s="53">
        <v>0</v>
      </c>
      <c r="AQ99" s="53">
        <v>0</v>
      </c>
      <c r="AR99" s="53">
        <v>0</v>
      </c>
      <c r="AS99" s="53">
        <v>0</v>
      </c>
      <c r="AT99" s="53">
        <v>0</v>
      </c>
      <c r="AU99" s="53">
        <v>0</v>
      </c>
      <c r="AV99" s="53">
        <v>0</v>
      </c>
      <c r="AW99" s="53">
        <v>0</v>
      </c>
    </row>
    <row r="100" spans="1:49" ht="22" customHeight="1" x14ac:dyDescent="0.2">
      <c r="A100" s="1"/>
      <c r="B100" s="25">
        <v>7</v>
      </c>
      <c r="C100" s="42" t="s">
        <v>405</v>
      </c>
      <c r="D100" s="42" t="s">
        <v>405</v>
      </c>
      <c r="E100" s="49"/>
      <c r="F100" s="5" t="s">
        <v>405</v>
      </c>
      <c r="G100" s="5" t="s">
        <v>405</v>
      </c>
      <c r="H100" s="42" t="s">
        <v>405</v>
      </c>
      <c r="I100" s="50" t="s">
        <v>279</v>
      </c>
      <c r="J100" s="84"/>
      <c r="K100" s="85"/>
      <c r="L100" s="85"/>
      <c r="M100" s="85"/>
      <c r="N100" s="85"/>
      <c r="O100" s="82"/>
      <c r="P100" s="2"/>
      <c r="Q100" s="51">
        <v>0</v>
      </c>
      <c r="R100" s="52">
        <v>1</v>
      </c>
      <c r="S100" s="53">
        <v>0</v>
      </c>
      <c r="T100" s="51">
        <v>0</v>
      </c>
      <c r="U100" s="51">
        <v>0</v>
      </c>
      <c r="V100" s="51">
        <v>0</v>
      </c>
      <c r="W100" s="53">
        <v>0</v>
      </c>
      <c r="X100" s="54">
        <v>0</v>
      </c>
      <c r="Y100" s="51">
        <v>0</v>
      </c>
      <c r="Z100" s="51">
        <v>0</v>
      </c>
      <c r="AA100" s="51">
        <v>0</v>
      </c>
      <c r="AB100" s="51">
        <v>0</v>
      </c>
      <c r="AC100" s="51">
        <v>0</v>
      </c>
      <c r="AD100" s="51">
        <v>0</v>
      </c>
      <c r="AE100" s="51">
        <v>0</v>
      </c>
      <c r="AF100" s="53">
        <v>0</v>
      </c>
      <c r="AG100" s="53">
        <v>0</v>
      </c>
      <c r="AH100" s="53">
        <v>0</v>
      </c>
      <c r="AI100" s="53">
        <v>0</v>
      </c>
      <c r="AJ100" s="53">
        <v>0</v>
      </c>
      <c r="AK100" s="53">
        <v>0</v>
      </c>
      <c r="AL100" s="53">
        <v>0</v>
      </c>
      <c r="AM100" s="53">
        <v>0</v>
      </c>
      <c r="AN100" s="53">
        <v>0</v>
      </c>
      <c r="AO100" s="53">
        <v>0</v>
      </c>
      <c r="AP100" s="53">
        <v>0</v>
      </c>
      <c r="AQ100" s="53">
        <v>0</v>
      </c>
      <c r="AR100" s="53">
        <v>0</v>
      </c>
      <c r="AS100" s="53">
        <v>0</v>
      </c>
      <c r="AT100" s="53">
        <v>0</v>
      </c>
      <c r="AU100" s="53">
        <v>0</v>
      </c>
      <c r="AV100" s="53">
        <v>0</v>
      </c>
      <c r="AW100" s="53">
        <v>0</v>
      </c>
    </row>
    <row r="101" spans="1:49" ht="22" customHeight="1" x14ac:dyDescent="0.2">
      <c r="A101" s="1"/>
      <c r="B101" s="25">
        <v>8</v>
      </c>
      <c r="C101" s="42" t="s">
        <v>405</v>
      </c>
      <c r="D101" s="42" t="s">
        <v>405</v>
      </c>
      <c r="E101" s="49"/>
      <c r="F101" s="5" t="s">
        <v>405</v>
      </c>
      <c r="G101" s="5" t="s">
        <v>405</v>
      </c>
      <c r="H101" s="42" t="s">
        <v>405</v>
      </c>
      <c r="I101" s="50" t="s">
        <v>279</v>
      </c>
      <c r="J101" s="84"/>
      <c r="K101" s="85"/>
      <c r="L101" s="85"/>
      <c r="M101" s="85"/>
      <c r="N101" s="85"/>
      <c r="O101" s="82"/>
      <c r="P101" s="2"/>
      <c r="Q101" s="51">
        <v>0</v>
      </c>
      <c r="R101" s="52">
        <v>1</v>
      </c>
      <c r="S101" s="53">
        <v>0</v>
      </c>
      <c r="T101" s="51">
        <v>0</v>
      </c>
      <c r="U101" s="51">
        <v>0</v>
      </c>
      <c r="V101" s="51">
        <v>0</v>
      </c>
      <c r="W101" s="53">
        <v>0</v>
      </c>
      <c r="X101" s="54">
        <v>0</v>
      </c>
      <c r="Y101" s="51">
        <v>0</v>
      </c>
      <c r="Z101" s="51">
        <v>0</v>
      </c>
      <c r="AA101" s="51">
        <v>0</v>
      </c>
      <c r="AB101" s="51">
        <v>0</v>
      </c>
      <c r="AC101" s="51">
        <v>0</v>
      </c>
      <c r="AD101" s="51">
        <v>0</v>
      </c>
      <c r="AE101" s="51">
        <v>0</v>
      </c>
      <c r="AF101" s="53">
        <v>0</v>
      </c>
      <c r="AG101" s="53">
        <v>0</v>
      </c>
      <c r="AH101" s="53">
        <v>0</v>
      </c>
      <c r="AI101" s="53">
        <v>0</v>
      </c>
      <c r="AJ101" s="53">
        <v>0</v>
      </c>
      <c r="AK101" s="53">
        <v>0</v>
      </c>
      <c r="AL101" s="53">
        <v>0</v>
      </c>
      <c r="AM101" s="53">
        <v>0</v>
      </c>
      <c r="AN101" s="53">
        <v>0</v>
      </c>
      <c r="AO101" s="53">
        <v>0</v>
      </c>
      <c r="AP101" s="53">
        <v>0</v>
      </c>
      <c r="AQ101" s="53">
        <v>0</v>
      </c>
      <c r="AR101" s="53">
        <v>0</v>
      </c>
      <c r="AS101" s="53">
        <v>0</v>
      </c>
      <c r="AT101" s="53">
        <v>0</v>
      </c>
      <c r="AU101" s="53">
        <v>0</v>
      </c>
      <c r="AV101" s="53">
        <v>0</v>
      </c>
      <c r="AW101" s="53">
        <v>0</v>
      </c>
    </row>
    <row r="102" spans="1:49" x14ac:dyDescent="0.2">
      <c r="A102" s="1"/>
      <c r="B102" s="1"/>
      <c r="C102" s="1"/>
      <c r="D102" s="1"/>
      <c r="E102" s="1"/>
      <c r="F102" s="1"/>
      <c r="G102" s="1"/>
      <c r="H102" s="1"/>
      <c r="I102" s="1"/>
      <c r="J102" s="1"/>
      <c r="K102" s="1"/>
      <c r="L102" s="1"/>
      <c r="M102" s="1"/>
      <c r="N102" s="1"/>
      <c r="O102" s="8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row>
    <row r="103" spans="1:49" ht="24" customHeight="1" x14ac:dyDescent="0.2">
      <c r="A103" s="1"/>
      <c r="B103" s="107" t="s">
        <v>285</v>
      </c>
      <c r="C103" s="85"/>
      <c r="D103" s="85"/>
      <c r="E103" s="85"/>
      <c r="F103" s="85"/>
      <c r="G103" s="85"/>
      <c r="H103" s="85"/>
      <c r="I103" s="85"/>
      <c r="J103" s="85"/>
      <c r="K103" s="85"/>
      <c r="L103" s="85"/>
      <c r="M103" s="85"/>
      <c r="N103" s="85"/>
      <c r="O103" s="8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row>
    <row r="104" spans="1:49" ht="30" customHeight="1" x14ac:dyDescent="0.2">
      <c r="A104" s="1"/>
      <c r="B104" s="84" t="s">
        <v>286</v>
      </c>
      <c r="C104" s="85"/>
      <c r="D104" s="85"/>
      <c r="E104" s="85"/>
      <c r="F104" s="85"/>
      <c r="G104" s="85"/>
      <c r="H104" s="85"/>
      <c r="I104" s="85"/>
      <c r="J104" s="85"/>
      <c r="K104" s="85"/>
      <c r="L104" s="85"/>
      <c r="M104" s="85"/>
      <c r="N104" s="85"/>
      <c r="O104" s="8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row>
    <row r="105" spans="1:49" ht="30" customHeight="1" x14ac:dyDescent="0.2">
      <c r="A105" s="1"/>
      <c r="B105" s="84" t="s">
        <v>287</v>
      </c>
      <c r="C105" s="85"/>
      <c r="D105" s="85"/>
      <c r="E105" s="85"/>
      <c r="F105" s="85"/>
      <c r="G105" s="85"/>
      <c r="H105" s="85"/>
      <c r="I105" s="85"/>
      <c r="J105" s="85"/>
      <c r="K105" s="85"/>
      <c r="L105" s="85"/>
      <c r="M105" s="85"/>
      <c r="N105" s="85"/>
      <c r="O105" s="8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row>
    <row r="106" spans="1:49" ht="30" customHeight="1" x14ac:dyDescent="0.2">
      <c r="A106" s="1"/>
      <c r="B106" s="84" t="s">
        <v>288</v>
      </c>
      <c r="C106" s="85"/>
      <c r="D106" s="85"/>
      <c r="E106" s="85"/>
      <c r="F106" s="85"/>
      <c r="G106" s="85"/>
      <c r="H106" s="85"/>
      <c r="I106" s="85"/>
      <c r="J106" s="85"/>
      <c r="K106" s="85"/>
      <c r="L106" s="85"/>
      <c r="M106" s="85"/>
      <c r="N106" s="85"/>
      <c r="O106" s="8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row>
    <row r="107" spans="1:49" ht="30" customHeight="1" x14ac:dyDescent="0.2">
      <c r="A107" s="1"/>
      <c r="B107" s="84" t="s">
        <v>289</v>
      </c>
      <c r="C107" s="85"/>
      <c r="D107" s="85"/>
      <c r="E107" s="85"/>
      <c r="F107" s="85"/>
      <c r="G107" s="85"/>
      <c r="H107" s="85"/>
      <c r="I107" s="85"/>
      <c r="J107" s="85"/>
      <c r="K107" s="85"/>
      <c r="L107" s="85"/>
      <c r="M107" s="85"/>
      <c r="N107" s="85"/>
      <c r="O107" s="8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row>
    <row r="108" spans="1:49" ht="30" customHeight="1" x14ac:dyDescent="0.2">
      <c r="A108" s="1"/>
      <c r="B108" s="84" t="s">
        <v>290</v>
      </c>
      <c r="C108" s="85"/>
      <c r="D108" s="85"/>
      <c r="E108" s="85"/>
      <c r="F108" s="85"/>
      <c r="G108" s="85"/>
      <c r="H108" s="85"/>
      <c r="I108" s="85"/>
      <c r="J108" s="85"/>
      <c r="K108" s="85"/>
      <c r="L108" s="85"/>
      <c r="M108" s="85"/>
      <c r="N108" s="85"/>
      <c r="O108" s="8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row>
    <row r="109" spans="1:49" ht="30" customHeight="1" x14ac:dyDescent="0.2">
      <c r="A109" s="1"/>
      <c r="B109" s="84" t="s">
        <v>291</v>
      </c>
      <c r="C109" s="85"/>
      <c r="D109" s="85"/>
      <c r="E109" s="85"/>
      <c r="F109" s="85"/>
      <c r="G109" s="85"/>
      <c r="H109" s="85"/>
      <c r="I109" s="85"/>
      <c r="J109" s="85"/>
      <c r="K109" s="85"/>
      <c r="L109" s="85"/>
      <c r="M109" s="85"/>
      <c r="N109" s="85"/>
      <c r="O109" s="8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row>
    <row r="110" spans="1:49" x14ac:dyDescent="0.2">
      <c r="A110" s="1"/>
      <c r="B110" s="1"/>
      <c r="C110" s="1"/>
      <c r="D110" s="1"/>
      <c r="E110" s="1"/>
      <c r="F110" s="1"/>
      <c r="G110" s="1"/>
      <c r="H110" s="1"/>
      <c r="I110" s="1"/>
      <c r="J110" s="1"/>
      <c r="K110" s="1"/>
      <c r="L110" s="1"/>
      <c r="M110" s="1"/>
      <c r="N110" s="1"/>
      <c r="O110" s="8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row>
    <row r="111" spans="1:49" ht="22" customHeight="1" x14ac:dyDescent="0.2">
      <c r="A111" s="1"/>
      <c r="B111" s="90" t="s">
        <v>166</v>
      </c>
      <c r="C111" s="85"/>
      <c r="D111" s="85"/>
      <c r="E111" s="85"/>
      <c r="F111" s="85"/>
      <c r="G111" s="85"/>
      <c r="H111" s="1"/>
      <c r="I111" s="1"/>
      <c r="J111" s="1"/>
      <c r="K111" s="1"/>
      <c r="L111" s="1"/>
      <c r="M111" s="3" t="s">
        <v>167</v>
      </c>
      <c r="N111" s="1"/>
      <c r="O111" s="8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row>
    <row r="112" spans="1:49" x14ac:dyDescent="0.2">
      <c r="A112" s="67"/>
      <c r="B112" s="67"/>
      <c r="C112" s="67"/>
      <c r="D112" s="67"/>
      <c r="E112" s="67"/>
      <c r="F112" s="67"/>
      <c r="G112" s="67"/>
      <c r="H112" s="67"/>
      <c r="I112" s="67"/>
      <c r="J112" s="67"/>
      <c r="K112" s="67"/>
      <c r="L112" s="67"/>
      <c r="M112" s="67"/>
      <c r="N112" s="67"/>
      <c r="O112" s="67"/>
    </row>
  </sheetData>
  <mergeCells count="94">
    <mergeCell ref="D2:K2"/>
    <mergeCell ref="B6:N6"/>
    <mergeCell ref="C7:D7"/>
    <mergeCell ref="E7:N7"/>
    <mergeCell ref="C8:D8"/>
    <mergeCell ref="E8:N8"/>
    <mergeCell ref="C16:E16"/>
    <mergeCell ref="G16:N16"/>
    <mergeCell ref="C9:D9"/>
    <mergeCell ref="E9:N9"/>
    <mergeCell ref="C10:D10"/>
    <mergeCell ref="E10:N10"/>
    <mergeCell ref="C11:D11"/>
    <mergeCell ref="E11:N11"/>
    <mergeCell ref="C12:D12"/>
    <mergeCell ref="E12:N12"/>
    <mergeCell ref="B14:N14"/>
    <mergeCell ref="C15:E15"/>
    <mergeCell ref="G15:N15"/>
    <mergeCell ref="C17:E17"/>
    <mergeCell ref="G17:N17"/>
    <mergeCell ref="C18:E18"/>
    <mergeCell ref="G18:N18"/>
    <mergeCell ref="C19:E19"/>
    <mergeCell ref="G19:N19"/>
    <mergeCell ref="M30:N30"/>
    <mergeCell ref="C20:E20"/>
    <mergeCell ref="G20:N20"/>
    <mergeCell ref="C21:E21"/>
    <mergeCell ref="G21:N21"/>
    <mergeCell ref="B23:N23"/>
    <mergeCell ref="M24:N24"/>
    <mergeCell ref="M25:N25"/>
    <mergeCell ref="M26:N26"/>
    <mergeCell ref="M27:N27"/>
    <mergeCell ref="M28:N28"/>
    <mergeCell ref="M29:N29"/>
    <mergeCell ref="C43:E43"/>
    <mergeCell ref="H43:N43"/>
    <mergeCell ref="M31:N31"/>
    <mergeCell ref="M32:N32"/>
    <mergeCell ref="M33:N33"/>
    <mergeCell ref="B35:N35"/>
    <mergeCell ref="G36:N36"/>
    <mergeCell ref="G37:N37"/>
    <mergeCell ref="G38:N38"/>
    <mergeCell ref="G39:N39"/>
    <mergeCell ref="B41:N41"/>
    <mergeCell ref="C42:E42"/>
    <mergeCell ref="H42:N42"/>
    <mergeCell ref="C44:E44"/>
    <mergeCell ref="H44:N44"/>
    <mergeCell ref="C45:E45"/>
    <mergeCell ref="H45:N45"/>
    <mergeCell ref="C46:E46"/>
    <mergeCell ref="H46:N46"/>
    <mergeCell ref="C54:E54"/>
    <mergeCell ref="I54:N54"/>
    <mergeCell ref="C47:E47"/>
    <mergeCell ref="H47:N47"/>
    <mergeCell ref="C48:E48"/>
    <mergeCell ref="H48:N48"/>
    <mergeCell ref="C49:E49"/>
    <mergeCell ref="H49:N49"/>
    <mergeCell ref="C50:E50"/>
    <mergeCell ref="H50:N50"/>
    <mergeCell ref="B52:N52"/>
    <mergeCell ref="C53:E53"/>
    <mergeCell ref="I53:N53"/>
    <mergeCell ref="C55:E55"/>
    <mergeCell ref="I55:N55"/>
    <mergeCell ref="C56:E56"/>
    <mergeCell ref="I56:N56"/>
    <mergeCell ref="C57:E57"/>
    <mergeCell ref="I57:N57"/>
    <mergeCell ref="B103:N103"/>
    <mergeCell ref="B59:N59"/>
    <mergeCell ref="B92:N92"/>
    <mergeCell ref="J93:N93"/>
    <mergeCell ref="J94:N94"/>
    <mergeCell ref="J95:N95"/>
    <mergeCell ref="J96:N96"/>
    <mergeCell ref="J97:N97"/>
    <mergeCell ref="J98:N98"/>
    <mergeCell ref="J99:N99"/>
    <mergeCell ref="J100:N100"/>
    <mergeCell ref="J101:N101"/>
    <mergeCell ref="B111:G111"/>
    <mergeCell ref="B104:N104"/>
    <mergeCell ref="B105:N105"/>
    <mergeCell ref="B106:N106"/>
    <mergeCell ref="B107:N107"/>
    <mergeCell ref="B108:N108"/>
    <mergeCell ref="B109:N109"/>
  </mergeCells>
  <dataValidations count="7">
    <dataValidation type="list" allowBlank="1" sqref="M61:M90 I94:I101" xr:uid="{C26AC19E-2663-4448-B8EA-D7F062EAB5E3}">
      <formula1>"Y,N"</formula1>
    </dataValidation>
    <dataValidation type="list" allowBlank="1" sqref="I61:I90 F94:G101" xr:uid="{BF3B8B3E-EF76-604A-AA0E-D41447C8AF94}">
      <formula1>"M1,M2,M3,M4,M5,M6"</formula1>
    </dataValidation>
    <dataValidation type="list" allowBlank="1" sqref="E61:E90" xr:uid="{CED862AC-613D-4148-A78F-1C07C97E59DB}">
      <formula1>"New,Expansion,Renewal,Project"</formula1>
    </dataValidation>
    <dataValidation type="list" allowBlank="1" sqref="L61:L90 H94:H101" xr:uid="{5905F9E2-5C83-F949-ACAA-E563CCA23BCE}">
      <formula1>"Net 14,Net 30,Net 45,Net 60,Milestone 50/50,Milestone 25/50/25,Milestone 33/33/33,Retainer · Net 30,Retainer · Net 14"</formula1>
    </dataValidation>
    <dataValidation type="list" allowBlank="1" sqref="F61:F90" xr:uid="{DBCED685-DAC9-9342-A3F2-8FAF38F2909C}">
      <formula1>"Discovery,Qualified,Proposal,Negotiation,Verbal Yes,Contract Out"</formula1>
    </dataValidation>
    <dataValidation type="list" allowBlank="1" sqref="C9" xr:uid="{A6214469-5686-BC4A-A69C-C9299989819B}">
      <formula1>"Digital agency,Management consultancy,IT services / MSP,Professional services,Engineering / technical,Recruiting / staffing,Specialty trades,Other"</formula1>
    </dataValidation>
    <dataValidation type="list" allowBlank="1" sqref="C7" xr:uid="{392D2447-77CB-3940-8782-EA604A5C20AC}">
      <formula1>"AU,NZ,US"</formula1>
    </dataValidation>
  </dataValidations>
  <printOptions horizontalCentered="1"/>
  <pageMargins left="0.4" right="0.4" top="0.5" bottom="0.5" header="0.3" footer="0.3"/>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1539</vt:i4>
      </vt:variant>
    </vt:vector>
  </HeadingPairs>
  <TitlesOfParts>
    <vt:vector size="1544" baseType="lpstr">
      <vt:lpstr>Read Me</vt:lpstr>
      <vt:lpstr>Forecast</vt:lpstr>
      <vt:lpstr>Pipeline</vt:lpstr>
      <vt:lpstr>Sample Forecast</vt:lpstr>
      <vt:lpstr>Sample Pipeline</vt:lpstr>
      <vt:lpstr>'Sample Pipeline'!calc_deal_3mcash_col</vt:lpstr>
      <vt:lpstr>calc_deal_3mcash_col</vt:lpstr>
      <vt:lpstr>'Sample Pipeline'!calc_deal_6mcash_col</vt:lpstr>
      <vt:lpstr>calc_deal_6mcash_col</vt:lpstr>
      <vt:lpstr>'Sample Pipeline'!calc_deal_6mrev_col</vt:lpstr>
      <vt:lpstr>calc_deal_6mrev_col</vt:lpstr>
      <vt:lpstr>'Sample Pipeline'!calc_deal_8mcash_col</vt:lpstr>
      <vt:lpstr>calc_deal_8mcash_col</vt:lpstr>
      <vt:lpstr>'Sample Pipeline'!calc_deal_active_col</vt:lpstr>
      <vt:lpstr>calc_deal_active_col</vt:lpstr>
      <vt:lpstr>'Sample Pipeline'!calc_deal_cash_m1</vt:lpstr>
      <vt:lpstr>calc_deal_cash_m1</vt:lpstr>
      <vt:lpstr>'Sample Pipeline'!calc_deal_cash_m2</vt:lpstr>
      <vt:lpstr>calc_deal_cash_m2</vt:lpstr>
      <vt:lpstr>'Sample Pipeline'!calc_deal_cash_m3</vt:lpstr>
      <vt:lpstr>calc_deal_cash_m3</vt:lpstr>
      <vt:lpstr>'Sample Pipeline'!calc_deal_cash_m4</vt:lpstr>
      <vt:lpstr>calc_deal_cash_m4</vt:lpstr>
      <vt:lpstr>'Sample Pipeline'!calc_deal_cash_m5</vt:lpstr>
      <vt:lpstr>calc_deal_cash_m5</vt:lpstr>
      <vt:lpstr>'Sample Pipeline'!calc_deal_cash_m6</vt:lpstr>
      <vt:lpstr>calc_deal_cash_m6</vt:lpstr>
      <vt:lpstr>'Sample Pipeline'!calc_deal_cash_m7</vt:lpstr>
      <vt:lpstr>calc_deal_cash_m7</vt:lpstr>
      <vt:lpstr>'Sample Pipeline'!calc_deal_cash_m8</vt:lpstr>
      <vt:lpstr>calc_deal_cash_m8</vt:lpstr>
      <vt:lpstr>'Sample Pipeline'!calc_deal_client_col</vt:lpstr>
      <vt:lpstr>calc_deal_client_col</vt:lpstr>
      <vt:lpstr>'Sample Pipeline'!calc_deal_ismsmask_col</vt:lpstr>
      <vt:lpstr>calc_deal_ismsmask_col</vt:lpstr>
      <vt:lpstr>'Sample Pipeline'!calc_deal_ms_w1_col</vt:lpstr>
      <vt:lpstr>calc_deal_ms_w1_col</vt:lpstr>
      <vt:lpstr>'Sample Pipeline'!calc_deal_ms_w2_col</vt:lpstr>
      <vt:lpstr>calc_deal_ms_w2_col</vt:lpstr>
      <vt:lpstr>'Sample Pipeline'!calc_deal_ms_w3_col</vt:lpstr>
      <vt:lpstr>calc_deal_ms_w3_col</vt:lpstr>
      <vt:lpstr>'Sample Pipeline'!calc_deal_name_col</vt:lpstr>
      <vt:lpstr>calc_deal_name_col</vt:lpstr>
      <vt:lpstr>'Sample Pipeline'!calc_deal_prob_col</vt:lpstr>
      <vt:lpstr>calc_deal_prob_col</vt:lpstr>
      <vt:lpstr>'Sample Pipeline'!calc_deal_pt_col</vt:lpstr>
      <vt:lpstr>calc_deal_pt_col</vt:lpstr>
      <vt:lpstr>'Sample Pipeline'!calc_deal_rev_m1</vt:lpstr>
      <vt:lpstr>calc_deal_rev_m1</vt:lpstr>
      <vt:lpstr>'Sample Pipeline'!calc_deal_rev_m2</vt:lpstr>
      <vt:lpstr>calc_deal_rev_m2</vt:lpstr>
      <vt:lpstr>'Sample Pipeline'!calc_deal_rev_m3</vt:lpstr>
      <vt:lpstr>calc_deal_rev_m3</vt:lpstr>
      <vt:lpstr>'Sample Pipeline'!calc_deal_rev_m4</vt:lpstr>
      <vt:lpstr>calc_deal_rev_m4</vt:lpstr>
      <vt:lpstr>'Sample Pipeline'!calc_deal_rev_m5</vt:lpstr>
      <vt:lpstr>calc_deal_rev_m5</vt:lpstr>
      <vt:lpstr>'Sample Pipeline'!calc_deal_rev_m6</vt:lpstr>
      <vt:lpstr>calc_deal_rev_m6</vt:lpstr>
      <vt:lpstr>'Sample Pipeline'!calc_deal_stage_col</vt:lpstr>
      <vt:lpstr>calc_deal_stage_col</vt:lpstr>
      <vt:lpstr>'Sample Pipeline'!calc_deal_value_col</vt:lpstr>
      <vt:lpstr>calc_deal_value_col</vt:lpstr>
      <vt:lpstr>'Sample Pipeline'!calc_deal_weighted_col</vt:lpstr>
      <vt:lpstr>calc_deal_weighted_col</vt:lpstr>
      <vt:lpstr>'Sample Pipeline'!calc_ret_3mcash_col</vt:lpstr>
      <vt:lpstr>calc_ret_3mcash_col</vt:lpstr>
      <vt:lpstr>'Sample Pipeline'!calc_ret_6mcash_col</vt:lpstr>
      <vt:lpstr>calc_ret_6mcash_col</vt:lpstr>
      <vt:lpstr>'Sample Pipeline'!calc_ret_6mrev_col</vt:lpstr>
      <vt:lpstr>calc_ret_6mrev_col</vt:lpstr>
      <vt:lpstr>'Sample Pipeline'!calc_ret_8mcash_col</vt:lpstr>
      <vt:lpstr>calc_ret_8mcash_col</vt:lpstr>
      <vt:lpstr>'Sample Pipeline'!calc_ret_active_col</vt:lpstr>
      <vt:lpstr>calc_ret_active_col</vt:lpstr>
      <vt:lpstr>'Sample Pipeline'!calc_ret_cash_m1</vt:lpstr>
      <vt:lpstr>calc_ret_cash_m1</vt:lpstr>
      <vt:lpstr>'Sample Pipeline'!calc_ret_cash_m2</vt:lpstr>
      <vt:lpstr>calc_ret_cash_m2</vt:lpstr>
      <vt:lpstr>'Sample Pipeline'!calc_ret_cash_m3</vt:lpstr>
      <vt:lpstr>calc_ret_cash_m3</vt:lpstr>
      <vt:lpstr>'Sample Pipeline'!calc_ret_cash_m4</vt:lpstr>
      <vt:lpstr>calc_ret_cash_m4</vt:lpstr>
      <vt:lpstr>'Sample Pipeline'!calc_ret_cash_m5</vt:lpstr>
      <vt:lpstr>calc_ret_cash_m5</vt:lpstr>
      <vt:lpstr>'Sample Pipeline'!calc_ret_cash_m6</vt:lpstr>
      <vt:lpstr>calc_ret_cash_m6</vt:lpstr>
      <vt:lpstr>'Sample Pipeline'!calc_ret_cash_m7</vt:lpstr>
      <vt:lpstr>calc_ret_cash_m7</vt:lpstr>
      <vt:lpstr>'Sample Pipeline'!calc_ret_cash_m8</vt:lpstr>
      <vt:lpstr>calc_ret_cash_m8</vt:lpstr>
      <vt:lpstr>'Sample Pipeline'!calc_ret_client_col</vt:lpstr>
      <vt:lpstr>calc_ret_client_col</vt:lpstr>
      <vt:lpstr>'Sample Pipeline'!calc_ret_name_col</vt:lpstr>
      <vt:lpstr>calc_ret_name_col</vt:lpstr>
      <vt:lpstr>'Sample Pipeline'!calc_ret_rev_m1</vt:lpstr>
      <vt:lpstr>calc_ret_rev_m1</vt:lpstr>
      <vt:lpstr>'Sample Pipeline'!calc_ret_rev_m2</vt:lpstr>
      <vt:lpstr>calc_ret_rev_m2</vt:lpstr>
      <vt:lpstr>'Sample Pipeline'!calc_ret_rev_m3</vt:lpstr>
      <vt:lpstr>calc_ret_rev_m3</vt:lpstr>
      <vt:lpstr>'Sample Pipeline'!calc_ret_rev_m4</vt:lpstr>
      <vt:lpstr>calc_ret_rev_m4</vt:lpstr>
      <vt:lpstr>'Sample Pipeline'!calc_ret_rev_m5</vt:lpstr>
      <vt:lpstr>calc_ret_rev_m5</vt:lpstr>
      <vt:lpstr>'Sample Pipeline'!calc_ret_rev_m6</vt:lpstr>
      <vt:lpstr>calc_ret_rev_m6</vt:lpstr>
      <vt:lpstr>'Sample Pipeline'!calc_ret_weighted_col</vt:lpstr>
      <vt:lpstr>calc_ret_weighted_col</vt:lpstr>
      <vt:lpstr>chk_c01</vt:lpstr>
      <vt:lpstr>chk_c02</vt:lpstr>
      <vt:lpstr>chk_c03</vt:lpstr>
      <vt:lpstr>chk_c04</vt:lpstr>
      <vt:lpstr>chk_c05</vt:lpstr>
      <vt:lpstr>chk_c06</vt:lpstr>
      <vt:lpstr>chk_c07</vt:lpstr>
      <vt:lpstr>chk_c08</vt:lpstr>
      <vt:lpstr>chk_c09</vt:lpstr>
      <vt:lpstr>chk_c10</vt:lpstr>
      <vt:lpstr>chk_c11</vt:lpstr>
      <vt:lpstr>chk_c12</vt:lpstr>
      <vt:lpstr>chk_c13</vt:lpstr>
      <vt:lpstr>chk_c14</vt:lpstr>
      <vt:lpstr>chk_c15</vt:lpstr>
      <vt:lpstr>chk_c16</vt:lpstr>
      <vt:lpstr>chk_c17</vt:lpstr>
      <vt:lpstr>chk_c18</vt:lpstr>
      <vt:lpstr>chk_c19</vt:lpstr>
      <vt:lpstr>chk_c20</vt:lpstr>
      <vt:lpstr>chk_c21</vt:lpstr>
      <vt:lpstr>chk_c22</vt:lpstr>
      <vt:lpstr>chk_c23</vt:lpstr>
      <vt:lpstr>'Sample Pipeline'!inp_business_name</vt:lpstr>
      <vt:lpstr>inp_business_name</vt:lpstr>
      <vt:lpstr>'Sample Pipeline'!inp_currency</vt:lpstr>
      <vt:lpstr>inp_currency</vt:lpstr>
      <vt:lpstr>'Sample Pipeline'!inp_d1_active</vt:lpstr>
      <vt:lpstr>inp_d1_active</vt:lpstr>
      <vt:lpstr>'Sample Pipeline'!inp_d1_client</vt:lpstr>
      <vt:lpstr>inp_d1_client</vt:lpstr>
      <vt:lpstr>'Sample Pipeline'!inp_d1_close</vt:lpstr>
      <vt:lpstr>inp_d1_close</vt:lpstr>
      <vt:lpstr>'Sample Pipeline'!inp_d1_duration</vt:lpstr>
      <vt:lpstr>inp_d1_duration</vt:lpstr>
      <vt:lpstr>'Sample Pipeline'!inp_d1_name</vt:lpstr>
      <vt:lpstr>inp_d1_name</vt:lpstr>
      <vt:lpstr>'Sample Pipeline'!inp_d1_offset</vt:lpstr>
      <vt:lpstr>inp_d1_offset</vt:lpstr>
      <vt:lpstr>'Sample Pipeline'!inp_d1_prob</vt:lpstr>
      <vt:lpstr>inp_d1_prob</vt:lpstr>
      <vt:lpstr>'Sample Pipeline'!inp_d1_pt</vt:lpstr>
      <vt:lpstr>inp_d1_pt</vt:lpstr>
      <vt:lpstr>'Sample Pipeline'!inp_d1_stage</vt:lpstr>
      <vt:lpstr>inp_d1_stage</vt:lpstr>
      <vt:lpstr>'Sample Pipeline'!inp_d1_type</vt:lpstr>
      <vt:lpstr>inp_d1_type</vt:lpstr>
      <vt:lpstr>'Sample Pipeline'!inp_d1_value</vt:lpstr>
      <vt:lpstr>inp_d1_value</vt:lpstr>
      <vt:lpstr>'Sample Pipeline'!inp_d10_active</vt:lpstr>
      <vt:lpstr>inp_d10_active</vt:lpstr>
      <vt:lpstr>'Sample Pipeline'!inp_d10_client</vt:lpstr>
      <vt:lpstr>inp_d10_client</vt:lpstr>
      <vt:lpstr>'Sample Pipeline'!inp_d10_close</vt:lpstr>
      <vt:lpstr>inp_d10_close</vt:lpstr>
      <vt:lpstr>'Sample Pipeline'!inp_d10_duration</vt:lpstr>
      <vt:lpstr>inp_d10_duration</vt:lpstr>
      <vt:lpstr>'Sample Pipeline'!inp_d10_name</vt:lpstr>
      <vt:lpstr>inp_d10_name</vt:lpstr>
      <vt:lpstr>'Sample Pipeline'!inp_d10_offset</vt:lpstr>
      <vt:lpstr>inp_d10_offset</vt:lpstr>
      <vt:lpstr>'Sample Pipeline'!inp_d10_prob</vt:lpstr>
      <vt:lpstr>inp_d10_prob</vt:lpstr>
      <vt:lpstr>'Sample Pipeline'!inp_d10_pt</vt:lpstr>
      <vt:lpstr>inp_d10_pt</vt:lpstr>
      <vt:lpstr>'Sample Pipeline'!inp_d10_stage</vt:lpstr>
      <vt:lpstr>inp_d10_stage</vt:lpstr>
      <vt:lpstr>'Sample Pipeline'!inp_d10_type</vt:lpstr>
      <vt:lpstr>inp_d10_type</vt:lpstr>
      <vt:lpstr>'Sample Pipeline'!inp_d10_value</vt:lpstr>
      <vt:lpstr>inp_d10_value</vt:lpstr>
      <vt:lpstr>'Sample Pipeline'!inp_d11_active</vt:lpstr>
      <vt:lpstr>inp_d11_active</vt:lpstr>
      <vt:lpstr>'Sample Pipeline'!inp_d11_client</vt:lpstr>
      <vt:lpstr>inp_d11_client</vt:lpstr>
      <vt:lpstr>'Sample Pipeline'!inp_d11_close</vt:lpstr>
      <vt:lpstr>inp_d11_close</vt:lpstr>
      <vt:lpstr>'Sample Pipeline'!inp_d11_duration</vt:lpstr>
      <vt:lpstr>inp_d11_duration</vt:lpstr>
      <vt:lpstr>'Sample Pipeline'!inp_d11_name</vt:lpstr>
      <vt:lpstr>inp_d11_name</vt:lpstr>
      <vt:lpstr>'Sample Pipeline'!inp_d11_offset</vt:lpstr>
      <vt:lpstr>inp_d11_offset</vt:lpstr>
      <vt:lpstr>'Sample Pipeline'!inp_d11_prob</vt:lpstr>
      <vt:lpstr>inp_d11_prob</vt:lpstr>
      <vt:lpstr>'Sample Pipeline'!inp_d11_pt</vt:lpstr>
      <vt:lpstr>inp_d11_pt</vt:lpstr>
      <vt:lpstr>'Sample Pipeline'!inp_d11_stage</vt:lpstr>
      <vt:lpstr>inp_d11_stage</vt:lpstr>
      <vt:lpstr>'Sample Pipeline'!inp_d11_type</vt:lpstr>
      <vt:lpstr>inp_d11_type</vt:lpstr>
      <vt:lpstr>'Sample Pipeline'!inp_d11_value</vt:lpstr>
      <vt:lpstr>inp_d11_value</vt:lpstr>
      <vt:lpstr>'Sample Pipeline'!inp_d12_active</vt:lpstr>
      <vt:lpstr>inp_d12_active</vt:lpstr>
      <vt:lpstr>'Sample Pipeline'!inp_d12_client</vt:lpstr>
      <vt:lpstr>inp_d12_client</vt:lpstr>
      <vt:lpstr>'Sample Pipeline'!inp_d12_close</vt:lpstr>
      <vt:lpstr>inp_d12_close</vt:lpstr>
      <vt:lpstr>'Sample Pipeline'!inp_d12_duration</vt:lpstr>
      <vt:lpstr>inp_d12_duration</vt:lpstr>
      <vt:lpstr>'Sample Pipeline'!inp_d12_name</vt:lpstr>
      <vt:lpstr>inp_d12_name</vt:lpstr>
      <vt:lpstr>'Sample Pipeline'!inp_d12_offset</vt:lpstr>
      <vt:lpstr>inp_d12_offset</vt:lpstr>
      <vt:lpstr>'Sample Pipeline'!inp_d12_prob</vt:lpstr>
      <vt:lpstr>inp_d12_prob</vt:lpstr>
      <vt:lpstr>'Sample Pipeline'!inp_d12_pt</vt:lpstr>
      <vt:lpstr>inp_d12_pt</vt:lpstr>
      <vt:lpstr>'Sample Pipeline'!inp_d12_stage</vt:lpstr>
      <vt:lpstr>inp_d12_stage</vt:lpstr>
      <vt:lpstr>'Sample Pipeline'!inp_d12_type</vt:lpstr>
      <vt:lpstr>inp_d12_type</vt:lpstr>
      <vt:lpstr>'Sample Pipeline'!inp_d12_value</vt:lpstr>
      <vt:lpstr>inp_d12_value</vt:lpstr>
      <vt:lpstr>'Sample Pipeline'!inp_d13_active</vt:lpstr>
      <vt:lpstr>inp_d13_active</vt:lpstr>
      <vt:lpstr>'Sample Pipeline'!inp_d13_client</vt:lpstr>
      <vt:lpstr>inp_d13_client</vt:lpstr>
      <vt:lpstr>'Sample Pipeline'!inp_d13_close</vt:lpstr>
      <vt:lpstr>inp_d13_close</vt:lpstr>
      <vt:lpstr>'Sample Pipeline'!inp_d13_duration</vt:lpstr>
      <vt:lpstr>inp_d13_duration</vt:lpstr>
      <vt:lpstr>'Sample Pipeline'!inp_d13_name</vt:lpstr>
      <vt:lpstr>inp_d13_name</vt:lpstr>
      <vt:lpstr>'Sample Pipeline'!inp_d13_offset</vt:lpstr>
      <vt:lpstr>inp_d13_offset</vt:lpstr>
      <vt:lpstr>'Sample Pipeline'!inp_d13_prob</vt:lpstr>
      <vt:lpstr>inp_d13_prob</vt:lpstr>
      <vt:lpstr>'Sample Pipeline'!inp_d13_pt</vt:lpstr>
      <vt:lpstr>inp_d13_pt</vt:lpstr>
      <vt:lpstr>'Sample Pipeline'!inp_d13_stage</vt:lpstr>
      <vt:lpstr>inp_d13_stage</vt:lpstr>
      <vt:lpstr>'Sample Pipeline'!inp_d13_type</vt:lpstr>
      <vt:lpstr>inp_d13_type</vt:lpstr>
      <vt:lpstr>'Sample Pipeline'!inp_d13_value</vt:lpstr>
      <vt:lpstr>inp_d13_value</vt:lpstr>
      <vt:lpstr>'Sample Pipeline'!inp_d14_active</vt:lpstr>
      <vt:lpstr>inp_d14_active</vt:lpstr>
      <vt:lpstr>'Sample Pipeline'!inp_d14_client</vt:lpstr>
      <vt:lpstr>inp_d14_client</vt:lpstr>
      <vt:lpstr>'Sample Pipeline'!inp_d14_close</vt:lpstr>
      <vt:lpstr>inp_d14_close</vt:lpstr>
      <vt:lpstr>'Sample Pipeline'!inp_d14_duration</vt:lpstr>
      <vt:lpstr>inp_d14_duration</vt:lpstr>
      <vt:lpstr>'Sample Pipeline'!inp_d14_name</vt:lpstr>
      <vt:lpstr>inp_d14_name</vt:lpstr>
      <vt:lpstr>'Sample Pipeline'!inp_d14_offset</vt:lpstr>
      <vt:lpstr>inp_d14_offset</vt:lpstr>
      <vt:lpstr>'Sample Pipeline'!inp_d14_prob</vt:lpstr>
      <vt:lpstr>inp_d14_prob</vt:lpstr>
      <vt:lpstr>'Sample Pipeline'!inp_d14_pt</vt:lpstr>
      <vt:lpstr>inp_d14_pt</vt:lpstr>
      <vt:lpstr>'Sample Pipeline'!inp_d14_stage</vt:lpstr>
      <vt:lpstr>inp_d14_stage</vt:lpstr>
      <vt:lpstr>'Sample Pipeline'!inp_d14_type</vt:lpstr>
      <vt:lpstr>inp_d14_type</vt:lpstr>
      <vt:lpstr>'Sample Pipeline'!inp_d14_value</vt:lpstr>
      <vt:lpstr>inp_d14_value</vt:lpstr>
      <vt:lpstr>'Sample Pipeline'!inp_d15_active</vt:lpstr>
      <vt:lpstr>inp_d15_active</vt:lpstr>
      <vt:lpstr>'Sample Pipeline'!inp_d15_client</vt:lpstr>
      <vt:lpstr>inp_d15_client</vt:lpstr>
      <vt:lpstr>'Sample Pipeline'!inp_d15_close</vt:lpstr>
      <vt:lpstr>inp_d15_close</vt:lpstr>
      <vt:lpstr>'Sample Pipeline'!inp_d15_duration</vt:lpstr>
      <vt:lpstr>inp_d15_duration</vt:lpstr>
      <vt:lpstr>'Sample Pipeline'!inp_d15_name</vt:lpstr>
      <vt:lpstr>inp_d15_name</vt:lpstr>
      <vt:lpstr>'Sample Pipeline'!inp_d15_offset</vt:lpstr>
      <vt:lpstr>inp_d15_offset</vt:lpstr>
      <vt:lpstr>'Sample Pipeline'!inp_d15_prob</vt:lpstr>
      <vt:lpstr>inp_d15_prob</vt:lpstr>
      <vt:lpstr>'Sample Pipeline'!inp_d15_pt</vt:lpstr>
      <vt:lpstr>inp_d15_pt</vt:lpstr>
      <vt:lpstr>'Sample Pipeline'!inp_d15_stage</vt:lpstr>
      <vt:lpstr>inp_d15_stage</vt:lpstr>
      <vt:lpstr>'Sample Pipeline'!inp_d15_type</vt:lpstr>
      <vt:lpstr>inp_d15_type</vt:lpstr>
      <vt:lpstr>'Sample Pipeline'!inp_d15_value</vt:lpstr>
      <vt:lpstr>inp_d15_value</vt:lpstr>
      <vt:lpstr>'Sample Pipeline'!inp_d16_active</vt:lpstr>
      <vt:lpstr>inp_d16_active</vt:lpstr>
      <vt:lpstr>'Sample Pipeline'!inp_d16_client</vt:lpstr>
      <vt:lpstr>inp_d16_client</vt:lpstr>
      <vt:lpstr>'Sample Pipeline'!inp_d16_close</vt:lpstr>
      <vt:lpstr>inp_d16_close</vt:lpstr>
      <vt:lpstr>'Sample Pipeline'!inp_d16_duration</vt:lpstr>
      <vt:lpstr>inp_d16_duration</vt:lpstr>
      <vt:lpstr>'Sample Pipeline'!inp_d16_name</vt:lpstr>
      <vt:lpstr>inp_d16_name</vt:lpstr>
      <vt:lpstr>'Sample Pipeline'!inp_d16_offset</vt:lpstr>
      <vt:lpstr>inp_d16_offset</vt:lpstr>
      <vt:lpstr>'Sample Pipeline'!inp_d16_prob</vt:lpstr>
      <vt:lpstr>inp_d16_prob</vt:lpstr>
      <vt:lpstr>'Sample Pipeline'!inp_d16_pt</vt:lpstr>
      <vt:lpstr>inp_d16_pt</vt:lpstr>
      <vt:lpstr>'Sample Pipeline'!inp_d16_stage</vt:lpstr>
      <vt:lpstr>inp_d16_stage</vt:lpstr>
      <vt:lpstr>'Sample Pipeline'!inp_d16_type</vt:lpstr>
      <vt:lpstr>inp_d16_type</vt:lpstr>
      <vt:lpstr>'Sample Pipeline'!inp_d16_value</vt:lpstr>
      <vt:lpstr>inp_d16_value</vt:lpstr>
      <vt:lpstr>'Sample Pipeline'!inp_d17_active</vt:lpstr>
      <vt:lpstr>inp_d17_active</vt:lpstr>
      <vt:lpstr>'Sample Pipeline'!inp_d17_client</vt:lpstr>
      <vt:lpstr>inp_d17_client</vt:lpstr>
      <vt:lpstr>'Sample Pipeline'!inp_d17_close</vt:lpstr>
      <vt:lpstr>inp_d17_close</vt:lpstr>
      <vt:lpstr>'Sample Pipeline'!inp_d17_duration</vt:lpstr>
      <vt:lpstr>inp_d17_duration</vt:lpstr>
      <vt:lpstr>'Sample Pipeline'!inp_d17_name</vt:lpstr>
      <vt:lpstr>inp_d17_name</vt:lpstr>
      <vt:lpstr>'Sample Pipeline'!inp_d17_offset</vt:lpstr>
      <vt:lpstr>inp_d17_offset</vt:lpstr>
      <vt:lpstr>'Sample Pipeline'!inp_d17_prob</vt:lpstr>
      <vt:lpstr>inp_d17_prob</vt:lpstr>
      <vt:lpstr>'Sample Pipeline'!inp_d17_pt</vt:lpstr>
      <vt:lpstr>inp_d17_pt</vt:lpstr>
      <vt:lpstr>'Sample Pipeline'!inp_d17_stage</vt:lpstr>
      <vt:lpstr>inp_d17_stage</vt:lpstr>
      <vt:lpstr>'Sample Pipeline'!inp_d17_type</vt:lpstr>
      <vt:lpstr>inp_d17_type</vt:lpstr>
      <vt:lpstr>'Sample Pipeline'!inp_d17_value</vt:lpstr>
      <vt:lpstr>inp_d17_value</vt:lpstr>
      <vt:lpstr>'Sample Pipeline'!inp_d18_active</vt:lpstr>
      <vt:lpstr>inp_d18_active</vt:lpstr>
      <vt:lpstr>'Sample Pipeline'!inp_d18_client</vt:lpstr>
      <vt:lpstr>inp_d18_client</vt:lpstr>
      <vt:lpstr>'Sample Pipeline'!inp_d18_close</vt:lpstr>
      <vt:lpstr>inp_d18_close</vt:lpstr>
      <vt:lpstr>'Sample Pipeline'!inp_d18_duration</vt:lpstr>
      <vt:lpstr>inp_d18_duration</vt:lpstr>
      <vt:lpstr>'Sample Pipeline'!inp_d18_name</vt:lpstr>
      <vt:lpstr>inp_d18_name</vt:lpstr>
      <vt:lpstr>'Sample Pipeline'!inp_d18_offset</vt:lpstr>
      <vt:lpstr>inp_d18_offset</vt:lpstr>
      <vt:lpstr>'Sample Pipeline'!inp_d18_prob</vt:lpstr>
      <vt:lpstr>inp_d18_prob</vt:lpstr>
      <vt:lpstr>'Sample Pipeline'!inp_d18_pt</vt:lpstr>
      <vt:lpstr>inp_d18_pt</vt:lpstr>
      <vt:lpstr>'Sample Pipeline'!inp_d18_stage</vt:lpstr>
      <vt:lpstr>inp_d18_stage</vt:lpstr>
      <vt:lpstr>'Sample Pipeline'!inp_d18_type</vt:lpstr>
      <vt:lpstr>inp_d18_type</vt:lpstr>
      <vt:lpstr>'Sample Pipeline'!inp_d18_value</vt:lpstr>
      <vt:lpstr>inp_d18_value</vt:lpstr>
      <vt:lpstr>'Sample Pipeline'!inp_d19_active</vt:lpstr>
      <vt:lpstr>inp_d19_active</vt:lpstr>
      <vt:lpstr>'Sample Pipeline'!inp_d19_client</vt:lpstr>
      <vt:lpstr>inp_d19_client</vt:lpstr>
      <vt:lpstr>'Sample Pipeline'!inp_d19_close</vt:lpstr>
      <vt:lpstr>inp_d19_close</vt:lpstr>
      <vt:lpstr>'Sample Pipeline'!inp_d19_duration</vt:lpstr>
      <vt:lpstr>inp_d19_duration</vt:lpstr>
      <vt:lpstr>'Sample Pipeline'!inp_d19_name</vt:lpstr>
      <vt:lpstr>inp_d19_name</vt:lpstr>
      <vt:lpstr>'Sample Pipeline'!inp_d19_offset</vt:lpstr>
      <vt:lpstr>inp_d19_offset</vt:lpstr>
      <vt:lpstr>'Sample Pipeline'!inp_d19_prob</vt:lpstr>
      <vt:lpstr>inp_d19_prob</vt:lpstr>
      <vt:lpstr>'Sample Pipeline'!inp_d19_pt</vt:lpstr>
      <vt:lpstr>inp_d19_pt</vt:lpstr>
      <vt:lpstr>'Sample Pipeline'!inp_d19_stage</vt:lpstr>
      <vt:lpstr>inp_d19_stage</vt:lpstr>
      <vt:lpstr>'Sample Pipeline'!inp_d19_type</vt:lpstr>
      <vt:lpstr>inp_d19_type</vt:lpstr>
      <vt:lpstr>'Sample Pipeline'!inp_d19_value</vt:lpstr>
      <vt:lpstr>inp_d19_value</vt:lpstr>
      <vt:lpstr>'Sample Pipeline'!inp_d2_active</vt:lpstr>
      <vt:lpstr>inp_d2_active</vt:lpstr>
      <vt:lpstr>'Sample Pipeline'!inp_d2_client</vt:lpstr>
      <vt:lpstr>inp_d2_client</vt:lpstr>
      <vt:lpstr>'Sample Pipeline'!inp_d2_close</vt:lpstr>
      <vt:lpstr>inp_d2_close</vt:lpstr>
      <vt:lpstr>'Sample Pipeline'!inp_d2_duration</vt:lpstr>
      <vt:lpstr>inp_d2_duration</vt:lpstr>
      <vt:lpstr>'Sample Pipeline'!inp_d2_name</vt:lpstr>
      <vt:lpstr>inp_d2_name</vt:lpstr>
      <vt:lpstr>'Sample Pipeline'!inp_d2_offset</vt:lpstr>
      <vt:lpstr>inp_d2_offset</vt:lpstr>
      <vt:lpstr>'Sample Pipeline'!inp_d2_prob</vt:lpstr>
      <vt:lpstr>inp_d2_prob</vt:lpstr>
      <vt:lpstr>'Sample Pipeline'!inp_d2_pt</vt:lpstr>
      <vt:lpstr>inp_d2_pt</vt:lpstr>
      <vt:lpstr>'Sample Pipeline'!inp_d2_stage</vt:lpstr>
      <vt:lpstr>inp_d2_stage</vt:lpstr>
      <vt:lpstr>'Sample Pipeline'!inp_d2_type</vt:lpstr>
      <vt:lpstr>inp_d2_type</vt:lpstr>
      <vt:lpstr>'Sample Pipeline'!inp_d2_value</vt:lpstr>
      <vt:lpstr>inp_d2_value</vt:lpstr>
      <vt:lpstr>'Sample Pipeline'!inp_d20_active</vt:lpstr>
      <vt:lpstr>inp_d20_active</vt:lpstr>
      <vt:lpstr>'Sample Pipeline'!inp_d20_client</vt:lpstr>
      <vt:lpstr>inp_d20_client</vt:lpstr>
      <vt:lpstr>'Sample Pipeline'!inp_d20_close</vt:lpstr>
      <vt:lpstr>inp_d20_close</vt:lpstr>
      <vt:lpstr>'Sample Pipeline'!inp_d20_duration</vt:lpstr>
      <vt:lpstr>inp_d20_duration</vt:lpstr>
      <vt:lpstr>'Sample Pipeline'!inp_d20_name</vt:lpstr>
      <vt:lpstr>inp_d20_name</vt:lpstr>
      <vt:lpstr>'Sample Pipeline'!inp_d20_offset</vt:lpstr>
      <vt:lpstr>inp_d20_offset</vt:lpstr>
      <vt:lpstr>'Sample Pipeline'!inp_d20_prob</vt:lpstr>
      <vt:lpstr>inp_d20_prob</vt:lpstr>
      <vt:lpstr>'Sample Pipeline'!inp_d20_pt</vt:lpstr>
      <vt:lpstr>inp_d20_pt</vt:lpstr>
      <vt:lpstr>'Sample Pipeline'!inp_d20_stage</vt:lpstr>
      <vt:lpstr>inp_d20_stage</vt:lpstr>
      <vt:lpstr>'Sample Pipeline'!inp_d20_type</vt:lpstr>
      <vt:lpstr>inp_d20_type</vt:lpstr>
      <vt:lpstr>'Sample Pipeline'!inp_d20_value</vt:lpstr>
      <vt:lpstr>inp_d20_value</vt:lpstr>
      <vt:lpstr>'Sample Pipeline'!inp_d21_active</vt:lpstr>
      <vt:lpstr>inp_d21_active</vt:lpstr>
      <vt:lpstr>'Sample Pipeline'!inp_d21_client</vt:lpstr>
      <vt:lpstr>inp_d21_client</vt:lpstr>
      <vt:lpstr>'Sample Pipeline'!inp_d21_close</vt:lpstr>
      <vt:lpstr>inp_d21_close</vt:lpstr>
      <vt:lpstr>'Sample Pipeline'!inp_d21_duration</vt:lpstr>
      <vt:lpstr>inp_d21_duration</vt:lpstr>
      <vt:lpstr>'Sample Pipeline'!inp_d21_name</vt:lpstr>
      <vt:lpstr>inp_d21_name</vt:lpstr>
      <vt:lpstr>'Sample Pipeline'!inp_d21_offset</vt:lpstr>
      <vt:lpstr>inp_d21_offset</vt:lpstr>
      <vt:lpstr>'Sample Pipeline'!inp_d21_prob</vt:lpstr>
      <vt:lpstr>inp_d21_prob</vt:lpstr>
      <vt:lpstr>'Sample Pipeline'!inp_d21_pt</vt:lpstr>
      <vt:lpstr>inp_d21_pt</vt:lpstr>
      <vt:lpstr>'Sample Pipeline'!inp_d21_stage</vt:lpstr>
      <vt:lpstr>inp_d21_stage</vt:lpstr>
      <vt:lpstr>'Sample Pipeline'!inp_d21_type</vt:lpstr>
      <vt:lpstr>inp_d21_type</vt:lpstr>
      <vt:lpstr>'Sample Pipeline'!inp_d21_value</vt:lpstr>
      <vt:lpstr>inp_d21_value</vt:lpstr>
      <vt:lpstr>'Sample Pipeline'!inp_d22_active</vt:lpstr>
      <vt:lpstr>inp_d22_active</vt:lpstr>
      <vt:lpstr>'Sample Pipeline'!inp_d22_client</vt:lpstr>
      <vt:lpstr>inp_d22_client</vt:lpstr>
      <vt:lpstr>'Sample Pipeline'!inp_d22_close</vt:lpstr>
      <vt:lpstr>inp_d22_close</vt:lpstr>
      <vt:lpstr>'Sample Pipeline'!inp_d22_duration</vt:lpstr>
      <vt:lpstr>inp_d22_duration</vt:lpstr>
      <vt:lpstr>'Sample Pipeline'!inp_d22_name</vt:lpstr>
      <vt:lpstr>inp_d22_name</vt:lpstr>
      <vt:lpstr>'Sample Pipeline'!inp_d22_offset</vt:lpstr>
      <vt:lpstr>inp_d22_offset</vt:lpstr>
      <vt:lpstr>'Sample Pipeline'!inp_d22_prob</vt:lpstr>
      <vt:lpstr>inp_d22_prob</vt:lpstr>
      <vt:lpstr>'Sample Pipeline'!inp_d22_pt</vt:lpstr>
      <vt:lpstr>inp_d22_pt</vt:lpstr>
      <vt:lpstr>'Sample Pipeline'!inp_d22_stage</vt:lpstr>
      <vt:lpstr>inp_d22_stage</vt:lpstr>
      <vt:lpstr>'Sample Pipeline'!inp_d22_type</vt:lpstr>
      <vt:lpstr>inp_d22_type</vt:lpstr>
      <vt:lpstr>'Sample Pipeline'!inp_d22_value</vt:lpstr>
      <vt:lpstr>inp_d22_value</vt:lpstr>
      <vt:lpstr>'Sample Pipeline'!inp_d23_active</vt:lpstr>
      <vt:lpstr>inp_d23_active</vt:lpstr>
      <vt:lpstr>'Sample Pipeline'!inp_d23_client</vt:lpstr>
      <vt:lpstr>inp_d23_client</vt:lpstr>
      <vt:lpstr>'Sample Pipeline'!inp_d23_close</vt:lpstr>
      <vt:lpstr>inp_d23_close</vt:lpstr>
      <vt:lpstr>'Sample Pipeline'!inp_d23_duration</vt:lpstr>
      <vt:lpstr>inp_d23_duration</vt:lpstr>
      <vt:lpstr>'Sample Pipeline'!inp_d23_name</vt:lpstr>
      <vt:lpstr>inp_d23_name</vt:lpstr>
      <vt:lpstr>'Sample Pipeline'!inp_d23_offset</vt:lpstr>
      <vt:lpstr>inp_d23_offset</vt:lpstr>
      <vt:lpstr>'Sample Pipeline'!inp_d23_prob</vt:lpstr>
      <vt:lpstr>inp_d23_prob</vt:lpstr>
      <vt:lpstr>'Sample Pipeline'!inp_d23_pt</vt:lpstr>
      <vt:lpstr>inp_d23_pt</vt:lpstr>
      <vt:lpstr>'Sample Pipeline'!inp_d23_stage</vt:lpstr>
      <vt:lpstr>inp_d23_stage</vt:lpstr>
      <vt:lpstr>'Sample Pipeline'!inp_d23_type</vt:lpstr>
      <vt:lpstr>inp_d23_type</vt:lpstr>
      <vt:lpstr>'Sample Pipeline'!inp_d23_value</vt:lpstr>
      <vt:lpstr>inp_d23_value</vt:lpstr>
      <vt:lpstr>'Sample Pipeline'!inp_d24_active</vt:lpstr>
      <vt:lpstr>inp_d24_active</vt:lpstr>
      <vt:lpstr>'Sample Pipeline'!inp_d24_client</vt:lpstr>
      <vt:lpstr>inp_d24_client</vt:lpstr>
      <vt:lpstr>'Sample Pipeline'!inp_d24_close</vt:lpstr>
      <vt:lpstr>inp_d24_close</vt:lpstr>
      <vt:lpstr>'Sample Pipeline'!inp_d24_duration</vt:lpstr>
      <vt:lpstr>inp_d24_duration</vt:lpstr>
      <vt:lpstr>'Sample Pipeline'!inp_d24_name</vt:lpstr>
      <vt:lpstr>inp_d24_name</vt:lpstr>
      <vt:lpstr>'Sample Pipeline'!inp_d24_offset</vt:lpstr>
      <vt:lpstr>inp_d24_offset</vt:lpstr>
      <vt:lpstr>'Sample Pipeline'!inp_d24_prob</vt:lpstr>
      <vt:lpstr>inp_d24_prob</vt:lpstr>
      <vt:lpstr>'Sample Pipeline'!inp_d24_pt</vt:lpstr>
      <vt:lpstr>inp_d24_pt</vt:lpstr>
      <vt:lpstr>'Sample Pipeline'!inp_d24_stage</vt:lpstr>
      <vt:lpstr>inp_d24_stage</vt:lpstr>
      <vt:lpstr>'Sample Pipeline'!inp_d24_type</vt:lpstr>
      <vt:lpstr>inp_d24_type</vt:lpstr>
      <vt:lpstr>'Sample Pipeline'!inp_d24_value</vt:lpstr>
      <vt:lpstr>inp_d24_value</vt:lpstr>
      <vt:lpstr>'Sample Pipeline'!inp_d25_active</vt:lpstr>
      <vt:lpstr>inp_d25_active</vt:lpstr>
      <vt:lpstr>'Sample Pipeline'!inp_d25_client</vt:lpstr>
      <vt:lpstr>inp_d25_client</vt:lpstr>
      <vt:lpstr>'Sample Pipeline'!inp_d25_close</vt:lpstr>
      <vt:lpstr>inp_d25_close</vt:lpstr>
      <vt:lpstr>'Sample Pipeline'!inp_d25_duration</vt:lpstr>
      <vt:lpstr>inp_d25_duration</vt:lpstr>
      <vt:lpstr>'Sample Pipeline'!inp_d25_name</vt:lpstr>
      <vt:lpstr>inp_d25_name</vt:lpstr>
      <vt:lpstr>'Sample Pipeline'!inp_d25_offset</vt:lpstr>
      <vt:lpstr>inp_d25_offset</vt:lpstr>
      <vt:lpstr>'Sample Pipeline'!inp_d25_prob</vt:lpstr>
      <vt:lpstr>inp_d25_prob</vt:lpstr>
      <vt:lpstr>'Sample Pipeline'!inp_d25_pt</vt:lpstr>
      <vt:lpstr>inp_d25_pt</vt:lpstr>
      <vt:lpstr>'Sample Pipeline'!inp_d25_stage</vt:lpstr>
      <vt:lpstr>inp_d25_stage</vt:lpstr>
      <vt:lpstr>'Sample Pipeline'!inp_d25_type</vt:lpstr>
      <vt:lpstr>inp_d25_type</vt:lpstr>
      <vt:lpstr>'Sample Pipeline'!inp_d25_value</vt:lpstr>
      <vt:lpstr>inp_d25_value</vt:lpstr>
      <vt:lpstr>'Sample Pipeline'!inp_d26_active</vt:lpstr>
      <vt:lpstr>inp_d26_active</vt:lpstr>
      <vt:lpstr>'Sample Pipeline'!inp_d26_client</vt:lpstr>
      <vt:lpstr>inp_d26_client</vt:lpstr>
      <vt:lpstr>'Sample Pipeline'!inp_d26_close</vt:lpstr>
      <vt:lpstr>inp_d26_close</vt:lpstr>
      <vt:lpstr>'Sample Pipeline'!inp_d26_duration</vt:lpstr>
      <vt:lpstr>inp_d26_duration</vt:lpstr>
      <vt:lpstr>'Sample Pipeline'!inp_d26_name</vt:lpstr>
      <vt:lpstr>inp_d26_name</vt:lpstr>
      <vt:lpstr>'Sample Pipeline'!inp_d26_offset</vt:lpstr>
      <vt:lpstr>inp_d26_offset</vt:lpstr>
      <vt:lpstr>'Sample Pipeline'!inp_d26_prob</vt:lpstr>
      <vt:lpstr>inp_d26_prob</vt:lpstr>
      <vt:lpstr>'Sample Pipeline'!inp_d26_pt</vt:lpstr>
      <vt:lpstr>inp_d26_pt</vt:lpstr>
      <vt:lpstr>'Sample Pipeline'!inp_d26_stage</vt:lpstr>
      <vt:lpstr>inp_d26_stage</vt:lpstr>
      <vt:lpstr>'Sample Pipeline'!inp_d26_type</vt:lpstr>
      <vt:lpstr>inp_d26_type</vt:lpstr>
      <vt:lpstr>'Sample Pipeline'!inp_d26_value</vt:lpstr>
      <vt:lpstr>inp_d26_value</vt:lpstr>
      <vt:lpstr>'Sample Pipeline'!inp_d27_active</vt:lpstr>
      <vt:lpstr>inp_d27_active</vt:lpstr>
      <vt:lpstr>'Sample Pipeline'!inp_d27_client</vt:lpstr>
      <vt:lpstr>inp_d27_client</vt:lpstr>
      <vt:lpstr>'Sample Pipeline'!inp_d27_close</vt:lpstr>
      <vt:lpstr>inp_d27_close</vt:lpstr>
      <vt:lpstr>'Sample Pipeline'!inp_d27_duration</vt:lpstr>
      <vt:lpstr>inp_d27_duration</vt:lpstr>
      <vt:lpstr>'Sample Pipeline'!inp_d27_name</vt:lpstr>
      <vt:lpstr>inp_d27_name</vt:lpstr>
      <vt:lpstr>'Sample Pipeline'!inp_d27_offset</vt:lpstr>
      <vt:lpstr>inp_d27_offset</vt:lpstr>
      <vt:lpstr>'Sample Pipeline'!inp_d27_prob</vt:lpstr>
      <vt:lpstr>inp_d27_prob</vt:lpstr>
      <vt:lpstr>'Sample Pipeline'!inp_d27_pt</vt:lpstr>
      <vt:lpstr>inp_d27_pt</vt:lpstr>
      <vt:lpstr>'Sample Pipeline'!inp_d27_stage</vt:lpstr>
      <vt:lpstr>inp_d27_stage</vt:lpstr>
      <vt:lpstr>'Sample Pipeline'!inp_d27_type</vt:lpstr>
      <vt:lpstr>inp_d27_type</vt:lpstr>
      <vt:lpstr>'Sample Pipeline'!inp_d27_value</vt:lpstr>
      <vt:lpstr>inp_d27_value</vt:lpstr>
      <vt:lpstr>'Sample Pipeline'!inp_d28_active</vt:lpstr>
      <vt:lpstr>inp_d28_active</vt:lpstr>
      <vt:lpstr>'Sample Pipeline'!inp_d28_client</vt:lpstr>
      <vt:lpstr>inp_d28_client</vt:lpstr>
      <vt:lpstr>'Sample Pipeline'!inp_d28_close</vt:lpstr>
      <vt:lpstr>inp_d28_close</vt:lpstr>
      <vt:lpstr>'Sample Pipeline'!inp_d28_duration</vt:lpstr>
      <vt:lpstr>inp_d28_duration</vt:lpstr>
      <vt:lpstr>'Sample Pipeline'!inp_d28_name</vt:lpstr>
      <vt:lpstr>inp_d28_name</vt:lpstr>
      <vt:lpstr>'Sample Pipeline'!inp_d28_offset</vt:lpstr>
      <vt:lpstr>inp_d28_offset</vt:lpstr>
      <vt:lpstr>'Sample Pipeline'!inp_d28_prob</vt:lpstr>
      <vt:lpstr>inp_d28_prob</vt:lpstr>
      <vt:lpstr>'Sample Pipeline'!inp_d28_pt</vt:lpstr>
      <vt:lpstr>inp_d28_pt</vt:lpstr>
      <vt:lpstr>'Sample Pipeline'!inp_d28_stage</vt:lpstr>
      <vt:lpstr>inp_d28_stage</vt:lpstr>
      <vt:lpstr>'Sample Pipeline'!inp_d28_type</vt:lpstr>
      <vt:lpstr>inp_d28_type</vt:lpstr>
      <vt:lpstr>'Sample Pipeline'!inp_d28_value</vt:lpstr>
      <vt:lpstr>inp_d28_value</vt:lpstr>
      <vt:lpstr>'Sample Pipeline'!inp_d29_active</vt:lpstr>
      <vt:lpstr>inp_d29_active</vt:lpstr>
      <vt:lpstr>'Sample Pipeline'!inp_d29_client</vt:lpstr>
      <vt:lpstr>inp_d29_client</vt:lpstr>
      <vt:lpstr>'Sample Pipeline'!inp_d29_close</vt:lpstr>
      <vt:lpstr>inp_d29_close</vt:lpstr>
      <vt:lpstr>'Sample Pipeline'!inp_d29_duration</vt:lpstr>
      <vt:lpstr>inp_d29_duration</vt:lpstr>
      <vt:lpstr>'Sample Pipeline'!inp_d29_name</vt:lpstr>
      <vt:lpstr>inp_d29_name</vt:lpstr>
      <vt:lpstr>'Sample Pipeline'!inp_d29_offset</vt:lpstr>
      <vt:lpstr>inp_d29_offset</vt:lpstr>
      <vt:lpstr>'Sample Pipeline'!inp_d29_prob</vt:lpstr>
      <vt:lpstr>inp_d29_prob</vt:lpstr>
      <vt:lpstr>'Sample Pipeline'!inp_d29_pt</vt:lpstr>
      <vt:lpstr>inp_d29_pt</vt:lpstr>
      <vt:lpstr>'Sample Pipeline'!inp_d29_stage</vt:lpstr>
      <vt:lpstr>inp_d29_stage</vt:lpstr>
      <vt:lpstr>'Sample Pipeline'!inp_d29_type</vt:lpstr>
      <vt:lpstr>inp_d29_type</vt:lpstr>
      <vt:lpstr>'Sample Pipeline'!inp_d29_value</vt:lpstr>
      <vt:lpstr>inp_d29_value</vt:lpstr>
      <vt:lpstr>'Sample Pipeline'!inp_d3_active</vt:lpstr>
      <vt:lpstr>inp_d3_active</vt:lpstr>
      <vt:lpstr>'Sample Pipeline'!inp_d3_client</vt:lpstr>
      <vt:lpstr>inp_d3_client</vt:lpstr>
      <vt:lpstr>'Sample Pipeline'!inp_d3_close</vt:lpstr>
      <vt:lpstr>inp_d3_close</vt:lpstr>
      <vt:lpstr>'Sample Pipeline'!inp_d3_duration</vt:lpstr>
      <vt:lpstr>inp_d3_duration</vt:lpstr>
      <vt:lpstr>'Sample Pipeline'!inp_d3_name</vt:lpstr>
      <vt:lpstr>inp_d3_name</vt:lpstr>
      <vt:lpstr>'Sample Pipeline'!inp_d3_offset</vt:lpstr>
      <vt:lpstr>inp_d3_offset</vt:lpstr>
      <vt:lpstr>'Sample Pipeline'!inp_d3_prob</vt:lpstr>
      <vt:lpstr>inp_d3_prob</vt:lpstr>
      <vt:lpstr>'Sample Pipeline'!inp_d3_pt</vt:lpstr>
      <vt:lpstr>inp_d3_pt</vt:lpstr>
      <vt:lpstr>'Sample Pipeline'!inp_d3_stage</vt:lpstr>
      <vt:lpstr>inp_d3_stage</vt:lpstr>
      <vt:lpstr>'Sample Pipeline'!inp_d3_type</vt:lpstr>
      <vt:lpstr>inp_d3_type</vt:lpstr>
      <vt:lpstr>'Sample Pipeline'!inp_d3_value</vt:lpstr>
      <vt:lpstr>inp_d3_value</vt:lpstr>
      <vt:lpstr>'Sample Pipeline'!inp_d30_active</vt:lpstr>
      <vt:lpstr>inp_d30_active</vt:lpstr>
      <vt:lpstr>'Sample Pipeline'!inp_d30_client</vt:lpstr>
      <vt:lpstr>inp_d30_client</vt:lpstr>
      <vt:lpstr>'Sample Pipeline'!inp_d30_close</vt:lpstr>
      <vt:lpstr>inp_d30_close</vt:lpstr>
      <vt:lpstr>'Sample Pipeline'!inp_d30_duration</vt:lpstr>
      <vt:lpstr>inp_d30_duration</vt:lpstr>
      <vt:lpstr>'Sample Pipeline'!inp_d30_name</vt:lpstr>
      <vt:lpstr>inp_d30_name</vt:lpstr>
      <vt:lpstr>'Sample Pipeline'!inp_d30_offset</vt:lpstr>
      <vt:lpstr>inp_d30_offset</vt:lpstr>
      <vt:lpstr>'Sample Pipeline'!inp_d30_prob</vt:lpstr>
      <vt:lpstr>inp_d30_prob</vt:lpstr>
      <vt:lpstr>'Sample Pipeline'!inp_d30_pt</vt:lpstr>
      <vt:lpstr>inp_d30_pt</vt:lpstr>
      <vt:lpstr>'Sample Pipeline'!inp_d30_stage</vt:lpstr>
      <vt:lpstr>inp_d30_stage</vt:lpstr>
      <vt:lpstr>'Sample Pipeline'!inp_d30_type</vt:lpstr>
      <vt:lpstr>inp_d30_type</vt:lpstr>
      <vt:lpstr>'Sample Pipeline'!inp_d30_value</vt:lpstr>
      <vt:lpstr>inp_d30_value</vt:lpstr>
      <vt:lpstr>'Sample Pipeline'!inp_d4_active</vt:lpstr>
      <vt:lpstr>inp_d4_active</vt:lpstr>
      <vt:lpstr>'Sample Pipeline'!inp_d4_client</vt:lpstr>
      <vt:lpstr>inp_d4_client</vt:lpstr>
      <vt:lpstr>'Sample Pipeline'!inp_d4_close</vt:lpstr>
      <vt:lpstr>inp_d4_close</vt:lpstr>
      <vt:lpstr>'Sample Pipeline'!inp_d4_duration</vt:lpstr>
      <vt:lpstr>inp_d4_duration</vt:lpstr>
      <vt:lpstr>'Sample Pipeline'!inp_d4_name</vt:lpstr>
      <vt:lpstr>inp_d4_name</vt:lpstr>
      <vt:lpstr>'Sample Pipeline'!inp_d4_offset</vt:lpstr>
      <vt:lpstr>inp_d4_offset</vt:lpstr>
      <vt:lpstr>'Sample Pipeline'!inp_d4_prob</vt:lpstr>
      <vt:lpstr>inp_d4_prob</vt:lpstr>
      <vt:lpstr>'Sample Pipeline'!inp_d4_pt</vt:lpstr>
      <vt:lpstr>inp_d4_pt</vt:lpstr>
      <vt:lpstr>'Sample Pipeline'!inp_d4_stage</vt:lpstr>
      <vt:lpstr>inp_d4_stage</vt:lpstr>
      <vt:lpstr>'Sample Pipeline'!inp_d4_type</vt:lpstr>
      <vt:lpstr>inp_d4_type</vt:lpstr>
      <vt:lpstr>'Sample Pipeline'!inp_d4_value</vt:lpstr>
      <vt:lpstr>inp_d4_value</vt:lpstr>
      <vt:lpstr>'Sample Pipeline'!inp_d5_active</vt:lpstr>
      <vt:lpstr>inp_d5_active</vt:lpstr>
      <vt:lpstr>'Sample Pipeline'!inp_d5_client</vt:lpstr>
      <vt:lpstr>inp_d5_client</vt:lpstr>
      <vt:lpstr>'Sample Pipeline'!inp_d5_close</vt:lpstr>
      <vt:lpstr>inp_d5_close</vt:lpstr>
      <vt:lpstr>'Sample Pipeline'!inp_d5_duration</vt:lpstr>
      <vt:lpstr>inp_d5_duration</vt:lpstr>
      <vt:lpstr>'Sample Pipeline'!inp_d5_name</vt:lpstr>
      <vt:lpstr>inp_d5_name</vt:lpstr>
      <vt:lpstr>'Sample Pipeline'!inp_d5_offset</vt:lpstr>
      <vt:lpstr>inp_d5_offset</vt:lpstr>
      <vt:lpstr>'Sample Pipeline'!inp_d5_prob</vt:lpstr>
      <vt:lpstr>inp_d5_prob</vt:lpstr>
      <vt:lpstr>'Sample Pipeline'!inp_d5_pt</vt:lpstr>
      <vt:lpstr>inp_d5_pt</vt:lpstr>
      <vt:lpstr>'Sample Pipeline'!inp_d5_stage</vt:lpstr>
      <vt:lpstr>inp_d5_stage</vt:lpstr>
      <vt:lpstr>'Sample Pipeline'!inp_d5_type</vt:lpstr>
      <vt:lpstr>inp_d5_type</vt:lpstr>
      <vt:lpstr>'Sample Pipeline'!inp_d5_value</vt:lpstr>
      <vt:lpstr>inp_d5_value</vt:lpstr>
      <vt:lpstr>'Sample Pipeline'!inp_d6_active</vt:lpstr>
      <vt:lpstr>inp_d6_active</vt:lpstr>
      <vt:lpstr>'Sample Pipeline'!inp_d6_client</vt:lpstr>
      <vt:lpstr>inp_d6_client</vt:lpstr>
      <vt:lpstr>'Sample Pipeline'!inp_d6_close</vt:lpstr>
      <vt:lpstr>inp_d6_close</vt:lpstr>
      <vt:lpstr>'Sample Pipeline'!inp_d6_duration</vt:lpstr>
      <vt:lpstr>inp_d6_duration</vt:lpstr>
      <vt:lpstr>'Sample Pipeline'!inp_d6_name</vt:lpstr>
      <vt:lpstr>inp_d6_name</vt:lpstr>
      <vt:lpstr>'Sample Pipeline'!inp_d6_offset</vt:lpstr>
      <vt:lpstr>inp_d6_offset</vt:lpstr>
      <vt:lpstr>'Sample Pipeline'!inp_d6_prob</vt:lpstr>
      <vt:lpstr>inp_d6_prob</vt:lpstr>
      <vt:lpstr>'Sample Pipeline'!inp_d6_pt</vt:lpstr>
      <vt:lpstr>inp_d6_pt</vt:lpstr>
      <vt:lpstr>'Sample Pipeline'!inp_d6_stage</vt:lpstr>
      <vt:lpstr>inp_d6_stage</vt:lpstr>
      <vt:lpstr>'Sample Pipeline'!inp_d6_type</vt:lpstr>
      <vt:lpstr>inp_d6_type</vt:lpstr>
      <vt:lpstr>'Sample Pipeline'!inp_d6_value</vt:lpstr>
      <vt:lpstr>inp_d6_value</vt:lpstr>
      <vt:lpstr>'Sample Pipeline'!inp_d7_active</vt:lpstr>
      <vt:lpstr>inp_d7_active</vt:lpstr>
      <vt:lpstr>'Sample Pipeline'!inp_d7_client</vt:lpstr>
      <vt:lpstr>inp_d7_client</vt:lpstr>
      <vt:lpstr>'Sample Pipeline'!inp_d7_close</vt:lpstr>
      <vt:lpstr>inp_d7_close</vt:lpstr>
      <vt:lpstr>'Sample Pipeline'!inp_d7_duration</vt:lpstr>
      <vt:lpstr>inp_d7_duration</vt:lpstr>
      <vt:lpstr>'Sample Pipeline'!inp_d7_name</vt:lpstr>
      <vt:lpstr>inp_d7_name</vt:lpstr>
      <vt:lpstr>'Sample Pipeline'!inp_d7_offset</vt:lpstr>
      <vt:lpstr>inp_d7_offset</vt:lpstr>
      <vt:lpstr>'Sample Pipeline'!inp_d7_prob</vt:lpstr>
      <vt:lpstr>inp_d7_prob</vt:lpstr>
      <vt:lpstr>'Sample Pipeline'!inp_d7_pt</vt:lpstr>
      <vt:lpstr>inp_d7_pt</vt:lpstr>
      <vt:lpstr>'Sample Pipeline'!inp_d7_stage</vt:lpstr>
      <vt:lpstr>inp_d7_stage</vt:lpstr>
      <vt:lpstr>'Sample Pipeline'!inp_d7_type</vt:lpstr>
      <vt:lpstr>inp_d7_type</vt:lpstr>
      <vt:lpstr>'Sample Pipeline'!inp_d7_value</vt:lpstr>
      <vt:lpstr>inp_d7_value</vt:lpstr>
      <vt:lpstr>'Sample Pipeline'!inp_d8_active</vt:lpstr>
      <vt:lpstr>inp_d8_active</vt:lpstr>
      <vt:lpstr>'Sample Pipeline'!inp_d8_client</vt:lpstr>
      <vt:lpstr>inp_d8_client</vt:lpstr>
      <vt:lpstr>'Sample Pipeline'!inp_d8_close</vt:lpstr>
      <vt:lpstr>inp_d8_close</vt:lpstr>
      <vt:lpstr>'Sample Pipeline'!inp_d8_duration</vt:lpstr>
      <vt:lpstr>inp_d8_duration</vt:lpstr>
      <vt:lpstr>'Sample Pipeline'!inp_d8_name</vt:lpstr>
      <vt:lpstr>inp_d8_name</vt:lpstr>
      <vt:lpstr>'Sample Pipeline'!inp_d8_offset</vt:lpstr>
      <vt:lpstr>inp_d8_offset</vt:lpstr>
      <vt:lpstr>'Sample Pipeline'!inp_d8_prob</vt:lpstr>
      <vt:lpstr>inp_d8_prob</vt:lpstr>
      <vt:lpstr>'Sample Pipeline'!inp_d8_pt</vt:lpstr>
      <vt:lpstr>inp_d8_pt</vt:lpstr>
      <vt:lpstr>'Sample Pipeline'!inp_d8_stage</vt:lpstr>
      <vt:lpstr>inp_d8_stage</vt:lpstr>
      <vt:lpstr>'Sample Pipeline'!inp_d8_type</vt:lpstr>
      <vt:lpstr>inp_d8_type</vt:lpstr>
      <vt:lpstr>'Sample Pipeline'!inp_d8_value</vt:lpstr>
      <vt:lpstr>inp_d8_value</vt:lpstr>
      <vt:lpstr>'Sample Pipeline'!inp_d9_active</vt:lpstr>
      <vt:lpstr>inp_d9_active</vt:lpstr>
      <vt:lpstr>'Sample Pipeline'!inp_d9_client</vt:lpstr>
      <vt:lpstr>inp_d9_client</vt:lpstr>
      <vt:lpstr>'Sample Pipeline'!inp_d9_close</vt:lpstr>
      <vt:lpstr>inp_d9_close</vt:lpstr>
      <vt:lpstr>'Sample Pipeline'!inp_d9_duration</vt:lpstr>
      <vt:lpstr>inp_d9_duration</vt:lpstr>
      <vt:lpstr>'Sample Pipeline'!inp_d9_name</vt:lpstr>
      <vt:lpstr>inp_d9_name</vt:lpstr>
      <vt:lpstr>'Sample Pipeline'!inp_d9_offset</vt:lpstr>
      <vt:lpstr>inp_d9_offset</vt:lpstr>
      <vt:lpstr>'Sample Pipeline'!inp_d9_prob</vt:lpstr>
      <vt:lpstr>inp_d9_prob</vt:lpstr>
      <vt:lpstr>'Sample Pipeline'!inp_d9_pt</vt:lpstr>
      <vt:lpstr>inp_d9_pt</vt:lpstr>
      <vt:lpstr>'Sample Pipeline'!inp_d9_stage</vt:lpstr>
      <vt:lpstr>inp_d9_stage</vt:lpstr>
      <vt:lpstr>'Sample Pipeline'!inp_d9_type</vt:lpstr>
      <vt:lpstr>inp_d9_type</vt:lpstr>
      <vt:lpstr>'Sample Pipeline'!inp_d9_value</vt:lpstr>
      <vt:lpstr>inp_d9_value</vt:lpstr>
      <vt:lpstr>'Sample Pipeline'!inp_forecast_start</vt:lpstr>
      <vt:lpstr>inp_forecast_start</vt:lpstr>
      <vt:lpstr>'Sample Pipeline'!inp_r1_active</vt:lpstr>
      <vt:lpstr>inp_r1_active</vt:lpstr>
      <vt:lpstr>'Sample Pipeline'!inp_r1_client</vt:lpstr>
      <vt:lpstr>inp_r1_client</vt:lpstr>
      <vt:lpstr>'Sample Pipeline'!inp_r1_end</vt:lpstr>
      <vt:lpstr>inp_r1_end</vt:lpstr>
      <vt:lpstr>'Sample Pipeline'!inp_r1_monthly</vt:lpstr>
      <vt:lpstr>inp_r1_monthly</vt:lpstr>
      <vt:lpstr>'Sample Pipeline'!inp_r1_name</vt:lpstr>
      <vt:lpstr>inp_r1_name</vt:lpstr>
      <vt:lpstr>'Sample Pipeline'!inp_r1_pt</vt:lpstr>
      <vt:lpstr>inp_r1_pt</vt:lpstr>
      <vt:lpstr>'Sample Pipeline'!inp_r1_start</vt:lpstr>
      <vt:lpstr>inp_r1_start</vt:lpstr>
      <vt:lpstr>'Sample Pipeline'!inp_r2_active</vt:lpstr>
      <vt:lpstr>inp_r2_active</vt:lpstr>
      <vt:lpstr>'Sample Pipeline'!inp_r2_client</vt:lpstr>
      <vt:lpstr>inp_r2_client</vt:lpstr>
      <vt:lpstr>'Sample Pipeline'!inp_r2_end</vt:lpstr>
      <vt:lpstr>inp_r2_end</vt:lpstr>
      <vt:lpstr>'Sample Pipeline'!inp_r2_monthly</vt:lpstr>
      <vt:lpstr>inp_r2_monthly</vt:lpstr>
      <vt:lpstr>'Sample Pipeline'!inp_r2_name</vt:lpstr>
      <vt:lpstr>inp_r2_name</vt:lpstr>
      <vt:lpstr>'Sample Pipeline'!inp_r2_pt</vt:lpstr>
      <vt:lpstr>inp_r2_pt</vt:lpstr>
      <vt:lpstr>'Sample Pipeline'!inp_r2_start</vt:lpstr>
      <vt:lpstr>inp_r2_start</vt:lpstr>
      <vt:lpstr>'Sample Pipeline'!inp_r3_active</vt:lpstr>
      <vt:lpstr>inp_r3_active</vt:lpstr>
      <vt:lpstr>'Sample Pipeline'!inp_r3_client</vt:lpstr>
      <vt:lpstr>inp_r3_client</vt:lpstr>
      <vt:lpstr>'Sample Pipeline'!inp_r3_end</vt:lpstr>
      <vt:lpstr>inp_r3_end</vt:lpstr>
      <vt:lpstr>'Sample Pipeline'!inp_r3_monthly</vt:lpstr>
      <vt:lpstr>inp_r3_monthly</vt:lpstr>
      <vt:lpstr>'Sample Pipeline'!inp_r3_name</vt:lpstr>
      <vt:lpstr>inp_r3_name</vt:lpstr>
      <vt:lpstr>'Sample Pipeline'!inp_r3_pt</vt:lpstr>
      <vt:lpstr>inp_r3_pt</vt:lpstr>
      <vt:lpstr>'Sample Pipeline'!inp_r3_start</vt:lpstr>
      <vt:lpstr>inp_r3_start</vt:lpstr>
      <vt:lpstr>'Sample Pipeline'!inp_r4_active</vt:lpstr>
      <vt:lpstr>inp_r4_active</vt:lpstr>
      <vt:lpstr>'Sample Pipeline'!inp_r4_client</vt:lpstr>
      <vt:lpstr>inp_r4_client</vt:lpstr>
      <vt:lpstr>'Sample Pipeline'!inp_r4_end</vt:lpstr>
      <vt:lpstr>inp_r4_end</vt:lpstr>
      <vt:lpstr>'Sample Pipeline'!inp_r4_monthly</vt:lpstr>
      <vt:lpstr>inp_r4_monthly</vt:lpstr>
      <vt:lpstr>'Sample Pipeline'!inp_r4_name</vt:lpstr>
      <vt:lpstr>inp_r4_name</vt:lpstr>
      <vt:lpstr>'Sample Pipeline'!inp_r4_pt</vt:lpstr>
      <vt:lpstr>inp_r4_pt</vt:lpstr>
      <vt:lpstr>'Sample Pipeline'!inp_r4_start</vt:lpstr>
      <vt:lpstr>inp_r4_start</vt:lpstr>
      <vt:lpstr>'Sample Pipeline'!inp_r5_active</vt:lpstr>
      <vt:lpstr>inp_r5_active</vt:lpstr>
      <vt:lpstr>'Sample Pipeline'!inp_r5_client</vt:lpstr>
      <vt:lpstr>inp_r5_client</vt:lpstr>
      <vt:lpstr>'Sample Pipeline'!inp_r5_end</vt:lpstr>
      <vt:lpstr>inp_r5_end</vt:lpstr>
      <vt:lpstr>'Sample Pipeline'!inp_r5_monthly</vt:lpstr>
      <vt:lpstr>inp_r5_monthly</vt:lpstr>
      <vt:lpstr>'Sample Pipeline'!inp_r5_name</vt:lpstr>
      <vt:lpstr>inp_r5_name</vt:lpstr>
      <vt:lpstr>'Sample Pipeline'!inp_r5_pt</vt:lpstr>
      <vt:lpstr>inp_r5_pt</vt:lpstr>
      <vt:lpstr>'Sample Pipeline'!inp_r5_start</vt:lpstr>
      <vt:lpstr>inp_r5_start</vt:lpstr>
      <vt:lpstr>'Sample Pipeline'!inp_r6_active</vt:lpstr>
      <vt:lpstr>inp_r6_active</vt:lpstr>
      <vt:lpstr>'Sample Pipeline'!inp_r6_client</vt:lpstr>
      <vt:lpstr>inp_r6_client</vt:lpstr>
      <vt:lpstr>'Sample Pipeline'!inp_r6_end</vt:lpstr>
      <vt:lpstr>inp_r6_end</vt:lpstr>
      <vt:lpstr>'Sample Pipeline'!inp_r6_monthly</vt:lpstr>
      <vt:lpstr>inp_r6_monthly</vt:lpstr>
      <vt:lpstr>'Sample Pipeline'!inp_r6_name</vt:lpstr>
      <vt:lpstr>inp_r6_name</vt:lpstr>
      <vt:lpstr>'Sample Pipeline'!inp_r6_pt</vt:lpstr>
      <vt:lpstr>inp_r6_pt</vt:lpstr>
      <vt:lpstr>'Sample Pipeline'!inp_r6_start</vt:lpstr>
      <vt:lpstr>inp_r6_start</vt:lpstr>
      <vt:lpstr>'Sample Pipeline'!inp_r7_active</vt:lpstr>
      <vt:lpstr>inp_r7_active</vt:lpstr>
      <vt:lpstr>'Sample Pipeline'!inp_r7_client</vt:lpstr>
      <vt:lpstr>inp_r7_client</vt:lpstr>
      <vt:lpstr>'Sample Pipeline'!inp_r7_end</vt:lpstr>
      <vt:lpstr>inp_r7_end</vt:lpstr>
      <vt:lpstr>'Sample Pipeline'!inp_r7_monthly</vt:lpstr>
      <vt:lpstr>inp_r7_monthly</vt:lpstr>
      <vt:lpstr>'Sample Pipeline'!inp_r7_name</vt:lpstr>
      <vt:lpstr>inp_r7_name</vt:lpstr>
      <vt:lpstr>'Sample Pipeline'!inp_r7_pt</vt:lpstr>
      <vt:lpstr>inp_r7_pt</vt:lpstr>
      <vt:lpstr>'Sample Pipeline'!inp_r7_start</vt:lpstr>
      <vt:lpstr>inp_r7_start</vt:lpstr>
      <vt:lpstr>'Sample Pipeline'!inp_r8_active</vt:lpstr>
      <vt:lpstr>inp_r8_active</vt:lpstr>
      <vt:lpstr>'Sample Pipeline'!inp_r8_client</vt:lpstr>
      <vt:lpstr>inp_r8_client</vt:lpstr>
      <vt:lpstr>'Sample Pipeline'!inp_r8_end</vt:lpstr>
      <vt:lpstr>inp_r8_end</vt:lpstr>
      <vt:lpstr>'Sample Pipeline'!inp_r8_monthly</vt:lpstr>
      <vt:lpstr>inp_r8_monthly</vt:lpstr>
      <vt:lpstr>'Sample Pipeline'!inp_r8_name</vt:lpstr>
      <vt:lpstr>inp_r8_name</vt:lpstr>
      <vt:lpstr>'Sample Pipeline'!inp_r8_pt</vt:lpstr>
      <vt:lpstr>inp_r8_pt</vt:lpstr>
      <vt:lpstr>'Sample Pipeline'!inp_r8_start</vt:lpstr>
      <vt:lpstr>inp_r8_start</vt:lpstr>
      <vt:lpstr>'Sample Pipeline'!inp_region</vt:lpstr>
      <vt:lpstr>inp_region</vt:lpstr>
      <vt:lpstr>inp_scenario</vt:lpstr>
      <vt:lpstr>'Sample Pipeline'!inp_vertical</vt:lpstr>
      <vt:lpstr>inp_vertical</vt:lpstr>
      <vt:lpstr>mst_pass</vt:lpstr>
      <vt:lpstr>out_cash_6m</vt:lpstr>
      <vt:lpstr>out_cash_m1</vt:lpstr>
      <vt:lpstr>out_cash_m2</vt:lpstr>
      <vt:lpstr>out_cash_m3</vt:lpstr>
      <vt:lpstr>out_cash_m4</vt:lpstr>
      <vt:lpstr>out_cash_m5</vt:lpstr>
      <vt:lpstr>out_cash_m6</vt:lpstr>
      <vt:lpstr>out_cash_m7</vt:lpstr>
      <vt:lpstr>out_cash_m8</vt:lpstr>
      <vt:lpstr>out_cash_tail</vt:lpstr>
      <vt:lpstr>out_cash_total_8m</vt:lpstr>
      <vt:lpstr>out_gap_6m</vt:lpstr>
      <vt:lpstr>out_rev_6m</vt:lpstr>
      <vt:lpstr>out_rev_m1</vt:lpstr>
      <vt:lpstr>out_rev_m2</vt:lpstr>
      <vt:lpstr>out_rev_m3</vt:lpstr>
      <vt:lpstr>out_rev_m4</vt:lpstr>
      <vt:lpstr>out_rev_m5</vt:lpstr>
      <vt:lpstr>out_rev_m6</vt:lpstr>
      <vt:lpstr>out_sens_lag_m1</vt:lpstr>
      <vt:lpstr>out_sens_lag_p0</vt:lpstr>
      <vt:lpstr>out_sens_lag_p1</vt:lpstr>
      <vt:lpstr>out_sens_lag_p2</vt:lpstr>
      <vt:lpstr>out_sens_wr_m15</vt:lpstr>
      <vt:lpstr>out_sens_wr_m30</vt:lpstr>
      <vt:lpstr>out_sens_wr_p0</vt:lpstr>
      <vt:lpstr>out_sens_wr_p10</vt:lpstr>
      <vt:lpstr>out_winrate</vt:lpstr>
      <vt:lpstr>Forecast!Print_Area</vt:lpstr>
      <vt:lpstr>'Sample Forecast'!Print_Area</vt:lpstr>
      <vt:lpstr>'Sample Pipeline'!ref_pt_names</vt:lpstr>
      <vt:lpstr>ref_pt_names</vt:lpstr>
      <vt:lpstr>'Sample Pipeline'!ref_pt_table</vt:lpstr>
      <vt:lpstr>ref_pt_table</vt:lpstr>
      <vt:lpstr>'Sample Pipeline'!ref_rd_au_dso</vt:lpstr>
      <vt:lpstr>ref_rd_au_dso</vt:lpstr>
      <vt:lpstr>'Sample Pipeline'!ref_rd_au_pt</vt:lpstr>
      <vt:lpstr>ref_rd_au_pt</vt:lpstr>
      <vt:lpstr>'Sample Pipeline'!ref_rd_nz_dso</vt:lpstr>
      <vt:lpstr>ref_rd_nz_dso</vt:lpstr>
      <vt:lpstr>'Sample Pipeline'!ref_rd_nz_pt</vt:lpstr>
      <vt:lpstr>ref_rd_nz_pt</vt:lpstr>
      <vt:lpstr>'Sample Pipeline'!ref_rd_us_dso</vt:lpstr>
      <vt:lpstr>ref_rd_us_dso</vt:lpstr>
      <vt:lpstr>'Sample Pipeline'!ref_rd_us_pt</vt:lpstr>
      <vt:lpstr>ref_rd_us_pt</vt:lpstr>
      <vt:lpstr>'Sample Pipeline'!ref_region_default_dso</vt:lpstr>
      <vt:lpstr>ref_region_default_dso</vt:lpstr>
      <vt:lpstr>'Sample Pipeline'!ref_region_default_pt</vt:lpstr>
      <vt:lpstr>ref_region_default_pt</vt:lpstr>
      <vt:lpstr>'Sample Pipeline'!ref_scn_names</vt:lpstr>
      <vt:lpstr>ref_scn_names</vt:lpstr>
      <vt:lpstr>'Sample Pipeline'!ref_scn_table</vt:lpstr>
      <vt:lpstr>ref_scn_table</vt:lpstr>
      <vt:lpstr>'Sample Pipeline'!ref_stage_1_name</vt:lpstr>
      <vt:lpstr>ref_stage_1_name</vt:lpstr>
      <vt:lpstr>'Sample Pipeline'!ref_stage_1_prob</vt:lpstr>
      <vt:lpstr>ref_stage_1_prob</vt:lpstr>
      <vt:lpstr>'Sample Pipeline'!ref_stage_2_name</vt:lpstr>
      <vt:lpstr>ref_stage_2_name</vt:lpstr>
      <vt:lpstr>'Sample Pipeline'!ref_stage_2_prob</vt:lpstr>
      <vt:lpstr>ref_stage_2_prob</vt:lpstr>
      <vt:lpstr>'Sample Pipeline'!ref_stage_3_name</vt:lpstr>
      <vt:lpstr>ref_stage_3_name</vt:lpstr>
      <vt:lpstr>'Sample Pipeline'!ref_stage_3_prob</vt:lpstr>
      <vt:lpstr>ref_stage_3_prob</vt:lpstr>
      <vt:lpstr>'Sample Pipeline'!ref_stage_4_name</vt:lpstr>
      <vt:lpstr>ref_stage_4_name</vt:lpstr>
      <vt:lpstr>'Sample Pipeline'!ref_stage_4_prob</vt:lpstr>
      <vt:lpstr>ref_stage_4_prob</vt:lpstr>
      <vt:lpstr>'Sample Pipeline'!ref_stage_5_name</vt:lpstr>
      <vt:lpstr>ref_stage_5_name</vt:lpstr>
      <vt:lpstr>'Sample Pipeline'!ref_stage_5_prob</vt:lpstr>
      <vt:lpstr>ref_stage_5_prob</vt:lpstr>
      <vt:lpstr>'Sample Pipeline'!ref_stage_6_name</vt:lpstr>
      <vt:lpstr>ref_stage_6_name</vt:lpstr>
      <vt:lpstr>'Sample Pipeline'!ref_stage_6_prob</vt:lpstr>
      <vt:lpstr>ref_stage_6_prob</vt:lpstr>
      <vt:lpstr>'Sample Pipeline'!ref_stages_name_col</vt:lpstr>
      <vt:lpstr>ref_stages_name_col</vt:lpstr>
      <vt:lpstr>'Sample Pipeline'!ref_stages_prob_col</vt:lpstr>
      <vt:lpstr>ref_stages_prob_col</vt:lpstr>
      <vt:lpstr>'Sample Pipeline'!ref_stages_range</vt:lpstr>
      <vt:lpstr>ref_stages_range</vt:lpstr>
      <vt:lpstr>'Sample Pipeline'!ref_vert_cycle_active</vt:lpstr>
      <vt:lpstr>ref_vert_cycle_active</vt:lpstr>
      <vt:lpstr>'Sample Pipeline'!ref_vert_names</vt:lpstr>
      <vt:lpstr>ref_vert_names</vt:lpstr>
      <vt:lpstr>'Sample Pipeline'!ref_vert_table</vt:lpstr>
      <vt:lpstr>ref_vert_table</vt:lpstr>
      <vt:lpstr>'Sample Pipeline'!ref_vert_winrate_active</vt:lpstr>
      <vt:lpstr>ref_vert_winrate_active</vt:lpstr>
      <vt:lpstr>scalc_deal_3mcash_col</vt:lpstr>
      <vt:lpstr>scalc_deal_6mcash_col</vt:lpstr>
      <vt:lpstr>scalc_deal_6mrev_col</vt:lpstr>
      <vt:lpstr>scalc_deal_8mcash_col</vt:lpstr>
      <vt:lpstr>scalc_deal_active_col</vt:lpstr>
      <vt:lpstr>scalc_deal_cash_m1</vt:lpstr>
      <vt:lpstr>scalc_deal_cash_m2</vt:lpstr>
      <vt:lpstr>scalc_deal_cash_m3</vt:lpstr>
      <vt:lpstr>scalc_deal_cash_m4</vt:lpstr>
      <vt:lpstr>scalc_deal_cash_m5</vt:lpstr>
      <vt:lpstr>scalc_deal_cash_m6</vt:lpstr>
      <vt:lpstr>scalc_deal_cash_m7</vt:lpstr>
      <vt:lpstr>scalc_deal_cash_m8</vt:lpstr>
      <vt:lpstr>scalc_deal_client_col</vt:lpstr>
      <vt:lpstr>scalc_deal_ismsmask_col</vt:lpstr>
      <vt:lpstr>scalc_deal_ms_w1_col</vt:lpstr>
      <vt:lpstr>scalc_deal_ms_w2_col</vt:lpstr>
      <vt:lpstr>scalc_deal_ms_w3_col</vt:lpstr>
      <vt:lpstr>scalc_deal_name_col</vt:lpstr>
      <vt:lpstr>scalc_deal_prob_col</vt:lpstr>
      <vt:lpstr>scalc_deal_pt_col</vt:lpstr>
      <vt:lpstr>scalc_deal_rev_m1</vt:lpstr>
      <vt:lpstr>scalc_deal_rev_m2</vt:lpstr>
      <vt:lpstr>scalc_deal_rev_m3</vt:lpstr>
      <vt:lpstr>scalc_deal_rev_m4</vt:lpstr>
      <vt:lpstr>scalc_deal_rev_m5</vt:lpstr>
      <vt:lpstr>scalc_deal_rev_m6</vt:lpstr>
      <vt:lpstr>scalc_deal_stage_col</vt:lpstr>
      <vt:lpstr>scalc_deal_value_col</vt:lpstr>
      <vt:lpstr>scalc_deal_weighted_col</vt:lpstr>
      <vt:lpstr>scalc_ret_3mcash_col</vt:lpstr>
      <vt:lpstr>scalc_ret_6mcash_col</vt:lpstr>
      <vt:lpstr>scalc_ret_6mrev_col</vt:lpstr>
      <vt:lpstr>scalc_ret_8mcash_col</vt:lpstr>
      <vt:lpstr>scalc_ret_active_col</vt:lpstr>
      <vt:lpstr>scalc_ret_cash_m1</vt:lpstr>
      <vt:lpstr>scalc_ret_cash_m2</vt:lpstr>
      <vt:lpstr>scalc_ret_cash_m3</vt:lpstr>
      <vt:lpstr>scalc_ret_cash_m4</vt:lpstr>
      <vt:lpstr>scalc_ret_cash_m5</vt:lpstr>
      <vt:lpstr>scalc_ret_cash_m6</vt:lpstr>
      <vt:lpstr>scalc_ret_cash_m7</vt:lpstr>
      <vt:lpstr>scalc_ret_cash_m8</vt:lpstr>
      <vt:lpstr>scalc_ret_client_col</vt:lpstr>
      <vt:lpstr>scalc_ret_name_col</vt:lpstr>
      <vt:lpstr>scalc_ret_rev_m1</vt:lpstr>
      <vt:lpstr>scalc_ret_rev_m2</vt:lpstr>
      <vt:lpstr>scalc_ret_rev_m3</vt:lpstr>
      <vt:lpstr>scalc_ret_rev_m4</vt:lpstr>
      <vt:lpstr>scalc_ret_rev_m5</vt:lpstr>
      <vt:lpstr>scalc_ret_rev_m6</vt:lpstr>
      <vt:lpstr>scalc_ret_weighted_col</vt:lpstr>
      <vt:lpstr>schk_c01</vt:lpstr>
      <vt:lpstr>schk_c02</vt:lpstr>
      <vt:lpstr>schk_c03</vt:lpstr>
      <vt:lpstr>schk_c04</vt:lpstr>
      <vt:lpstr>schk_c05</vt:lpstr>
      <vt:lpstr>schk_c06</vt:lpstr>
      <vt:lpstr>schk_c07</vt:lpstr>
      <vt:lpstr>schk_c08</vt:lpstr>
      <vt:lpstr>schk_c09</vt:lpstr>
      <vt:lpstr>schk_c10</vt:lpstr>
      <vt:lpstr>schk_c11</vt:lpstr>
      <vt:lpstr>schk_c12</vt:lpstr>
      <vt:lpstr>schk_c13</vt:lpstr>
      <vt:lpstr>schk_c14</vt:lpstr>
      <vt:lpstr>schk_c15</vt:lpstr>
      <vt:lpstr>schk_c16</vt:lpstr>
      <vt:lpstr>schk_c17</vt:lpstr>
      <vt:lpstr>schk_c18</vt:lpstr>
      <vt:lpstr>schk_c19</vt:lpstr>
      <vt:lpstr>schk_c20</vt:lpstr>
      <vt:lpstr>schk_c21</vt:lpstr>
      <vt:lpstr>schk_c22</vt:lpstr>
      <vt:lpstr>schk_c23</vt:lpstr>
      <vt:lpstr>'Sample Pipeline'!scn_lag_active</vt:lpstr>
      <vt:lpstr>scn_lag_active</vt:lpstr>
      <vt:lpstr>'Sample Pipeline'!scn_size_active</vt:lpstr>
      <vt:lpstr>scn_size_active</vt:lpstr>
      <vt:lpstr>'Sample Pipeline'!scn_winrate_active</vt:lpstr>
      <vt:lpstr>scn_winrate_active</vt:lpstr>
      <vt:lpstr>sinp_business_name</vt:lpstr>
      <vt:lpstr>sinp_currency</vt:lpstr>
      <vt:lpstr>sinp_d1_active</vt:lpstr>
      <vt:lpstr>sinp_d1_client</vt:lpstr>
      <vt:lpstr>sinp_d1_close</vt:lpstr>
      <vt:lpstr>sinp_d1_duration</vt:lpstr>
      <vt:lpstr>sinp_d1_name</vt:lpstr>
      <vt:lpstr>sinp_d1_offset</vt:lpstr>
      <vt:lpstr>sinp_d1_prob</vt:lpstr>
      <vt:lpstr>sinp_d1_pt</vt:lpstr>
      <vt:lpstr>sinp_d1_stage</vt:lpstr>
      <vt:lpstr>sinp_d1_type</vt:lpstr>
      <vt:lpstr>sinp_d1_value</vt:lpstr>
      <vt:lpstr>sinp_d10_active</vt:lpstr>
      <vt:lpstr>sinp_d10_client</vt:lpstr>
      <vt:lpstr>sinp_d10_close</vt:lpstr>
      <vt:lpstr>sinp_d10_duration</vt:lpstr>
      <vt:lpstr>sinp_d10_name</vt:lpstr>
      <vt:lpstr>sinp_d10_offset</vt:lpstr>
      <vt:lpstr>sinp_d10_prob</vt:lpstr>
      <vt:lpstr>sinp_d10_pt</vt:lpstr>
      <vt:lpstr>sinp_d10_stage</vt:lpstr>
      <vt:lpstr>sinp_d10_type</vt:lpstr>
      <vt:lpstr>sinp_d10_value</vt:lpstr>
      <vt:lpstr>sinp_d11_active</vt:lpstr>
      <vt:lpstr>sinp_d11_client</vt:lpstr>
      <vt:lpstr>sinp_d11_close</vt:lpstr>
      <vt:lpstr>sinp_d11_duration</vt:lpstr>
      <vt:lpstr>sinp_d11_name</vt:lpstr>
      <vt:lpstr>sinp_d11_offset</vt:lpstr>
      <vt:lpstr>sinp_d11_prob</vt:lpstr>
      <vt:lpstr>sinp_d11_pt</vt:lpstr>
      <vt:lpstr>sinp_d11_stage</vt:lpstr>
      <vt:lpstr>sinp_d11_type</vt:lpstr>
      <vt:lpstr>sinp_d11_value</vt:lpstr>
      <vt:lpstr>sinp_d12_active</vt:lpstr>
      <vt:lpstr>sinp_d12_client</vt:lpstr>
      <vt:lpstr>sinp_d12_close</vt:lpstr>
      <vt:lpstr>sinp_d12_duration</vt:lpstr>
      <vt:lpstr>sinp_d12_name</vt:lpstr>
      <vt:lpstr>sinp_d12_offset</vt:lpstr>
      <vt:lpstr>sinp_d12_prob</vt:lpstr>
      <vt:lpstr>sinp_d12_pt</vt:lpstr>
      <vt:lpstr>sinp_d12_stage</vt:lpstr>
      <vt:lpstr>sinp_d12_type</vt:lpstr>
      <vt:lpstr>sinp_d12_value</vt:lpstr>
      <vt:lpstr>sinp_d13_active</vt:lpstr>
      <vt:lpstr>sinp_d13_client</vt:lpstr>
      <vt:lpstr>sinp_d13_close</vt:lpstr>
      <vt:lpstr>sinp_d13_duration</vt:lpstr>
      <vt:lpstr>sinp_d13_name</vt:lpstr>
      <vt:lpstr>sinp_d13_offset</vt:lpstr>
      <vt:lpstr>sinp_d13_prob</vt:lpstr>
      <vt:lpstr>sinp_d13_pt</vt:lpstr>
      <vt:lpstr>sinp_d13_stage</vt:lpstr>
      <vt:lpstr>sinp_d13_type</vt:lpstr>
      <vt:lpstr>sinp_d13_value</vt:lpstr>
      <vt:lpstr>sinp_d14_active</vt:lpstr>
      <vt:lpstr>sinp_d14_client</vt:lpstr>
      <vt:lpstr>sinp_d14_close</vt:lpstr>
      <vt:lpstr>sinp_d14_duration</vt:lpstr>
      <vt:lpstr>sinp_d14_name</vt:lpstr>
      <vt:lpstr>sinp_d14_offset</vt:lpstr>
      <vt:lpstr>sinp_d14_prob</vt:lpstr>
      <vt:lpstr>sinp_d14_pt</vt:lpstr>
      <vt:lpstr>sinp_d14_stage</vt:lpstr>
      <vt:lpstr>sinp_d14_type</vt:lpstr>
      <vt:lpstr>sinp_d14_value</vt:lpstr>
      <vt:lpstr>sinp_d15_active</vt:lpstr>
      <vt:lpstr>sinp_d15_client</vt:lpstr>
      <vt:lpstr>sinp_d15_close</vt:lpstr>
      <vt:lpstr>sinp_d15_duration</vt:lpstr>
      <vt:lpstr>sinp_d15_name</vt:lpstr>
      <vt:lpstr>sinp_d15_offset</vt:lpstr>
      <vt:lpstr>sinp_d15_prob</vt:lpstr>
      <vt:lpstr>sinp_d15_pt</vt:lpstr>
      <vt:lpstr>sinp_d15_stage</vt:lpstr>
      <vt:lpstr>sinp_d15_type</vt:lpstr>
      <vt:lpstr>sinp_d15_value</vt:lpstr>
      <vt:lpstr>sinp_d16_active</vt:lpstr>
      <vt:lpstr>sinp_d16_client</vt:lpstr>
      <vt:lpstr>sinp_d16_close</vt:lpstr>
      <vt:lpstr>sinp_d16_duration</vt:lpstr>
      <vt:lpstr>sinp_d16_name</vt:lpstr>
      <vt:lpstr>sinp_d16_offset</vt:lpstr>
      <vt:lpstr>sinp_d16_prob</vt:lpstr>
      <vt:lpstr>sinp_d16_pt</vt:lpstr>
      <vt:lpstr>sinp_d16_stage</vt:lpstr>
      <vt:lpstr>sinp_d16_type</vt:lpstr>
      <vt:lpstr>sinp_d16_value</vt:lpstr>
      <vt:lpstr>sinp_d17_active</vt:lpstr>
      <vt:lpstr>sinp_d17_client</vt:lpstr>
      <vt:lpstr>sinp_d17_close</vt:lpstr>
      <vt:lpstr>sinp_d17_duration</vt:lpstr>
      <vt:lpstr>sinp_d17_name</vt:lpstr>
      <vt:lpstr>sinp_d17_offset</vt:lpstr>
      <vt:lpstr>sinp_d17_prob</vt:lpstr>
      <vt:lpstr>sinp_d17_pt</vt:lpstr>
      <vt:lpstr>sinp_d17_stage</vt:lpstr>
      <vt:lpstr>sinp_d17_type</vt:lpstr>
      <vt:lpstr>sinp_d17_value</vt:lpstr>
      <vt:lpstr>sinp_d18_active</vt:lpstr>
      <vt:lpstr>sinp_d18_client</vt:lpstr>
      <vt:lpstr>sinp_d18_close</vt:lpstr>
      <vt:lpstr>sinp_d18_duration</vt:lpstr>
      <vt:lpstr>sinp_d18_name</vt:lpstr>
      <vt:lpstr>sinp_d18_offset</vt:lpstr>
      <vt:lpstr>sinp_d18_prob</vt:lpstr>
      <vt:lpstr>sinp_d18_pt</vt:lpstr>
      <vt:lpstr>sinp_d18_stage</vt:lpstr>
      <vt:lpstr>sinp_d18_type</vt:lpstr>
      <vt:lpstr>sinp_d18_value</vt:lpstr>
      <vt:lpstr>sinp_d19_active</vt:lpstr>
      <vt:lpstr>sinp_d19_client</vt:lpstr>
      <vt:lpstr>sinp_d19_close</vt:lpstr>
      <vt:lpstr>sinp_d19_duration</vt:lpstr>
      <vt:lpstr>sinp_d19_name</vt:lpstr>
      <vt:lpstr>sinp_d19_offset</vt:lpstr>
      <vt:lpstr>sinp_d19_prob</vt:lpstr>
      <vt:lpstr>sinp_d19_pt</vt:lpstr>
      <vt:lpstr>sinp_d19_stage</vt:lpstr>
      <vt:lpstr>sinp_d19_type</vt:lpstr>
      <vt:lpstr>sinp_d19_value</vt:lpstr>
      <vt:lpstr>sinp_d2_active</vt:lpstr>
      <vt:lpstr>sinp_d2_client</vt:lpstr>
      <vt:lpstr>sinp_d2_close</vt:lpstr>
      <vt:lpstr>sinp_d2_duration</vt:lpstr>
      <vt:lpstr>sinp_d2_name</vt:lpstr>
      <vt:lpstr>sinp_d2_offset</vt:lpstr>
      <vt:lpstr>sinp_d2_prob</vt:lpstr>
      <vt:lpstr>sinp_d2_pt</vt:lpstr>
      <vt:lpstr>sinp_d2_stage</vt:lpstr>
      <vt:lpstr>sinp_d2_type</vt:lpstr>
      <vt:lpstr>sinp_d2_value</vt:lpstr>
      <vt:lpstr>sinp_d20_active</vt:lpstr>
      <vt:lpstr>sinp_d20_client</vt:lpstr>
      <vt:lpstr>sinp_d20_close</vt:lpstr>
      <vt:lpstr>sinp_d20_duration</vt:lpstr>
      <vt:lpstr>sinp_d20_name</vt:lpstr>
      <vt:lpstr>sinp_d20_offset</vt:lpstr>
      <vt:lpstr>sinp_d20_prob</vt:lpstr>
      <vt:lpstr>sinp_d20_pt</vt:lpstr>
      <vt:lpstr>sinp_d20_stage</vt:lpstr>
      <vt:lpstr>sinp_d20_type</vt:lpstr>
      <vt:lpstr>sinp_d20_value</vt:lpstr>
      <vt:lpstr>sinp_d21_active</vt:lpstr>
      <vt:lpstr>sinp_d21_client</vt:lpstr>
      <vt:lpstr>sinp_d21_close</vt:lpstr>
      <vt:lpstr>sinp_d21_duration</vt:lpstr>
      <vt:lpstr>sinp_d21_name</vt:lpstr>
      <vt:lpstr>sinp_d21_offset</vt:lpstr>
      <vt:lpstr>sinp_d21_prob</vt:lpstr>
      <vt:lpstr>sinp_d21_pt</vt:lpstr>
      <vt:lpstr>sinp_d21_stage</vt:lpstr>
      <vt:lpstr>sinp_d21_type</vt:lpstr>
      <vt:lpstr>sinp_d21_value</vt:lpstr>
      <vt:lpstr>sinp_d22_active</vt:lpstr>
      <vt:lpstr>sinp_d22_client</vt:lpstr>
      <vt:lpstr>sinp_d22_close</vt:lpstr>
      <vt:lpstr>sinp_d22_duration</vt:lpstr>
      <vt:lpstr>sinp_d22_name</vt:lpstr>
      <vt:lpstr>sinp_d22_offset</vt:lpstr>
      <vt:lpstr>sinp_d22_prob</vt:lpstr>
      <vt:lpstr>sinp_d22_pt</vt:lpstr>
      <vt:lpstr>sinp_d22_stage</vt:lpstr>
      <vt:lpstr>sinp_d22_type</vt:lpstr>
      <vt:lpstr>sinp_d22_value</vt:lpstr>
      <vt:lpstr>sinp_d23_active</vt:lpstr>
      <vt:lpstr>sinp_d23_client</vt:lpstr>
      <vt:lpstr>sinp_d23_close</vt:lpstr>
      <vt:lpstr>sinp_d23_duration</vt:lpstr>
      <vt:lpstr>sinp_d23_name</vt:lpstr>
      <vt:lpstr>sinp_d23_offset</vt:lpstr>
      <vt:lpstr>sinp_d23_prob</vt:lpstr>
      <vt:lpstr>sinp_d23_pt</vt:lpstr>
      <vt:lpstr>sinp_d23_stage</vt:lpstr>
      <vt:lpstr>sinp_d23_type</vt:lpstr>
      <vt:lpstr>sinp_d23_value</vt:lpstr>
      <vt:lpstr>sinp_d24_active</vt:lpstr>
      <vt:lpstr>sinp_d24_client</vt:lpstr>
      <vt:lpstr>sinp_d24_close</vt:lpstr>
      <vt:lpstr>sinp_d24_duration</vt:lpstr>
      <vt:lpstr>sinp_d24_name</vt:lpstr>
      <vt:lpstr>sinp_d24_offset</vt:lpstr>
      <vt:lpstr>sinp_d24_prob</vt:lpstr>
      <vt:lpstr>sinp_d24_pt</vt:lpstr>
      <vt:lpstr>sinp_d24_stage</vt:lpstr>
      <vt:lpstr>sinp_d24_type</vt:lpstr>
      <vt:lpstr>sinp_d24_value</vt:lpstr>
      <vt:lpstr>sinp_d25_active</vt:lpstr>
      <vt:lpstr>sinp_d25_client</vt:lpstr>
      <vt:lpstr>sinp_d25_close</vt:lpstr>
      <vt:lpstr>sinp_d25_duration</vt:lpstr>
      <vt:lpstr>sinp_d25_name</vt:lpstr>
      <vt:lpstr>sinp_d25_offset</vt:lpstr>
      <vt:lpstr>sinp_d25_prob</vt:lpstr>
      <vt:lpstr>sinp_d25_pt</vt:lpstr>
      <vt:lpstr>sinp_d25_stage</vt:lpstr>
      <vt:lpstr>sinp_d25_type</vt:lpstr>
      <vt:lpstr>sinp_d25_value</vt:lpstr>
      <vt:lpstr>sinp_d26_active</vt:lpstr>
      <vt:lpstr>sinp_d26_client</vt:lpstr>
      <vt:lpstr>sinp_d26_close</vt:lpstr>
      <vt:lpstr>sinp_d26_duration</vt:lpstr>
      <vt:lpstr>sinp_d26_name</vt:lpstr>
      <vt:lpstr>sinp_d26_offset</vt:lpstr>
      <vt:lpstr>sinp_d26_prob</vt:lpstr>
      <vt:lpstr>sinp_d26_pt</vt:lpstr>
      <vt:lpstr>sinp_d26_stage</vt:lpstr>
      <vt:lpstr>sinp_d26_type</vt:lpstr>
      <vt:lpstr>sinp_d26_value</vt:lpstr>
      <vt:lpstr>sinp_d27_active</vt:lpstr>
      <vt:lpstr>sinp_d27_client</vt:lpstr>
      <vt:lpstr>sinp_d27_close</vt:lpstr>
      <vt:lpstr>sinp_d27_duration</vt:lpstr>
      <vt:lpstr>sinp_d27_name</vt:lpstr>
      <vt:lpstr>sinp_d27_offset</vt:lpstr>
      <vt:lpstr>sinp_d27_prob</vt:lpstr>
      <vt:lpstr>sinp_d27_pt</vt:lpstr>
      <vt:lpstr>sinp_d27_stage</vt:lpstr>
      <vt:lpstr>sinp_d27_type</vt:lpstr>
      <vt:lpstr>sinp_d27_value</vt:lpstr>
      <vt:lpstr>sinp_d28_active</vt:lpstr>
      <vt:lpstr>sinp_d28_client</vt:lpstr>
      <vt:lpstr>sinp_d28_close</vt:lpstr>
      <vt:lpstr>sinp_d28_duration</vt:lpstr>
      <vt:lpstr>sinp_d28_name</vt:lpstr>
      <vt:lpstr>sinp_d28_offset</vt:lpstr>
      <vt:lpstr>sinp_d28_prob</vt:lpstr>
      <vt:lpstr>sinp_d28_pt</vt:lpstr>
      <vt:lpstr>sinp_d28_stage</vt:lpstr>
      <vt:lpstr>sinp_d28_type</vt:lpstr>
      <vt:lpstr>sinp_d28_value</vt:lpstr>
      <vt:lpstr>sinp_d29_active</vt:lpstr>
      <vt:lpstr>sinp_d29_client</vt:lpstr>
      <vt:lpstr>sinp_d29_close</vt:lpstr>
      <vt:lpstr>sinp_d29_duration</vt:lpstr>
      <vt:lpstr>sinp_d29_name</vt:lpstr>
      <vt:lpstr>sinp_d29_offset</vt:lpstr>
      <vt:lpstr>sinp_d29_prob</vt:lpstr>
      <vt:lpstr>sinp_d29_pt</vt:lpstr>
      <vt:lpstr>sinp_d29_stage</vt:lpstr>
      <vt:lpstr>sinp_d29_type</vt:lpstr>
      <vt:lpstr>sinp_d29_value</vt:lpstr>
      <vt:lpstr>sinp_d3_active</vt:lpstr>
      <vt:lpstr>sinp_d3_client</vt:lpstr>
      <vt:lpstr>sinp_d3_close</vt:lpstr>
      <vt:lpstr>sinp_d3_duration</vt:lpstr>
      <vt:lpstr>sinp_d3_name</vt:lpstr>
      <vt:lpstr>sinp_d3_offset</vt:lpstr>
      <vt:lpstr>sinp_d3_prob</vt:lpstr>
      <vt:lpstr>sinp_d3_pt</vt:lpstr>
      <vt:lpstr>sinp_d3_stage</vt:lpstr>
      <vt:lpstr>sinp_d3_type</vt:lpstr>
      <vt:lpstr>sinp_d3_value</vt:lpstr>
      <vt:lpstr>sinp_d30_active</vt:lpstr>
      <vt:lpstr>sinp_d30_client</vt:lpstr>
      <vt:lpstr>sinp_d30_close</vt:lpstr>
      <vt:lpstr>sinp_d30_duration</vt:lpstr>
      <vt:lpstr>sinp_d30_name</vt:lpstr>
      <vt:lpstr>sinp_d30_offset</vt:lpstr>
      <vt:lpstr>sinp_d30_prob</vt:lpstr>
      <vt:lpstr>sinp_d30_pt</vt:lpstr>
      <vt:lpstr>sinp_d30_stage</vt:lpstr>
      <vt:lpstr>sinp_d30_type</vt:lpstr>
      <vt:lpstr>sinp_d30_value</vt:lpstr>
      <vt:lpstr>sinp_d4_active</vt:lpstr>
      <vt:lpstr>sinp_d4_client</vt:lpstr>
      <vt:lpstr>sinp_d4_close</vt:lpstr>
      <vt:lpstr>sinp_d4_duration</vt:lpstr>
      <vt:lpstr>sinp_d4_name</vt:lpstr>
      <vt:lpstr>sinp_d4_offset</vt:lpstr>
      <vt:lpstr>sinp_d4_prob</vt:lpstr>
      <vt:lpstr>sinp_d4_pt</vt:lpstr>
      <vt:lpstr>sinp_d4_stage</vt:lpstr>
      <vt:lpstr>sinp_d4_type</vt:lpstr>
      <vt:lpstr>sinp_d4_value</vt:lpstr>
      <vt:lpstr>sinp_d5_active</vt:lpstr>
      <vt:lpstr>sinp_d5_client</vt:lpstr>
      <vt:lpstr>sinp_d5_close</vt:lpstr>
      <vt:lpstr>sinp_d5_duration</vt:lpstr>
      <vt:lpstr>sinp_d5_name</vt:lpstr>
      <vt:lpstr>sinp_d5_offset</vt:lpstr>
      <vt:lpstr>sinp_d5_prob</vt:lpstr>
      <vt:lpstr>sinp_d5_pt</vt:lpstr>
      <vt:lpstr>sinp_d5_stage</vt:lpstr>
      <vt:lpstr>sinp_d5_type</vt:lpstr>
      <vt:lpstr>sinp_d5_value</vt:lpstr>
      <vt:lpstr>sinp_d6_active</vt:lpstr>
      <vt:lpstr>sinp_d6_client</vt:lpstr>
      <vt:lpstr>sinp_d6_close</vt:lpstr>
      <vt:lpstr>sinp_d6_duration</vt:lpstr>
      <vt:lpstr>sinp_d6_name</vt:lpstr>
      <vt:lpstr>sinp_d6_offset</vt:lpstr>
      <vt:lpstr>sinp_d6_prob</vt:lpstr>
      <vt:lpstr>sinp_d6_pt</vt:lpstr>
      <vt:lpstr>sinp_d6_stage</vt:lpstr>
      <vt:lpstr>sinp_d6_type</vt:lpstr>
      <vt:lpstr>sinp_d6_value</vt:lpstr>
      <vt:lpstr>sinp_d7_active</vt:lpstr>
      <vt:lpstr>sinp_d7_client</vt:lpstr>
      <vt:lpstr>sinp_d7_close</vt:lpstr>
      <vt:lpstr>sinp_d7_duration</vt:lpstr>
      <vt:lpstr>sinp_d7_name</vt:lpstr>
      <vt:lpstr>sinp_d7_offset</vt:lpstr>
      <vt:lpstr>sinp_d7_prob</vt:lpstr>
      <vt:lpstr>sinp_d7_pt</vt:lpstr>
      <vt:lpstr>sinp_d7_stage</vt:lpstr>
      <vt:lpstr>sinp_d7_type</vt:lpstr>
      <vt:lpstr>sinp_d7_value</vt:lpstr>
      <vt:lpstr>sinp_d8_active</vt:lpstr>
      <vt:lpstr>sinp_d8_client</vt:lpstr>
      <vt:lpstr>sinp_d8_close</vt:lpstr>
      <vt:lpstr>sinp_d8_duration</vt:lpstr>
      <vt:lpstr>sinp_d8_name</vt:lpstr>
      <vt:lpstr>sinp_d8_offset</vt:lpstr>
      <vt:lpstr>sinp_d8_prob</vt:lpstr>
      <vt:lpstr>sinp_d8_pt</vt:lpstr>
      <vt:lpstr>sinp_d8_stage</vt:lpstr>
      <vt:lpstr>sinp_d8_type</vt:lpstr>
      <vt:lpstr>sinp_d8_value</vt:lpstr>
      <vt:lpstr>sinp_d9_active</vt:lpstr>
      <vt:lpstr>sinp_d9_client</vt:lpstr>
      <vt:lpstr>sinp_d9_close</vt:lpstr>
      <vt:lpstr>sinp_d9_duration</vt:lpstr>
      <vt:lpstr>sinp_d9_name</vt:lpstr>
      <vt:lpstr>sinp_d9_offset</vt:lpstr>
      <vt:lpstr>sinp_d9_prob</vt:lpstr>
      <vt:lpstr>sinp_d9_pt</vt:lpstr>
      <vt:lpstr>sinp_d9_stage</vt:lpstr>
      <vt:lpstr>sinp_d9_type</vt:lpstr>
      <vt:lpstr>sinp_d9_value</vt:lpstr>
      <vt:lpstr>sinp_forecast_start</vt:lpstr>
      <vt:lpstr>sinp_r1_active</vt:lpstr>
      <vt:lpstr>sinp_r1_client</vt:lpstr>
      <vt:lpstr>sinp_r1_end</vt:lpstr>
      <vt:lpstr>sinp_r1_monthly</vt:lpstr>
      <vt:lpstr>sinp_r1_name</vt:lpstr>
      <vt:lpstr>sinp_r1_pt</vt:lpstr>
      <vt:lpstr>sinp_r1_start</vt:lpstr>
      <vt:lpstr>sinp_r2_active</vt:lpstr>
      <vt:lpstr>sinp_r2_client</vt:lpstr>
      <vt:lpstr>sinp_r2_end</vt:lpstr>
      <vt:lpstr>sinp_r2_monthly</vt:lpstr>
      <vt:lpstr>sinp_r2_name</vt:lpstr>
      <vt:lpstr>sinp_r2_pt</vt:lpstr>
      <vt:lpstr>sinp_r2_start</vt:lpstr>
      <vt:lpstr>sinp_r3_active</vt:lpstr>
      <vt:lpstr>sinp_r3_client</vt:lpstr>
      <vt:lpstr>sinp_r3_end</vt:lpstr>
      <vt:lpstr>sinp_r3_monthly</vt:lpstr>
      <vt:lpstr>sinp_r3_name</vt:lpstr>
      <vt:lpstr>sinp_r3_pt</vt:lpstr>
      <vt:lpstr>sinp_r3_start</vt:lpstr>
      <vt:lpstr>sinp_r4_active</vt:lpstr>
      <vt:lpstr>sinp_r4_client</vt:lpstr>
      <vt:lpstr>sinp_r4_end</vt:lpstr>
      <vt:lpstr>sinp_r4_monthly</vt:lpstr>
      <vt:lpstr>sinp_r4_name</vt:lpstr>
      <vt:lpstr>sinp_r4_pt</vt:lpstr>
      <vt:lpstr>sinp_r4_start</vt:lpstr>
      <vt:lpstr>sinp_r5_active</vt:lpstr>
      <vt:lpstr>sinp_r5_client</vt:lpstr>
      <vt:lpstr>sinp_r5_end</vt:lpstr>
      <vt:lpstr>sinp_r5_monthly</vt:lpstr>
      <vt:lpstr>sinp_r5_name</vt:lpstr>
      <vt:lpstr>sinp_r5_pt</vt:lpstr>
      <vt:lpstr>sinp_r5_start</vt:lpstr>
      <vt:lpstr>sinp_r6_active</vt:lpstr>
      <vt:lpstr>sinp_r6_client</vt:lpstr>
      <vt:lpstr>sinp_r6_end</vt:lpstr>
      <vt:lpstr>sinp_r6_monthly</vt:lpstr>
      <vt:lpstr>sinp_r6_name</vt:lpstr>
      <vt:lpstr>sinp_r6_pt</vt:lpstr>
      <vt:lpstr>sinp_r6_start</vt:lpstr>
      <vt:lpstr>sinp_r7_active</vt:lpstr>
      <vt:lpstr>sinp_r7_client</vt:lpstr>
      <vt:lpstr>sinp_r7_end</vt:lpstr>
      <vt:lpstr>sinp_r7_monthly</vt:lpstr>
      <vt:lpstr>sinp_r7_name</vt:lpstr>
      <vt:lpstr>sinp_r7_pt</vt:lpstr>
      <vt:lpstr>sinp_r7_start</vt:lpstr>
      <vt:lpstr>sinp_r8_active</vt:lpstr>
      <vt:lpstr>sinp_r8_client</vt:lpstr>
      <vt:lpstr>sinp_r8_end</vt:lpstr>
      <vt:lpstr>sinp_r8_monthly</vt:lpstr>
      <vt:lpstr>sinp_r8_name</vt:lpstr>
      <vt:lpstr>sinp_r8_pt</vt:lpstr>
      <vt:lpstr>sinp_r8_start</vt:lpstr>
      <vt:lpstr>sinp_region</vt:lpstr>
      <vt:lpstr>sinp_scenario</vt:lpstr>
      <vt:lpstr>sinp_vertical</vt:lpstr>
      <vt:lpstr>smst_pass</vt:lpstr>
      <vt:lpstr>sout_cash_6m</vt:lpstr>
      <vt:lpstr>sout_cash_m1</vt:lpstr>
      <vt:lpstr>sout_cash_m2</vt:lpstr>
      <vt:lpstr>sout_cash_m3</vt:lpstr>
      <vt:lpstr>sout_cash_m4</vt:lpstr>
      <vt:lpstr>sout_cash_m5</vt:lpstr>
      <vt:lpstr>sout_cash_m6</vt:lpstr>
      <vt:lpstr>sout_cash_m7</vt:lpstr>
      <vt:lpstr>sout_cash_m8</vt:lpstr>
      <vt:lpstr>sout_cash_tail</vt:lpstr>
      <vt:lpstr>sout_cash_total_8m</vt:lpstr>
      <vt:lpstr>sout_gap_6m</vt:lpstr>
      <vt:lpstr>sout_rev_6m</vt:lpstr>
      <vt:lpstr>sout_rev_m1</vt:lpstr>
      <vt:lpstr>sout_rev_m2</vt:lpstr>
      <vt:lpstr>sout_rev_m3</vt:lpstr>
      <vt:lpstr>sout_rev_m4</vt:lpstr>
      <vt:lpstr>sout_rev_m5</vt:lpstr>
      <vt:lpstr>sout_rev_m6</vt:lpstr>
      <vt:lpstr>sout_sens_lag_m1</vt:lpstr>
      <vt:lpstr>sout_sens_lag_p0</vt:lpstr>
      <vt:lpstr>sout_sens_lag_p1</vt:lpstr>
      <vt:lpstr>sout_sens_lag_p2</vt:lpstr>
      <vt:lpstr>sout_sens_wr_m15</vt:lpstr>
      <vt:lpstr>sout_sens_wr_m30</vt:lpstr>
      <vt:lpstr>sout_sens_wr_p0</vt:lpstr>
      <vt:lpstr>sout_sens_wr_p10</vt:lpstr>
      <vt:lpstr>sout_winrate</vt:lpstr>
      <vt:lpstr>sref_pt_names</vt:lpstr>
      <vt:lpstr>sref_pt_table</vt:lpstr>
      <vt:lpstr>sref_rd_au_dso</vt:lpstr>
      <vt:lpstr>sref_rd_au_pt</vt:lpstr>
      <vt:lpstr>sref_rd_nz_dso</vt:lpstr>
      <vt:lpstr>sref_rd_nz_pt</vt:lpstr>
      <vt:lpstr>sref_rd_us_dso</vt:lpstr>
      <vt:lpstr>sref_rd_us_pt</vt:lpstr>
      <vt:lpstr>sref_region_default_dso</vt:lpstr>
      <vt:lpstr>sref_region_default_pt</vt:lpstr>
      <vt:lpstr>sref_scn_names</vt:lpstr>
      <vt:lpstr>sref_scn_table</vt:lpstr>
      <vt:lpstr>sref_stage_1_name</vt:lpstr>
      <vt:lpstr>sref_stage_1_prob</vt:lpstr>
      <vt:lpstr>sref_stage_2_name</vt:lpstr>
      <vt:lpstr>sref_stage_2_prob</vt:lpstr>
      <vt:lpstr>sref_stage_3_name</vt:lpstr>
      <vt:lpstr>sref_stage_3_prob</vt:lpstr>
      <vt:lpstr>sref_stage_4_name</vt:lpstr>
      <vt:lpstr>sref_stage_4_prob</vt:lpstr>
      <vt:lpstr>sref_stage_5_name</vt:lpstr>
      <vt:lpstr>sref_stage_5_prob</vt:lpstr>
      <vt:lpstr>sref_stage_6_name</vt:lpstr>
      <vt:lpstr>sref_stage_6_prob</vt:lpstr>
      <vt:lpstr>sref_stages_name_col</vt:lpstr>
      <vt:lpstr>sref_stages_prob_col</vt:lpstr>
      <vt:lpstr>sref_stages_range</vt:lpstr>
      <vt:lpstr>sref_vert_cycle_active</vt:lpstr>
      <vt:lpstr>sref_vert_names</vt:lpstr>
      <vt:lpstr>sref_vert_table</vt:lpstr>
      <vt:lpstr>sref_vert_winrate_active</vt:lpstr>
      <vt:lpstr>sscn_lag_active</vt:lpstr>
      <vt:lpstr>sscn_size_active</vt:lpstr>
      <vt:lpstr>sscn_winrate_active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Liam Collier</cp:lastModifiedBy>
  <dcterms:created xsi:type="dcterms:W3CDTF">2026-05-26T21:02:26Z</dcterms:created>
  <dcterms:modified xsi:type="dcterms:W3CDTF">2026-06-04T02:48:30Z</dcterms:modified>
</cp:coreProperties>
</file>